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0116"/>
  <workbookPr defaultThemeVersion="124226"/>
  <mc:AlternateContent xmlns:mc="http://schemas.openxmlformats.org/markup-compatibility/2006">
    <mc:Choice Requires="x15">
      <x15ac:absPath xmlns:x15ac="http://schemas.microsoft.com/office/spreadsheetml/2010/11/ac" url="/Users/Birmingham/Work/Repositories/cmi_metadata_wizard/metadata_wizard/settings/packages/"/>
    </mc:Choice>
  </mc:AlternateContent>
  <bookViews>
    <workbookView xWindow="240" yWindow="460" windowWidth="18060" windowHeight="15520" activeTab="3"/>
  </bookViews>
  <sheets>
    <sheet name="metadata" sheetId="1" r:id="rId1"/>
    <sheet name="validation" sheetId="2" r:id="rId2"/>
    <sheet name="field descriptions" sheetId="3" r:id="rId3"/>
    <sheet name="metadata_schema" sheetId="4" r:id="rId4"/>
    <sheet name="metadata_form" sheetId="5" r:id="rId5"/>
    <sheet name="readme" sheetId="6" r:id="rId6"/>
  </sheets>
  <calcPr calcId="171027" concurrentCalc="0"/>
</workbook>
</file>

<file path=xl/calcChain.xml><?xml version="1.0" encoding="utf-8"?>
<calcChain xmlns="http://schemas.openxmlformats.org/spreadsheetml/2006/main">
  <c r="Q1004" i="2" l="1" a="1"/>
  <c r="R1004" i="2"/>
  <c r="S1004" i="2"/>
  <c r="T1004" i="2"/>
  <c r="U1004" i="2"/>
  <c r="Q1004" i="2"/>
  <c r="U1001" i="2"/>
  <c r="E1001" i="1"/>
  <c r="T1001" i="2"/>
  <c r="S1001" i="2"/>
  <c r="R1001" i="2"/>
  <c r="Q1001" i="2"/>
  <c r="N1001" i="2"/>
  <c r="M1001" i="2"/>
  <c r="U1000" i="2"/>
  <c r="E1000" i="1"/>
  <c r="T1000" i="2"/>
  <c r="S1000" i="2"/>
  <c r="R1000" i="2"/>
  <c r="Q1000" i="2"/>
  <c r="N1000" i="2"/>
  <c r="M1000" i="2"/>
  <c r="U999" i="2"/>
  <c r="E999" i="1"/>
  <c r="T999" i="2"/>
  <c r="S999" i="2"/>
  <c r="R999" i="2"/>
  <c r="Q999" i="2"/>
  <c r="N999" i="2"/>
  <c r="M999" i="2"/>
  <c r="U998" i="2"/>
  <c r="E998" i="1"/>
  <c r="T998" i="2"/>
  <c r="S998" i="2"/>
  <c r="R998" i="2"/>
  <c r="Q998" i="2"/>
  <c r="N998" i="2"/>
  <c r="M998" i="2"/>
  <c r="U997" i="2"/>
  <c r="E997" i="1"/>
  <c r="T997" i="2"/>
  <c r="S997" i="2"/>
  <c r="R997" i="2"/>
  <c r="Q997" i="2"/>
  <c r="N997" i="2"/>
  <c r="M997" i="2"/>
  <c r="U996" i="2"/>
  <c r="E996" i="1"/>
  <c r="T996" i="2"/>
  <c r="S996" i="2"/>
  <c r="R996" i="2"/>
  <c r="Q996" i="2"/>
  <c r="N996" i="2"/>
  <c r="M996" i="2"/>
  <c r="U995" i="2"/>
  <c r="E995" i="1"/>
  <c r="T995" i="2"/>
  <c r="S995" i="2"/>
  <c r="R995" i="2"/>
  <c r="Q995" i="2"/>
  <c r="N995" i="2"/>
  <c r="M995" i="2"/>
  <c r="U994" i="2"/>
  <c r="E994" i="1"/>
  <c r="T994" i="2"/>
  <c r="S994" i="2"/>
  <c r="R994" i="2"/>
  <c r="Q994" i="2"/>
  <c r="N994" i="2"/>
  <c r="M994" i="2"/>
  <c r="U993" i="2"/>
  <c r="E993" i="1"/>
  <c r="T993" i="2"/>
  <c r="S993" i="2"/>
  <c r="R993" i="2"/>
  <c r="Q993" i="2"/>
  <c r="N993" i="2"/>
  <c r="M993" i="2"/>
  <c r="U992" i="2"/>
  <c r="E992" i="1"/>
  <c r="T992" i="2"/>
  <c r="S992" i="2"/>
  <c r="R992" i="2"/>
  <c r="Q992" i="2"/>
  <c r="N992" i="2"/>
  <c r="M992" i="2"/>
  <c r="U991" i="2"/>
  <c r="E991" i="1"/>
  <c r="T991" i="2"/>
  <c r="S991" i="2"/>
  <c r="R991" i="2"/>
  <c r="Q991" i="2"/>
  <c r="N991" i="2"/>
  <c r="M991" i="2"/>
  <c r="U990" i="2"/>
  <c r="E990" i="1"/>
  <c r="T990" i="2"/>
  <c r="S990" i="2"/>
  <c r="R990" i="2"/>
  <c r="Q990" i="2"/>
  <c r="N990" i="2"/>
  <c r="M990" i="2"/>
  <c r="U989" i="2"/>
  <c r="E989" i="1"/>
  <c r="T989" i="2"/>
  <c r="S989" i="2"/>
  <c r="R989" i="2"/>
  <c r="Q989" i="2"/>
  <c r="N989" i="2"/>
  <c r="M989" i="2"/>
  <c r="U988" i="2"/>
  <c r="E988" i="1"/>
  <c r="T988" i="2"/>
  <c r="S988" i="2"/>
  <c r="R988" i="2"/>
  <c r="Q988" i="2"/>
  <c r="N988" i="2"/>
  <c r="M988" i="2"/>
  <c r="U987" i="2"/>
  <c r="E987" i="1"/>
  <c r="T987" i="2"/>
  <c r="S987" i="2"/>
  <c r="R987" i="2"/>
  <c r="Q987" i="2"/>
  <c r="N987" i="2"/>
  <c r="M987" i="2"/>
  <c r="U986" i="2"/>
  <c r="E986" i="1"/>
  <c r="T986" i="2"/>
  <c r="S986" i="2"/>
  <c r="R986" i="2"/>
  <c r="Q986" i="2"/>
  <c r="N986" i="2"/>
  <c r="M986" i="2"/>
  <c r="U985" i="2"/>
  <c r="E985" i="1"/>
  <c r="T985" i="2"/>
  <c r="S985" i="2"/>
  <c r="R985" i="2"/>
  <c r="Q985" i="2"/>
  <c r="N985" i="2"/>
  <c r="M985" i="2"/>
  <c r="U984" i="2"/>
  <c r="E984" i="1"/>
  <c r="T984" i="2"/>
  <c r="S984" i="2"/>
  <c r="R984" i="2"/>
  <c r="Q984" i="2"/>
  <c r="N984" i="2"/>
  <c r="M984" i="2"/>
  <c r="U983" i="2"/>
  <c r="E983" i="1"/>
  <c r="T983" i="2"/>
  <c r="S983" i="2"/>
  <c r="R983" i="2"/>
  <c r="Q983" i="2"/>
  <c r="N983" i="2"/>
  <c r="M983" i="2"/>
  <c r="U982" i="2"/>
  <c r="E982" i="1"/>
  <c r="T982" i="2"/>
  <c r="S982" i="2"/>
  <c r="R982" i="2"/>
  <c r="Q982" i="2"/>
  <c r="N982" i="2"/>
  <c r="M982" i="2"/>
  <c r="U981" i="2"/>
  <c r="E981" i="1"/>
  <c r="T981" i="2"/>
  <c r="S981" i="2"/>
  <c r="R981" i="2"/>
  <c r="Q981" i="2"/>
  <c r="N981" i="2"/>
  <c r="M981" i="2"/>
  <c r="U980" i="2"/>
  <c r="E980" i="1"/>
  <c r="T980" i="2"/>
  <c r="S980" i="2"/>
  <c r="R980" i="2"/>
  <c r="Q980" i="2"/>
  <c r="N980" i="2"/>
  <c r="M980" i="2"/>
  <c r="U979" i="2"/>
  <c r="E979" i="1"/>
  <c r="T979" i="2"/>
  <c r="S979" i="2"/>
  <c r="R979" i="2"/>
  <c r="Q979" i="2"/>
  <c r="N979" i="2"/>
  <c r="M979" i="2"/>
  <c r="U978" i="2"/>
  <c r="E978" i="1"/>
  <c r="T978" i="2"/>
  <c r="S978" i="2"/>
  <c r="R978" i="2"/>
  <c r="Q978" i="2"/>
  <c r="N978" i="2"/>
  <c r="M978" i="2"/>
  <c r="U977" i="2"/>
  <c r="E977" i="1"/>
  <c r="T977" i="2"/>
  <c r="S977" i="2"/>
  <c r="R977" i="2"/>
  <c r="Q977" i="2"/>
  <c r="N977" i="2"/>
  <c r="M977" i="2"/>
  <c r="U976" i="2"/>
  <c r="E976" i="1"/>
  <c r="T976" i="2"/>
  <c r="S976" i="2"/>
  <c r="R976" i="2"/>
  <c r="Q976" i="2"/>
  <c r="N976" i="2"/>
  <c r="M976" i="2"/>
  <c r="U975" i="2"/>
  <c r="E975" i="1"/>
  <c r="T975" i="2"/>
  <c r="S975" i="2"/>
  <c r="R975" i="2"/>
  <c r="Q975" i="2"/>
  <c r="N975" i="2"/>
  <c r="M975" i="2"/>
  <c r="U974" i="2"/>
  <c r="E974" i="1"/>
  <c r="T974" i="2"/>
  <c r="S974" i="2"/>
  <c r="R974" i="2"/>
  <c r="Q974" i="2"/>
  <c r="N974" i="2"/>
  <c r="M974" i="2"/>
  <c r="U973" i="2"/>
  <c r="E973" i="1"/>
  <c r="T973" i="2"/>
  <c r="S973" i="2"/>
  <c r="R973" i="2"/>
  <c r="Q973" i="2"/>
  <c r="N973" i="2"/>
  <c r="M973" i="2"/>
  <c r="U972" i="2"/>
  <c r="E972" i="1"/>
  <c r="T972" i="2"/>
  <c r="S972" i="2"/>
  <c r="R972" i="2"/>
  <c r="Q972" i="2"/>
  <c r="N972" i="2"/>
  <c r="M972" i="2"/>
  <c r="U971" i="2"/>
  <c r="E971" i="1"/>
  <c r="T971" i="2"/>
  <c r="S971" i="2"/>
  <c r="R971" i="2"/>
  <c r="Q971" i="2"/>
  <c r="N971" i="2"/>
  <c r="M971" i="2"/>
  <c r="U970" i="2"/>
  <c r="E970" i="1"/>
  <c r="T970" i="2"/>
  <c r="S970" i="2"/>
  <c r="R970" i="2"/>
  <c r="Q970" i="2"/>
  <c r="N970" i="2"/>
  <c r="M970" i="2"/>
  <c r="U969" i="2"/>
  <c r="E969" i="1"/>
  <c r="T969" i="2"/>
  <c r="S969" i="2"/>
  <c r="R969" i="2"/>
  <c r="Q969" i="2"/>
  <c r="N969" i="2"/>
  <c r="M969" i="2"/>
  <c r="U968" i="2"/>
  <c r="E968" i="1"/>
  <c r="T968" i="2"/>
  <c r="S968" i="2"/>
  <c r="R968" i="2"/>
  <c r="Q968" i="2"/>
  <c r="N968" i="2"/>
  <c r="M968" i="2"/>
  <c r="U967" i="2"/>
  <c r="E967" i="1"/>
  <c r="T967" i="2"/>
  <c r="S967" i="2"/>
  <c r="R967" i="2"/>
  <c r="Q967" i="2"/>
  <c r="N967" i="2"/>
  <c r="M967" i="2"/>
  <c r="U966" i="2"/>
  <c r="E966" i="1"/>
  <c r="T966" i="2"/>
  <c r="S966" i="2"/>
  <c r="R966" i="2"/>
  <c r="Q966" i="2"/>
  <c r="N966" i="2"/>
  <c r="M966" i="2"/>
  <c r="U965" i="2"/>
  <c r="E965" i="1"/>
  <c r="T965" i="2"/>
  <c r="S965" i="2"/>
  <c r="R965" i="2"/>
  <c r="Q965" i="2"/>
  <c r="N965" i="2"/>
  <c r="M965" i="2"/>
  <c r="U964" i="2"/>
  <c r="E964" i="1"/>
  <c r="T964" i="2"/>
  <c r="S964" i="2"/>
  <c r="R964" i="2"/>
  <c r="Q964" i="2"/>
  <c r="N964" i="2"/>
  <c r="M964" i="2"/>
  <c r="U963" i="2"/>
  <c r="E963" i="1"/>
  <c r="T963" i="2"/>
  <c r="S963" i="2"/>
  <c r="R963" i="2"/>
  <c r="Q963" i="2"/>
  <c r="N963" i="2"/>
  <c r="M963" i="2"/>
  <c r="U962" i="2"/>
  <c r="E962" i="1"/>
  <c r="T962" i="2"/>
  <c r="S962" i="2"/>
  <c r="R962" i="2"/>
  <c r="Q962" i="2"/>
  <c r="N962" i="2"/>
  <c r="M962" i="2"/>
  <c r="U961" i="2"/>
  <c r="E961" i="1"/>
  <c r="T961" i="2"/>
  <c r="S961" i="2"/>
  <c r="R961" i="2"/>
  <c r="Q961" i="2"/>
  <c r="N961" i="2"/>
  <c r="M961" i="2"/>
  <c r="U960" i="2"/>
  <c r="E960" i="1"/>
  <c r="T960" i="2"/>
  <c r="S960" i="2"/>
  <c r="R960" i="2"/>
  <c r="Q960" i="2"/>
  <c r="N960" i="2"/>
  <c r="M960" i="2"/>
  <c r="U959" i="2"/>
  <c r="E959" i="1"/>
  <c r="T959" i="2"/>
  <c r="S959" i="2"/>
  <c r="R959" i="2"/>
  <c r="Q959" i="2"/>
  <c r="N959" i="2"/>
  <c r="M959" i="2"/>
  <c r="U958" i="2"/>
  <c r="E958" i="1"/>
  <c r="T958" i="2"/>
  <c r="S958" i="2"/>
  <c r="R958" i="2"/>
  <c r="Q958" i="2"/>
  <c r="N958" i="2"/>
  <c r="M958" i="2"/>
  <c r="U957" i="2"/>
  <c r="E957" i="1"/>
  <c r="T957" i="2"/>
  <c r="S957" i="2"/>
  <c r="R957" i="2"/>
  <c r="Q957" i="2"/>
  <c r="N957" i="2"/>
  <c r="M957" i="2"/>
  <c r="U956" i="2"/>
  <c r="E956" i="1"/>
  <c r="T956" i="2"/>
  <c r="S956" i="2"/>
  <c r="R956" i="2"/>
  <c r="Q956" i="2"/>
  <c r="N956" i="2"/>
  <c r="M956" i="2"/>
  <c r="U955" i="2"/>
  <c r="E955" i="1"/>
  <c r="T955" i="2"/>
  <c r="S955" i="2"/>
  <c r="R955" i="2"/>
  <c r="Q955" i="2"/>
  <c r="N955" i="2"/>
  <c r="M955" i="2"/>
  <c r="U954" i="2"/>
  <c r="E954" i="1"/>
  <c r="T954" i="2"/>
  <c r="S954" i="2"/>
  <c r="R954" i="2"/>
  <c r="Q954" i="2"/>
  <c r="N954" i="2"/>
  <c r="M954" i="2"/>
  <c r="U953" i="2"/>
  <c r="E953" i="1"/>
  <c r="T953" i="2"/>
  <c r="S953" i="2"/>
  <c r="R953" i="2"/>
  <c r="Q953" i="2"/>
  <c r="N953" i="2"/>
  <c r="M953" i="2"/>
  <c r="U952" i="2"/>
  <c r="E952" i="1"/>
  <c r="T952" i="2"/>
  <c r="S952" i="2"/>
  <c r="R952" i="2"/>
  <c r="Q952" i="2"/>
  <c r="N952" i="2"/>
  <c r="M952" i="2"/>
  <c r="U951" i="2"/>
  <c r="E951" i="1"/>
  <c r="T951" i="2"/>
  <c r="S951" i="2"/>
  <c r="R951" i="2"/>
  <c r="Q951" i="2"/>
  <c r="N951" i="2"/>
  <c r="M951" i="2"/>
  <c r="U950" i="2"/>
  <c r="E950" i="1"/>
  <c r="T950" i="2"/>
  <c r="S950" i="2"/>
  <c r="R950" i="2"/>
  <c r="Q950" i="2"/>
  <c r="N950" i="2"/>
  <c r="M950" i="2"/>
  <c r="U949" i="2"/>
  <c r="E949" i="1"/>
  <c r="T949" i="2"/>
  <c r="S949" i="2"/>
  <c r="R949" i="2"/>
  <c r="Q949" i="2"/>
  <c r="N949" i="2"/>
  <c r="M949" i="2"/>
  <c r="U948" i="2"/>
  <c r="E948" i="1"/>
  <c r="T948" i="2"/>
  <c r="S948" i="2"/>
  <c r="R948" i="2"/>
  <c r="Q948" i="2"/>
  <c r="N948" i="2"/>
  <c r="M948" i="2"/>
  <c r="U947" i="2"/>
  <c r="E947" i="1"/>
  <c r="T947" i="2"/>
  <c r="S947" i="2"/>
  <c r="R947" i="2"/>
  <c r="Q947" i="2"/>
  <c r="N947" i="2"/>
  <c r="M947" i="2"/>
  <c r="U946" i="2"/>
  <c r="E946" i="1"/>
  <c r="T946" i="2"/>
  <c r="S946" i="2"/>
  <c r="R946" i="2"/>
  <c r="Q946" i="2"/>
  <c r="N946" i="2"/>
  <c r="M946" i="2"/>
  <c r="U945" i="2"/>
  <c r="E945" i="1"/>
  <c r="T945" i="2"/>
  <c r="S945" i="2"/>
  <c r="R945" i="2"/>
  <c r="Q945" i="2"/>
  <c r="N945" i="2"/>
  <c r="M945" i="2"/>
  <c r="U944" i="2"/>
  <c r="E944" i="1"/>
  <c r="T944" i="2"/>
  <c r="S944" i="2"/>
  <c r="R944" i="2"/>
  <c r="Q944" i="2"/>
  <c r="N944" i="2"/>
  <c r="M944" i="2"/>
  <c r="U943" i="2"/>
  <c r="E943" i="1"/>
  <c r="T943" i="2"/>
  <c r="S943" i="2"/>
  <c r="R943" i="2"/>
  <c r="Q943" i="2"/>
  <c r="N943" i="2"/>
  <c r="M943" i="2"/>
  <c r="U942" i="2"/>
  <c r="E942" i="1"/>
  <c r="T942" i="2"/>
  <c r="S942" i="2"/>
  <c r="R942" i="2"/>
  <c r="Q942" i="2"/>
  <c r="N942" i="2"/>
  <c r="M942" i="2"/>
  <c r="U941" i="2"/>
  <c r="E941" i="1"/>
  <c r="T941" i="2"/>
  <c r="S941" i="2"/>
  <c r="R941" i="2"/>
  <c r="Q941" i="2"/>
  <c r="N941" i="2"/>
  <c r="M941" i="2"/>
  <c r="U940" i="2"/>
  <c r="E940" i="1"/>
  <c r="T940" i="2"/>
  <c r="S940" i="2"/>
  <c r="R940" i="2"/>
  <c r="Q940" i="2"/>
  <c r="N940" i="2"/>
  <c r="M940" i="2"/>
  <c r="U939" i="2"/>
  <c r="E939" i="1"/>
  <c r="T939" i="2"/>
  <c r="S939" i="2"/>
  <c r="R939" i="2"/>
  <c r="Q939" i="2"/>
  <c r="N939" i="2"/>
  <c r="M939" i="2"/>
  <c r="U938" i="2"/>
  <c r="E938" i="1"/>
  <c r="T938" i="2"/>
  <c r="S938" i="2"/>
  <c r="R938" i="2"/>
  <c r="Q938" i="2"/>
  <c r="N938" i="2"/>
  <c r="M938" i="2"/>
  <c r="U937" i="2"/>
  <c r="E937" i="1"/>
  <c r="T937" i="2"/>
  <c r="S937" i="2"/>
  <c r="R937" i="2"/>
  <c r="Q937" i="2"/>
  <c r="N937" i="2"/>
  <c r="M937" i="2"/>
  <c r="U936" i="2"/>
  <c r="E936" i="1"/>
  <c r="T936" i="2"/>
  <c r="S936" i="2"/>
  <c r="R936" i="2"/>
  <c r="Q936" i="2"/>
  <c r="N936" i="2"/>
  <c r="M936" i="2"/>
  <c r="U935" i="2"/>
  <c r="E935" i="1"/>
  <c r="T935" i="2"/>
  <c r="S935" i="2"/>
  <c r="R935" i="2"/>
  <c r="Q935" i="2"/>
  <c r="N935" i="2"/>
  <c r="M935" i="2"/>
  <c r="U934" i="2"/>
  <c r="E934" i="1"/>
  <c r="T934" i="2"/>
  <c r="S934" i="2"/>
  <c r="R934" i="2"/>
  <c r="Q934" i="2"/>
  <c r="N934" i="2"/>
  <c r="M934" i="2"/>
  <c r="U933" i="2"/>
  <c r="E933" i="1"/>
  <c r="T933" i="2"/>
  <c r="S933" i="2"/>
  <c r="R933" i="2"/>
  <c r="Q933" i="2"/>
  <c r="N933" i="2"/>
  <c r="M933" i="2"/>
  <c r="U932" i="2"/>
  <c r="E932" i="1"/>
  <c r="T932" i="2"/>
  <c r="S932" i="2"/>
  <c r="R932" i="2"/>
  <c r="Q932" i="2"/>
  <c r="N932" i="2"/>
  <c r="M932" i="2"/>
  <c r="U931" i="2"/>
  <c r="E931" i="1"/>
  <c r="T931" i="2"/>
  <c r="S931" i="2"/>
  <c r="R931" i="2"/>
  <c r="Q931" i="2"/>
  <c r="N931" i="2"/>
  <c r="M931" i="2"/>
  <c r="U930" i="2"/>
  <c r="E930" i="1"/>
  <c r="T930" i="2"/>
  <c r="S930" i="2"/>
  <c r="R930" i="2"/>
  <c r="Q930" i="2"/>
  <c r="N930" i="2"/>
  <c r="M930" i="2"/>
  <c r="U929" i="2"/>
  <c r="E929" i="1"/>
  <c r="T929" i="2"/>
  <c r="S929" i="2"/>
  <c r="R929" i="2"/>
  <c r="Q929" i="2"/>
  <c r="N929" i="2"/>
  <c r="M929" i="2"/>
  <c r="U928" i="2"/>
  <c r="E928" i="1"/>
  <c r="T928" i="2"/>
  <c r="S928" i="2"/>
  <c r="R928" i="2"/>
  <c r="Q928" i="2"/>
  <c r="N928" i="2"/>
  <c r="M928" i="2"/>
  <c r="U927" i="2"/>
  <c r="E927" i="1"/>
  <c r="T927" i="2"/>
  <c r="S927" i="2"/>
  <c r="R927" i="2"/>
  <c r="Q927" i="2"/>
  <c r="N927" i="2"/>
  <c r="M927" i="2"/>
  <c r="U926" i="2"/>
  <c r="E926" i="1"/>
  <c r="T926" i="2"/>
  <c r="S926" i="2"/>
  <c r="R926" i="2"/>
  <c r="Q926" i="2"/>
  <c r="N926" i="2"/>
  <c r="M926" i="2"/>
  <c r="U925" i="2"/>
  <c r="E925" i="1"/>
  <c r="T925" i="2"/>
  <c r="S925" i="2"/>
  <c r="R925" i="2"/>
  <c r="Q925" i="2"/>
  <c r="N925" i="2"/>
  <c r="M925" i="2"/>
  <c r="U924" i="2"/>
  <c r="E924" i="1"/>
  <c r="T924" i="2"/>
  <c r="S924" i="2"/>
  <c r="R924" i="2"/>
  <c r="Q924" i="2"/>
  <c r="N924" i="2"/>
  <c r="M924" i="2"/>
  <c r="U923" i="2"/>
  <c r="E923" i="1"/>
  <c r="T923" i="2"/>
  <c r="S923" i="2"/>
  <c r="R923" i="2"/>
  <c r="Q923" i="2"/>
  <c r="N923" i="2"/>
  <c r="M923" i="2"/>
  <c r="U922" i="2"/>
  <c r="E922" i="1"/>
  <c r="T922" i="2"/>
  <c r="S922" i="2"/>
  <c r="R922" i="2"/>
  <c r="Q922" i="2"/>
  <c r="N922" i="2"/>
  <c r="M922" i="2"/>
  <c r="U921" i="2"/>
  <c r="E921" i="1"/>
  <c r="T921" i="2"/>
  <c r="S921" i="2"/>
  <c r="R921" i="2"/>
  <c r="Q921" i="2"/>
  <c r="N921" i="2"/>
  <c r="M921" i="2"/>
  <c r="U920" i="2"/>
  <c r="E920" i="1"/>
  <c r="T920" i="2"/>
  <c r="S920" i="2"/>
  <c r="R920" i="2"/>
  <c r="Q920" i="2"/>
  <c r="N920" i="2"/>
  <c r="M920" i="2"/>
  <c r="U919" i="2"/>
  <c r="E919" i="1"/>
  <c r="T919" i="2"/>
  <c r="S919" i="2"/>
  <c r="R919" i="2"/>
  <c r="Q919" i="2"/>
  <c r="N919" i="2"/>
  <c r="M919" i="2"/>
  <c r="U918" i="2"/>
  <c r="E918" i="1"/>
  <c r="T918" i="2"/>
  <c r="S918" i="2"/>
  <c r="R918" i="2"/>
  <c r="Q918" i="2"/>
  <c r="N918" i="2"/>
  <c r="M918" i="2"/>
  <c r="U917" i="2"/>
  <c r="E917" i="1"/>
  <c r="T917" i="2"/>
  <c r="S917" i="2"/>
  <c r="R917" i="2"/>
  <c r="Q917" i="2"/>
  <c r="N917" i="2"/>
  <c r="M917" i="2"/>
  <c r="U916" i="2"/>
  <c r="E916" i="1"/>
  <c r="T916" i="2"/>
  <c r="S916" i="2"/>
  <c r="R916" i="2"/>
  <c r="Q916" i="2"/>
  <c r="N916" i="2"/>
  <c r="M916" i="2"/>
  <c r="U915" i="2"/>
  <c r="E915" i="1"/>
  <c r="T915" i="2"/>
  <c r="S915" i="2"/>
  <c r="R915" i="2"/>
  <c r="Q915" i="2"/>
  <c r="N915" i="2"/>
  <c r="M915" i="2"/>
  <c r="U914" i="2"/>
  <c r="E914" i="1"/>
  <c r="T914" i="2"/>
  <c r="S914" i="2"/>
  <c r="R914" i="2"/>
  <c r="Q914" i="2"/>
  <c r="N914" i="2"/>
  <c r="M914" i="2"/>
  <c r="U913" i="2"/>
  <c r="E913" i="1"/>
  <c r="T913" i="2"/>
  <c r="S913" i="2"/>
  <c r="R913" i="2"/>
  <c r="Q913" i="2"/>
  <c r="N913" i="2"/>
  <c r="M913" i="2"/>
  <c r="U912" i="2"/>
  <c r="E912" i="1"/>
  <c r="T912" i="2"/>
  <c r="S912" i="2"/>
  <c r="R912" i="2"/>
  <c r="Q912" i="2"/>
  <c r="N912" i="2"/>
  <c r="M912" i="2"/>
  <c r="U911" i="2"/>
  <c r="E911" i="1"/>
  <c r="T911" i="2"/>
  <c r="S911" i="2"/>
  <c r="R911" i="2"/>
  <c r="Q911" i="2"/>
  <c r="N911" i="2"/>
  <c r="M911" i="2"/>
  <c r="U910" i="2"/>
  <c r="E910" i="1"/>
  <c r="T910" i="2"/>
  <c r="S910" i="2"/>
  <c r="R910" i="2"/>
  <c r="Q910" i="2"/>
  <c r="N910" i="2"/>
  <c r="M910" i="2"/>
  <c r="U909" i="2"/>
  <c r="E909" i="1"/>
  <c r="T909" i="2"/>
  <c r="S909" i="2"/>
  <c r="R909" i="2"/>
  <c r="Q909" i="2"/>
  <c r="N909" i="2"/>
  <c r="M909" i="2"/>
  <c r="U908" i="2"/>
  <c r="E908" i="1"/>
  <c r="T908" i="2"/>
  <c r="S908" i="2"/>
  <c r="R908" i="2"/>
  <c r="Q908" i="2"/>
  <c r="N908" i="2"/>
  <c r="M908" i="2"/>
  <c r="U907" i="2"/>
  <c r="E907" i="1"/>
  <c r="T907" i="2"/>
  <c r="S907" i="2"/>
  <c r="R907" i="2"/>
  <c r="Q907" i="2"/>
  <c r="N907" i="2"/>
  <c r="M907" i="2"/>
  <c r="U906" i="2"/>
  <c r="E906" i="1"/>
  <c r="T906" i="2"/>
  <c r="S906" i="2"/>
  <c r="R906" i="2"/>
  <c r="Q906" i="2"/>
  <c r="N906" i="2"/>
  <c r="M906" i="2"/>
  <c r="U905" i="2"/>
  <c r="E905" i="1"/>
  <c r="T905" i="2"/>
  <c r="S905" i="2"/>
  <c r="R905" i="2"/>
  <c r="Q905" i="2"/>
  <c r="N905" i="2"/>
  <c r="M905" i="2"/>
  <c r="U904" i="2"/>
  <c r="E904" i="1"/>
  <c r="T904" i="2"/>
  <c r="S904" i="2"/>
  <c r="R904" i="2"/>
  <c r="Q904" i="2"/>
  <c r="N904" i="2"/>
  <c r="M904" i="2"/>
  <c r="U903" i="2"/>
  <c r="E903" i="1"/>
  <c r="T903" i="2"/>
  <c r="S903" i="2"/>
  <c r="R903" i="2"/>
  <c r="Q903" i="2"/>
  <c r="N903" i="2"/>
  <c r="M903" i="2"/>
  <c r="U902" i="2"/>
  <c r="E902" i="1"/>
  <c r="T902" i="2"/>
  <c r="S902" i="2"/>
  <c r="R902" i="2"/>
  <c r="Q902" i="2"/>
  <c r="N902" i="2"/>
  <c r="M902" i="2"/>
  <c r="U901" i="2"/>
  <c r="E901" i="1"/>
  <c r="T901" i="2"/>
  <c r="S901" i="2"/>
  <c r="R901" i="2"/>
  <c r="Q901" i="2"/>
  <c r="N901" i="2"/>
  <c r="M901" i="2"/>
  <c r="U900" i="2"/>
  <c r="E900" i="1"/>
  <c r="T900" i="2"/>
  <c r="S900" i="2"/>
  <c r="R900" i="2"/>
  <c r="Q900" i="2"/>
  <c r="N900" i="2"/>
  <c r="M900" i="2"/>
  <c r="U899" i="2"/>
  <c r="E899" i="1"/>
  <c r="T899" i="2"/>
  <c r="S899" i="2"/>
  <c r="R899" i="2"/>
  <c r="Q899" i="2"/>
  <c r="N899" i="2"/>
  <c r="M899" i="2"/>
  <c r="U898" i="2"/>
  <c r="E898" i="1"/>
  <c r="T898" i="2"/>
  <c r="S898" i="2"/>
  <c r="R898" i="2"/>
  <c r="Q898" i="2"/>
  <c r="N898" i="2"/>
  <c r="M898" i="2"/>
  <c r="U897" i="2"/>
  <c r="E897" i="1"/>
  <c r="T897" i="2"/>
  <c r="S897" i="2"/>
  <c r="R897" i="2"/>
  <c r="Q897" i="2"/>
  <c r="N897" i="2"/>
  <c r="M897" i="2"/>
  <c r="U896" i="2"/>
  <c r="E896" i="1"/>
  <c r="T896" i="2"/>
  <c r="S896" i="2"/>
  <c r="R896" i="2"/>
  <c r="Q896" i="2"/>
  <c r="N896" i="2"/>
  <c r="M896" i="2"/>
  <c r="U895" i="2"/>
  <c r="E895" i="1"/>
  <c r="T895" i="2"/>
  <c r="S895" i="2"/>
  <c r="R895" i="2"/>
  <c r="Q895" i="2"/>
  <c r="N895" i="2"/>
  <c r="M895" i="2"/>
  <c r="U894" i="2"/>
  <c r="E894" i="1"/>
  <c r="T894" i="2"/>
  <c r="S894" i="2"/>
  <c r="R894" i="2"/>
  <c r="Q894" i="2"/>
  <c r="N894" i="2"/>
  <c r="M894" i="2"/>
  <c r="U893" i="2"/>
  <c r="E893" i="1"/>
  <c r="T893" i="2"/>
  <c r="S893" i="2"/>
  <c r="R893" i="2"/>
  <c r="Q893" i="2"/>
  <c r="N893" i="2"/>
  <c r="M893" i="2"/>
  <c r="U892" i="2"/>
  <c r="E892" i="1"/>
  <c r="T892" i="2"/>
  <c r="S892" i="2"/>
  <c r="R892" i="2"/>
  <c r="Q892" i="2"/>
  <c r="N892" i="2"/>
  <c r="M892" i="2"/>
  <c r="U891" i="2"/>
  <c r="E891" i="1"/>
  <c r="T891" i="2"/>
  <c r="S891" i="2"/>
  <c r="R891" i="2"/>
  <c r="Q891" i="2"/>
  <c r="N891" i="2"/>
  <c r="M891" i="2"/>
  <c r="U890" i="2"/>
  <c r="E890" i="1"/>
  <c r="T890" i="2"/>
  <c r="S890" i="2"/>
  <c r="R890" i="2"/>
  <c r="Q890" i="2"/>
  <c r="N890" i="2"/>
  <c r="M890" i="2"/>
  <c r="U889" i="2"/>
  <c r="E889" i="1"/>
  <c r="T889" i="2"/>
  <c r="S889" i="2"/>
  <c r="R889" i="2"/>
  <c r="Q889" i="2"/>
  <c r="N889" i="2"/>
  <c r="M889" i="2"/>
  <c r="U888" i="2"/>
  <c r="E888" i="1"/>
  <c r="T888" i="2"/>
  <c r="S888" i="2"/>
  <c r="R888" i="2"/>
  <c r="Q888" i="2"/>
  <c r="N888" i="2"/>
  <c r="M888" i="2"/>
  <c r="U887" i="2"/>
  <c r="E887" i="1"/>
  <c r="T887" i="2"/>
  <c r="S887" i="2"/>
  <c r="R887" i="2"/>
  <c r="Q887" i="2"/>
  <c r="N887" i="2"/>
  <c r="M887" i="2"/>
  <c r="U886" i="2"/>
  <c r="E886" i="1"/>
  <c r="T886" i="2"/>
  <c r="S886" i="2"/>
  <c r="R886" i="2"/>
  <c r="Q886" i="2"/>
  <c r="N886" i="2"/>
  <c r="M886" i="2"/>
  <c r="U885" i="2"/>
  <c r="E885" i="1"/>
  <c r="T885" i="2"/>
  <c r="S885" i="2"/>
  <c r="R885" i="2"/>
  <c r="Q885" i="2"/>
  <c r="N885" i="2"/>
  <c r="M885" i="2"/>
  <c r="U884" i="2"/>
  <c r="E884" i="1"/>
  <c r="T884" i="2"/>
  <c r="S884" i="2"/>
  <c r="R884" i="2"/>
  <c r="Q884" i="2"/>
  <c r="N884" i="2"/>
  <c r="M884" i="2"/>
  <c r="U883" i="2"/>
  <c r="E883" i="1"/>
  <c r="T883" i="2"/>
  <c r="S883" i="2"/>
  <c r="R883" i="2"/>
  <c r="Q883" i="2"/>
  <c r="N883" i="2"/>
  <c r="M883" i="2"/>
  <c r="U882" i="2"/>
  <c r="E882" i="1"/>
  <c r="T882" i="2"/>
  <c r="S882" i="2"/>
  <c r="R882" i="2"/>
  <c r="Q882" i="2"/>
  <c r="N882" i="2"/>
  <c r="M882" i="2"/>
  <c r="U881" i="2"/>
  <c r="E881" i="1"/>
  <c r="T881" i="2"/>
  <c r="S881" i="2"/>
  <c r="R881" i="2"/>
  <c r="Q881" i="2"/>
  <c r="N881" i="2"/>
  <c r="M881" i="2"/>
  <c r="U880" i="2"/>
  <c r="E880" i="1"/>
  <c r="T880" i="2"/>
  <c r="S880" i="2"/>
  <c r="R880" i="2"/>
  <c r="Q880" i="2"/>
  <c r="N880" i="2"/>
  <c r="M880" i="2"/>
  <c r="U879" i="2"/>
  <c r="E879" i="1"/>
  <c r="T879" i="2"/>
  <c r="S879" i="2"/>
  <c r="R879" i="2"/>
  <c r="Q879" i="2"/>
  <c r="N879" i="2"/>
  <c r="M879" i="2"/>
  <c r="U878" i="2"/>
  <c r="E878" i="1"/>
  <c r="T878" i="2"/>
  <c r="S878" i="2"/>
  <c r="R878" i="2"/>
  <c r="Q878" i="2"/>
  <c r="N878" i="2"/>
  <c r="M878" i="2"/>
  <c r="U877" i="2"/>
  <c r="E877" i="1"/>
  <c r="T877" i="2"/>
  <c r="S877" i="2"/>
  <c r="R877" i="2"/>
  <c r="Q877" i="2"/>
  <c r="N877" i="2"/>
  <c r="M877" i="2"/>
  <c r="U876" i="2"/>
  <c r="E876" i="1"/>
  <c r="T876" i="2"/>
  <c r="S876" i="2"/>
  <c r="R876" i="2"/>
  <c r="Q876" i="2"/>
  <c r="N876" i="2"/>
  <c r="M876" i="2"/>
  <c r="U875" i="2"/>
  <c r="E875" i="1"/>
  <c r="T875" i="2"/>
  <c r="S875" i="2"/>
  <c r="R875" i="2"/>
  <c r="Q875" i="2"/>
  <c r="N875" i="2"/>
  <c r="M875" i="2"/>
  <c r="U874" i="2"/>
  <c r="E874" i="1"/>
  <c r="T874" i="2"/>
  <c r="S874" i="2"/>
  <c r="R874" i="2"/>
  <c r="Q874" i="2"/>
  <c r="N874" i="2"/>
  <c r="M874" i="2"/>
  <c r="U873" i="2"/>
  <c r="E873" i="1"/>
  <c r="T873" i="2"/>
  <c r="S873" i="2"/>
  <c r="R873" i="2"/>
  <c r="Q873" i="2"/>
  <c r="N873" i="2"/>
  <c r="M873" i="2"/>
  <c r="U872" i="2"/>
  <c r="E872" i="1"/>
  <c r="T872" i="2"/>
  <c r="S872" i="2"/>
  <c r="R872" i="2"/>
  <c r="Q872" i="2"/>
  <c r="N872" i="2"/>
  <c r="M872" i="2"/>
  <c r="U871" i="2"/>
  <c r="E871" i="1"/>
  <c r="T871" i="2"/>
  <c r="S871" i="2"/>
  <c r="R871" i="2"/>
  <c r="Q871" i="2"/>
  <c r="N871" i="2"/>
  <c r="M871" i="2"/>
  <c r="U870" i="2"/>
  <c r="E870" i="1"/>
  <c r="T870" i="2"/>
  <c r="S870" i="2"/>
  <c r="R870" i="2"/>
  <c r="Q870" i="2"/>
  <c r="N870" i="2"/>
  <c r="M870" i="2"/>
  <c r="U869" i="2"/>
  <c r="E869" i="1"/>
  <c r="T869" i="2"/>
  <c r="S869" i="2"/>
  <c r="R869" i="2"/>
  <c r="Q869" i="2"/>
  <c r="N869" i="2"/>
  <c r="M869" i="2"/>
  <c r="U868" i="2"/>
  <c r="E868" i="1"/>
  <c r="T868" i="2"/>
  <c r="S868" i="2"/>
  <c r="R868" i="2"/>
  <c r="Q868" i="2"/>
  <c r="N868" i="2"/>
  <c r="M868" i="2"/>
  <c r="U867" i="2"/>
  <c r="E867" i="1"/>
  <c r="T867" i="2"/>
  <c r="S867" i="2"/>
  <c r="R867" i="2"/>
  <c r="Q867" i="2"/>
  <c r="N867" i="2"/>
  <c r="M867" i="2"/>
  <c r="U866" i="2"/>
  <c r="E866" i="1"/>
  <c r="T866" i="2"/>
  <c r="S866" i="2"/>
  <c r="R866" i="2"/>
  <c r="Q866" i="2"/>
  <c r="N866" i="2"/>
  <c r="M866" i="2"/>
  <c r="U865" i="2"/>
  <c r="E865" i="1"/>
  <c r="T865" i="2"/>
  <c r="S865" i="2"/>
  <c r="R865" i="2"/>
  <c r="Q865" i="2"/>
  <c r="N865" i="2"/>
  <c r="M865" i="2"/>
  <c r="U864" i="2"/>
  <c r="E864" i="1"/>
  <c r="T864" i="2"/>
  <c r="S864" i="2"/>
  <c r="R864" i="2"/>
  <c r="Q864" i="2"/>
  <c r="N864" i="2"/>
  <c r="M864" i="2"/>
  <c r="U863" i="2"/>
  <c r="E863" i="1"/>
  <c r="T863" i="2"/>
  <c r="S863" i="2"/>
  <c r="R863" i="2"/>
  <c r="Q863" i="2"/>
  <c r="N863" i="2"/>
  <c r="M863" i="2"/>
  <c r="U862" i="2"/>
  <c r="E862" i="1"/>
  <c r="T862" i="2"/>
  <c r="S862" i="2"/>
  <c r="R862" i="2"/>
  <c r="Q862" i="2"/>
  <c r="N862" i="2"/>
  <c r="M862" i="2"/>
  <c r="U861" i="2"/>
  <c r="E861" i="1"/>
  <c r="T861" i="2"/>
  <c r="S861" i="2"/>
  <c r="R861" i="2"/>
  <c r="Q861" i="2"/>
  <c r="N861" i="2"/>
  <c r="M861" i="2"/>
  <c r="U860" i="2"/>
  <c r="E860" i="1"/>
  <c r="T860" i="2"/>
  <c r="S860" i="2"/>
  <c r="R860" i="2"/>
  <c r="Q860" i="2"/>
  <c r="N860" i="2"/>
  <c r="M860" i="2"/>
  <c r="U859" i="2"/>
  <c r="E859" i="1"/>
  <c r="T859" i="2"/>
  <c r="S859" i="2"/>
  <c r="R859" i="2"/>
  <c r="Q859" i="2"/>
  <c r="N859" i="2"/>
  <c r="M859" i="2"/>
  <c r="U858" i="2"/>
  <c r="E858" i="1"/>
  <c r="T858" i="2"/>
  <c r="S858" i="2"/>
  <c r="R858" i="2"/>
  <c r="Q858" i="2"/>
  <c r="N858" i="2"/>
  <c r="M858" i="2"/>
  <c r="U857" i="2"/>
  <c r="E857" i="1"/>
  <c r="T857" i="2"/>
  <c r="S857" i="2"/>
  <c r="R857" i="2"/>
  <c r="Q857" i="2"/>
  <c r="N857" i="2"/>
  <c r="M857" i="2"/>
  <c r="U856" i="2"/>
  <c r="E856" i="1"/>
  <c r="T856" i="2"/>
  <c r="S856" i="2"/>
  <c r="R856" i="2"/>
  <c r="Q856" i="2"/>
  <c r="N856" i="2"/>
  <c r="M856" i="2"/>
  <c r="U855" i="2"/>
  <c r="E855" i="1"/>
  <c r="T855" i="2"/>
  <c r="S855" i="2"/>
  <c r="R855" i="2"/>
  <c r="Q855" i="2"/>
  <c r="N855" i="2"/>
  <c r="M855" i="2"/>
  <c r="U854" i="2"/>
  <c r="E854" i="1"/>
  <c r="T854" i="2"/>
  <c r="S854" i="2"/>
  <c r="R854" i="2"/>
  <c r="Q854" i="2"/>
  <c r="N854" i="2"/>
  <c r="M854" i="2"/>
  <c r="U853" i="2"/>
  <c r="E853" i="1"/>
  <c r="T853" i="2"/>
  <c r="S853" i="2"/>
  <c r="R853" i="2"/>
  <c r="Q853" i="2"/>
  <c r="N853" i="2"/>
  <c r="M853" i="2"/>
  <c r="U852" i="2"/>
  <c r="E852" i="1"/>
  <c r="T852" i="2"/>
  <c r="S852" i="2"/>
  <c r="R852" i="2"/>
  <c r="Q852" i="2"/>
  <c r="N852" i="2"/>
  <c r="M852" i="2"/>
  <c r="U851" i="2"/>
  <c r="E851" i="1"/>
  <c r="T851" i="2"/>
  <c r="S851" i="2"/>
  <c r="R851" i="2"/>
  <c r="Q851" i="2"/>
  <c r="N851" i="2"/>
  <c r="M851" i="2"/>
  <c r="U850" i="2"/>
  <c r="E850" i="1"/>
  <c r="T850" i="2"/>
  <c r="S850" i="2"/>
  <c r="R850" i="2"/>
  <c r="Q850" i="2"/>
  <c r="N850" i="2"/>
  <c r="M850" i="2"/>
  <c r="U849" i="2"/>
  <c r="E849" i="1"/>
  <c r="T849" i="2"/>
  <c r="S849" i="2"/>
  <c r="R849" i="2"/>
  <c r="Q849" i="2"/>
  <c r="N849" i="2"/>
  <c r="M849" i="2"/>
  <c r="U848" i="2"/>
  <c r="E848" i="1"/>
  <c r="T848" i="2"/>
  <c r="S848" i="2"/>
  <c r="R848" i="2"/>
  <c r="Q848" i="2"/>
  <c r="N848" i="2"/>
  <c r="M848" i="2"/>
  <c r="U847" i="2"/>
  <c r="E847" i="1"/>
  <c r="T847" i="2"/>
  <c r="S847" i="2"/>
  <c r="R847" i="2"/>
  <c r="Q847" i="2"/>
  <c r="N847" i="2"/>
  <c r="M847" i="2"/>
  <c r="U846" i="2"/>
  <c r="E846" i="1"/>
  <c r="T846" i="2"/>
  <c r="S846" i="2"/>
  <c r="R846" i="2"/>
  <c r="Q846" i="2"/>
  <c r="N846" i="2"/>
  <c r="M846" i="2"/>
  <c r="U845" i="2"/>
  <c r="E845" i="1"/>
  <c r="T845" i="2"/>
  <c r="S845" i="2"/>
  <c r="R845" i="2"/>
  <c r="Q845" i="2"/>
  <c r="N845" i="2"/>
  <c r="M845" i="2"/>
  <c r="U844" i="2"/>
  <c r="E844" i="1"/>
  <c r="T844" i="2"/>
  <c r="S844" i="2"/>
  <c r="R844" i="2"/>
  <c r="Q844" i="2"/>
  <c r="N844" i="2"/>
  <c r="M844" i="2"/>
  <c r="U843" i="2"/>
  <c r="E843" i="1"/>
  <c r="T843" i="2"/>
  <c r="S843" i="2"/>
  <c r="R843" i="2"/>
  <c r="Q843" i="2"/>
  <c r="N843" i="2"/>
  <c r="M843" i="2"/>
  <c r="U842" i="2"/>
  <c r="E842" i="1"/>
  <c r="T842" i="2"/>
  <c r="S842" i="2"/>
  <c r="R842" i="2"/>
  <c r="Q842" i="2"/>
  <c r="N842" i="2"/>
  <c r="M842" i="2"/>
  <c r="U841" i="2"/>
  <c r="E841" i="1"/>
  <c r="T841" i="2"/>
  <c r="S841" i="2"/>
  <c r="R841" i="2"/>
  <c r="Q841" i="2"/>
  <c r="N841" i="2"/>
  <c r="M841" i="2"/>
  <c r="U840" i="2"/>
  <c r="E840" i="1"/>
  <c r="T840" i="2"/>
  <c r="S840" i="2"/>
  <c r="R840" i="2"/>
  <c r="Q840" i="2"/>
  <c r="N840" i="2"/>
  <c r="M840" i="2"/>
  <c r="U839" i="2"/>
  <c r="E839" i="1"/>
  <c r="T839" i="2"/>
  <c r="S839" i="2"/>
  <c r="R839" i="2"/>
  <c r="Q839" i="2"/>
  <c r="N839" i="2"/>
  <c r="M839" i="2"/>
  <c r="U838" i="2"/>
  <c r="E838" i="1"/>
  <c r="T838" i="2"/>
  <c r="S838" i="2"/>
  <c r="R838" i="2"/>
  <c r="Q838" i="2"/>
  <c r="N838" i="2"/>
  <c r="M838" i="2"/>
  <c r="U837" i="2"/>
  <c r="E837" i="1"/>
  <c r="T837" i="2"/>
  <c r="S837" i="2"/>
  <c r="R837" i="2"/>
  <c r="Q837" i="2"/>
  <c r="N837" i="2"/>
  <c r="M837" i="2"/>
  <c r="U836" i="2"/>
  <c r="E836" i="1"/>
  <c r="T836" i="2"/>
  <c r="S836" i="2"/>
  <c r="R836" i="2"/>
  <c r="Q836" i="2"/>
  <c r="N836" i="2"/>
  <c r="M836" i="2"/>
  <c r="U835" i="2"/>
  <c r="E835" i="1"/>
  <c r="T835" i="2"/>
  <c r="S835" i="2"/>
  <c r="R835" i="2"/>
  <c r="Q835" i="2"/>
  <c r="N835" i="2"/>
  <c r="M835" i="2"/>
  <c r="U834" i="2"/>
  <c r="E834" i="1"/>
  <c r="T834" i="2"/>
  <c r="S834" i="2"/>
  <c r="R834" i="2"/>
  <c r="Q834" i="2"/>
  <c r="N834" i="2"/>
  <c r="M834" i="2"/>
  <c r="U833" i="2"/>
  <c r="E833" i="1"/>
  <c r="T833" i="2"/>
  <c r="S833" i="2"/>
  <c r="R833" i="2"/>
  <c r="Q833" i="2"/>
  <c r="N833" i="2"/>
  <c r="M833" i="2"/>
  <c r="U832" i="2"/>
  <c r="E832" i="1"/>
  <c r="T832" i="2"/>
  <c r="S832" i="2"/>
  <c r="R832" i="2"/>
  <c r="Q832" i="2"/>
  <c r="N832" i="2"/>
  <c r="M832" i="2"/>
  <c r="U831" i="2"/>
  <c r="E831" i="1"/>
  <c r="T831" i="2"/>
  <c r="S831" i="2"/>
  <c r="R831" i="2"/>
  <c r="Q831" i="2"/>
  <c r="N831" i="2"/>
  <c r="M831" i="2"/>
  <c r="U830" i="2"/>
  <c r="E830" i="1"/>
  <c r="T830" i="2"/>
  <c r="S830" i="2"/>
  <c r="R830" i="2"/>
  <c r="Q830" i="2"/>
  <c r="N830" i="2"/>
  <c r="M830" i="2"/>
  <c r="U829" i="2"/>
  <c r="E829" i="1"/>
  <c r="T829" i="2"/>
  <c r="S829" i="2"/>
  <c r="R829" i="2"/>
  <c r="Q829" i="2"/>
  <c r="N829" i="2"/>
  <c r="M829" i="2"/>
  <c r="U828" i="2"/>
  <c r="E828" i="1"/>
  <c r="T828" i="2"/>
  <c r="S828" i="2"/>
  <c r="R828" i="2"/>
  <c r="Q828" i="2"/>
  <c r="N828" i="2"/>
  <c r="M828" i="2"/>
  <c r="U827" i="2"/>
  <c r="E827" i="1"/>
  <c r="T827" i="2"/>
  <c r="S827" i="2"/>
  <c r="R827" i="2"/>
  <c r="Q827" i="2"/>
  <c r="N827" i="2"/>
  <c r="M827" i="2"/>
  <c r="U826" i="2"/>
  <c r="E826" i="1"/>
  <c r="T826" i="2"/>
  <c r="S826" i="2"/>
  <c r="R826" i="2"/>
  <c r="Q826" i="2"/>
  <c r="N826" i="2"/>
  <c r="M826" i="2"/>
  <c r="U825" i="2"/>
  <c r="E825" i="1"/>
  <c r="T825" i="2"/>
  <c r="S825" i="2"/>
  <c r="R825" i="2"/>
  <c r="Q825" i="2"/>
  <c r="N825" i="2"/>
  <c r="M825" i="2"/>
  <c r="U824" i="2"/>
  <c r="E824" i="1"/>
  <c r="T824" i="2"/>
  <c r="S824" i="2"/>
  <c r="R824" i="2"/>
  <c r="Q824" i="2"/>
  <c r="N824" i="2"/>
  <c r="M824" i="2"/>
  <c r="U823" i="2"/>
  <c r="E823" i="1"/>
  <c r="T823" i="2"/>
  <c r="S823" i="2"/>
  <c r="R823" i="2"/>
  <c r="Q823" i="2"/>
  <c r="N823" i="2"/>
  <c r="M823" i="2"/>
  <c r="U822" i="2"/>
  <c r="E822" i="1"/>
  <c r="T822" i="2"/>
  <c r="S822" i="2"/>
  <c r="R822" i="2"/>
  <c r="Q822" i="2"/>
  <c r="N822" i="2"/>
  <c r="M822" i="2"/>
  <c r="U821" i="2"/>
  <c r="E821" i="1"/>
  <c r="T821" i="2"/>
  <c r="S821" i="2"/>
  <c r="R821" i="2"/>
  <c r="Q821" i="2"/>
  <c r="N821" i="2"/>
  <c r="M821" i="2"/>
  <c r="U820" i="2"/>
  <c r="E820" i="1"/>
  <c r="T820" i="2"/>
  <c r="S820" i="2"/>
  <c r="R820" i="2"/>
  <c r="Q820" i="2"/>
  <c r="N820" i="2"/>
  <c r="M820" i="2"/>
  <c r="U819" i="2"/>
  <c r="E819" i="1"/>
  <c r="T819" i="2"/>
  <c r="S819" i="2"/>
  <c r="R819" i="2"/>
  <c r="Q819" i="2"/>
  <c r="N819" i="2"/>
  <c r="M819" i="2"/>
  <c r="U818" i="2"/>
  <c r="E818" i="1"/>
  <c r="T818" i="2"/>
  <c r="S818" i="2"/>
  <c r="R818" i="2"/>
  <c r="Q818" i="2"/>
  <c r="N818" i="2"/>
  <c r="M818" i="2"/>
  <c r="U817" i="2"/>
  <c r="E817" i="1"/>
  <c r="T817" i="2"/>
  <c r="S817" i="2"/>
  <c r="R817" i="2"/>
  <c r="Q817" i="2"/>
  <c r="N817" i="2"/>
  <c r="M817" i="2"/>
  <c r="U816" i="2"/>
  <c r="E816" i="1"/>
  <c r="T816" i="2"/>
  <c r="S816" i="2"/>
  <c r="R816" i="2"/>
  <c r="Q816" i="2"/>
  <c r="N816" i="2"/>
  <c r="M816" i="2"/>
  <c r="U815" i="2"/>
  <c r="E815" i="1"/>
  <c r="T815" i="2"/>
  <c r="S815" i="2"/>
  <c r="R815" i="2"/>
  <c r="Q815" i="2"/>
  <c r="N815" i="2"/>
  <c r="M815" i="2"/>
  <c r="U814" i="2"/>
  <c r="E814" i="1"/>
  <c r="T814" i="2"/>
  <c r="S814" i="2"/>
  <c r="R814" i="2"/>
  <c r="Q814" i="2"/>
  <c r="N814" i="2"/>
  <c r="M814" i="2"/>
  <c r="U813" i="2"/>
  <c r="E813" i="1"/>
  <c r="T813" i="2"/>
  <c r="S813" i="2"/>
  <c r="R813" i="2"/>
  <c r="Q813" i="2"/>
  <c r="N813" i="2"/>
  <c r="M813" i="2"/>
  <c r="U812" i="2"/>
  <c r="E812" i="1"/>
  <c r="T812" i="2"/>
  <c r="S812" i="2"/>
  <c r="R812" i="2"/>
  <c r="Q812" i="2"/>
  <c r="N812" i="2"/>
  <c r="M812" i="2"/>
  <c r="U811" i="2"/>
  <c r="E811" i="1"/>
  <c r="T811" i="2"/>
  <c r="S811" i="2"/>
  <c r="R811" i="2"/>
  <c r="Q811" i="2"/>
  <c r="N811" i="2"/>
  <c r="M811" i="2"/>
  <c r="U810" i="2"/>
  <c r="E810" i="1"/>
  <c r="T810" i="2"/>
  <c r="S810" i="2"/>
  <c r="R810" i="2"/>
  <c r="Q810" i="2"/>
  <c r="N810" i="2"/>
  <c r="M810" i="2"/>
  <c r="U809" i="2"/>
  <c r="E809" i="1"/>
  <c r="T809" i="2"/>
  <c r="S809" i="2"/>
  <c r="R809" i="2"/>
  <c r="Q809" i="2"/>
  <c r="N809" i="2"/>
  <c r="M809" i="2"/>
  <c r="U808" i="2"/>
  <c r="E808" i="1"/>
  <c r="T808" i="2"/>
  <c r="S808" i="2"/>
  <c r="R808" i="2"/>
  <c r="Q808" i="2"/>
  <c r="N808" i="2"/>
  <c r="M808" i="2"/>
  <c r="U807" i="2"/>
  <c r="E807" i="1"/>
  <c r="T807" i="2"/>
  <c r="S807" i="2"/>
  <c r="R807" i="2"/>
  <c r="Q807" i="2"/>
  <c r="N807" i="2"/>
  <c r="M807" i="2"/>
  <c r="U806" i="2"/>
  <c r="E806" i="1"/>
  <c r="T806" i="2"/>
  <c r="S806" i="2"/>
  <c r="R806" i="2"/>
  <c r="Q806" i="2"/>
  <c r="N806" i="2"/>
  <c r="M806" i="2"/>
  <c r="U805" i="2"/>
  <c r="E805" i="1"/>
  <c r="T805" i="2"/>
  <c r="S805" i="2"/>
  <c r="R805" i="2"/>
  <c r="Q805" i="2"/>
  <c r="N805" i="2"/>
  <c r="M805" i="2"/>
  <c r="U804" i="2"/>
  <c r="E804" i="1"/>
  <c r="T804" i="2"/>
  <c r="S804" i="2"/>
  <c r="R804" i="2"/>
  <c r="Q804" i="2"/>
  <c r="N804" i="2"/>
  <c r="M804" i="2"/>
  <c r="U803" i="2"/>
  <c r="E803" i="1"/>
  <c r="T803" i="2"/>
  <c r="S803" i="2"/>
  <c r="R803" i="2"/>
  <c r="Q803" i="2"/>
  <c r="N803" i="2"/>
  <c r="M803" i="2"/>
  <c r="U802" i="2"/>
  <c r="E802" i="1"/>
  <c r="T802" i="2"/>
  <c r="S802" i="2"/>
  <c r="R802" i="2"/>
  <c r="Q802" i="2"/>
  <c r="N802" i="2"/>
  <c r="M802" i="2"/>
  <c r="U801" i="2"/>
  <c r="E801" i="1"/>
  <c r="T801" i="2"/>
  <c r="S801" i="2"/>
  <c r="R801" i="2"/>
  <c r="Q801" i="2"/>
  <c r="N801" i="2"/>
  <c r="M801" i="2"/>
  <c r="U800" i="2"/>
  <c r="E800" i="1"/>
  <c r="T800" i="2"/>
  <c r="S800" i="2"/>
  <c r="R800" i="2"/>
  <c r="Q800" i="2"/>
  <c r="N800" i="2"/>
  <c r="M800" i="2"/>
  <c r="U799" i="2"/>
  <c r="E799" i="1"/>
  <c r="T799" i="2"/>
  <c r="S799" i="2"/>
  <c r="R799" i="2"/>
  <c r="Q799" i="2"/>
  <c r="N799" i="2"/>
  <c r="M799" i="2"/>
  <c r="U798" i="2"/>
  <c r="E798" i="1"/>
  <c r="T798" i="2"/>
  <c r="S798" i="2"/>
  <c r="R798" i="2"/>
  <c r="Q798" i="2"/>
  <c r="N798" i="2"/>
  <c r="M798" i="2"/>
  <c r="U797" i="2"/>
  <c r="E797" i="1"/>
  <c r="T797" i="2"/>
  <c r="S797" i="2"/>
  <c r="R797" i="2"/>
  <c r="Q797" i="2"/>
  <c r="N797" i="2"/>
  <c r="M797" i="2"/>
  <c r="U796" i="2"/>
  <c r="E796" i="1"/>
  <c r="T796" i="2"/>
  <c r="S796" i="2"/>
  <c r="R796" i="2"/>
  <c r="Q796" i="2"/>
  <c r="N796" i="2"/>
  <c r="M796" i="2"/>
  <c r="U795" i="2"/>
  <c r="E795" i="1"/>
  <c r="T795" i="2"/>
  <c r="S795" i="2"/>
  <c r="R795" i="2"/>
  <c r="Q795" i="2"/>
  <c r="N795" i="2"/>
  <c r="M795" i="2"/>
  <c r="U794" i="2"/>
  <c r="E794" i="1"/>
  <c r="T794" i="2"/>
  <c r="S794" i="2"/>
  <c r="R794" i="2"/>
  <c r="Q794" i="2"/>
  <c r="N794" i="2"/>
  <c r="M794" i="2"/>
  <c r="U793" i="2"/>
  <c r="E793" i="1"/>
  <c r="T793" i="2"/>
  <c r="S793" i="2"/>
  <c r="R793" i="2"/>
  <c r="Q793" i="2"/>
  <c r="N793" i="2"/>
  <c r="M793" i="2"/>
  <c r="U792" i="2"/>
  <c r="E792" i="1"/>
  <c r="T792" i="2"/>
  <c r="S792" i="2"/>
  <c r="R792" i="2"/>
  <c r="Q792" i="2"/>
  <c r="N792" i="2"/>
  <c r="M792" i="2"/>
  <c r="U791" i="2"/>
  <c r="E791" i="1"/>
  <c r="T791" i="2"/>
  <c r="S791" i="2"/>
  <c r="R791" i="2"/>
  <c r="Q791" i="2"/>
  <c r="N791" i="2"/>
  <c r="M791" i="2"/>
  <c r="U790" i="2"/>
  <c r="E790" i="1"/>
  <c r="T790" i="2"/>
  <c r="S790" i="2"/>
  <c r="R790" i="2"/>
  <c r="Q790" i="2"/>
  <c r="N790" i="2"/>
  <c r="M790" i="2"/>
  <c r="U789" i="2"/>
  <c r="E789" i="1"/>
  <c r="T789" i="2"/>
  <c r="S789" i="2"/>
  <c r="R789" i="2"/>
  <c r="Q789" i="2"/>
  <c r="N789" i="2"/>
  <c r="M789" i="2"/>
  <c r="U788" i="2"/>
  <c r="E788" i="1"/>
  <c r="T788" i="2"/>
  <c r="S788" i="2"/>
  <c r="R788" i="2"/>
  <c r="Q788" i="2"/>
  <c r="N788" i="2"/>
  <c r="M788" i="2"/>
  <c r="U787" i="2"/>
  <c r="E787" i="1"/>
  <c r="T787" i="2"/>
  <c r="S787" i="2"/>
  <c r="R787" i="2"/>
  <c r="Q787" i="2"/>
  <c r="N787" i="2"/>
  <c r="M787" i="2"/>
  <c r="U786" i="2"/>
  <c r="E786" i="1"/>
  <c r="T786" i="2"/>
  <c r="S786" i="2"/>
  <c r="R786" i="2"/>
  <c r="Q786" i="2"/>
  <c r="N786" i="2"/>
  <c r="M786" i="2"/>
  <c r="U785" i="2"/>
  <c r="E785" i="1"/>
  <c r="T785" i="2"/>
  <c r="S785" i="2"/>
  <c r="R785" i="2"/>
  <c r="Q785" i="2"/>
  <c r="N785" i="2"/>
  <c r="M785" i="2"/>
  <c r="U784" i="2"/>
  <c r="E784" i="1"/>
  <c r="T784" i="2"/>
  <c r="S784" i="2"/>
  <c r="R784" i="2"/>
  <c r="Q784" i="2"/>
  <c r="N784" i="2"/>
  <c r="M784" i="2"/>
  <c r="U783" i="2"/>
  <c r="E783" i="1"/>
  <c r="T783" i="2"/>
  <c r="S783" i="2"/>
  <c r="R783" i="2"/>
  <c r="Q783" i="2"/>
  <c r="N783" i="2"/>
  <c r="M783" i="2"/>
  <c r="U782" i="2"/>
  <c r="E782" i="1"/>
  <c r="T782" i="2"/>
  <c r="S782" i="2"/>
  <c r="R782" i="2"/>
  <c r="Q782" i="2"/>
  <c r="N782" i="2"/>
  <c r="M782" i="2"/>
  <c r="U781" i="2"/>
  <c r="E781" i="1"/>
  <c r="T781" i="2"/>
  <c r="S781" i="2"/>
  <c r="R781" i="2"/>
  <c r="Q781" i="2"/>
  <c r="N781" i="2"/>
  <c r="M781" i="2"/>
  <c r="U780" i="2"/>
  <c r="E780" i="1"/>
  <c r="T780" i="2"/>
  <c r="S780" i="2"/>
  <c r="R780" i="2"/>
  <c r="Q780" i="2"/>
  <c r="N780" i="2"/>
  <c r="M780" i="2"/>
  <c r="U779" i="2"/>
  <c r="E779" i="1"/>
  <c r="T779" i="2"/>
  <c r="S779" i="2"/>
  <c r="R779" i="2"/>
  <c r="Q779" i="2"/>
  <c r="N779" i="2"/>
  <c r="M779" i="2"/>
  <c r="U778" i="2"/>
  <c r="E778" i="1"/>
  <c r="T778" i="2"/>
  <c r="S778" i="2"/>
  <c r="R778" i="2"/>
  <c r="Q778" i="2"/>
  <c r="N778" i="2"/>
  <c r="M778" i="2"/>
  <c r="U777" i="2"/>
  <c r="E777" i="1"/>
  <c r="T777" i="2"/>
  <c r="S777" i="2"/>
  <c r="R777" i="2"/>
  <c r="Q777" i="2"/>
  <c r="N777" i="2"/>
  <c r="M777" i="2"/>
  <c r="U776" i="2"/>
  <c r="E776" i="1"/>
  <c r="T776" i="2"/>
  <c r="S776" i="2"/>
  <c r="R776" i="2"/>
  <c r="Q776" i="2"/>
  <c r="N776" i="2"/>
  <c r="M776" i="2"/>
  <c r="U775" i="2"/>
  <c r="E775" i="1"/>
  <c r="T775" i="2"/>
  <c r="S775" i="2"/>
  <c r="R775" i="2"/>
  <c r="Q775" i="2"/>
  <c r="N775" i="2"/>
  <c r="M775" i="2"/>
  <c r="U774" i="2"/>
  <c r="E774" i="1"/>
  <c r="T774" i="2"/>
  <c r="S774" i="2"/>
  <c r="R774" i="2"/>
  <c r="Q774" i="2"/>
  <c r="N774" i="2"/>
  <c r="M774" i="2"/>
  <c r="U773" i="2"/>
  <c r="E773" i="1"/>
  <c r="T773" i="2"/>
  <c r="S773" i="2"/>
  <c r="R773" i="2"/>
  <c r="Q773" i="2"/>
  <c r="N773" i="2"/>
  <c r="M773" i="2"/>
  <c r="U772" i="2"/>
  <c r="E772" i="1"/>
  <c r="T772" i="2"/>
  <c r="S772" i="2"/>
  <c r="R772" i="2"/>
  <c r="Q772" i="2"/>
  <c r="N772" i="2"/>
  <c r="M772" i="2"/>
  <c r="U771" i="2"/>
  <c r="E771" i="1"/>
  <c r="T771" i="2"/>
  <c r="S771" i="2"/>
  <c r="R771" i="2"/>
  <c r="Q771" i="2"/>
  <c r="N771" i="2"/>
  <c r="M771" i="2"/>
  <c r="U770" i="2"/>
  <c r="E770" i="1"/>
  <c r="T770" i="2"/>
  <c r="S770" i="2"/>
  <c r="R770" i="2"/>
  <c r="Q770" i="2"/>
  <c r="N770" i="2"/>
  <c r="M770" i="2"/>
  <c r="U769" i="2"/>
  <c r="E769" i="1"/>
  <c r="T769" i="2"/>
  <c r="S769" i="2"/>
  <c r="R769" i="2"/>
  <c r="Q769" i="2"/>
  <c r="N769" i="2"/>
  <c r="M769" i="2"/>
  <c r="U768" i="2"/>
  <c r="E768" i="1"/>
  <c r="T768" i="2"/>
  <c r="S768" i="2"/>
  <c r="R768" i="2"/>
  <c r="Q768" i="2"/>
  <c r="N768" i="2"/>
  <c r="M768" i="2"/>
  <c r="U767" i="2"/>
  <c r="E767" i="1"/>
  <c r="T767" i="2"/>
  <c r="S767" i="2"/>
  <c r="R767" i="2"/>
  <c r="Q767" i="2"/>
  <c r="N767" i="2"/>
  <c r="M767" i="2"/>
  <c r="U766" i="2"/>
  <c r="E766" i="1"/>
  <c r="T766" i="2"/>
  <c r="S766" i="2"/>
  <c r="R766" i="2"/>
  <c r="Q766" i="2"/>
  <c r="N766" i="2"/>
  <c r="M766" i="2"/>
  <c r="U765" i="2"/>
  <c r="E765" i="1"/>
  <c r="T765" i="2"/>
  <c r="S765" i="2"/>
  <c r="R765" i="2"/>
  <c r="Q765" i="2"/>
  <c r="N765" i="2"/>
  <c r="M765" i="2"/>
  <c r="U764" i="2"/>
  <c r="E764" i="1"/>
  <c r="T764" i="2"/>
  <c r="S764" i="2"/>
  <c r="R764" i="2"/>
  <c r="Q764" i="2"/>
  <c r="N764" i="2"/>
  <c r="M764" i="2"/>
  <c r="U763" i="2"/>
  <c r="E763" i="1"/>
  <c r="T763" i="2"/>
  <c r="S763" i="2"/>
  <c r="R763" i="2"/>
  <c r="Q763" i="2"/>
  <c r="N763" i="2"/>
  <c r="M763" i="2"/>
  <c r="U762" i="2"/>
  <c r="E762" i="1"/>
  <c r="T762" i="2"/>
  <c r="S762" i="2"/>
  <c r="R762" i="2"/>
  <c r="Q762" i="2"/>
  <c r="N762" i="2"/>
  <c r="M762" i="2"/>
  <c r="U761" i="2"/>
  <c r="E761" i="1"/>
  <c r="T761" i="2"/>
  <c r="S761" i="2"/>
  <c r="R761" i="2"/>
  <c r="Q761" i="2"/>
  <c r="N761" i="2"/>
  <c r="M761" i="2"/>
  <c r="U760" i="2"/>
  <c r="E760" i="1"/>
  <c r="T760" i="2"/>
  <c r="S760" i="2"/>
  <c r="R760" i="2"/>
  <c r="Q760" i="2"/>
  <c r="N760" i="2"/>
  <c r="M760" i="2"/>
  <c r="U759" i="2"/>
  <c r="E759" i="1"/>
  <c r="T759" i="2"/>
  <c r="S759" i="2"/>
  <c r="R759" i="2"/>
  <c r="Q759" i="2"/>
  <c r="N759" i="2"/>
  <c r="M759" i="2"/>
  <c r="U758" i="2"/>
  <c r="E758" i="1"/>
  <c r="T758" i="2"/>
  <c r="S758" i="2"/>
  <c r="R758" i="2"/>
  <c r="Q758" i="2"/>
  <c r="N758" i="2"/>
  <c r="M758" i="2"/>
  <c r="U757" i="2"/>
  <c r="E757" i="1"/>
  <c r="T757" i="2"/>
  <c r="S757" i="2"/>
  <c r="R757" i="2"/>
  <c r="Q757" i="2"/>
  <c r="N757" i="2"/>
  <c r="M757" i="2"/>
  <c r="U756" i="2"/>
  <c r="E756" i="1"/>
  <c r="T756" i="2"/>
  <c r="S756" i="2"/>
  <c r="R756" i="2"/>
  <c r="Q756" i="2"/>
  <c r="N756" i="2"/>
  <c r="M756" i="2"/>
  <c r="U755" i="2"/>
  <c r="E755" i="1"/>
  <c r="T755" i="2"/>
  <c r="S755" i="2"/>
  <c r="R755" i="2"/>
  <c r="Q755" i="2"/>
  <c r="N755" i="2"/>
  <c r="M755" i="2"/>
  <c r="U754" i="2"/>
  <c r="E754" i="1"/>
  <c r="T754" i="2"/>
  <c r="S754" i="2"/>
  <c r="R754" i="2"/>
  <c r="Q754" i="2"/>
  <c r="N754" i="2"/>
  <c r="M754" i="2"/>
  <c r="U753" i="2"/>
  <c r="E753" i="1"/>
  <c r="T753" i="2"/>
  <c r="S753" i="2"/>
  <c r="R753" i="2"/>
  <c r="Q753" i="2"/>
  <c r="N753" i="2"/>
  <c r="M753" i="2"/>
  <c r="U752" i="2"/>
  <c r="E752" i="1"/>
  <c r="T752" i="2"/>
  <c r="S752" i="2"/>
  <c r="R752" i="2"/>
  <c r="Q752" i="2"/>
  <c r="N752" i="2"/>
  <c r="M752" i="2"/>
  <c r="U751" i="2"/>
  <c r="E751" i="1"/>
  <c r="T751" i="2"/>
  <c r="S751" i="2"/>
  <c r="R751" i="2"/>
  <c r="Q751" i="2"/>
  <c r="N751" i="2"/>
  <c r="M751" i="2"/>
  <c r="U750" i="2"/>
  <c r="E750" i="1"/>
  <c r="T750" i="2"/>
  <c r="S750" i="2"/>
  <c r="R750" i="2"/>
  <c r="Q750" i="2"/>
  <c r="N750" i="2"/>
  <c r="M750" i="2"/>
  <c r="U749" i="2"/>
  <c r="E749" i="1"/>
  <c r="T749" i="2"/>
  <c r="S749" i="2"/>
  <c r="R749" i="2"/>
  <c r="Q749" i="2"/>
  <c r="N749" i="2"/>
  <c r="M749" i="2"/>
  <c r="U748" i="2"/>
  <c r="E748" i="1"/>
  <c r="T748" i="2"/>
  <c r="S748" i="2"/>
  <c r="R748" i="2"/>
  <c r="Q748" i="2"/>
  <c r="N748" i="2"/>
  <c r="M748" i="2"/>
  <c r="U747" i="2"/>
  <c r="E747" i="1"/>
  <c r="T747" i="2"/>
  <c r="S747" i="2"/>
  <c r="R747" i="2"/>
  <c r="Q747" i="2"/>
  <c r="N747" i="2"/>
  <c r="M747" i="2"/>
  <c r="U746" i="2"/>
  <c r="E746" i="1"/>
  <c r="T746" i="2"/>
  <c r="S746" i="2"/>
  <c r="R746" i="2"/>
  <c r="Q746" i="2"/>
  <c r="N746" i="2"/>
  <c r="M746" i="2"/>
  <c r="U745" i="2"/>
  <c r="E745" i="1"/>
  <c r="T745" i="2"/>
  <c r="S745" i="2"/>
  <c r="R745" i="2"/>
  <c r="Q745" i="2"/>
  <c r="N745" i="2"/>
  <c r="M745" i="2"/>
  <c r="U744" i="2"/>
  <c r="E744" i="1"/>
  <c r="T744" i="2"/>
  <c r="S744" i="2"/>
  <c r="R744" i="2"/>
  <c r="Q744" i="2"/>
  <c r="N744" i="2"/>
  <c r="M744" i="2"/>
  <c r="U743" i="2"/>
  <c r="E743" i="1"/>
  <c r="T743" i="2"/>
  <c r="S743" i="2"/>
  <c r="R743" i="2"/>
  <c r="Q743" i="2"/>
  <c r="N743" i="2"/>
  <c r="M743" i="2"/>
  <c r="U742" i="2"/>
  <c r="E742" i="1"/>
  <c r="T742" i="2"/>
  <c r="S742" i="2"/>
  <c r="R742" i="2"/>
  <c r="Q742" i="2"/>
  <c r="N742" i="2"/>
  <c r="M742" i="2"/>
  <c r="U741" i="2"/>
  <c r="E741" i="1"/>
  <c r="T741" i="2"/>
  <c r="S741" i="2"/>
  <c r="R741" i="2"/>
  <c r="Q741" i="2"/>
  <c r="N741" i="2"/>
  <c r="M741" i="2"/>
  <c r="U740" i="2"/>
  <c r="E740" i="1"/>
  <c r="T740" i="2"/>
  <c r="S740" i="2"/>
  <c r="R740" i="2"/>
  <c r="Q740" i="2"/>
  <c r="N740" i="2"/>
  <c r="M740" i="2"/>
  <c r="U739" i="2"/>
  <c r="E739" i="1"/>
  <c r="T739" i="2"/>
  <c r="S739" i="2"/>
  <c r="R739" i="2"/>
  <c r="Q739" i="2"/>
  <c r="N739" i="2"/>
  <c r="M739" i="2"/>
  <c r="U738" i="2"/>
  <c r="E738" i="1"/>
  <c r="T738" i="2"/>
  <c r="S738" i="2"/>
  <c r="R738" i="2"/>
  <c r="Q738" i="2"/>
  <c r="N738" i="2"/>
  <c r="M738" i="2"/>
  <c r="U737" i="2"/>
  <c r="E737" i="1"/>
  <c r="T737" i="2"/>
  <c r="S737" i="2"/>
  <c r="R737" i="2"/>
  <c r="Q737" i="2"/>
  <c r="N737" i="2"/>
  <c r="M737" i="2"/>
  <c r="U736" i="2"/>
  <c r="E736" i="1"/>
  <c r="T736" i="2"/>
  <c r="S736" i="2"/>
  <c r="R736" i="2"/>
  <c r="Q736" i="2"/>
  <c r="N736" i="2"/>
  <c r="M736" i="2"/>
  <c r="U735" i="2"/>
  <c r="E735" i="1"/>
  <c r="T735" i="2"/>
  <c r="S735" i="2"/>
  <c r="R735" i="2"/>
  <c r="Q735" i="2"/>
  <c r="N735" i="2"/>
  <c r="M735" i="2"/>
  <c r="U734" i="2"/>
  <c r="E734" i="1"/>
  <c r="T734" i="2"/>
  <c r="S734" i="2"/>
  <c r="R734" i="2"/>
  <c r="Q734" i="2"/>
  <c r="N734" i="2"/>
  <c r="M734" i="2"/>
  <c r="U733" i="2"/>
  <c r="E733" i="1"/>
  <c r="T733" i="2"/>
  <c r="S733" i="2"/>
  <c r="R733" i="2"/>
  <c r="Q733" i="2"/>
  <c r="N733" i="2"/>
  <c r="M733" i="2"/>
  <c r="U732" i="2"/>
  <c r="E732" i="1"/>
  <c r="T732" i="2"/>
  <c r="S732" i="2"/>
  <c r="R732" i="2"/>
  <c r="Q732" i="2"/>
  <c r="N732" i="2"/>
  <c r="M732" i="2"/>
  <c r="U731" i="2"/>
  <c r="E731" i="1"/>
  <c r="T731" i="2"/>
  <c r="S731" i="2"/>
  <c r="R731" i="2"/>
  <c r="Q731" i="2"/>
  <c r="N731" i="2"/>
  <c r="M731" i="2"/>
  <c r="U730" i="2"/>
  <c r="E730" i="1"/>
  <c r="T730" i="2"/>
  <c r="S730" i="2"/>
  <c r="R730" i="2"/>
  <c r="Q730" i="2"/>
  <c r="N730" i="2"/>
  <c r="M730" i="2"/>
  <c r="U729" i="2"/>
  <c r="E729" i="1"/>
  <c r="T729" i="2"/>
  <c r="S729" i="2"/>
  <c r="R729" i="2"/>
  <c r="Q729" i="2"/>
  <c r="N729" i="2"/>
  <c r="M729" i="2"/>
  <c r="U728" i="2"/>
  <c r="E728" i="1"/>
  <c r="T728" i="2"/>
  <c r="S728" i="2"/>
  <c r="R728" i="2"/>
  <c r="Q728" i="2"/>
  <c r="N728" i="2"/>
  <c r="M728" i="2"/>
  <c r="U727" i="2"/>
  <c r="E727" i="1"/>
  <c r="T727" i="2"/>
  <c r="S727" i="2"/>
  <c r="R727" i="2"/>
  <c r="Q727" i="2"/>
  <c r="N727" i="2"/>
  <c r="M727" i="2"/>
  <c r="U726" i="2"/>
  <c r="E726" i="1"/>
  <c r="T726" i="2"/>
  <c r="S726" i="2"/>
  <c r="R726" i="2"/>
  <c r="Q726" i="2"/>
  <c r="N726" i="2"/>
  <c r="M726" i="2"/>
  <c r="U725" i="2"/>
  <c r="E725" i="1"/>
  <c r="T725" i="2"/>
  <c r="S725" i="2"/>
  <c r="R725" i="2"/>
  <c r="Q725" i="2"/>
  <c r="N725" i="2"/>
  <c r="M725" i="2"/>
  <c r="U724" i="2"/>
  <c r="E724" i="1"/>
  <c r="T724" i="2"/>
  <c r="S724" i="2"/>
  <c r="R724" i="2"/>
  <c r="Q724" i="2"/>
  <c r="N724" i="2"/>
  <c r="M724" i="2"/>
  <c r="U723" i="2"/>
  <c r="E723" i="1"/>
  <c r="T723" i="2"/>
  <c r="S723" i="2"/>
  <c r="R723" i="2"/>
  <c r="Q723" i="2"/>
  <c r="N723" i="2"/>
  <c r="M723" i="2"/>
  <c r="U722" i="2"/>
  <c r="E722" i="1"/>
  <c r="T722" i="2"/>
  <c r="S722" i="2"/>
  <c r="R722" i="2"/>
  <c r="Q722" i="2"/>
  <c r="N722" i="2"/>
  <c r="M722" i="2"/>
  <c r="U721" i="2"/>
  <c r="E721" i="1"/>
  <c r="T721" i="2"/>
  <c r="S721" i="2"/>
  <c r="R721" i="2"/>
  <c r="Q721" i="2"/>
  <c r="N721" i="2"/>
  <c r="M721" i="2"/>
  <c r="U720" i="2"/>
  <c r="E720" i="1"/>
  <c r="T720" i="2"/>
  <c r="S720" i="2"/>
  <c r="R720" i="2"/>
  <c r="Q720" i="2"/>
  <c r="N720" i="2"/>
  <c r="M720" i="2"/>
  <c r="U719" i="2"/>
  <c r="E719" i="1"/>
  <c r="T719" i="2"/>
  <c r="S719" i="2"/>
  <c r="R719" i="2"/>
  <c r="Q719" i="2"/>
  <c r="N719" i="2"/>
  <c r="M719" i="2"/>
  <c r="U718" i="2"/>
  <c r="E718" i="1"/>
  <c r="T718" i="2"/>
  <c r="S718" i="2"/>
  <c r="R718" i="2"/>
  <c r="Q718" i="2"/>
  <c r="N718" i="2"/>
  <c r="M718" i="2"/>
  <c r="U717" i="2"/>
  <c r="E717" i="1"/>
  <c r="T717" i="2"/>
  <c r="S717" i="2"/>
  <c r="R717" i="2"/>
  <c r="Q717" i="2"/>
  <c r="N717" i="2"/>
  <c r="M717" i="2"/>
  <c r="U716" i="2"/>
  <c r="E716" i="1"/>
  <c r="T716" i="2"/>
  <c r="S716" i="2"/>
  <c r="R716" i="2"/>
  <c r="Q716" i="2"/>
  <c r="N716" i="2"/>
  <c r="M716" i="2"/>
  <c r="U715" i="2"/>
  <c r="E715" i="1"/>
  <c r="T715" i="2"/>
  <c r="S715" i="2"/>
  <c r="R715" i="2"/>
  <c r="Q715" i="2"/>
  <c r="N715" i="2"/>
  <c r="M715" i="2"/>
  <c r="U714" i="2"/>
  <c r="E714" i="1"/>
  <c r="T714" i="2"/>
  <c r="S714" i="2"/>
  <c r="R714" i="2"/>
  <c r="Q714" i="2"/>
  <c r="N714" i="2"/>
  <c r="M714" i="2"/>
  <c r="U713" i="2"/>
  <c r="E713" i="1"/>
  <c r="T713" i="2"/>
  <c r="S713" i="2"/>
  <c r="R713" i="2"/>
  <c r="Q713" i="2"/>
  <c r="N713" i="2"/>
  <c r="M713" i="2"/>
  <c r="U712" i="2"/>
  <c r="E712" i="1"/>
  <c r="T712" i="2"/>
  <c r="S712" i="2"/>
  <c r="R712" i="2"/>
  <c r="Q712" i="2"/>
  <c r="N712" i="2"/>
  <c r="M712" i="2"/>
  <c r="U711" i="2"/>
  <c r="E711" i="1"/>
  <c r="T711" i="2"/>
  <c r="S711" i="2"/>
  <c r="R711" i="2"/>
  <c r="Q711" i="2"/>
  <c r="N711" i="2"/>
  <c r="M711" i="2"/>
  <c r="U710" i="2"/>
  <c r="E710" i="1"/>
  <c r="T710" i="2"/>
  <c r="S710" i="2"/>
  <c r="R710" i="2"/>
  <c r="Q710" i="2"/>
  <c r="N710" i="2"/>
  <c r="M710" i="2"/>
  <c r="U709" i="2"/>
  <c r="E709" i="1"/>
  <c r="T709" i="2"/>
  <c r="S709" i="2"/>
  <c r="R709" i="2"/>
  <c r="Q709" i="2"/>
  <c r="N709" i="2"/>
  <c r="M709" i="2"/>
  <c r="U708" i="2"/>
  <c r="E708" i="1"/>
  <c r="T708" i="2"/>
  <c r="S708" i="2"/>
  <c r="R708" i="2"/>
  <c r="Q708" i="2"/>
  <c r="N708" i="2"/>
  <c r="M708" i="2"/>
  <c r="U707" i="2"/>
  <c r="E707" i="1"/>
  <c r="T707" i="2"/>
  <c r="S707" i="2"/>
  <c r="R707" i="2"/>
  <c r="Q707" i="2"/>
  <c r="N707" i="2"/>
  <c r="M707" i="2"/>
  <c r="U706" i="2"/>
  <c r="E706" i="1"/>
  <c r="T706" i="2"/>
  <c r="S706" i="2"/>
  <c r="R706" i="2"/>
  <c r="Q706" i="2"/>
  <c r="N706" i="2"/>
  <c r="M706" i="2"/>
  <c r="U705" i="2"/>
  <c r="E705" i="1"/>
  <c r="T705" i="2"/>
  <c r="S705" i="2"/>
  <c r="R705" i="2"/>
  <c r="Q705" i="2"/>
  <c r="N705" i="2"/>
  <c r="M705" i="2"/>
  <c r="U704" i="2"/>
  <c r="E704" i="1"/>
  <c r="T704" i="2"/>
  <c r="S704" i="2"/>
  <c r="R704" i="2"/>
  <c r="Q704" i="2"/>
  <c r="N704" i="2"/>
  <c r="M704" i="2"/>
  <c r="U703" i="2"/>
  <c r="E703" i="1"/>
  <c r="T703" i="2"/>
  <c r="S703" i="2"/>
  <c r="R703" i="2"/>
  <c r="Q703" i="2"/>
  <c r="N703" i="2"/>
  <c r="M703" i="2"/>
  <c r="U702" i="2"/>
  <c r="E702" i="1"/>
  <c r="T702" i="2"/>
  <c r="S702" i="2"/>
  <c r="R702" i="2"/>
  <c r="Q702" i="2"/>
  <c r="N702" i="2"/>
  <c r="M702" i="2"/>
  <c r="U701" i="2"/>
  <c r="E701" i="1"/>
  <c r="T701" i="2"/>
  <c r="S701" i="2"/>
  <c r="R701" i="2"/>
  <c r="Q701" i="2"/>
  <c r="N701" i="2"/>
  <c r="M701" i="2"/>
  <c r="U700" i="2"/>
  <c r="E700" i="1"/>
  <c r="T700" i="2"/>
  <c r="S700" i="2"/>
  <c r="R700" i="2"/>
  <c r="Q700" i="2"/>
  <c r="N700" i="2"/>
  <c r="M700" i="2"/>
  <c r="U699" i="2"/>
  <c r="E699" i="1"/>
  <c r="T699" i="2"/>
  <c r="S699" i="2"/>
  <c r="R699" i="2"/>
  <c r="Q699" i="2"/>
  <c r="N699" i="2"/>
  <c r="M699" i="2"/>
  <c r="U698" i="2"/>
  <c r="E698" i="1"/>
  <c r="T698" i="2"/>
  <c r="S698" i="2"/>
  <c r="R698" i="2"/>
  <c r="Q698" i="2"/>
  <c r="N698" i="2"/>
  <c r="M698" i="2"/>
  <c r="U697" i="2"/>
  <c r="E697" i="1"/>
  <c r="T697" i="2"/>
  <c r="S697" i="2"/>
  <c r="R697" i="2"/>
  <c r="Q697" i="2"/>
  <c r="N697" i="2"/>
  <c r="M697" i="2"/>
  <c r="U696" i="2"/>
  <c r="E696" i="1"/>
  <c r="T696" i="2"/>
  <c r="S696" i="2"/>
  <c r="R696" i="2"/>
  <c r="Q696" i="2"/>
  <c r="N696" i="2"/>
  <c r="M696" i="2"/>
  <c r="U695" i="2"/>
  <c r="E695" i="1"/>
  <c r="T695" i="2"/>
  <c r="S695" i="2"/>
  <c r="R695" i="2"/>
  <c r="Q695" i="2"/>
  <c r="N695" i="2"/>
  <c r="M695" i="2"/>
  <c r="U694" i="2"/>
  <c r="E694" i="1"/>
  <c r="T694" i="2"/>
  <c r="S694" i="2"/>
  <c r="R694" i="2"/>
  <c r="Q694" i="2"/>
  <c r="N694" i="2"/>
  <c r="M694" i="2"/>
  <c r="U693" i="2"/>
  <c r="E693" i="1"/>
  <c r="T693" i="2"/>
  <c r="S693" i="2"/>
  <c r="R693" i="2"/>
  <c r="Q693" i="2"/>
  <c r="N693" i="2"/>
  <c r="M693" i="2"/>
  <c r="U692" i="2"/>
  <c r="E692" i="1"/>
  <c r="T692" i="2"/>
  <c r="S692" i="2"/>
  <c r="R692" i="2"/>
  <c r="Q692" i="2"/>
  <c r="N692" i="2"/>
  <c r="M692" i="2"/>
  <c r="U691" i="2"/>
  <c r="E691" i="1"/>
  <c r="T691" i="2"/>
  <c r="S691" i="2"/>
  <c r="R691" i="2"/>
  <c r="Q691" i="2"/>
  <c r="N691" i="2"/>
  <c r="M691" i="2"/>
  <c r="U690" i="2"/>
  <c r="E690" i="1"/>
  <c r="T690" i="2"/>
  <c r="S690" i="2"/>
  <c r="R690" i="2"/>
  <c r="Q690" i="2"/>
  <c r="N690" i="2"/>
  <c r="M690" i="2"/>
  <c r="U689" i="2"/>
  <c r="E689" i="1"/>
  <c r="T689" i="2"/>
  <c r="S689" i="2"/>
  <c r="R689" i="2"/>
  <c r="Q689" i="2"/>
  <c r="N689" i="2"/>
  <c r="M689" i="2"/>
  <c r="U688" i="2"/>
  <c r="E688" i="1"/>
  <c r="T688" i="2"/>
  <c r="S688" i="2"/>
  <c r="R688" i="2"/>
  <c r="Q688" i="2"/>
  <c r="N688" i="2"/>
  <c r="M688" i="2"/>
  <c r="U687" i="2"/>
  <c r="E687" i="1"/>
  <c r="T687" i="2"/>
  <c r="S687" i="2"/>
  <c r="R687" i="2"/>
  <c r="Q687" i="2"/>
  <c r="N687" i="2"/>
  <c r="M687" i="2"/>
  <c r="U686" i="2"/>
  <c r="E686" i="1"/>
  <c r="T686" i="2"/>
  <c r="S686" i="2"/>
  <c r="R686" i="2"/>
  <c r="Q686" i="2"/>
  <c r="N686" i="2"/>
  <c r="M686" i="2"/>
  <c r="U685" i="2"/>
  <c r="E685" i="1"/>
  <c r="T685" i="2"/>
  <c r="S685" i="2"/>
  <c r="R685" i="2"/>
  <c r="Q685" i="2"/>
  <c r="N685" i="2"/>
  <c r="M685" i="2"/>
  <c r="U684" i="2"/>
  <c r="E684" i="1"/>
  <c r="T684" i="2"/>
  <c r="S684" i="2"/>
  <c r="R684" i="2"/>
  <c r="Q684" i="2"/>
  <c r="N684" i="2"/>
  <c r="M684" i="2"/>
  <c r="U683" i="2"/>
  <c r="E683" i="1"/>
  <c r="T683" i="2"/>
  <c r="S683" i="2"/>
  <c r="R683" i="2"/>
  <c r="Q683" i="2"/>
  <c r="N683" i="2"/>
  <c r="M683" i="2"/>
  <c r="U682" i="2"/>
  <c r="E682" i="1"/>
  <c r="T682" i="2"/>
  <c r="S682" i="2"/>
  <c r="R682" i="2"/>
  <c r="Q682" i="2"/>
  <c r="N682" i="2"/>
  <c r="M682" i="2"/>
  <c r="U681" i="2"/>
  <c r="E681" i="1"/>
  <c r="T681" i="2"/>
  <c r="S681" i="2"/>
  <c r="R681" i="2"/>
  <c r="Q681" i="2"/>
  <c r="N681" i="2"/>
  <c r="M681" i="2"/>
  <c r="U680" i="2"/>
  <c r="E680" i="1"/>
  <c r="T680" i="2"/>
  <c r="S680" i="2"/>
  <c r="R680" i="2"/>
  <c r="Q680" i="2"/>
  <c r="N680" i="2"/>
  <c r="M680" i="2"/>
  <c r="U679" i="2"/>
  <c r="E679" i="1"/>
  <c r="T679" i="2"/>
  <c r="S679" i="2"/>
  <c r="R679" i="2"/>
  <c r="Q679" i="2"/>
  <c r="N679" i="2"/>
  <c r="M679" i="2"/>
  <c r="U678" i="2"/>
  <c r="E678" i="1"/>
  <c r="T678" i="2"/>
  <c r="S678" i="2"/>
  <c r="R678" i="2"/>
  <c r="Q678" i="2"/>
  <c r="N678" i="2"/>
  <c r="M678" i="2"/>
  <c r="U677" i="2"/>
  <c r="E677" i="1"/>
  <c r="T677" i="2"/>
  <c r="S677" i="2"/>
  <c r="R677" i="2"/>
  <c r="Q677" i="2"/>
  <c r="N677" i="2"/>
  <c r="M677" i="2"/>
  <c r="U676" i="2"/>
  <c r="E676" i="1"/>
  <c r="T676" i="2"/>
  <c r="S676" i="2"/>
  <c r="R676" i="2"/>
  <c r="Q676" i="2"/>
  <c r="N676" i="2"/>
  <c r="M676" i="2"/>
  <c r="U675" i="2"/>
  <c r="E675" i="1"/>
  <c r="T675" i="2"/>
  <c r="S675" i="2"/>
  <c r="R675" i="2"/>
  <c r="Q675" i="2"/>
  <c r="N675" i="2"/>
  <c r="M675" i="2"/>
  <c r="U674" i="2"/>
  <c r="E674" i="1"/>
  <c r="T674" i="2"/>
  <c r="S674" i="2"/>
  <c r="R674" i="2"/>
  <c r="Q674" i="2"/>
  <c r="N674" i="2"/>
  <c r="M674" i="2"/>
  <c r="U673" i="2"/>
  <c r="E673" i="1"/>
  <c r="T673" i="2"/>
  <c r="S673" i="2"/>
  <c r="R673" i="2"/>
  <c r="Q673" i="2"/>
  <c r="N673" i="2"/>
  <c r="M673" i="2"/>
  <c r="U672" i="2"/>
  <c r="E672" i="1"/>
  <c r="T672" i="2"/>
  <c r="S672" i="2"/>
  <c r="R672" i="2"/>
  <c r="Q672" i="2"/>
  <c r="N672" i="2"/>
  <c r="M672" i="2"/>
  <c r="U671" i="2"/>
  <c r="E671" i="1"/>
  <c r="T671" i="2"/>
  <c r="S671" i="2"/>
  <c r="R671" i="2"/>
  <c r="Q671" i="2"/>
  <c r="N671" i="2"/>
  <c r="M671" i="2"/>
  <c r="U670" i="2"/>
  <c r="E670" i="1"/>
  <c r="T670" i="2"/>
  <c r="S670" i="2"/>
  <c r="R670" i="2"/>
  <c r="Q670" i="2"/>
  <c r="N670" i="2"/>
  <c r="M670" i="2"/>
  <c r="U669" i="2"/>
  <c r="E669" i="1"/>
  <c r="T669" i="2"/>
  <c r="S669" i="2"/>
  <c r="R669" i="2"/>
  <c r="Q669" i="2"/>
  <c r="N669" i="2"/>
  <c r="M669" i="2"/>
  <c r="U668" i="2"/>
  <c r="E668" i="1"/>
  <c r="T668" i="2"/>
  <c r="S668" i="2"/>
  <c r="R668" i="2"/>
  <c r="Q668" i="2"/>
  <c r="N668" i="2"/>
  <c r="M668" i="2"/>
  <c r="U667" i="2"/>
  <c r="E667" i="1"/>
  <c r="T667" i="2"/>
  <c r="S667" i="2"/>
  <c r="R667" i="2"/>
  <c r="Q667" i="2"/>
  <c r="N667" i="2"/>
  <c r="M667" i="2"/>
  <c r="U666" i="2"/>
  <c r="E666" i="1"/>
  <c r="T666" i="2"/>
  <c r="S666" i="2"/>
  <c r="R666" i="2"/>
  <c r="Q666" i="2"/>
  <c r="N666" i="2"/>
  <c r="M666" i="2"/>
  <c r="U665" i="2"/>
  <c r="E665" i="1"/>
  <c r="T665" i="2"/>
  <c r="S665" i="2"/>
  <c r="R665" i="2"/>
  <c r="Q665" i="2"/>
  <c r="N665" i="2"/>
  <c r="M665" i="2"/>
  <c r="U664" i="2"/>
  <c r="E664" i="1"/>
  <c r="T664" i="2"/>
  <c r="S664" i="2"/>
  <c r="R664" i="2"/>
  <c r="Q664" i="2"/>
  <c r="N664" i="2"/>
  <c r="M664" i="2"/>
  <c r="U663" i="2"/>
  <c r="E663" i="1"/>
  <c r="T663" i="2"/>
  <c r="S663" i="2"/>
  <c r="R663" i="2"/>
  <c r="Q663" i="2"/>
  <c r="N663" i="2"/>
  <c r="M663" i="2"/>
  <c r="U662" i="2"/>
  <c r="E662" i="1"/>
  <c r="T662" i="2"/>
  <c r="S662" i="2"/>
  <c r="R662" i="2"/>
  <c r="Q662" i="2"/>
  <c r="N662" i="2"/>
  <c r="M662" i="2"/>
  <c r="U661" i="2"/>
  <c r="E661" i="1"/>
  <c r="T661" i="2"/>
  <c r="S661" i="2"/>
  <c r="R661" i="2"/>
  <c r="Q661" i="2"/>
  <c r="N661" i="2"/>
  <c r="M661" i="2"/>
  <c r="U660" i="2"/>
  <c r="E660" i="1"/>
  <c r="T660" i="2"/>
  <c r="S660" i="2"/>
  <c r="R660" i="2"/>
  <c r="Q660" i="2"/>
  <c r="N660" i="2"/>
  <c r="M660" i="2"/>
  <c r="U659" i="2"/>
  <c r="E659" i="1"/>
  <c r="T659" i="2"/>
  <c r="S659" i="2"/>
  <c r="R659" i="2"/>
  <c r="Q659" i="2"/>
  <c r="N659" i="2"/>
  <c r="M659" i="2"/>
  <c r="U658" i="2"/>
  <c r="E658" i="1"/>
  <c r="T658" i="2"/>
  <c r="S658" i="2"/>
  <c r="R658" i="2"/>
  <c r="Q658" i="2"/>
  <c r="N658" i="2"/>
  <c r="M658" i="2"/>
  <c r="U657" i="2"/>
  <c r="E657" i="1"/>
  <c r="T657" i="2"/>
  <c r="S657" i="2"/>
  <c r="R657" i="2"/>
  <c r="Q657" i="2"/>
  <c r="N657" i="2"/>
  <c r="M657" i="2"/>
  <c r="U656" i="2"/>
  <c r="E656" i="1"/>
  <c r="T656" i="2"/>
  <c r="S656" i="2"/>
  <c r="R656" i="2"/>
  <c r="Q656" i="2"/>
  <c r="N656" i="2"/>
  <c r="M656" i="2"/>
  <c r="U655" i="2"/>
  <c r="E655" i="1"/>
  <c r="T655" i="2"/>
  <c r="S655" i="2"/>
  <c r="R655" i="2"/>
  <c r="Q655" i="2"/>
  <c r="N655" i="2"/>
  <c r="M655" i="2"/>
  <c r="U654" i="2"/>
  <c r="E654" i="1"/>
  <c r="T654" i="2"/>
  <c r="S654" i="2"/>
  <c r="R654" i="2"/>
  <c r="Q654" i="2"/>
  <c r="N654" i="2"/>
  <c r="M654" i="2"/>
  <c r="U653" i="2"/>
  <c r="E653" i="1"/>
  <c r="T653" i="2"/>
  <c r="S653" i="2"/>
  <c r="R653" i="2"/>
  <c r="Q653" i="2"/>
  <c r="N653" i="2"/>
  <c r="M653" i="2"/>
  <c r="U652" i="2"/>
  <c r="E652" i="1"/>
  <c r="T652" i="2"/>
  <c r="S652" i="2"/>
  <c r="R652" i="2"/>
  <c r="Q652" i="2"/>
  <c r="N652" i="2"/>
  <c r="M652" i="2"/>
  <c r="U651" i="2"/>
  <c r="E651" i="1"/>
  <c r="T651" i="2"/>
  <c r="S651" i="2"/>
  <c r="R651" i="2"/>
  <c r="Q651" i="2"/>
  <c r="N651" i="2"/>
  <c r="M651" i="2"/>
  <c r="U650" i="2"/>
  <c r="E650" i="1"/>
  <c r="T650" i="2"/>
  <c r="S650" i="2"/>
  <c r="R650" i="2"/>
  <c r="Q650" i="2"/>
  <c r="N650" i="2"/>
  <c r="M650" i="2"/>
  <c r="U649" i="2"/>
  <c r="E649" i="1"/>
  <c r="T649" i="2"/>
  <c r="S649" i="2"/>
  <c r="R649" i="2"/>
  <c r="Q649" i="2"/>
  <c r="N649" i="2"/>
  <c r="M649" i="2"/>
  <c r="U648" i="2"/>
  <c r="E648" i="1"/>
  <c r="T648" i="2"/>
  <c r="S648" i="2"/>
  <c r="R648" i="2"/>
  <c r="Q648" i="2"/>
  <c r="N648" i="2"/>
  <c r="M648" i="2"/>
  <c r="U647" i="2"/>
  <c r="E647" i="1"/>
  <c r="T647" i="2"/>
  <c r="S647" i="2"/>
  <c r="R647" i="2"/>
  <c r="Q647" i="2"/>
  <c r="N647" i="2"/>
  <c r="M647" i="2"/>
  <c r="U646" i="2"/>
  <c r="E646" i="1"/>
  <c r="T646" i="2"/>
  <c r="S646" i="2"/>
  <c r="R646" i="2"/>
  <c r="Q646" i="2"/>
  <c r="N646" i="2"/>
  <c r="M646" i="2"/>
  <c r="U645" i="2"/>
  <c r="E645" i="1"/>
  <c r="T645" i="2"/>
  <c r="S645" i="2"/>
  <c r="R645" i="2"/>
  <c r="Q645" i="2"/>
  <c r="N645" i="2"/>
  <c r="M645" i="2"/>
  <c r="U644" i="2"/>
  <c r="E644" i="1"/>
  <c r="T644" i="2"/>
  <c r="S644" i="2"/>
  <c r="R644" i="2"/>
  <c r="Q644" i="2"/>
  <c r="N644" i="2"/>
  <c r="M644" i="2"/>
  <c r="U643" i="2"/>
  <c r="E643" i="1"/>
  <c r="T643" i="2"/>
  <c r="S643" i="2"/>
  <c r="R643" i="2"/>
  <c r="Q643" i="2"/>
  <c r="N643" i="2"/>
  <c r="M643" i="2"/>
  <c r="U642" i="2"/>
  <c r="E642" i="1"/>
  <c r="T642" i="2"/>
  <c r="S642" i="2"/>
  <c r="R642" i="2"/>
  <c r="Q642" i="2"/>
  <c r="N642" i="2"/>
  <c r="M642" i="2"/>
  <c r="U641" i="2"/>
  <c r="E641" i="1"/>
  <c r="T641" i="2"/>
  <c r="S641" i="2"/>
  <c r="R641" i="2"/>
  <c r="Q641" i="2"/>
  <c r="N641" i="2"/>
  <c r="M641" i="2"/>
  <c r="U640" i="2"/>
  <c r="E640" i="1"/>
  <c r="T640" i="2"/>
  <c r="S640" i="2"/>
  <c r="R640" i="2"/>
  <c r="Q640" i="2"/>
  <c r="N640" i="2"/>
  <c r="M640" i="2"/>
  <c r="U639" i="2"/>
  <c r="E639" i="1"/>
  <c r="T639" i="2"/>
  <c r="S639" i="2"/>
  <c r="R639" i="2"/>
  <c r="Q639" i="2"/>
  <c r="N639" i="2"/>
  <c r="M639" i="2"/>
  <c r="U638" i="2"/>
  <c r="E638" i="1"/>
  <c r="T638" i="2"/>
  <c r="S638" i="2"/>
  <c r="R638" i="2"/>
  <c r="Q638" i="2"/>
  <c r="N638" i="2"/>
  <c r="M638" i="2"/>
  <c r="U637" i="2"/>
  <c r="E637" i="1"/>
  <c r="T637" i="2"/>
  <c r="S637" i="2"/>
  <c r="R637" i="2"/>
  <c r="Q637" i="2"/>
  <c r="N637" i="2"/>
  <c r="M637" i="2"/>
  <c r="U636" i="2"/>
  <c r="E636" i="1"/>
  <c r="T636" i="2"/>
  <c r="S636" i="2"/>
  <c r="R636" i="2"/>
  <c r="Q636" i="2"/>
  <c r="N636" i="2"/>
  <c r="M636" i="2"/>
  <c r="U635" i="2"/>
  <c r="E635" i="1"/>
  <c r="T635" i="2"/>
  <c r="S635" i="2"/>
  <c r="R635" i="2"/>
  <c r="Q635" i="2"/>
  <c r="N635" i="2"/>
  <c r="M635" i="2"/>
  <c r="U634" i="2"/>
  <c r="E634" i="1"/>
  <c r="T634" i="2"/>
  <c r="S634" i="2"/>
  <c r="R634" i="2"/>
  <c r="Q634" i="2"/>
  <c r="N634" i="2"/>
  <c r="M634" i="2"/>
  <c r="U633" i="2"/>
  <c r="E633" i="1"/>
  <c r="T633" i="2"/>
  <c r="S633" i="2"/>
  <c r="R633" i="2"/>
  <c r="Q633" i="2"/>
  <c r="N633" i="2"/>
  <c r="M633" i="2"/>
  <c r="U632" i="2"/>
  <c r="E632" i="1"/>
  <c r="T632" i="2"/>
  <c r="S632" i="2"/>
  <c r="R632" i="2"/>
  <c r="Q632" i="2"/>
  <c r="N632" i="2"/>
  <c r="M632" i="2"/>
  <c r="U631" i="2"/>
  <c r="E631" i="1"/>
  <c r="T631" i="2"/>
  <c r="S631" i="2"/>
  <c r="R631" i="2"/>
  <c r="Q631" i="2"/>
  <c r="N631" i="2"/>
  <c r="M631" i="2"/>
  <c r="U630" i="2"/>
  <c r="E630" i="1"/>
  <c r="T630" i="2"/>
  <c r="S630" i="2"/>
  <c r="R630" i="2"/>
  <c r="Q630" i="2"/>
  <c r="N630" i="2"/>
  <c r="M630" i="2"/>
  <c r="U629" i="2"/>
  <c r="E629" i="1"/>
  <c r="T629" i="2"/>
  <c r="S629" i="2"/>
  <c r="R629" i="2"/>
  <c r="Q629" i="2"/>
  <c r="N629" i="2"/>
  <c r="M629" i="2"/>
  <c r="U628" i="2"/>
  <c r="E628" i="1"/>
  <c r="T628" i="2"/>
  <c r="S628" i="2"/>
  <c r="R628" i="2"/>
  <c r="Q628" i="2"/>
  <c r="N628" i="2"/>
  <c r="M628" i="2"/>
  <c r="U627" i="2"/>
  <c r="E627" i="1"/>
  <c r="T627" i="2"/>
  <c r="S627" i="2"/>
  <c r="R627" i="2"/>
  <c r="Q627" i="2"/>
  <c r="N627" i="2"/>
  <c r="M627" i="2"/>
  <c r="U626" i="2"/>
  <c r="E626" i="1"/>
  <c r="T626" i="2"/>
  <c r="S626" i="2"/>
  <c r="R626" i="2"/>
  <c r="Q626" i="2"/>
  <c r="N626" i="2"/>
  <c r="M626" i="2"/>
  <c r="U625" i="2"/>
  <c r="E625" i="1"/>
  <c r="T625" i="2"/>
  <c r="S625" i="2"/>
  <c r="R625" i="2"/>
  <c r="Q625" i="2"/>
  <c r="N625" i="2"/>
  <c r="M625" i="2"/>
  <c r="U624" i="2"/>
  <c r="E624" i="1"/>
  <c r="T624" i="2"/>
  <c r="S624" i="2"/>
  <c r="R624" i="2"/>
  <c r="Q624" i="2"/>
  <c r="N624" i="2"/>
  <c r="M624" i="2"/>
  <c r="U623" i="2"/>
  <c r="E623" i="1"/>
  <c r="T623" i="2"/>
  <c r="S623" i="2"/>
  <c r="R623" i="2"/>
  <c r="Q623" i="2"/>
  <c r="N623" i="2"/>
  <c r="M623" i="2"/>
  <c r="U622" i="2"/>
  <c r="E622" i="1"/>
  <c r="T622" i="2"/>
  <c r="S622" i="2"/>
  <c r="R622" i="2"/>
  <c r="Q622" i="2"/>
  <c r="N622" i="2"/>
  <c r="M622" i="2"/>
  <c r="U621" i="2"/>
  <c r="E621" i="1"/>
  <c r="T621" i="2"/>
  <c r="S621" i="2"/>
  <c r="R621" i="2"/>
  <c r="Q621" i="2"/>
  <c r="N621" i="2"/>
  <c r="M621" i="2"/>
  <c r="U620" i="2"/>
  <c r="E620" i="1"/>
  <c r="T620" i="2"/>
  <c r="S620" i="2"/>
  <c r="R620" i="2"/>
  <c r="Q620" i="2"/>
  <c r="N620" i="2"/>
  <c r="M620" i="2"/>
  <c r="U619" i="2"/>
  <c r="E619" i="1"/>
  <c r="T619" i="2"/>
  <c r="S619" i="2"/>
  <c r="R619" i="2"/>
  <c r="Q619" i="2"/>
  <c r="N619" i="2"/>
  <c r="M619" i="2"/>
  <c r="U618" i="2"/>
  <c r="E618" i="1"/>
  <c r="T618" i="2"/>
  <c r="S618" i="2"/>
  <c r="R618" i="2"/>
  <c r="Q618" i="2"/>
  <c r="N618" i="2"/>
  <c r="M618" i="2"/>
  <c r="U617" i="2"/>
  <c r="E617" i="1"/>
  <c r="T617" i="2"/>
  <c r="S617" i="2"/>
  <c r="R617" i="2"/>
  <c r="Q617" i="2"/>
  <c r="N617" i="2"/>
  <c r="M617" i="2"/>
  <c r="U616" i="2"/>
  <c r="E616" i="1"/>
  <c r="T616" i="2"/>
  <c r="S616" i="2"/>
  <c r="R616" i="2"/>
  <c r="Q616" i="2"/>
  <c r="N616" i="2"/>
  <c r="M616" i="2"/>
  <c r="U615" i="2"/>
  <c r="E615" i="1"/>
  <c r="T615" i="2"/>
  <c r="S615" i="2"/>
  <c r="R615" i="2"/>
  <c r="Q615" i="2"/>
  <c r="N615" i="2"/>
  <c r="M615" i="2"/>
  <c r="U614" i="2"/>
  <c r="E614" i="1"/>
  <c r="T614" i="2"/>
  <c r="S614" i="2"/>
  <c r="R614" i="2"/>
  <c r="Q614" i="2"/>
  <c r="N614" i="2"/>
  <c r="M614" i="2"/>
  <c r="U613" i="2"/>
  <c r="E613" i="1"/>
  <c r="T613" i="2"/>
  <c r="S613" i="2"/>
  <c r="R613" i="2"/>
  <c r="Q613" i="2"/>
  <c r="N613" i="2"/>
  <c r="M613" i="2"/>
  <c r="U612" i="2"/>
  <c r="E612" i="1"/>
  <c r="T612" i="2"/>
  <c r="S612" i="2"/>
  <c r="R612" i="2"/>
  <c r="Q612" i="2"/>
  <c r="N612" i="2"/>
  <c r="M612" i="2"/>
  <c r="U611" i="2"/>
  <c r="E611" i="1"/>
  <c r="T611" i="2"/>
  <c r="S611" i="2"/>
  <c r="R611" i="2"/>
  <c r="Q611" i="2"/>
  <c r="N611" i="2"/>
  <c r="M611" i="2"/>
  <c r="U610" i="2"/>
  <c r="E610" i="1"/>
  <c r="T610" i="2"/>
  <c r="S610" i="2"/>
  <c r="R610" i="2"/>
  <c r="Q610" i="2"/>
  <c r="N610" i="2"/>
  <c r="M610" i="2"/>
  <c r="U609" i="2"/>
  <c r="E609" i="1"/>
  <c r="T609" i="2"/>
  <c r="S609" i="2"/>
  <c r="R609" i="2"/>
  <c r="Q609" i="2"/>
  <c r="N609" i="2"/>
  <c r="M609" i="2"/>
  <c r="U608" i="2"/>
  <c r="E608" i="1"/>
  <c r="T608" i="2"/>
  <c r="S608" i="2"/>
  <c r="R608" i="2"/>
  <c r="Q608" i="2"/>
  <c r="N608" i="2"/>
  <c r="M608" i="2"/>
  <c r="U607" i="2"/>
  <c r="E607" i="1"/>
  <c r="T607" i="2"/>
  <c r="S607" i="2"/>
  <c r="R607" i="2"/>
  <c r="Q607" i="2"/>
  <c r="N607" i="2"/>
  <c r="M607" i="2"/>
  <c r="U606" i="2"/>
  <c r="E606" i="1"/>
  <c r="T606" i="2"/>
  <c r="S606" i="2"/>
  <c r="R606" i="2"/>
  <c r="Q606" i="2"/>
  <c r="N606" i="2"/>
  <c r="M606" i="2"/>
  <c r="U605" i="2"/>
  <c r="E605" i="1"/>
  <c r="T605" i="2"/>
  <c r="S605" i="2"/>
  <c r="R605" i="2"/>
  <c r="Q605" i="2"/>
  <c r="N605" i="2"/>
  <c r="M605" i="2"/>
  <c r="U604" i="2"/>
  <c r="E604" i="1"/>
  <c r="T604" i="2"/>
  <c r="S604" i="2"/>
  <c r="R604" i="2"/>
  <c r="Q604" i="2"/>
  <c r="N604" i="2"/>
  <c r="M604" i="2"/>
  <c r="U603" i="2"/>
  <c r="E603" i="1"/>
  <c r="T603" i="2"/>
  <c r="S603" i="2"/>
  <c r="R603" i="2"/>
  <c r="Q603" i="2"/>
  <c r="N603" i="2"/>
  <c r="M603" i="2"/>
  <c r="U602" i="2"/>
  <c r="E602" i="1"/>
  <c r="T602" i="2"/>
  <c r="S602" i="2"/>
  <c r="R602" i="2"/>
  <c r="Q602" i="2"/>
  <c r="N602" i="2"/>
  <c r="M602" i="2"/>
  <c r="U601" i="2"/>
  <c r="E601" i="1"/>
  <c r="T601" i="2"/>
  <c r="S601" i="2"/>
  <c r="R601" i="2"/>
  <c r="Q601" i="2"/>
  <c r="N601" i="2"/>
  <c r="M601" i="2"/>
  <c r="U600" i="2"/>
  <c r="E600" i="1"/>
  <c r="T600" i="2"/>
  <c r="S600" i="2"/>
  <c r="R600" i="2"/>
  <c r="Q600" i="2"/>
  <c r="N600" i="2"/>
  <c r="M600" i="2"/>
  <c r="U599" i="2"/>
  <c r="E599" i="1"/>
  <c r="T599" i="2"/>
  <c r="S599" i="2"/>
  <c r="R599" i="2"/>
  <c r="Q599" i="2"/>
  <c r="N599" i="2"/>
  <c r="M599" i="2"/>
  <c r="U598" i="2"/>
  <c r="E598" i="1"/>
  <c r="T598" i="2"/>
  <c r="S598" i="2"/>
  <c r="R598" i="2"/>
  <c r="Q598" i="2"/>
  <c r="N598" i="2"/>
  <c r="M598" i="2"/>
  <c r="U597" i="2"/>
  <c r="E597" i="1"/>
  <c r="T597" i="2"/>
  <c r="S597" i="2"/>
  <c r="R597" i="2"/>
  <c r="Q597" i="2"/>
  <c r="N597" i="2"/>
  <c r="M597" i="2"/>
  <c r="U596" i="2"/>
  <c r="E596" i="1"/>
  <c r="T596" i="2"/>
  <c r="S596" i="2"/>
  <c r="R596" i="2"/>
  <c r="Q596" i="2"/>
  <c r="N596" i="2"/>
  <c r="M596" i="2"/>
  <c r="U595" i="2"/>
  <c r="E595" i="1"/>
  <c r="T595" i="2"/>
  <c r="S595" i="2"/>
  <c r="R595" i="2"/>
  <c r="Q595" i="2"/>
  <c r="N595" i="2"/>
  <c r="M595" i="2"/>
  <c r="U594" i="2"/>
  <c r="E594" i="1"/>
  <c r="T594" i="2"/>
  <c r="S594" i="2"/>
  <c r="R594" i="2"/>
  <c r="Q594" i="2"/>
  <c r="N594" i="2"/>
  <c r="M594" i="2"/>
  <c r="U593" i="2"/>
  <c r="E593" i="1"/>
  <c r="T593" i="2"/>
  <c r="S593" i="2"/>
  <c r="R593" i="2"/>
  <c r="Q593" i="2"/>
  <c r="N593" i="2"/>
  <c r="M593" i="2"/>
  <c r="U592" i="2"/>
  <c r="E592" i="1"/>
  <c r="T592" i="2"/>
  <c r="S592" i="2"/>
  <c r="R592" i="2"/>
  <c r="Q592" i="2"/>
  <c r="N592" i="2"/>
  <c r="M592" i="2"/>
  <c r="U591" i="2"/>
  <c r="E591" i="1"/>
  <c r="T591" i="2"/>
  <c r="S591" i="2"/>
  <c r="R591" i="2"/>
  <c r="Q591" i="2"/>
  <c r="N591" i="2"/>
  <c r="M591" i="2"/>
  <c r="U590" i="2"/>
  <c r="E590" i="1"/>
  <c r="T590" i="2"/>
  <c r="S590" i="2"/>
  <c r="R590" i="2"/>
  <c r="Q590" i="2"/>
  <c r="N590" i="2"/>
  <c r="M590" i="2"/>
  <c r="U589" i="2"/>
  <c r="E589" i="1"/>
  <c r="T589" i="2"/>
  <c r="S589" i="2"/>
  <c r="R589" i="2"/>
  <c r="Q589" i="2"/>
  <c r="N589" i="2"/>
  <c r="M589" i="2"/>
  <c r="U588" i="2"/>
  <c r="E588" i="1"/>
  <c r="T588" i="2"/>
  <c r="S588" i="2"/>
  <c r="R588" i="2"/>
  <c r="Q588" i="2"/>
  <c r="N588" i="2"/>
  <c r="M588" i="2"/>
  <c r="U587" i="2"/>
  <c r="E587" i="1"/>
  <c r="T587" i="2"/>
  <c r="S587" i="2"/>
  <c r="R587" i="2"/>
  <c r="Q587" i="2"/>
  <c r="N587" i="2"/>
  <c r="M587" i="2"/>
  <c r="U586" i="2"/>
  <c r="E586" i="1"/>
  <c r="T586" i="2"/>
  <c r="S586" i="2"/>
  <c r="R586" i="2"/>
  <c r="Q586" i="2"/>
  <c r="N586" i="2"/>
  <c r="M586" i="2"/>
  <c r="U585" i="2"/>
  <c r="E585" i="1"/>
  <c r="T585" i="2"/>
  <c r="S585" i="2"/>
  <c r="R585" i="2"/>
  <c r="Q585" i="2"/>
  <c r="N585" i="2"/>
  <c r="M585" i="2"/>
  <c r="U584" i="2"/>
  <c r="E584" i="1"/>
  <c r="T584" i="2"/>
  <c r="S584" i="2"/>
  <c r="R584" i="2"/>
  <c r="Q584" i="2"/>
  <c r="N584" i="2"/>
  <c r="M584" i="2"/>
  <c r="U583" i="2"/>
  <c r="E583" i="1"/>
  <c r="T583" i="2"/>
  <c r="S583" i="2"/>
  <c r="R583" i="2"/>
  <c r="Q583" i="2"/>
  <c r="N583" i="2"/>
  <c r="M583" i="2"/>
  <c r="U582" i="2"/>
  <c r="E582" i="1"/>
  <c r="T582" i="2"/>
  <c r="S582" i="2"/>
  <c r="R582" i="2"/>
  <c r="Q582" i="2"/>
  <c r="N582" i="2"/>
  <c r="M582" i="2"/>
  <c r="U581" i="2"/>
  <c r="E581" i="1"/>
  <c r="T581" i="2"/>
  <c r="S581" i="2"/>
  <c r="R581" i="2"/>
  <c r="Q581" i="2"/>
  <c r="N581" i="2"/>
  <c r="M581" i="2"/>
  <c r="U580" i="2"/>
  <c r="E580" i="1"/>
  <c r="T580" i="2"/>
  <c r="S580" i="2"/>
  <c r="R580" i="2"/>
  <c r="Q580" i="2"/>
  <c r="N580" i="2"/>
  <c r="M580" i="2"/>
  <c r="U579" i="2"/>
  <c r="E579" i="1"/>
  <c r="T579" i="2"/>
  <c r="S579" i="2"/>
  <c r="R579" i="2"/>
  <c r="Q579" i="2"/>
  <c r="N579" i="2"/>
  <c r="M579" i="2"/>
  <c r="U578" i="2"/>
  <c r="E578" i="1"/>
  <c r="T578" i="2"/>
  <c r="S578" i="2"/>
  <c r="R578" i="2"/>
  <c r="Q578" i="2"/>
  <c r="N578" i="2"/>
  <c r="M578" i="2"/>
  <c r="U577" i="2"/>
  <c r="E577" i="1"/>
  <c r="T577" i="2"/>
  <c r="S577" i="2"/>
  <c r="R577" i="2"/>
  <c r="Q577" i="2"/>
  <c r="N577" i="2"/>
  <c r="M577" i="2"/>
  <c r="U576" i="2"/>
  <c r="E576" i="1"/>
  <c r="T576" i="2"/>
  <c r="S576" i="2"/>
  <c r="R576" i="2"/>
  <c r="Q576" i="2"/>
  <c r="N576" i="2"/>
  <c r="M576" i="2"/>
  <c r="U575" i="2"/>
  <c r="E575" i="1"/>
  <c r="T575" i="2"/>
  <c r="S575" i="2"/>
  <c r="R575" i="2"/>
  <c r="Q575" i="2"/>
  <c r="N575" i="2"/>
  <c r="M575" i="2"/>
  <c r="U574" i="2"/>
  <c r="E574" i="1"/>
  <c r="T574" i="2"/>
  <c r="S574" i="2"/>
  <c r="R574" i="2"/>
  <c r="Q574" i="2"/>
  <c r="N574" i="2"/>
  <c r="M574" i="2"/>
  <c r="U573" i="2"/>
  <c r="E573" i="1"/>
  <c r="T573" i="2"/>
  <c r="S573" i="2"/>
  <c r="R573" i="2"/>
  <c r="Q573" i="2"/>
  <c r="N573" i="2"/>
  <c r="M573" i="2"/>
  <c r="U572" i="2"/>
  <c r="E572" i="1"/>
  <c r="T572" i="2"/>
  <c r="S572" i="2"/>
  <c r="R572" i="2"/>
  <c r="Q572" i="2"/>
  <c r="N572" i="2"/>
  <c r="M572" i="2"/>
  <c r="U571" i="2"/>
  <c r="E571" i="1"/>
  <c r="T571" i="2"/>
  <c r="S571" i="2"/>
  <c r="R571" i="2"/>
  <c r="Q571" i="2"/>
  <c r="N571" i="2"/>
  <c r="M571" i="2"/>
  <c r="U570" i="2"/>
  <c r="E570" i="1"/>
  <c r="T570" i="2"/>
  <c r="S570" i="2"/>
  <c r="R570" i="2"/>
  <c r="Q570" i="2"/>
  <c r="N570" i="2"/>
  <c r="M570" i="2"/>
  <c r="U569" i="2"/>
  <c r="E569" i="1"/>
  <c r="T569" i="2"/>
  <c r="S569" i="2"/>
  <c r="R569" i="2"/>
  <c r="Q569" i="2"/>
  <c r="N569" i="2"/>
  <c r="M569" i="2"/>
  <c r="U568" i="2"/>
  <c r="E568" i="1"/>
  <c r="T568" i="2"/>
  <c r="S568" i="2"/>
  <c r="R568" i="2"/>
  <c r="Q568" i="2"/>
  <c r="N568" i="2"/>
  <c r="M568" i="2"/>
  <c r="U567" i="2"/>
  <c r="E567" i="1"/>
  <c r="T567" i="2"/>
  <c r="S567" i="2"/>
  <c r="R567" i="2"/>
  <c r="Q567" i="2"/>
  <c r="N567" i="2"/>
  <c r="M567" i="2"/>
  <c r="U566" i="2"/>
  <c r="E566" i="1"/>
  <c r="T566" i="2"/>
  <c r="S566" i="2"/>
  <c r="R566" i="2"/>
  <c r="Q566" i="2"/>
  <c r="N566" i="2"/>
  <c r="M566" i="2"/>
  <c r="U565" i="2"/>
  <c r="E565" i="1"/>
  <c r="T565" i="2"/>
  <c r="S565" i="2"/>
  <c r="R565" i="2"/>
  <c r="Q565" i="2"/>
  <c r="N565" i="2"/>
  <c r="M565" i="2"/>
  <c r="U564" i="2"/>
  <c r="E564" i="1"/>
  <c r="T564" i="2"/>
  <c r="S564" i="2"/>
  <c r="R564" i="2"/>
  <c r="Q564" i="2"/>
  <c r="N564" i="2"/>
  <c r="M564" i="2"/>
  <c r="U563" i="2"/>
  <c r="E563" i="1"/>
  <c r="T563" i="2"/>
  <c r="S563" i="2"/>
  <c r="R563" i="2"/>
  <c r="Q563" i="2"/>
  <c r="N563" i="2"/>
  <c r="M563" i="2"/>
  <c r="U562" i="2"/>
  <c r="E562" i="1"/>
  <c r="T562" i="2"/>
  <c r="S562" i="2"/>
  <c r="R562" i="2"/>
  <c r="Q562" i="2"/>
  <c r="N562" i="2"/>
  <c r="M562" i="2"/>
  <c r="U561" i="2"/>
  <c r="E561" i="1"/>
  <c r="T561" i="2"/>
  <c r="S561" i="2"/>
  <c r="R561" i="2"/>
  <c r="Q561" i="2"/>
  <c r="N561" i="2"/>
  <c r="M561" i="2"/>
  <c r="U560" i="2"/>
  <c r="E560" i="1"/>
  <c r="T560" i="2"/>
  <c r="S560" i="2"/>
  <c r="R560" i="2"/>
  <c r="Q560" i="2"/>
  <c r="N560" i="2"/>
  <c r="M560" i="2"/>
  <c r="U559" i="2"/>
  <c r="E559" i="1"/>
  <c r="T559" i="2"/>
  <c r="S559" i="2"/>
  <c r="R559" i="2"/>
  <c r="Q559" i="2"/>
  <c r="N559" i="2"/>
  <c r="M559" i="2"/>
  <c r="U558" i="2"/>
  <c r="E558" i="1"/>
  <c r="T558" i="2"/>
  <c r="S558" i="2"/>
  <c r="R558" i="2"/>
  <c r="Q558" i="2"/>
  <c r="N558" i="2"/>
  <c r="M558" i="2"/>
  <c r="U557" i="2"/>
  <c r="E557" i="1"/>
  <c r="T557" i="2"/>
  <c r="S557" i="2"/>
  <c r="R557" i="2"/>
  <c r="Q557" i="2"/>
  <c r="N557" i="2"/>
  <c r="M557" i="2"/>
  <c r="U556" i="2"/>
  <c r="E556" i="1"/>
  <c r="T556" i="2"/>
  <c r="S556" i="2"/>
  <c r="R556" i="2"/>
  <c r="Q556" i="2"/>
  <c r="N556" i="2"/>
  <c r="M556" i="2"/>
  <c r="U555" i="2"/>
  <c r="E555" i="1"/>
  <c r="T555" i="2"/>
  <c r="S555" i="2"/>
  <c r="R555" i="2"/>
  <c r="Q555" i="2"/>
  <c r="N555" i="2"/>
  <c r="M555" i="2"/>
  <c r="U554" i="2"/>
  <c r="E554" i="1"/>
  <c r="T554" i="2"/>
  <c r="S554" i="2"/>
  <c r="R554" i="2"/>
  <c r="Q554" i="2"/>
  <c r="N554" i="2"/>
  <c r="M554" i="2"/>
  <c r="U553" i="2"/>
  <c r="E553" i="1"/>
  <c r="T553" i="2"/>
  <c r="S553" i="2"/>
  <c r="R553" i="2"/>
  <c r="Q553" i="2"/>
  <c r="N553" i="2"/>
  <c r="M553" i="2"/>
  <c r="U552" i="2"/>
  <c r="E552" i="1"/>
  <c r="T552" i="2"/>
  <c r="S552" i="2"/>
  <c r="R552" i="2"/>
  <c r="Q552" i="2"/>
  <c r="N552" i="2"/>
  <c r="M552" i="2"/>
  <c r="U551" i="2"/>
  <c r="E551" i="1"/>
  <c r="T551" i="2"/>
  <c r="S551" i="2"/>
  <c r="R551" i="2"/>
  <c r="Q551" i="2"/>
  <c r="N551" i="2"/>
  <c r="M551" i="2"/>
  <c r="U550" i="2"/>
  <c r="E550" i="1"/>
  <c r="T550" i="2"/>
  <c r="S550" i="2"/>
  <c r="R550" i="2"/>
  <c r="Q550" i="2"/>
  <c r="N550" i="2"/>
  <c r="M550" i="2"/>
  <c r="U549" i="2"/>
  <c r="E549" i="1"/>
  <c r="T549" i="2"/>
  <c r="S549" i="2"/>
  <c r="R549" i="2"/>
  <c r="Q549" i="2"/>
  <c r="N549" i="2"/>
  <c r="M549" i="2"/>
  <c r="U548" i="2"/>
  <c r="E548" i="1"/>
  <c r="T548" i="2"/>
  <c r="S548" i="2"/>
  <c r="R548" i="2"/>
  <c r="Q548" i="2"/>
  <c r="N548" i="2"/>
  <c r="M548" i="2"/>
  <c r="U547" i="2"/>
  <c r="E547" i="1"/>
  <c r="T547" i="2"/>
  <c r="S547" i="2"/>
  <c r="R547" i="2"/>
  <c r="Q547" i="2"/>
  <c r="N547" i="2"/>
  <c r="M547" i="2"/>
  <c r="U546" i="2"/>
  <c r="E546" i="1"/>
  <c r="T546" i="2"/>
  <c r="S546" i="2"/>
  <c r="R546" i="2"/>
  <c r="Q546" i="2"/>
  <c r="N546" i="2"/>
  <c r="M546" i="2"/>
  <c r="U545" i="2"/>
  <c r="E545" i="1"/>
  <c r="T545" i="2"/>
  <c r="S545" i="2"/>
  <c r="R545" i="2"/>
  <c r="Q545" i="2"/>
  <c r="N545" i="2"/>
  <c r="M545" i="2"/>
  <c r="U544" i="2"/>
  <c r="E544" i="1"/>
  <c r="T544" i="2"/>
  <c r="S544" i="2"/>
  <c r="R544" i="2"/>
  <c r="Q544" i="2"/>
  <c r="N544" i="2"/>
  <c r="M544" i="2"/>
  <c r="U543" i="2"/>
  <c r="E543" i="1"/>
  <c r="T543" i="2"/>
  <c r="S543" i="2"/>
  <c r="R543" i="2"/>
  <c r="Q543" i="2"/>
  <c r="N543" i="2"/>
  <c r="M543" i="2"/>
  <c r="U542" i="2"/>
  <c r="E542" i="1"/>
  <c r="T542" i="2"/>
  <c r="S542" i="2"/>
  <c r="R542" i="2"/>
  <c r="Q542" i="2"/>
  <c r="N542" i="2"/>
  <c r="M542" i="2"/>
  <c r="U541" i="2"/>
  <c r="E541" i="1"/>
  <c r="T541" i="2"/>
  <c r="S541" i="2"/>
  <c r="R541" i="2"/>
  <c r="Q541" i="2"/>
  <c r="N541" i="2"/>
  <c r="M541" i="2"/>
  <c r="U540" i="2"/>
  <c r="E540" i="1"/>
  <c r="T540" i="2"/>
  <c r="S540" i="2"/>
  <c r="R540" i="2"/>
  <c r="Q540" i="2"/>
  <c r="N540" i="2"/>
  <c r="M540" i="2"/>
  <c r="U539" i="2"/>
  <c r="E539" i="1"/>
  <c r="T539" i="2"/>
  <c r="S539" i="2"/>
  <c r="R539" i="2"/>
  <c r="Q539" i="2"/>
  <c r="N539" i="2"/>
  <c r="M539" i="2"/>
  <c r="U538" i="2"/>
  <c r="E538" i="1"/>
  <c r="T538" i="2"/>
  <c r="S538" i="2"/>
  <c r="R538" i="2"/>
  <c r="Q538" i="2"/>
  <c r="N538" i="2"/>
  <c r="M538" i="2"/>
  <c r="U537" i="2"/>
  <c r="E537" i="1"/>
  <c r="T537" i="2"/>
  <c r="S537" i="2"/>
  <c r="R537" i="2"/>
  <c r="Q537" i="2"/>
  <c r="N537" i="2"/>
  <c r="M537" i="2"/>
  <c r="U536" i="2"/>
  <c r="E536" i="1"/>
  <c r="T536" i="2"/>
  <c r="S536" i="2"/>
  <c r="R536" i="2"/>
  <c r="Q536" i="2"/>
  <c r="N536" i="2"/>
  <c r="M536" i="2"/>
  <c r="U535" i="2"/>
  <c r="E535" i="1"/>
  <c r="T535" i="2"/>
  <c r="S535" i="2"/>
  <c r="R535" i="2"/>
  <c r="Q535" i="2"/>
  <c r="N535" i="2"/>
  <c r="M535" i="2"/>
  <c r="U534" i="2"/>
  <c r="E534" i="1"/>
  <c r="T534" i="2"/>
  <c r="S534" i="2"/>
  <c r="R534" i="2"/>
  <c r="Q534" i="2"/>
  <c r="N534" i="2"/>
  <c r="M534" i="2"/>
  <c r="U533" i="2"/>
  <c r="E533" i="1"/>
  <c r="T533" i="2"/>
  <c r="S533" i="2"/>
  <c r="R533" i="2"/>
  <c r="Q533" i="2"/>
  <c r="N533" i="2"/>
  <c r="M533" i="2"/>
  <c r="U532" i="2"/>
  <c r="E532" i="1"/>
  <c r="T532" i="2"/>
  <c r="S532" i="2"/>
  <c r="R532" i="2"/>
  <c r="Q532" i="2"/>
  <c r="N532" i="2"/>
  <c r="M532" i="2"/>
  <c r="U531" i="2"/>
  <c r="E531" i="1"/>
  <c r="T531" i="2"/>
  <c r="S531" i="2"/>
  <c r="R531" i="2"/>
  <c r="Q531" i="2"/>
  <c r="N531" i="2"/>
  <c r="M531" i="2"/>
  <c r="U530" i="2"/>
  <c r="E530" i="1"/>
  <c r="T530" i="2"/>
  <c r="S530" i="2"/>
  <c r="R530" i="2"/>
  <c r="Q530" i="2"/>
  <c r="N530" i="2"/>
  <c r="M530" i="2"/>
  <c r="U529" i="2"/>
  <c r="E529" i="1"/>
  <c r="T529" i="2"/>
  <c r="S529" i="2"/>
  <c r="R529" i="2"/>
  <c r="Q529" i="2"/>
  <c r="N529" i="2"/>
  <c r="M529" i="2"/>
  <c r="U528" i="2"/>
  <c r="E528" i="1"/>
  <c r="T528" i="2"/>
  <c r="S528" i="2"/>
  <c r="R528" i="2"/>
  <c r="Q528" i="2"/>
  <c r="N528" i="2"/>
  <c r="M528" i="2"/>
  <c r="U527" i="2"/>
  <c r="E527" i="1"/>
  <c r="T527" i="2"/>
  <c r="S527" i="2"/>
  <c r="R527" i="2"/>
  <c r="Q527" i="2"/>
  <c r="N527" i="2"/>
  <c r="M527" i="2"/>
  <c r="U526" i="2"/>
  <c r="E526" i="1"/>
  <c r="T526" i="2"/>
  <c r="S526" i="2"/>
  <c r="R526" i="2"/>
  <c r="Q526" i="2"/>
  <c r="N526" i="2"/>
  <c r="M526" i="2"/>
  <c r="U525" i="2"/>
  <c r="E525" i="1"/>
  <c r="T525" i="2"/>
  <c r="S525" i="2"/>
  <c r="R525" i="2"/>
  <c r="Q525" i="2"/>
  <c r="N525" i="2"/>
  <c r="M525" i="2"/>
  <c r="U524" i="2"/>
  <c r="E524" i="1"/>
  <c r="T524" i="2"/>
  <c r="S524" i="2"/>
  <c r="R524" i="2"/>
  <c r="Q524" i="2"/>
  <c r="N524" i="2"/>
  <c r="M524" i="2"/>
  <c r="U523" i="2"/>
  <c r="E523" i="1"/>
  <c r="T523" i="2"/>
  <c r="S523" i="2"/>
  <c r="R523" i="2"/>
  <c r="Q523" i="2"/>
  <c r="N523" i="2"/>
  <c r="M523" i="2"/>
  <c r="U522" i="2"/>
  <c r="E522" i="1"/>
  <c r="T522" i="2"/>
  <c r="S522" i="2"/>
  <c r="R522" i="2"/>
  <c r="Q522" i="2"/>
  <c r="N522" i="2"/>
  <c r="M522" i="2"/>
  <c r="U521" i="2"/>
  <c r="E521" i="1"/>
  <c r="T521" i="2"/>
  <c r="S521" i="2"/>
  <c r="R521" i="2"/>
  <c r="Q521" i="2"/>
  <c r="N521" i="2"/>
  <c r="M521" i="2"/>
  <c r="U520" i="2"/>
  <c r="E520" i="1"/>
  <c r="T520" i="2"/>
  <c r="S520" i="2"/>
  <c r="R520" i="2"/>
  <c r="Q520" i="2"/>
  <c r="N520" i="2"/>
  <c r="M520" i="2"/>
  <c r="U519" i="2"/>
  <c r="E519" i="1"/>
  <c r="T519" i="2"/>
  <c r="S519" i="2"/>
  <c r="R519" i="2"/>
  <c r="Q519" i="2"/>
  <c r="N519" i="2"/>
  <c r="M519" i="2"/>
  <c r="U518" i="2"/>
  <c r="E518" i="1"/>
  <c r="T518" i="2"/>
  <c r="S518" i="2"/>
  <c r="R518" i="2"/>
  <c r="Q518" i="2"/>
  <c r="N518" i="2"/>
  <c r="M518" i="2"/>
  <c r="U517" i="2"/>
  <c r="E517" i="1"/>
  <c r="T517" i="2"/>
  <c r="S517" i="2"/>
  <c r="R517" i="2"/>
  <c r="Q517" i="2"/>
  <c r="N517" i="2"/>
  <c r="M517" i="2"/>
  <c r="U516" i="2"/>
  <c r="E516" i="1"/>
  <c r="T516" i="2"/>
  <c r="S516" i="2"/>
  <c r="R516" i="2"/>
  <c r="Q516" i="2"/>
  <c r="N516" i="2"/>
  <c r="M516" i="2"/>
  <c r="U515" i="2"/>
  <c r="E515" i="1"/>
  <c r="T515" i="2"/>
  <c r="S515" i="2"/>
  <c r="R515" i="2"/>
  <c r="Q515" i="2"/>
  <c r="N515" i="2"/>
  <c r="M515" i="2"/>
  <c r="U514" i="2"/>
  <c r="E514" i="1"/>
  <c r="T514" i="2"/>
  <c r="S514" i="2"/>
  <c r="R514" i="2"/>
  <c r="Q514" i="2"/>
  <c r="N514" i="2"/>
  <c r="M514" i="2"/>
  <c r="U513" i="2"/>
  <c r="E513" i="1"/>
  <c r="T513" i="2"/>
  <c r="S513" i="2"/>
  <c r="R513" i="2"/>
  <c r="Q513" i="2"/>
  <c r="N513" i="2"/>
  <c r="M513" i="2"/>
  <c r="U512" i="2"/>
  <c r="E512" i="1"/>
  <c r="T512" i="2"/>
  <c r="S512" i="2"/>
  <c r="R512" i="2"/>
  <c r="Q512" i="2"/>
  <c r="N512" i="2"/>
  <c r="M512" i="2"/>
  <c r="U511" i="2"/>
  <c r="E511" i="1"/>
  <c r="T511" i="2"/>
  <c r="S511" i="2"/>
  <c r="R511" i="2"/>
  <c r="Q511" i="2"/>
  <c r="N511" i="2"/>
  <c r="M511" i="2"/>
  <c r="U510" i="2"/>
  <c r="E510" i="1"/>
  <c r="T510" i="2"/>
  <c r="S510" i="2"/>
  <c r="R510" i="2"/>
  <c r="Q510" i="2"/>
  <c r="N510" i="2"/>
  <c r="M510" i="2"/>
  <c r="U509" i="2"/>
  <c r="E509" i="1"/>
  <c r="T509" i="2"/>
  <c r="S509" i="2"/>
  <c r="R509" i="2"/>
  <c r="Q509" i="2"/>
  <c r="N509" i="2"/>
  <c r="M509" i="2"/>
  <c r="U508" i="2"/>
  <c r="E508" i="1"/>
  <c r="T508" i="2"/>
  <c r="S508" i="2"/>
  <c r="R508" i="2"/>
  <c r="Q508" i="2"/>
  <c r="N508" i="2"/>
  <c r="M508" i="2"/>
  <c r="U507" i="2"/>
  <c r="E507" i="1"/>
  <c r="T507" i="2"/>
  <c r="S507" i="2"/>
  <c r="R507" i="2"/>
  <c r="Q507" i="2"/>
  <c r="N507" i="2"/>
  <c r="M507" i="2"/>
  <c r="U506" i="2"/>
  <c r="E506" i="1"/>
  <c r="T506" i="2"/>
  <c r="S506" i="2"/>
  <c r="R506" i="2"/>
  <c r="Q506" i="2"/>
  <c r="N506" i="2"/>
  <c r="M506" i="2"/>
  <c r="U505" i="2"/>
  <c r="E505" i="1"/>
  <c r="T505" i="2"/>
  <c r="S505" i="2"/>
  <c r="R505" i="2"/>
  <c r="Q505" i="2"/>
  <c r="N505" i="2"/>
  <c r="M505" i="2"/>
  <c r="U504" i="2"/>
  <c r="E504" i="1"/>
  <c r="T504" i="2"/>
  <c r="S504" i="2"/>
  <c r="R504" i="2"/>
  <c r="Q504" i="2"/>
  <c r="N504" i="2"/>
  <c r="M504" i="2"/>
  <c r="U503" i="2"/>
  <c r="E503" i="1"/>
  <c r="T503" i="2"/>
  <c r="S503" i="2"/>
  <c r="R503" i="2"/>
  <c r="Q503" i="2"/>
  <c r="N503" i="2"/>
  <c r="M503" i="2"/>
  <c r="U502" i="2"/>
  <c r="E502" i="1"/>
  <c r="T502" i="2"/>
  <c r="S502" i="2"/>
  <c r="R502" i="2"/>
  <c r="Q502" i="2"/>
  <c r="N502" i="2"/>
  <c r="M502" i="2"/>
  <c r="U501" i="2"/>
  <c r="E501" i="1"/>
  <c r="T501" i="2"/>
  <c r="S501" i="2"/>
  <c r="R501" i="2"/>
  <c r="Q501" i="2"/>
  <c r="N501" i="2"/>
  <c r="M501" i="2"/>
  <c r="U500" i="2"/>
  <c r="E500" i="1"/>
  <c r="T500" i="2"/>
  <c r="S500" i="2"/>
  <c r="R500" i="2"/>
  <c r="Q500" i="2"/>
  <c r="N500" i="2"/>
  <c r="M500" i="2"/>
  <c r="U499" i="2"/>
  <c r="E499" i="1"/>
  <c r="T499" i="2"/>
  <c r="S499" i="2"/>
  <c r="R499" i="2"/>
  <c r="Q499" i="2"/>
  <c r="N499" i="2"/>
  <c r="M499" i="2"/>
  <c r="U498" i="2"/>
  <c r="E498" i="1"/>
  <c r="T498" i="2"/>
  <c r="S498" i="2"/>
  <c r="R498" i="2"/>
  <c r="Q498" i="2"/>
  <c r="N498" i="2"/>
  <c r="M498" i="2"/>
  <c r="U497" i="2"/>
  <c r="E497" i="1"/>
  <c r="T497" i="2"/>
  <c r="S497" i="2"/>
  <c r="R497" i="2"/>
  <c r="Q497" i="2"/>
  <c r="N497" i="2"/>
  <c r="M497" i="2"/>
  <c r="U496" i="2"/>
  <c r="E496" i="1"/>
  <c r="T496" i="2"/>
  <c r="S496" i="2"/>
  <c r="R496" i="2"/>
  <c r="Q496" i="2"/>
  <c r="N496" i="2"/>
  <c r="M496" i="2"/>
  <c r="U495" i="2"/>
  <c r="E495" i="1"/>
  <c r="T495" i="2"/>
  <c r="S495" i="2"/>
  <c r="R495" i="2"/>
  <c r="Q495" i="2"/>
  <c r="N495" i="2"/>
  <c r="M495" i="2"/>
  <c r="U494" i="2"/>
  <c r="E494" i="1"/>
  <c r="T494" i="2"/>
  <c r="S494" i="2"/>
  <c r="R494" i="2"/>
  <c r="Q494" i="2"/>
  <c r="N494" i="2"/>
  <c r="M494" i="2"/>
  <c r="U493" i="2"/>
  <c r="E493" i="1"/>
  <c r="T493" i="2"/>
  <c r="S493" i="2"/>
  <c r="R493" i="2"/>
  <c r="Q493" i="2"/>
  <c r="N493" i="2"/>
  <c r="M493" i="2"/>
  <c r="U492" i="2"/>
  <c r="E492" i="1"/>
  <c r="T492" i="2"/>
  <c r="S492" i="2"/>
  <c r="R492" i="2"/>
  <c r="Q492" i="2"/>
  <c r="N492" i="2"/>
  <c r="M492" i="2"/>
  <c r="U491" i="2"/>
  <c r="E491" i="1"/>
  <c r="T491" i="2"/>
  <c r="S491" i="2"/>
  <c r="R491" i="2"/>
  <c r="Q491" i="2"/>
  <c r="N491" i="2"/>
  <c r="M491" i="2"/>
  <c r="U490" i="2"/>
  <c r="E490" i="1"/>
  <c r="T490" i="2"/>
  <c r="S490" i="2"/>
  <c r="R490" i="2"/>
  <c r="Q490" i="2"/>
  <c r="N490" i="2"/>
  <c r="M490" i="2"/>
  <c r="U489" i="2"/>
  <c r="E489" i="1"/>
  <c r="T489" i="2"/>
  <c r="S489" i="2"/>
  <c r="R489" i="2"/>
  <c r="Q489" i="2"/>
  <c r="N489" i="2"/>
  <c r="M489" i="2"/>
  <c r="U488" i="2"/>
  <c r="E488" i="1"/>
  <c r="T488" i="2"/>
  <c r="S488" i="2"/>
  <c r="R488" i="2"/>
  <c r="Q488" i="2"/>
  <c r="N488" i="2"/>
  <c r="M488" i="2"/>
  <c r="U487" i="2"/>
  <c r="E487" i="1"/>
  <c r="T487" i="2"/>
  <c r="S487" i="2"/>
  <c r="R487" i="2"/>
  <c r="Q487" i="2"/>
  <c r="N487" i="2"/>
  <c r="M487" i="2"/>
  <c r="U486" i="2"/>
  <c r="E486" i="1"/>
  <c r="T486" i="2"/>
  <c r="S486" i="2"/>
  <c r="R486" i="2"/>
  <c r="Q486" i="2"/>
  <c r="N486" i="2"/>
  <c r="M486" i="2"/>
  <c r="U485" i="2"/>
  <c r="E485" i="1"/>
  <c r="T485" i="2"/>
  <c r="S485" i="2"/>
  <c r="R485" i="2"/>
  <c r="Q485" i="2"/>
  <c r="N485" i="2"/>
  <c r="M485" i="2"/>
  <c r="U484" i="2"/>
  <c r="E484" i="1"/>
  <c r="T484" i="2"/>
  <c r="S484" i="2"/>
  <c r="R484" i="2"/>
  <c r="Q484" i="2"/>
  <c r="N484" i="2"/>
  <c r="M484" i="2"/>
  <c r="U483" i="2"/>
  <c r="E483" i="1"/>
  <c r="T483" i="2"/>
  <c r="S483" i="2"/>
  <c r="R483" i="2"/>
  <c r="Q483" i="2"/>
  <c r="N483" i="2"/>
  <c r="M483" i="2"/>
  <c r="U482" i="2"/>
  <c r="E482" i="1"/>
  <c r="T482" i="2"/>
  <c r="S482" i="2"/>
  <c r="R482" i="2"/>
  <c r="Q482" i="2"/>
  <c r="N482" i="2"/>
  <c r="M482" i="2"/>
  <c r="U481" i="2"/>
  <c r="E481" i="1"/>
  <c r="T481" i="2"/>
  <c r="S481" i="2"/>
  <c r="R481" i="2"/>
  <c r="Q481" i="2"/>
  <c r="N481" i="2"/>
  <c r="M481" i="2"/>
  <c r="U480" i="2"/>
  <c r="E480" i="1"/>
  <c r="T480" i="2"/>
  <c r="S480" i="2"/>
  <c r="R480" i="2"/>
  <c r="Q480" i="2"/>
  <c r="N480" i="2"/>
  <c r="M480" i="2"/>
  <c r="U479" i="2"/>
  <c r="E479" i="1"/>
  <c r="T479" i="2"/>
  <c r="S479" i="2"/>
  <c r="R479" i="2"/>
  <c r="Q479" i="2"/>
  <c r="N479" i="2"/>
  <c r="M479" i="2"/>
  <c r="U478" i="2"/>
  <c r="E478" i="1"/>
  <c r="T478" i="2"/>
  <c r="S478" i="2"/>
  <c r="R478" i="2"/>
  <c r="Q478" i="2"/>
  <c r="N478" i="2"/>
  <c r="M478" i="2"/>
  <c r="U477" i="2"/>
  <c r="E477" i="1"/>
  <c r="T477" i="2"/>
  <c r="S477" i="2"/>
  <c r="R477" i="2"/>
  <c r="Q477" i="2"/>
  <c r="N477" i="2"/>
  <c r="M477" i="2"/>
  <c r="U476" i="2"/>
  <c r="E476" i="1"/>
  <c r="T476" i="2"/>
  <c r="S476" i="2"/>
  <c r="R476" i="2"/>
  <c r="Q476" i="2"/>
  <c r="N476" i="2"/>
  <c r="M476" i="2"/>
  <c r="U475" i="2"/>
  <c r="E475" i="1"/>
  <c r="T475" i="2"/>
  <c r="S475" i="2"/>
  <c r="R475" i="2"/>
  <c r="Q475" i="2"/>
  <c r="N475" i="2"/>
  <c r="M475" i="2"/>
  <c r="U474" i="2"/>
  <c r="E474" i="1"/>
  <c r="T474" i="2"/>
  <c r="S474" i="2"/>
  <c r="R474" i="2"/>
  <c r="Q474" i="2"/>
  <c r="N474" i="2"/>
  <c r="M474" i="2"/>
  <c r="U473" i="2"/>
  <c r="E473" i="1"/>
  <c r="T473" i="2"/>
  <c r="S473" i="2"/>
  <c r="R473" i="2"/>
  <c r="Q473" i="2"/>
  <c r="N473" i="2"/>
  <c r="M473" i="2"/>
  <c r="U472" i="2"/>
  <c r="E472" i="1"/>
  <c r="T472" i="2"/>
  <c r="S472" i="2"/>
  <c r="R472" i="2"/>
  <c r="Q472" i="2"/>
  <c r="N472" i="2"/>
  <c r="M472" i="2"/>
  <c r="U471" i="2"/>
  <c r="E471" i="1"/>
  <c r="T471" i="2"/>
  <c r="S471" i="2"/>
  <c r="R471" i="2"/>
  <c r="Q471" i="2"/>
  <c r="N471" i="2"/>
  <c r="M471" i="2"/>
  <c r="U470" i="2"/>
  <c r="E470" i="1"/>
  <c r="T470" i="2"/>
  <c r="S470" i="2"/>
  <c r="R470" i="2"/>
  <c r="Q470" i="2"/>
  <c r="N470" i="2"/>
  <c r="M470" i="2"/>
  <c r="U469" i="2"/>
  <c r="E469" i="1"/>
  <c r="T469" i="2"/>
  <c r="S469" i="2"/>
  <c r="R469" i="2"/>
  <c r="Q469" i="2"/>
  <c r="N469" i="2"/>
  <c r="M469" i="2"/>
  <c r="U468" i="2"/>
  <c r="E468" i="1"/>
  <c r="T468" i="2"/>
  <c r="S468" i="2"/>
  <c r="R468" i="2"/>
  <c r="Q468" i="2"/>
  <c r="N468" i="2"/>
  <c r="M468" i="2"/>
  <c r="U467" i="2"/>
  <c r="E467" i="1"/>
  <c r="T467" i="2"/>
  <c r="S467" i="2"/>
  <c r="R467" i="2"/>
  <c r="Q467" i="2"/>
  <c r="N467" i="2"/>
  <c r="M467" i="2"/>
  <c r="U466" i="2"/>
  <c r="E466" i="1"/>
  <c r="T466" i="2"/>
  <c r="S466" i="2"/>
  <c r="R466" i="2"/>
  <c r="Q466" i="2"/>
  <c r="N466" i="2"/>
  <c r="M466" i="2"/>
  <c r="U465" i="2"/>
  <c r="E465" i="1"/>
  <c r="T465" i="2"/>
  <c r="S465" i="2"/>
  <c r="R465" i="2"/>
  <c r="Q465" i="2"/>
  <c r="N465" i="2"/>
  <c r="M465" i="2"/>
  <c r="U464" i="2"/>
  <c r="E464" i="1"/>
  <c r="T464" i="2"/>
  <c r="S464" i="2"/>
  <c r="R464" i="2"/>
  <c r="Q464" i="2"/>
  <c r="N464" i="2"/>
  <c r="M464" i="2"/>
  <c r="U463" i="2"/>
  <c r="E463" i="1"/>
  <c r="T463" i="2"/>
  <c r="S463" i="2"/>
  <c r="R463" i="2"/>
  <c r="Q463" i="2"/>
  <c r="N463" i="2"/>
  <c r="M463" i="2"/>
  <c r="U462" i="2"/>
  <c r="E462" i="1"/>
  <c r="T462" i="2"/>
  <c r="S462" i="2"/>
  <c r="R462" i="2"/>
  <c r="Q462" i="2"/>
  <c r="N462" i="2"/>
  <c r="M462" i="2"/>
  <c r="U461" i="2"/>
  <c r="E461" i="1"/>
  <c r="T461" i="2"/>
  <c r="S461" i="2"/>
  <c r="R461" i="2"/>
  <c r="Q461" i="2"/>
  <c r="N461" i="2"/>
  <c r="M461" i="2"/>
  <c r="U460" i="2"/>
  <c r="E460" i="1"/>
  <c r="T460" i="2"/>
  <c r="S460" i="2"/>
  <c r="R460" i="2"/>
  <c r="Q460" i="2"/>
  <c r="N460" i="2"/>
  <c r="M460" i="2"/>
  <c r="U459" i="2"/>
  <c r="E459" i="1"/>
  <c r="T459" i="2"/>
  <c r="S459" i="2"/>
  <c r="R459" i="2"/>
  <c r="Q459" i="2"/>
  <c r="N459" i="2"/>
  <c r="M459" i="2"/>
  <c r="U458" i="2"/>
  <c r="E458" i="1"/>
  <c r="T458" i="2"/>
  <c r="S458" i="2"/>
  <c r="R458" i="2"/>
  <c r="Q458" i="2"/>
  <c r="N458" i="2"/>
  <c r="M458" i="2"/>
  <c r="U457" i="2"/>
  <c r="E457" i="1"/>
  <c r="T457" i="2"/>
  <c r="S457" i="2"/>
  <c r="R457" i="2"/>
  <c r="Q457" i="2"/>
  <c r="N457" i="2"/>
  <c r="M457" i="2"/>
  <c r="U456" i="2"/>
  <c r="E456" i="1"/>
  <c r="T456" i="2"/>
  <c r="S456" i="2"/>
  <c r="R456" i="2"/>
  <c r="Q456" i="2"/>
  <c r="N456" i="2"/>
  <c r="M456" i="2"/>
  <c r="U455" i="2"/>
  <c r="E455" i="1"/>
  <c r="T455" i="2"/>
  <c r="S455" i="2"/>
  <c r="R455" i="2"/>
  <c r="Q455" i="2"/>
  <c r="N455" i="2"/>
  <c r="M455" i="2"/>
  <c r="U454" i="2"/>
  <c r="E454" i="1"/>
  <c r="T454" i="2"/>
  <c r="S454" i="2"/>
  <c r="R454" i="2"/>
  <c r="Q454" i="2"/>
  <c r="N454" i="2"/>
  <c r="M454" i="2"/>
  <c r="U453" i="2"/>
  <c r="E453" i="1"/>
  <c r="T453" i="2"/>
  <c r="S453" i="2"/>
  <c r="R453" i="2"/>
  <c r="Q453" i="2"/>
  <c r="N453" i="2"/>
  <c r="M453" i="2"/>
  <c r="U452" i="2"/>
  <c r="E452" i="1"/>
  <c r="T452" i="2"/>
  <c r="S452" i="2"/>
  <c r="R452" i="2"/>
  <c r="Q452" i="2"/>
  <c r="N452" i="2"/>
  <c r="M452" i="2"/>
  <c r="U451" i="2"/>
  <c r="E451" i="1"/>
  <c r="T451" i="2"/>
  <c r="S451" i="2"/>
  <c r="R451" i="2"/>
  <c r="Q451" i="2"/>
  <c r="N451" i="2"/>
  <c r="M451" i="2"/>
  <c r="U450" i="2"/>
  <c r="E450" i="1"/>
  <c r="T450" i="2"/>
  <c r="S450" i="2"/>
  <c r="R450" i="2"/>
  <c r="Q450" i="2"/>
  <c r="N450" i="2"/>
  <c r="M450" i="2"/>
  <c r="U449" i="2"/>
  <c r="E449" i="1"/>
  <c r="T449" i="2"/>
  <c r="S449" i="2"/>
  <c r="R449" i="2"/>
  <c r="Q449" i="2"/>
  <c r="N449" i="2"/>
  <c r="M449" i="2"/>
  <c r="U448" i="2"/>
  <c r="E448" i="1"/>
  <c r="T448" i="2"/>
  <c r="S448" i="2"/>
  <c r="R448" i="2"/>
  <c r="Q448" i="2"/>
  <c r="N448" i="2"/>
  <c r="M448" i="2"/>
  <c r="U447" i="2"/>
  <c r="E447" i="1"/>
  <c r="T447" i="2"/>
  <c r="S447" i="2"/>
  <c r="R447" i="2"/>
  <c r="Q447" i="2"/>
  <c r="N447" i="2"/>
  <c r="M447" i="2"/>
  <c r="U446" i="2"/>
  <c r="E446" i="1"/>
  <c r="T446" i="2"/>
  <c r="S446" i="2"/>
  <c r="R446" i="2"/>
  <c r="Q446" i="2"/>
  <c r="N446" i="2"/>
  <c r="M446" i="2"/>
  <c r="U445" i="2"/>
  <c r="E445" i="1"/>
  <c r="T445" i="2"/>
  <c r="S445" i="2"/>
  <c r="R445" i="2"/>
  <c r="Q445" i="2"/>
  <c r="N445" i="2"/>
  <c r="M445" i="2"/>
  <c r="U444" i="2"/>
  <c r="E444" i="1"/>
  <c r="T444" i="2"/>
  <c r="S444" i="2"/>
  <c r="R444" i="2"/>
  <c r="Q444" i="2"/>
  <c r="N444" i="2"/>
  <c r="M444" i="2"/>
  <c r="U443" i="2"/>
  <c r="E443" i="1"/>
  <c r="T443" i="2"/>
  <c r="S443" i="2"/>
  <c r="R443" i="2"/>
  <c r="Q443" i="2"/>
  <c r="N443" i="2"/>
  <c r="M443" i="2"/>
  <c r="U442" i="2"/>
  <c r="E442" i="1"/>
  <c r="T442" i="2"/>
  <c r="S442" i="2"/>
  <c r="R442" i="2"/>
  <c r="Q442" i="2"/>
  <c r="N442" i="2"/>
  <c r="M442" i="2"/>
  <c r="U441" i="2"/>
  <c r="E441" i="1"/>
  <c r="T441" i="2"/>
  <c r="S441" i="2"/>
  <c r="R441" i="2"/>
  <c r="Q441" i="2"/>
  <c r="N441" i="2"/>
  <c r="M441" i="2"/>
  <c r="U440" i="2"/>
  <c r="E440" i="1"/>
  <c r="T440" i="2"/>
  <c r="S440" i="2"/>
  <c r="R440" i="2"/>
  <c r="Q440" i="2"/>
  <c r="N440" i="2"/>
  <c r="M440" i="2"/>
  <c r="U439" i="2"/>
  <c r="E439" i="1"/>
  <c r="T439" i="2"/>
  <c r="S439" i="2"/>
  <c r="R439" i="2"/>
  <c r="Q439" i="2"/>
  <c r="N439" i="2"/>
  <c r="M439" i="2"/>
  <c r="U438" i="2"/>
  <c r="E438" i="1"/>
  <c r="T438" i="2"/>
  <c r="S438" i="2"/>
  <c r="R438" i="2"/>
  <c r="Q438" i="2"/>
  <c r="N438" i="2"/>
  <c r="M438" i="2"/>
  <c r="U437" i="2"/>
  <c r="E437" i="1"/>
  <c r="T437" i="2"/>
  <c r="S437" i="2"/>
  <c r="R437" i="2"/>
  <c r="Q437" i="2"/>
  <c r="N437" i="2"/>
  <c r="M437" i="2"/>
  <c r="U436" i="2"/>
  <c r="E436" i="1"/>
  <c r="T436" i="2"/>
  <c r="S436" i="2"/>
  <c r="R436" i="2"/>
  <c r="Q436" i="2"/>
  <c r="N436" i="2"/>
  <c r="M436" i="2"/>
  <c r="U435" i="2"/>
  <c r="E435" i="1"/>
  <c r="T435" i="2"/>
  <c r="S435" i="2"/>
  <c r="R435" i="2"/>
  <c r="Q435" i="2"/>
  <c r="N435" i="2"/>
  <c r="M435" i="2"/>
  <c r="U434" i="2"/>
  <c r="E434" i="1"/>
  <c r="T434" i="2"/>
  <c r="S434" i="2"/>
  <c r="R434" i="2"/>
  <c r="Q434" i="2"/>
  <c r="N434" i="2"/>
  <c r="M434" i="2"/>
  <c r="U433" i="2"/>
  <c r="E433" i="1"/>
  <c r="T433" i="2"/>
  <c r="S433" i="2"/>
  <c r="R433" i="2"/>
  <c r="Q433" i="2"/>
  <c r="N433" i="2"/>
  <c r="M433" i="2"/>
  <c r="U432" i="2"/>
  <c r="E432" i="1"/>
  <c r="T432" i="2"/>
  <c r="S432" i="2"/>
  <c r="R432" i="2"/>
  <c r="Q432" i="2"/>
  <c r="N432" i="2"/>
  <c r="M432" i="2"/>
  <c r="U431" i="2"/>
  <c r="E431" i="1"/>
  <c r="T431" i="2"/>
  <c r="S431" i="2"/>
  <c r="R431" i="2"/>
  <c r="Q431" i="2"/>
  <c r="N431" i="2"/>
  <c r="M431" i="2"/>
  <c r="U430" i="2"/>
  <c r="E430" i="1"/>
  <c r="T430" i="2"/>
  <c r="S430" i="2"/>
  <c r="R430" i="2"/>
  <c r="Q430" i="2"/>
  <c r="N430" i="2"/>
  <c r="M430" i="2"/>
  <c r="U429" i="2"/>
  <c r="E429" i="1"/>
  <c r="T429" i="2"/>
  <c r="S429" i="2"/>
  <c r="R429" i="2"/>
  <c r="Q429" i="2"/>
  <c r="N429" i="2"/>
  <c r="M429" i="2"/>
  <c r="U428" i="2"/>
  <c r="E428" i="1"/>
  <c r="T428" i="2"/>
  <c r="S428" i="2"/>
  <c r="R428" i="2"/>
  <c r="Q428" i="2"/>
  <c r="N428" i="2"/>
  <c r="M428" i="2"/>
  <c r="U427" i="2"/>
  <c r="E427" i="1"/>
  <c r="T427" i="2"/>
  <c r="S427" i="2"/>
  <c r="R427" i="2"/>
  <c r="Q427" i="2"/>
  <c r="N427" i="2"/>
  <c r="M427" i="2"/>
  <c r="U426" i="2"/>
  <c r="E426" i="1"/>
  <c r="T426" i="2"/>
  <c r="S426" i="2"/>
  <c r="R426" i="2"/>
  <c r="Q426" i="2"/>
  <c r="N426" i="2"/>
  <c r="M426" i="2"/>
  <c r="U425" i="2"/>
  <c r="E425" i="1"/>
  <c r="T425" i="2"/>
  <c r="S425" i="2"/>
  <c r="R425" i="2"/>
  <c r="Q425" i="2"/>
  <c r="N425" i="2"/>
  <c r="M425" i="2"/>
  <c r="U424" i="2"/>
  <c r="E424" i="1"/>
  <c r="T424" i="2"/>
  <c r="S424" i="2"/>
  <c r="R424" i="2"/>
  <c r="Q424" i="2"/>
  <c r="N424" i="2"/>
  <c r="M424" i="2"/>
  <c r="U423" i="2"/>
  <c r="E423" i="1"/>
  <c r="T423" i="2"/>
  <c r="S423" i="2"/>
  <c r="R423" i="2"/>
  <c r="Q423" i="2"/>
  <c r="N423" i="2"/>
  <c r="M423" i="2"/>
  <c r="U422" i="2"/>
  <c r="E422" i="1"/>
  <c r="T422" i="2"/>
  <c r="S422" i="2"/>
  <c r="R422" i="2"/>
  <c r="Q422" i="2"/>
  <c r="N422" i="2"/>
  <c r="M422" i="2"/>
  <c r="U421" i="2"/>
  <c r="E421" i="1"/>
  <c r="T421" i="2"/>
  <c r="S421" i="2"/>
  <c r="R421" i="2"/>
  <c r="Q421" i="2"/>
  <c r="N421" i="2"/>
  <c r="M421" i="2"/>
  <c r="U420" i="2"/>
  <c r="E420" i="1"/>
  <c r="T420" i="2"/>
  <c r="S420" i="2"/>
  <c r="R420" i="2"/>
  <c r="Q420" i="2"/>
  <c r="N420" i="2"/>
  <c r="M420" i="2"/>
  <c r="U419" i="2"/>
  <c r="E419" i="1"/>
  <c r="T419" i="2"/>
  <c r="S419" i="2"/>
  <c r="R419" i="2"/>
  <c r="Q419" i="2"/>
  <c r="N419" i="2"/>
  <c r="M419" i="2"/>
  <c r="U418" i="2"/>
  <c r="E418" i="1"/>
  <c r="T418" i="2"/>
  <c r="S418" i="2"/>
  <c r="R418" i="2"/>
  <c r="Q418" i="2"/>
  <c r="N418" i="2"/>
  <c r="M418" i="2"/>
  <c r="U417" i="2"/>
  <c r="E417" i="1"/>
  <c r="T417" i="2"/>
  <c r="S417" i="2"/>
  <c r="R417" i="2"/>
  <c r="Q417" i="2"/>
  <c r="N417" i="2"/>
  <c r="M417" i="2"/>
  <c r="U416" i="2"/>
  <c r="E416" i="1"/>
  <c r="T416" i="2"/>
  <c r="S416" i="2"/>
  <c r="R416" i="2"/>
  <c r="Q416" i="2"/>
  <c r="N416" i="2"/>
  <c r="M416" i="2"/>
  <c r="U415" i="2"/>
  <c r="E415" i="1"/>
  <c r="T415" i="2"/>
  <c r="S415" i="2"/>
  <c r="R415" i="2"/>
  <c r="Q415" i="2"/>
  <c r="N415" i="2"/>
  <c r="M415" i="2"/>
  <c r="U414" i="2"/>
  <c r="E414" i="1"/>
  <c r="T414" i="2"/>
  <c r="S414" i="2"/>
  <c r="R414" i="2"/>
  <c r="Q414" i="2"/>
  <c r="N414" i="2"/>
  <c r="M414" i="2"/>
  <c r="U413" i="2"/>
  <c r="E413" i="1"/>
  <c r="T413" i="2"/>
  <c r="S413" i="2"/>
  <c r="R413" i="2"/>
  <c r="Q413" i="2"/>
  <c r="N413" i="2"/>
  <c r="M413" i="2"/>
  <c r="U412" i="2"/>
  <c r="E412" i="1"/>
  <c r="T412" i="2"/>
  <c r="S412" i="2"/>
  <c r="R412" i="2"/>
  <c r="Q412" i="2"/>
  <c r="N412" i="2"/>
  <c r="M412" i="2"/>
  <c r="U411" i="2"/>
  <c r="E411" i="1"/>
  <c r="T411" i="2"/>
  <c r="S411" i="2"/>
  <c r="R411" i="2"/>
  <c r="Q411" i="2"/>
  <c r="N411" i="2"/>
  <c r="M411" i="2"/>
  <c r="U410" i="2"/>
  <c r="E410" i="1"/>
  <c r="T410" i="2"/>
  <c r="S410" i="2"/>
  <c r="R410" i="2"/>
  <c r="Q410" i="2"/>
  <c r="N410" i="2"/>
  <c r="M410" i="2"/>
  <c r="U409" i="2"/>
  <c r="E409" i="1"/>
  <c r="T409" i="2"/>
  <c r="S409" i="2"/>
  <c r="R409" i="2"/>
  <c r="Q409" i="2"/>
  <c r="N409" i="2"/>
  <c r="M409" i="2"/>
  <c r="U408" i="2"/>
  <c r="E408" i="1"/>
  <c r="T408" i="2"/>
  <c r="S408" i="2"/>
  <c r="R408" i="2"/>
  <c r="Q408" i="2"/>
  <c r="N408" i="2"/>
  <c r="M408" i="2"/>
  <c r="U407" i="2"/>
  <c r="E407" i="1"/>
  <c r="T407" i="2"/>
  <c r="S407" i="2"/>
  <c r="R407" i="2"/>
  <c r="Q407" i="2"/>
  <c r="N407" i="2"/>
  <c r="M407" i="2"/>
  <c r="U406" i="2"/>
  <c r="E406" i="1"/>
  <c r="T406" i="2"/>
  <c r="S406" i="2"/>
  <c r="R406" i="2"/>
  <c r="Q406" i="2"/>
  <c r="N406" i="2"/>
  <c r="M406" i="2"/>
  <c r="U405" i="2"/>
  <c r="E405" i="1"/>
  <c r="T405" i="2"/>
  <c r="S405" i="2"/>
  <c r="R405" i="2"/>
  <c r="Q405" i="2"/>
  <c r="N405" i="2"/>
  <c r="M405" i="2"/>
  <c r="U404" i="2"/>
  <c r="E404" i="1"/>
  <c r="T404" i="2"/>
  <c r="S404" i="2"/>
  <c r="R404" i="2"/>
  <c r="Q404" i="2"/>
  <c r="N404" i="2"/>
  <c r="M404" i="2"/>
  <c r="U403" i="2"/>
  <c r="E403" i="1"/>
  <c r="T403" i="2"/>
  <c r="S403" i="2"/>
  <c r="R403" i="2"/>
  <c r="Q403" i="2"/>
  <c r="N403" i="2"/>
  <c r="M403" i="2"/>
  <c r="U402" i="2"/>
  <c r="E402" i="1"/>
  <c r="T402" i="2"/>
  <c r="S402" i="2"/>
  <c r="R402" i="2"/>
  <c r="Q402" i="2"/>
  <c r="N402" i="2"/>
  <c r="M402" i="2"/>
  <c r="U401" i="2"/>
  <c r="E401" i="1"/>
  <c r="T401" i="2"/>
  <c r="S401" i="2"/>
  <c r="R401" i="2"/>
  <c r="Q401" i="2"/>
  <c r="N401" i="2"/>
  <c r="M401" i="2"/>
  <c r="U400" i="2"/>
  <c r="E400" i="1"/>
  <c r="T400" i="2"/>
  <c r="S400" i="2"/>
  <c r="R400" i="2"/>
  <c r="Q400" i="2"/>
  <c r="N400" i="2"/>
  <c r="M400" i="2"/>
  <c r="U399" i="2"/>
  <c r="E399" i="1"/>
  <c r="T399" i="2"/>
  <c r="S399" i="2"/>
  <c r="R399" i="2"/>
  <c r="Q399" i="2"/>
  <c r="N399" i="2"/>
  <c r="M399" i="2"/>
  <c r="U398" i="2"/>
  <c r="E398" i="1"/>
  <c r="T398" i="2"/>
  <c r="S398" i="2"/>
  <c r="R398" i="2"/>
  <c r="Q398" i="2"/>
  <c r="N398" i="2"/>
  <c r="M398" i="2"/>
  <c r="U397" i="2"/>
  <c r="E397" i="1"/>
  <c r="T397" i="2"/>
  <c r="S397" i="2"/>
  <c r="R397" i="2"/>
  <c r="Q397" i="2"/>
  <c r="N397" i="2"/>
  <c r="M397" i="2"/>
  <c r="U396" i="2"/>
  <c r="E396" i="1"/>
  <c r="T396" i="2"/>
  <c r="S396" i="2"/>
  <c r="R396" i="2"/>
  <c r="Q396" i="2"/>
  <c r="N396" i="2"/>
  <c r="M396" i="2"/>
  <c r="U395" i="2"/>
  <c r="E395" i="1"/>
  <c r="T395" i="2"/>
  <c r="S395" i="2"/>
  <c r="R395" i="2"/>
  <c r="Q395" i="2"/>
  <c r="N395" i="2"/>
  <c r="M395" i="2"/>
  <c r="U394" i="2"/>
  <c r="E394" i="1"/>
  <c r="T394" i="2"/>
  <c r="S394" i="2"/>
  <c r="R394" i="2"/>
  <c r="Q394" i="2"/>
  <c r="N394" i="2"/>
  <c r="M394" i="2"/>
  <c r="U393" i="2"/>
  <c r="E393" i="1"/>
  <c r="T393" i="2"/>
  <c r="S393" i="2"/>
  <c r="R393" i="2"/>
  <c r="Q393" i="2"/>
  <c r="N393" i="2"/>
  <c r="M393" i="2"/>
  <c r="U392" i="2"/>
  <c r="E392" i="1"/>
  <c r="T392" i="2"/>
  <c r="S392" i="2"/>
  <c r="R392" i="2"/>
  <c r="Q392" i="2"/>
  <c r="N392" i="2"/>
  <c r="M392" i="2"/>
  <c r="U391" i="2"/>
  <c r="E391" i="1"/>
  <c r="T391" i="2"/>
  <c r="S391" i="2"/>
  <c r="R391" i="2"/>
  <c r="Q391" i="2"/>
  <c r="N391" i="2"/>
  <c r="M391" i="2"/>
  <c r="U390" i="2"/>
  <c r="E390" i="1"/>
  <c r="T390" i="2"/>
  <c r="S390" i="2"/>
  <c r="R390" i="2"/>
  <c r="Q390" i="2"/>
  <c r="N390" i="2"/>
  <c r="M390" i="2"/>
  <c r="U389" i="2"/>
  <c r="E389" i="1"/>
  <c r="T389" i="2"/>
  <c r="S389" i="2"/>
  <c r="R389" i="2"/>
  <c r="Q389" i="2"/>
  <c r="N389" i="2"/>
  <c r="M389" i="2"/>
  <c r="U388" i="2"/>
  <c r="E388" i="1"/>
  <c r="T388" i="2"/>
  <c r="S388" i="2"/>
  <c r="R388" i="2"/>
  <c r="Q388" i="2"/>
  <c r="N388" i="2"/>
  <c r="M388" i="2"/>
  <c r="U387" i="2"/>
  <c r="E387" i="1"/>
  <c r="T387" i="2"/>
  <c r="S387" i="2"/>
  <c r="R387" i="2"/>
  <c r="Q387" i="2"/>
  <c r="N387" i="2"/>
  <c r="M387" i="2"/>
  <c r="U386" i="2"/>
  <c r="E386" i="1"/>
  <c r="T386" i="2"/>
  <c r="S386" i="2"/>
  <c r="R386" i="2"/>
  <c r="Q386" i="2"/>
  <c r="N386" i="2"/>
  <c r="M386" i="2"/>
  <c r="U385" i="2"/>
  <c r="E385" i="1"/>
  <c r="T385" i="2"/>
  <c r="S385" i="2"/>
  <c r="R385" i="2"/>
  <c r="Q385" i="2"/>
  <c r="N385" i="2"/>
  <c r="M385" i="2"/>
  <c r="U384" i="2"/>
  <c r="E384" i="1"/>
  <c r="T384" i="2"/>
  <c r="S384" i="2"/>
  <c r="R384" i="2"/>
  <c r="Q384" i="2"/>
  <c r="N384" i="2"/>
  <c r="M384" i="2"/>
  <c r="U383" i="2"/>
  <c r="E383" i="1"/>
  <c r="T383" i="2"/>
  <c r="S383" i="2"/>
  <c r="R383" i="2"/>
  <c r="Q383" i="2"/>
  <c r="N383" i="2"/>
  <c r="M383" i="2"/>
  <c r="U382" i="2"/>
  <c r="E382" i="1"/>
  <c r="T382" i="2"/>
  <c r="S382" i="2"/>
  <c r="R382" i="2"/>
  <c r="Q382" i="2"/>
  <c r="N382" i="2"/>
  <c r="M382" i="2"/>
  <c r="U381" i="2"/>
  <c r="E381" i="1"/>
  <c r="T381" i="2"/>
  <c r="S381" i="2"/>
  <c r="R381" i="2"/>
  <c r="Q381" i="2"/>
  <c r="N381" i="2"/>
  <c r="M381" i="2"/>
  <c r="U380" i="2"/>
  <c r="E380" i="1"/>
  <c r="T380" i="2"/>
  <c r="S380" i="2"/>
  <c r="R380" i="2"/>
  <c r="Q380" i="2"/>
  <c r="N380" i="2"/>
  <c r="M380" i="2"/>
  <c r="U379" i="2"/>
  <c r="E379" i="1"/>
  <c r="T379" i="2"/>
  <c r="S379" i="2"/>
  <c r="R379" i="2"/>
  <c r="Q379" i="2"/>
  <c r="N379" i="2"/>
  <c r="M379" i="2"/>
  <c r="U378" i="2"/>
  <c r="E378" i="1"/>
  <c r="T378" i="2"/>
  <c r="S378" i="2"/>
  <c r="R378" i="2"/>
  <c r="Q378" i="2"/>
  <c r="N378" i="2"/>
  <c r="M378" i="2"/>
  <c r="U377" i="2"/>
  <c r="E377" i="1"/>
  <c r="T377" i="2"/>
  <c r="S377" i="2"/>
  <c r="R377" i="2"/>
  <c r="Q377" i="2"/>
  <c r="N377" i="2"/>
  <c r="M377" i="2"/>
  <c r="U376" i="2"/>
  <c r="E376" i="1"/>
  <c r="T376" i="2"/>
  <c r="S376" i="2"/>
  <c r="R376" i="2"/>
  <c r="Q376" i="2"/>
  <c r="N376" i="2"/>
  <c r="M376" i="2"/>
  <c r="U375" i="2"/>
  <c r="E375" i="1"/>
  <c r="T375" i="2"/>
  <c r="S375" i="2"/>
  <c r="R375" i="2"/>
  <c r="Q375" i="2"/>
  <c r="N375" i="2"/>
  <c r="M375" i="2"/>
  <c r="U374" i="2"/>
  <c r="E374" i="1"/>
  <c r="T374" i="2"/>
  <c r="S374" i="2"/>
  <c r="R374" i="2"/>
  <c r="Q374" i="2"/>
  <c r="N374" i="2"/>
  <c r="M374" i="2"/>
  <c r="U373" i="2"/>
  <c r="E373" i="1"/>
  <c r="T373" i="2"/>
  <c r="S373" i="2"/>
  <c r="R373" i="2"/>
  <c r="Q373" i="2"/>
  <c r="N373" i="2"/>
  <c r="M373" i="2"/>
  <c r="U372" i="2"/>
  <c r="E372" i="1"/>
  <c r="T372" i="2"/>
  <c r="S372" i="2"/>
  <c r="R372" i="2"/>
  <c r="Q372" i="2"/>
  <c r="N372" i="2"/>
  <c r="M372" i="2"/>
  <c r="U371" i="2"/>
  <c r="E371" i="1"/>
  <c r="T371" i="2"/>
  <c r="S371" i="2"/>
  <c r="R371" i="2"/>
  <c r="Q371" i="2"/>
  <c r="N371" i="2"/>
  <c r="M371" i="2"/>
  <c r="U370" i="2"/>
  <c r="E370" i="1"/>
  <c r="T370" i="2"/>
  <c r="S370" i="2"/>
  <c r="R370" i="2"/>
  <c r="Q370" i="2"/>
  <c r="N370" i="2"/>
  <c r="M370" i="2"/>
  <c r="U369" i="2"/>
  <c r="E369" i="1"/>
  <c r="T369" i="2"/>
  <c r="S369" i="2"/>
  <c r="R369" i="2"/>
  <c r="Q369" i="2"/>
  <c r="N369" i="2"/>
  <c r="M369" i="2"/>
  <c r="U368" i="2"/>
  <c r="E368" i="1"/>
  <c r="T368" i="2"/>
  <c r="S368" i="2"/>
  <c r="R368" i="2"/>
  <c r="Q368" i="2"/>
  <c r="N368" i="2"/>
  <c r="M368" i="2"/>
  <c r="U367" i="2"/>
  <c r="E367" i="1"/>
  <c r="T367" i="2"/>
  <c r="S367" i="2"/>
  <c r="R367" i="2"/>
  <c r="Q367" i="2"/>
  <c r="N367" i="2"/>
  <c r="M367" i="2"/>
  <c r="U366" i="2"/>
  <c r="E366" i="1"/>
  <c r="T366" i="2"/>
  <c r="S366" i="2"/>
  <c r="R366" i="2"/>
  <c r="Q366" i="2"/>
  <c r="N366" i="2"/>
  <c r="M366" i="2"/>
  <c r="U365" i="2"/>
  <c r="E365" i="1"/>
  <c r="T365" i="2"/>
  <c r="S365" i="2"/>
  <c r="R365" i="2"/>
  <c r="Q365" i="2"/>
  <c r="N365" i="2"/>
  <c r="M365" i="2"/>
  <c r="U364" i="2"/>
  <c r="E364" i="1"/>
  <c r="T364" i="2"/>
  <c r="S364" i="2"/>
  <c r="R364" i="2"/>
  <c r="Q364" i="2"/>
  <c r="N364" i="2"/>
  <c r="M364" i="2"/>
  <c r="U363" i="2"/>
  <c r="E363" i="1"/>
  <c r="T363" i="2"/>
  <c r="S363" i="2"/>
  <c r="R363" i="2"/>
  <c r="Q363" i="2"/>
  <c r="N363" i="2"/>
  <c r="M363" i="2"/>
  <c r="U362" i="2"/>
  <c r="E362" i="1"/>
  <c r="T362" i="2"/>
  <c r="S362" i="2"/>
  <c r="R362" i="2"/>
  <c r="Q362" i="2"/>
  <c r="N362" i="2"/>
  <c r="M362" i="2"/>
  <c r="U361" i="2"/>
  <c r="E361" i="1"/>
  <c r="T361" i="2"/>
  <c r="S361" i="2"/>
  <c r="R361" i="2"/>
  <c r="Q361" i="2"/>
  <c r="N361" i="2"/>
  <c r="M361" i="2"/>
  <c r="U360" i="2"/>
  <c r="E360" i="1"/>
  <c r="T360" i="2"/>
  <c r="S360" i="2"/>
  <c r="R360" i="2"/>
  <c r="Q360" i="2"/>
  <c r="N360" i="2"/>
  <c r="M360" i="2"/>
  <c r="U359" i="2"/>
  <c r="E359" i="1"/>
  <c r="T359" i="2"/>
  <c r="S359" i="2"/>
  <c r="R359" i="2"/>
  <c r="Q359" i="2"/>
  <c r="N359" i="2"/>
  <c r="M359" i="2"/>
  <c r="U358" i="2"/>
  <c r="E358" i="1"/>
  <c r="T358" i="2"/>
  <c r="S358" i="2"/>
  <c r="R358" i="2"/>
  <c r="Q358" i="2"/>
  <c r="N358" i="2"/>
  <c r="M358" i="2"/>
  <c r="U357" i="2"/>
  <c r="E357" i="1"/>
  <c r="T357" i="2"/>
  <c r="S357" i="2"/>
  <c r="R357" i="2"/>
  <c r="Q357" i="2"/>
  <c r="N357" i="2"/>
  <c r="M357" i="2"/>
  <c r="U356" i="2"/>
  <c r="E356" i="1"/>
  <c r="T356" i="2"/>
  <c r="S356" i="2"/>
  <c r="R356" i="2"/>
  <c r="Q356" i="2"/>
  <c r="N356" i="2"/>
  <c r="M356" i="2"/>
  <c r="U355" i="2"/>
  <c r="E355" i="1"/>
  <c r="T355" i="2"/>
  <c r="S355" i="2"/>
  <c r="R355" i="2"/>
  <c r="Q355" i="2"/>
  <c r="N355" i="2"/>
  <c r="M355" i="2"/>
  <c r="U354" i="2"/>
  <c r="E354" i="1"/>
  <c r="T354" i="2"/>
  <c r="S354" i="2"/>
  <c r="R354" i="2"/>
  <c r="Q354" i="2"/>
  <c r="N354" i="2"/>
  <c r="M354" i="2"/>
  <c r="U353" i="2"/>
  <c r="E353" i="1"/>
  <c r="T353" i="2"/>
  <c r="S353" i="2"/>
  <c r="R353" i="2"/>
  <c r="Q353" i="2"/>
  <c r="N353" i="2"/>
  <c r="M353" i="2"/>
  <c r="U352" i="2"/>
  <c r="E352" i="1"/>
  <c r="T352" i="2"/>
  <c r="S352" i="2"/>
  <c r="R352" i="2"/>
  <c r="Q352" i="2"/>
  <c r="N352" i="2"/>
  <c r="M352" i="2"/>
  <c r="U351" i="2"/>
  <c r="E351" i="1"/>
  <c r="T351" i="2"/>
  <c r="S351" i="2"/>
  <c r="R351" i="2"/>
  <c r="Q351" i="2"/>
  <c r="N351" i="2"/>
  <c r="M351" i="2"/>
  <c r="U350" i="2"/>
  <c r="E350" i="1"/>
  <c r="T350" i="2"/>
  <c r="S350" i="2"/>
  <c r="R350" i="2"/>
  <c r="Q350" i="2"/>
  <c r="N350" i="2"/>
  <c r="M350" i="2"/>
  <c r="U349" i="2"/>
  <c r="E349" i="1"/>
  <c r="T349" i="2"/>
  <c r="S349" i="2"/>
  <c r="R349" i="2"/>
  <c r="Q349" i="2"/>
  <c r="N349" i="2"/>
  <c r="M349" i="2"/>
  <c r="U348" i="2"/>
  <c r="E348" i="1"/>
  <c r="T348" i="2"/>
  <c r="S348" i="2"/>
  <c r="R348" i="2"/>
  <c r="Q348" i="2"/>
  <c r="N348" i="2"/>
  <c r="M348" i="2"/>
  <c r="U347" i="2"/>
  <c r="E347" i="1"/>
  <c r="T347" i="2"/>
  <c r="S347" i="2"/>
  <c r="R347" i="2"/>
  <c r="Q347" i="2"/>
  <c r="N347" i="2"/>
  <c r="M347" i="2"/>
  <c r="U346" i="2"/>
  <c r="E346" i="1"/>
  <c r="T346" i="2"/>
  <c r="S346" i="2"/>
  <c r="R346" i="2"/>
  <c r="Q346" i="2"/>
  <c r="N346" i="2"/>
  <c r="M346" i="2"/>
  <c r="U345" i="2"/>
  <c r="E345" i="1"/>
  <c r="T345" i="2"/>
  <c r="S345" i="2"/>
  <c r="R345" i="2"/>
  <c r="Q345" i="2"/>
  <c r="N345" i="2"/>
  <c r="M345" i="2"/>
  <c r="U344" i="2"/>
  <c r="E344" i="1"/>
  <c r="T344" i="2"/>
  <c r="S344" i="2"/>
  <c r="R344" i="2"/>
  <c r="Q344" i="2"/>
  <c r="N344" i="2"/>
  <c r="M344" i="2"/>
  <c r="U343" i="2"/>
  <c r="E343" i="1"/>
  <c r="T343" i="2"/>
  <c r="S343" i="2"/>
  <c r="R343" i="2"/>
  <c r="Q343" i="2"/>
  <c r="N343" i="2"/>
  <c r="M343" i="2"/>
  <c r="U342" i="2"/>
  <c r="E342" i="1"/>
  <c r="T342" i="2"/>
  <c r="S342" i="2"/>
  <c r="R342" i="2"/>
  <c r="Q342" i="2"/>
  <c r="N342" i="2"/>
  <c r="M342" i="2"/>
  <c r="U341" i="2"/>
  <c r="E341" i="1"/>
  <c r="T341" i="2"/>
  <c r="S341" i="2"/>
  <c r="R341" i="2"/>
  <c r="Q341" i="2"/>
  <c r="N341" i="2"/>
  <c r="M341" i="2"/>
  <c r="U340" i="2"/>
  <c r="E340" i="1"/>
  <c r="T340" i="2"/>
  <c r="S340" i="2"/>
  <c r="R340" i="2"/>
  <c r="Q340" i="2"/>
  <c r="N340" i="2"/>
  <c r="M340" i="2"/>
  <c r="U339" i="2"/>
  <c r="E339" i="1"/>
  <c r="T339" i="2"/>
  <c r="S339" i="2"/>
  <c r="R339" i="2"/>
  <c r="Q339" i="2"/>
  <c r="N339" i="2"/>
  <c r="M339" i="2"/>
  <c r="U338" i="2"/>
  <c r="E338" i="1"/>
  <c r="T338" i="2"/>
  <c r="S338" i="2"/>
  <c r="R338" i="2"/>
  <c r="Q338" i="2"/>
  <c r="N338" i="2"/>
  <c r="M338" i="2"/>
  <c r="U337" i="2"/>
  <c r="E337" i="1"/>
  <c r="T337" i="2"/>
  <c r="S337" i="2"/>
  <c r="R337" i="2"/>
  <c r="Q337" i="2"/>
  <c r="N337" i="2"/>
  <c r="M337" i="2"/>
  <c r="U336" i="2"/>
  <c r="E336" i="1"/>
  <c r="T336" i="2"/>
  <c r="S336" i="2"/>
  <c r="R336" i="2"/>
  <c r="Q336" i="2"/>
  <c r="N336" i="2"/>
  <c r="M336" i="2"/>
  <c r="U335" i="2"/>
  <c r="E335" i="1"/>
  <c r="T335" i="2"/>
  <c r="S335" i="2"/>
  <c r="R335" i="2"/>
  <c r="Q335" i="2"/>
  <c r="N335" i="2"/>
  <c r="M335" i="2"/>
  <c r="U334" i="2"/>
  <c r="E334" i="1"/>
  <c r="T334" i="2"/>
  <c r="S334" i="2"/>
  <c r="R334" i="2"/>
  <c r="Q334" i="2"/>
  <c r="N334" i="2"/>
  <c r="M334" i="2"/>
  <c r="U333" i="2"/>
  <c r="E333" i="1"/>
  <c r="T333" i="2"/>
  <c r="S333" i="2"/>
  <c r="R333" i="2"/>
  <c r="Q333" i="2"/>
  <c r="N333" i="2"/>
  <c r="M333" i="2"/>
  <c r="U332" i="2"/>
  <c r="E332" i="1"/>
  <c r="T332" i="2"/>
  <c r="S332" i="2"/>
  <c r="R332" i="2"/>
  <c r="Q332" i="2"/>
  <c r="N332" i="2"/>
  <c r="M332" i="2"/>
  <c r="U331" i="2"/>
  <c r="E331" i="1"/>
  <c r="T331" i="2"/>
  <c r="S331" i="2"/>
  <c r="R331" i="2"/>
  <c r="Q331" i="2"/>
  <c r="N331" i="2"/>
  <c r="M331" i="2"/>
  <c r="U330" i="2"/>
  <c r="E330" i="1"/>
  <c r="T330" i="2"/>
  <c r="S330" i="2"/>
  <c r="R330" i="2"/>
  <c r="Q330" i="2"/>
  <c r="N330" i="2"/>
  <c r="M330" i="2"/>
  <c r="U329" i="2"/>
  <c r="E329" i="1"/>
  <c r="T329" i="2"/>
  <c r="S329" i="2"/>
  <c r="R329" i="2"/>
  <c r="Q329" i="2"/>
  <c r="N329" i="2"/>
  <c r="M329" i="2"/>
  <c r="U328" i="2"/>
  <c r="E328" i="1"/>
  <c r="T328" i="2"/>
  <c r="S328" i="2"/>
  <c r="R328" i="2"/>
  <c r="Q328" i="2"/>
  <c r="N328" i="2"/>
  <c r="M328" i="2"/>
  <c r="U327" i="2"/>
  <c r="E327" i="1"/>
  <c r="T327" i="2"/>
  <c r="S327" i="2"/>
  <c r="R327" i="2"/>
  <c r="Q327" i="2"/>
  <c r="N327" i="2"/>
  <c r="M327" i="2"/>
  <c r="U326" i="2"/>
  <c r="E326" i="1"/>
  <c r="T326" i="2"/>
  <c r="S326" i="2"/>
  <c r="R326" i="2"/>
  <c r="Q326" i="2"/>
  <c r="N326" i="2"/>
  <c r="M326" i="2"/>
  <c r="U325" i="2"/>
  <c r="E325" i="1"/>
  <c r="T325" i="2"/>
  <c r="S325" i="2"/>
  <c r="R325" i="2"/>
  <c r="Q325" i="2"/>
  <c r="N325" i="2"/>
  <c r="M325" i="2"/>
  <c r="U324" i="2"/>
  <c r="E324" i="1"/>
  <c r="T324" i="2"/>
  <c r="S324" i="2"/>
  <c r="R324" i="2"/>
  <c r="Q324" i="2"/>
  <c r="N324" i="2"/>
  <c r="M324" i="2"/>
  <c r="U323" i="2"/>
  <c r="E323" i="1"/>
  <c r="T323" i="2"/>
  <c r="S323" i="2"/>
  <c r="R323" i="2"/>
  <c r="Q323" i="2"/>
  <c r="N323" i="2"/>
  <c r="M323" i="2"/>
  <c r="U322" i="2"/>
  <c r="E322" i="1"/>
  <c r="T322" i="2"/>
  <c r="S322" i="2"/>
  <c r="R322" i="2"/>
  <c r="Q322" i="2"/>
  <c r="N322" i="2"/>
  <c r="M322" i="2"/>
  <c r="U321" i="2"/>
  <c r="E321" i="1"/>
  <c r="T321" i="2"/>
  <c r="S321" i="2"/>
  <c r="R321" i="2"/>
  <c r="Q321" i="2"/>
  <c r="N321" i="2"/>
  <c r="M321" i="2"/>
  <c r="U320" i="2"/>
  <c r="E320" i="1"/>
  <c r="T320" i="2"/>
  <c r="S320" i="2"/>
  <c r="R320" i="2"/>
  <c r="Q320" i="2"/>
  <c r="N320" i="2"/>
  <c r="M320" i="2"/>
  <c r="U319" i="2"/>
  <c r="E319" i="1"/>
  <c r="T319" i="2"/>
  <c r="S319" i="2"/>
  <c r="R319" i="2"/>
  <c r="Q319" i="2"/>
  <c r="N319" i="2"/>
  <c r="M319" i="2"/>
  <c r="U318" i="2"/>
  <c r="E318" i="1"/>
  <c r="T318" i="2"/>
  <c r="S318" i="2"/>
  <c r="R318" i="2"/>
  <c r="Q318" i="2"/>
  <c r="N318" i="2"/>
  <c r="M318" i="2"/>
  <c r="U317" i="2"/>
  <c r="E317" i="1"/>
  <c r="T317" i="2"/>
  <c r="S317" i="2"/>
  <c r="R317" i="2"/>
  <c r="Q317" i="2"/>
  <c r="N317" i="2"/>
  <c r="M317" i="2"/>
  <c r="U316" i="2"/>
  <c r="E316" i="1"/>
  <c r="T316" i="2"/>
  <c r="S316" i="2"/>
  <c r="R316" i="2"/>
  <c r="Q316" i="2"/>
  <c r="N316" i="2"/>
  <c r="M316" i="2"/>
  <c r="U315" i="2"/>
  <c r="E315" i="1"/>
  <c r="T315" i="2"/>
  <c r="S315" i="2"/>
  <c r="R315" i="2"/>
  <c r="Q315" i="2"/>
  <c r="N315" i="2"/>
  <c r="M315" i="2"/>
  <c r="U314" i="2"/>
  <c r="E314" i="1"/>
  <c r="T314" i="2"/>
  <c r="S314" i="2"/>
  <c r="R314" i="2"/>
  <c r="Q314" i="2"/>
  <c r="N314" i="2"/>
  <c r="M314" i="2"/>
  <c r="U313" i="2"/>
  <c r="E313" i="1"/>
  <c r="T313" i="2"/>
  <c r="S313" i="2"/>
  <c r="R313" i="2"/>
  <c r="Q313" i="2"/>
  <c r="N313" i="2"/>
  <c r="M313" i="2"/>
  <c r="U312" i="2"/>
  <c r="E312" i="1"/>
  <c r="T312" i="2"/>
  <c r="S312" i="2"/>
  <c r="R312" i="2"/>
  <c r="Q312" i="2"/>
  <c r="N312" i="2"/>
  <c r="M312" i="2"/>
  <c r="U311" i="2"/>
  <c r="E311" i="1"/>
  <c r="T311" i="2"/>
  <c r="S311" i="2"/>
  <c r="R311" i="2"/>
  <c r="Q311" i="2"/>
  <c r="N311" i="2"/>
  <c r="M311" i="2"/>
  <c r="U310" i="2"/>
  <c r="E310" i="1"/>
  <c r="T310" i="2"/>
  <c r="S310" i="2"/>
  <c r="R310" i="2"/>
  <c r="Q310" i="2"/>
  <c r="N310" i="2"/>
  <c r="M310" i="2"/>
  <c r="U309" i="2"/>
  <c r="E309" i="1"/>
  <c r="T309" i="2"/>
  <c r="S309" i="2"/>
  <c r="R309" i="2"/>
  <c r="Q309" i="2"/>
  <c r="N309" i="2"/>
  <c r="M309" i="2"/>
  <c r="U308" i="2"/>
  <c r="E308" i="1"/>
  <c r="T308" i="2"/>
  <c r="S308" i="2"/>
  <c r="R308" i="2"/>
  <c r="Q308" i="2"/>
  <c r="N308" i="2"/>
  <c r="M308" i="2"/>
  <c r="U307" i="2"/>
  <c r="E307" i="1"/>
  <c r="T307" i="2"/>
  <c r="S307" i="2"/>
  <c r="R307" i="2"/>
  <c r="Q307" i="2"/>
  <c r="N307" i="2"/>
  <c r="M307" i="2"/>
  <c r="U306" i="2"/>
  <c r="E306" i="1"/>
  <c r="T306" i="2"/>
  <c r="S306" i="2"/>
  <c r="R306" i="2"/>
  <c r="Q306" i="2"/>
  <c r="N306" i="2"/>
  <c r="M306" i="2"/>
  <c r="U305" i="2"/>
  <c r="E305" i="1"/>
  <c r="T305" i="2"/>
  <c r="S305" i="2"/>
  <c r="R305" i="2"/>
  <c r="Q305" i="2"/>
  <c r="N305" i="2"/>
  <c r="M305" i="2"/>
  <c r="U304" i="2"/>
  <c r="E304" i="1"/>
  <c r="T304" i="2"/>
  <c r="S304" i="2"/>
  <c r="R304" i="2"/>
  <c r="Q304" i="2"/>
  <c r="N304" i="2"/>
  <c r="M304" i="2"/>
  <c r="U303" i="2"/>
  <c r="E303" i="1"/>
  <c r="T303" i="2"/>
  <c r="S303" i="2"/>
  <c r="R303" i="2"/>
  <c r="Q303" i="2"/>
  <c r="N303" i="2"/>
  <c r="M303" i="2"/>
  <c r="U302" i="2"/>
  <c r="E302" i="1"/>
  <c r="T302" i="2"/>
  <c r="S302" i="2"/>
  <c r="R302" i="2"/>
  <c r="Q302" i="2"/>
  <c r="N302" i="2"/>
  <c r="M302" i="2"/>
  <c r="U301" i="2"/>
  <c r="E301" i="1"/>
  <c r="T301" i="2"/>
  <c r="S301" i="2"/>
  <c r="R301" i="2"/>
  <c r="Q301" i="2"/>
  <c r="N301" i="2"/>
  <c r="M301" i="2"/>
  <c r="U300" i="2"/>
  <c r="E300" i="1"/>
  <c r="T300" i="2"/>
  <c r="S300" i="2"/>
  <c r="R300" i="2"/>
  <c r="Q300" i="2"/>
  <c r="N300" i="2"/>
  <c r="M300" i="2"/>
  <c r="U299" i="2"/>
  <c r="E299" i="1"/>
  <c r="T299" i="2"/>
  <c r="S299" i="2"/>
  <c r="R299" i="2"/>
  <c r="Q299" i="2"/>
  <c r="N299" i="2"/>
  <c r="M299" i="2"/>
  <c r="U298" i="2"/>
  <c r="E298" i="1"/>
  <c r="T298" i="2"/>
  <c r="S298" i="2"/>
  <c r="R298" i="2"/>
  <c r="Q298" i="2"/>
  <c r="N298" i="2"/>
  <c r="M298" i="2"/>
  <c r="U297" i="2"/>
  <c r="E297" i="1"/>
  <c r="T297" i="2"/>
  <c r="S297" i="2"/>
  <c r="R297" i="2"/>
  <c r="Q297" i="2"/>
  <c r="N297" i="2"/>
  <c r="M297" i="2"/>
  <c r="U296" i="2"/>
  <c r="E296" i="1"/>
  <c r="T296" i="2"/>
  <c r="S296" i="2"/>
  <c r="R296" i="2"/>
  <c r="Q296" i="2"/>
  <c r="N296" i="2"/>
  <c r="M296" i="2"/>
  <c r="U295" i="2"/>
  <c r="E295" i="1"/>
  <c r="T295" i="2"/>
  <c r="S295" i="2"/>
  <c r="R295" i="2"/>
  <c r="Q295" i="2"/>
  <c r="N295" i="2"/>
  <c r="M295" i="2"/>
  <c r="U294" i="2"/>
  <c r="E294" i="1"/>
  <c r="T294" i="2"/>
  <c r="S294" i="2"/>
  <c r="R294" i="2"/>
  <c r="Q294" i="2"/>
  <c r="N294" i="2"/>
  <c r="M294" i="2"/>
  <c r="U293" i="2"/>
  <c r="E293" i="1"/>
  <c r="T293" i="2"/>
  <c r="S293" i="2"/>
  <c r="R293" i="2"/>
  <c r="Q293" i="2"/>
  <c r="N293" i="2"/>
  <c r="M293" i="2"/>
  <c r="U292" i="2"/>
  <c r="E292" i="1"/>
  <c r="T292" i="2"/>
  <c r="S292" i="2"/>
  <c r="R292" i="2"/>
  <c r="Q292" i="2"/>
  <c r="N292" i="2"/>
  <c r="M292" i="2"/>
  <c r="U291" i="2"/>
  <c r="E291" i="1"/>
  <c r="T291" i="2"/>
  <c r="S291" i="2"/>
  <c r="R291" i="2"/>
  <c r="Q291" i="2"/>
  <c r="N291" i="2"/>
  <c r="M291" i="2"/>
  <c r="U290" i="2"/>
  <c r="E290" i="1"/>
  <c r="T290" i="2"/>
  <c r="S290" i="2"/>
  <c r="R290" i="2"/>
  <c r="Q290" i="2"/>
  <c r="N290" i="2"/>
  <c r="M290" i="2"/>
  <c r="U289" i="2"/>
  <c r="E289" i="1"/>
  <c r="T289" i="2"/>
  <c r="S289" i="2"/>
  <c r="R289" i="2"/>
  <c r="Q289" i="2"/>
  <c r="N289" i="2"/>
  <c r="M289" i="2"/>
  <c r="U288" i="2"/>
  <c r="E288" i="1"/>
  <c r="T288" i="2"/>
  <c r="S288" i="2"/>
  <c r="R288" i="2"/>
  <c r="Q288" i="2"/>
  <c r="N288" i="2"/>
  <c r="M288" i="2"/>
  <c r="U287" i="2"/>
  <c r="E287" i="1"/>
  <c r="T287" i="2"/>
  <c r="S287" i="2"/>
  <c r="R287" i="2"/>
  <c r="Q287" i="2"/>
  <c r="N287" i="2"/>
  <c r="M287" i="2"/>
  <c r="U286" i="2"/>
  <c r="E286" i="1"/>
  <c r="T286" i="2"/>
  <c r="S286" i="2"/>
  <c r="R286" i="2"/>
  <c r="Q286" i="2"/>
  <c r="N286" i="2"/>
  <c r="M286" i="2"/>
  <c r="U285" i="2"/>
  <c r="E285" i="1"/>
  <c r="T285" i="2"/>
  <c r="S285" i="2"/>
  <c r="R285" i="2"/>
  <c r="Q285" i="2"/>
  <c r="N285" i="2"/>
  <c r="M285" i="2"/>
  <c r="U284" i="2"/>
  <c r="E284" i="1"/>
  <c r="T284" i="2"/>
  <c r="S284" i="2"/>
  <c r="R284" i="2"/>
  <c r="Q284" i="2"/>
  <c r="N284" i="2"/>
  <c r="M284" i="2"/>
  <c r="U283" i="2"/>
  <c r="E283" i="1"/>
  <c r="T283" i="2"/>
  <c r="S283" i="2"/>
  <c r="R283" i="2"/>
  <c r="Q283" i="2"/>
  <c r="N283" i="2"/>
  <c r="M283" i="2"/>
  <c r="U282" i="2"/>
  <c r="E282" i="1"/>
  <c r="T282" i="2"/>
  <c r="S282" i="2"/>
  <c r="R282" i="2"/>
  <c r="Q282" i="2"/>
  <c r="N282" i="2"/>
  <c r="M282" i="2"/>
  <c r="U281" i="2"/>
  <c r="E281" i="1"/>
  <c r="T281" i="2"/>
  <c r="S281" i="2"/>
  <c r="R281" i="2"/>
  <c r="Q281" i="2"/>
  <c r="N281" i="2"/>
  <c r="M281" i="2"/>
  <c r="U280" i="2"/>
  <c r="E280" i="1"/>
  <c r="T280" i="2"/>
  <c r="S280" i="2"/>
  <c r="R280" i="2"/>
  <c r="Q280" i="2"/>
  <c r="N280" i="2"/>
  <c r="M280" i="2"/>
  <c r="U279" i="2"/>
  <c r="E279" i="1"/>
  <c r="T279" i="2"/>
  <c r="S279" i="2"/>
  <c r="R279" i="2"/>
  <c r="Q279" i="2"/>
  <c r="N279" i="2"/>
  <c r="M279" i="2"/>
  <c r="U278" i="2"/>
  <c r="E278" i="1"/>
  <c r="T278" i="2"/>
  <c r="S278" i="2"/>
  <c r="R278" i="2"/>
  <c r="Q278" i="2"/>
  <c r="N278" i="2"/>
  <c r="M278" i="2"/>
  <c r="U277" i="2"/>
  <c r="E277" i="1"/>
  <c r="T277" i="2"/>
  <c r="S277" i="2"/>
  <c r="R277" i="2"/>
  <c r="Q277" i="2"/>
  <c r="N277" i="2"/>
  <c r="M277" i="2"/>
  <c r="U276" i="2"/>
  <c r="E276" i="1"/>
  <c r="T276" i="2"/>
  <c r="S276" i="2"/>
  <c r="R276" i="2"/>
  <c r="Q276" i="2"/>
  <c r="N276" i="2"/>
  <c r="M276" i="2"/>
  <c r="U275" i="2"/>
  <c r="E275" i="1"/>
  <c r="T275" i="2"/>
  <c r="S275" i="2"/>
  <c r="R275" i="2"/>
  <c r="Q275" i="2"/>
  <c r="N275" i="2"/>
  <c r="M275" i="2"/>
  <c r="U274" i="2"/>
  <c r="E274" i="1"/>
  <c r="T274" i="2"/>
  <c r="S274" i="2"/>
  <c r="R274" i="2"/>
  <c r="Q274" i="2"/>
  <c r="N274" i="2"/>
  <c r="M274" i="2"/>
  <c r="U273" i="2"/>
  <c r="E273" i="1"/>
  <c r="T273" i="2"/>
  <c r="S273" i="2"/>
  <c r="R273" i="2"/>
  <c r="Q273" i="2"/>
  <c r="N273" i="2"/>
  <c r="M273" i="2"/>
  <c r="U272" i="2"/>
  <c r="E272" i="1"/>
  <c r="T272" i="2"/>
  <c r="S272" i="2"/>
  <c r="R272" i="2"/>
  <c r="Q272" i="2"/>
  <c r="N272" i="2"/>
  <c r="M272" i="2"/>
  <c r="U271" i="2"/>
  <c r="E271" i="1"/>
  <c r="T271" i="2"/>
  <c r="S271" i="2"/>
  <c r="R271" i="2"/>
  <c r="Q271" i="2"/>
  <c r="N271" i="2"/>
  <c r="M271" i="2"/>
  <c r="U270" i="2"/>
  <c r="E270" i="1"/>
  <c r="T270" i="2"/>
  <c r="S270" i="2"/>
  <c r="R270" i="2"/>
  <c r="Q270" i="2"/>
  <c r="N270" i="2"/>
  <c r="M270" i="2"/>
  <c r="U269" i="2"/>
  <c r="E269" i="1"/>
  <c r="T269" i="2"/>
  <c r="S269" i="2"/>
  <c r="R269" i="2"/>
  <c r="Q269" i="2"/>
  <c r="N269" i="2"/>
  <c r="M269" i="2"/>
  <c r="U268" i="2"/>
  <c r="E268" i="1"/>
  <c r="T268" i="2"/>
  <c r="S268" i="2"/>
  <c r="R268" i="2"/>
  <c r="Q268" i="2"/>
  <c r="N268" i="2"/>
  <c r="M268" i="2"/>
  <c r="U267" i="2"/>
  <c r="E267" i="1"/>
  <c r="T267" i="2"/>
  <c r="S267" i="2"/>
  <c r="R267" i="2"/>
  <c r="Q267" i="2"/>
  <c r="N267" i="2"/>
  <c r="M267" i="2"/>
  <c r="U266" i="2"/>
  <c r="E266" i="1"/>
  <c r="T266" i="2"/>
  <c r="S266" i="2"/>
  <c r="R266" i="2"/>
  <c r="Q266" i="2"/>
  <c r="N266" i="2"/>
  <c r="M266" i="2"/>
  <c r="U265" i="2"/>
  <c r="E265" i="1"/>
  <c r="T265" i="2"/>
  <c r="S265" i="2"/>
  <c r="R265" i="2"/>
  <c r="Q265" i="2"/>
  <c r="N265" i="2"/>
  <c r="M265" i="2"/>
  <c r="U264" i="2"/>
  <c r="E264" i="1"/>
  <c r="T264" i="2"/>
  <c r="S264" i="2"/>
  <c r="R264" i="2"/>
  <c r="Q264" i="2"/>
  <c r="N264" i="2"/>
  <c r="M264" i="2"/>
  <c r="U263" i="2"/>
  <c r="E263" i="1"/>
  <c r="T263" i="2"/>
  <c r="S263" i="2"/>
  <c r="R263" i="2"/>
  <c r="Q263" i="2"/>
  <c r="N263" i="2"/>
  <c r="M263" i="2"/>
  <c r="U262" i="2"/>
  <c r="E262" i="1"/>
  <c r="T262" i="2"/>
  <c r="S262" i="2"/>
  <c r="R262" i="2"/>
  <c r="Q262" i="2"/>
  <c r="N262" i="2"/>
  <c r="M262" i="2"/>
  <c r="U261" i="2"/>
  <c r="E261" i="1"/>
  <c r="T261" i="2"/>
  <c r="S261" i="2"/>
  <c r="R261" i="2"/>
  <c r="Q261" i="2"/>
  <c r="N261" i="2"/>
  <c r="M261" i="2"/>
  <c r="U260" i="2"/>
  <c r="E260" i="1"/>
  <c r="T260" i="2"/>
  <c r="S260" i="2"/>
  <c r="R260" i="2"/>
  <c r="Q260" i="2"/>
  <c r="N260" i="2"/>
  <c r="M260" i="2"/>
  <c r="U259" i="2"/>
  <c r="E259" i="1"/>
  <c r="T259" i="2"/>
  <c r="S259" i="2"/>
  <c r="R259" i="2"/>
  <c r="Q259" i="2"/>
  <c r="N259" i="2"/>
  <c r="M259" i="2"/>
  <c r="U258" i="2"/>
  <c r="E258" i="1"/>
  <c r="T258" i="2"/>
  <c r="S258" i="2"/>
  <c r="R258" i="2"/>
  <c r="Q258" i="2"/>
  <c r="N258" i="2"/>
  <c r="M258" i="2"/>
  <c r="U257" i="2"/>
  <c r="E257" i="1"/>
  <c r="T257" i="2"/>
  <c r="S257" i="2"/>
  <c r="R257" i="2"/>
  <c r="Q257" i="2"/>
  <c r="N257" i="2"/>
  <c r="M257" i="2"/>
  <c r="U256" i="2"/>
  <c r="E256" i="1"/>
  <c r="T256" i="2"/>
  <c r="S256" i="2"/>
  <c r="R256" i="2"/>
  <c r="Q256" i="2"/>
  <c r="N256" i="2"/>
  <c r="M256" i="2"/>
  <c r="U255" i="2"/>
  <c r="E255" i="1"/>
  <c r="T255" i="2"/>
  <c r="S255" i="2"/>
  <c r="R255" i="2"/>
  <c r="Q255" i="2"/>
  <c r="N255" i="2"/>
  <c r="M255" i="2"/>
  <c r="U254" i="2"/>
  <c r="E254" i="1"/>
  <c r="T254" i="2"/>
  <c r="S254" i="2"/>
  <c r="R254" i="2"/>
  <c r="Q254" i="2"/>
  <c r="N254" i="2"/>
  <c r="M254" i="2"/>
  <c r="U253" i="2"/>
  <c r="E253" i="1"/>
  <c r="T253" i="2"/>
  <c r="S253" i="2"/>
  <c r="R253" i="2"/>
  <c r="Q253" i="2"/>
  <c r="N253" i="2"/>
  <c r="M253" i="2"/>
  <c r="U252" i="2"/>
  <c r="E252" i="1"/>
  <c r="T252" i="2"/>
  <c r="S252" i="2"/>
  <c r="R252" i="2"/>
  <c r="Q252" i="2"/>
  <c r="N252" i="2"/>
  <c r="M252" i="2"/>
  <c r="U251" i="2"/>
  <c r="E251" i="1"/>
  <c r="T251" i="2"/>
  <c r="S251" i="2"/>
  <c r="R251" i="2"/>
  <c r="Q251" i="2"/>
  <c r="N251" i="2"/>
  <c r="M251" i="2"/>
  <c r="U250" i="2"/>
  <c r="E250" i="1"/>
  <c r="T250" i="2"/>
  <c r="S250" i="2"/>
  <c r="R250" i="2"/>
  <c r="Q250" i="2"/>
  <c r="N250" i="2"/>
  <c r="M250" i="2"/>
  <c r="U249" i="2"/>
  <c r="E249" i="1"/>
  <c r="T249" i="2"/>
  <c r="S249" i="2"/>
  <c r="R249" i="2"/>
  <c r="Q249" i="2"/>
  <c r="N249" i="2"/>
  <c r="M249" i="2"/>
  <c r="U248" i="2"/>
  <c r="E248" i="1"/>
  <c r="T248" i="2"/>
  <c r="S248" i="2"/>
  <c r="R248" i="2"/>
  <c r="Q248" i="2"/>
  <c r="N248" i="2"/>
  <c r="M248" i="2"/>
  <c r="U247" i="2"/>
  <c r="E247" i="1"/>
  <c r="T247" i="2"/>
  <c r="S247" i="2"/>
  <c r="R247" i="2"/>
  <c r="Q247" i="2"/>
  <c r="N247" i="2"/>
  <c r="M247" i="2"/>
  <c r="U246" i="2"/>
  <c r="E246" i="1"/>
  <c r="T246" i="2"/>
  <c r="S246" i="2"/>
  <c r="R246" i="2"/>
  <c r="Q246" i="2"/>
  <c r="N246" i="2"/>
  <c r="M246" i="2"/>
  <c r="U245" i="2"/>
  <c r="E245" i="1"/>
  <c r="T245" i="2"/>
  <c r="S245" i="2"/>
  <c r="R245" i="2"/>
  <c r="Q245" i="2"/>
  <c r="N245" i="2"/>
  <c r="M245" i="2"/>
  <c r="U244" i="2"/>
  <c r="E244" i="1"/>
  <c r="T244" i="2"/>
  <c r="S244" i="2"/>
  <c r="R244" i="2"/>
  <c r="Q244" i="2"/>
  <c r="N244" i="2"/>
  <c r="M244" i="2"/>
  <c r="U243" i="2"/>
  <c r="E243" i="1"/>
  <c r="T243" i="2"/>
  <c r="S243" i="2"/>
  <c r="R243" i="2"/>
  <c r="Q243" i="2"/>
  <c r="N243" i="2"/>
  <c r="M243" i="2"/>
  <c r="U242" i="2"/>
  <c r="E242" i="1"/>
  <c r="T242" i="2"/>
  <c r="S242" i="2"/>
  <c r="R242" i="2"/>
  <c r="Q242" i="2"/>
  <c r="N242" i="2"/>
  <c r="M242" i="2"/>
  <c r="U241" i="2"/>
  <c r="E241" i="1"/>
  <c r="T241" i="2"/>
  <c r="S241" i="2"/>
  <c r="R241" i="2"/>
  <c r="Q241" i="2"/>
  <c r="N241" i="2"/>
  <c r="M241" i="2"/>
  <c r="U240" i="2"/>
  <c r="E240" i="1"/>
  <c r="T240" i="2"/>
  <c r="S240" i="2"/>
  <c r="R240" i="2"/>
  <c r="Q240" i="2"/>
  <c r="N240" i="2"/>
  <c r="M240" i="2"/>
  <c r="U239" i="2"/>
  <c r="E239" i="1"/>
  <c r="T239" i="2"/>
  <c r="S239" i="2"/>
  <c r="R239" i="2"/>
  <c r="Q239" i="2"/>
  <c r="N239" i="2"/>
  <c r="M239" i="2"/>
  <c r="U238" i="2"/>
  <c r="E238" i="1"/>
  <c r="T238" i="2"/>
  <c r="S238" i="2"/>
  <c r="R238" i="2"/>
  <c r="Q238" i="2"/>
  <c r="N238" i="2"/>
  <c r="M238" i="2"/>
  <c r="U237" i="2"/>
  <c r="E237" i="1"/>
  <c r="T237" i="2"/>
  <c r="S237" i="2"/>
  <c r="R237" i="2"/>
  <c r="Q237" i="2"/>
  <c r="N237" i="2"/>
  <c r="M237" i="2"/>
  <c r="U236" i="2"/>
  <c r="E236" i="1"/>
  <c r="T236" i="2"/>
  <c r="S236" i="2"/>
  <c r="R236" i="2"/>
  <c r="Q236" i="2"/>
  <c r="N236" i="2"/>
  <c r="M236" i="2"/>
  <c r="U235" i="2"/>
  <c r="E235" i="1"/>
  <c r="T235" i="2"/>
  <c r="S235" i="2"/>
  <c r="R235" i="2"/>
  <c r="Q235" i="2"/>
  <c r="N235" i="2"/>
  <c r="M235" i="2"/>
  <c r="U234" i="2"/>
  <c r="E234" i="1"/>
  <c r="T234" i="2"/>
  <c r="S234" i="2"/>
  <c r="R234" i="2"/>
  <c r="Q234" i="2"/>
  <c r="N234" i="2"/>
  <c r="M234" i="2"/>
  <c r="U233" i="2"/>
  <c r="E233" i="1"/>
  <c r="T233" i="2"/>
  <c r="S233" i="2"/>
  <c r="R233" i="2"/>
  <c r="Q233" i="2"/>
  <c r="N233" i="2"/>
  <c r="M233" i="2"/>
  <c r="U232" i="2"/>
  <c r="E232" i="1"/>
  <c r="T232" i="2"/>
  <c r="S232" i="2"/>
  <c r="R232" i="2"/>
  <c r="Q232" i="2"/>
  <c r="N232" i="2"/>
  <c r="M232" i="2"/>
  <c r="U231" i="2"/>
  <c r="E231" i="1"/>
  <c r="T231" i="2"/>
  <c r="S231" i="2"/>
  <c r="R231" i="2"/>
  <c r="Q231" i="2"/>
  <c r="N231" i="2"/>
  <c r="M231" i="2"/>
  <c r="U230" i="2"/>
  <c r="E230" i="1"/>
  <c r="T230" i="2"/>
  <c r="S230" i="2"/>
  <c r="R230" i="2"/>
  <c r="Q230" i="2"/>
  <c r="N230" i="2"/>
  <c r="M230" i="2"/>
  <c r="U229" i="2"/>
  <c r="E229" i="1"/>
  <c r="T229" i="2"/>
  <c r="S229" i="2"/>
  <c r="R229" i="2"/>
  <c r="Q229" i="2"/>
  <c r="N229" i="2"/>
  <c r="M229" i="2"/>
  <c r="U228" i="2"/>
  <c r="E228" i="1"/>
  <c r="T228" i="2"/>
  <c r="S228" i="2"/>
  <c r="R228" i="2"/>
  <c r="Q228" i="2"/>
  <c r="N228" i="2"/>
  <c r="M228" i="2"/>
  <c r="U227" i="2"/>
  <c r="E227" i="1"/>
  <c r="T227" i="2"/>
  <c r="S227" i="2"/>
  <c r="R227" i="2"/>
  <c r="Q227" i="2"/>
  <c r="N227" i="2"/>
  <c r="M227" i="2"/>
  <c r="U226" i="2"/>
  <c r="E226" i="1"/>
  <c r="T226" i="2"/>
  <c r="S226" i="2"/>
  <c r="R226" i="2"/>
  <c r="Q226" i="2"/>
  <c r="N226" i="2"/>
  <c r="M226" i="2"/>
  <c r="U225" i="2"/>
  <c r="E225" i="1"/>
  <c r="T225" i="2"/>
  <c r="S225" i="2"/>
  <c r="R225" i="2"/>
  <c r="Q225" i="2"/>
  <c r="N225" i="2"/>
  <c r="M225" i="2"/>
  <c r="U224" i="2"/>
  <c r="E224" i="1"/>
  <c r="T224" i="2"/>
  <c r="S224" i="2"/>
  <c r="R224" i="2"/>
  <c r="Q224" i="2"/>
  <c r="N224" i="2"/>
  <c r="M224" i="2"/>
  <c r="U223" i="2"/>
  <c r="E223" i="1"/>
  <c r="T223" i="2"/>
  <c r="S223" i="2"/>
  <c r="R223" i="2"/>
  <c r="Q223" i="2"/>
  <c r="N223" i="2"/>
  <c r="M223" i="2"/>
  <c r="U222" i="2"/>
  <c r="E222" i="1"/>
  <c r="T222" i="2"/>
  <c r="S222" i="2"/>
  <c r="R222" i="2"/>
  <c r="Q222" i="2"/>
  <c r="N222" i="2"/>
  <c r="M222" i="2"/>
  <c r="U221" i="2"/>
  <c r="E221" i="1"/>
  <c r="T221" i="2"/>
  <c r="S221" i="2"/>
  <c r="R221" i="2"/>
  <c r="Q221" i="2"/>
  <c r="N221" i="2"/>
  <c r="M221" i="2"/>
  <c r="U220" i="2"/>
  <c r="E220" i="1"/>
  <c r="T220" i="2"/>
  <c r="S220" i="2"/>
  <c r="R220" i="2"/>
  <c r="Q220" i="2"/>
  <c r="N220" i="2"/>
  <c r="M220" i="2"/>
  <c r="U219" i="2"/>
  <c r="E219" i="1"/>
  <c r="T219" i="2"/>
  <c r="S219" i="2"/>
  <c r="R219" i="2"/>
  <c r="Q219" i="2"/>
  <c r="N219" i="2"/>
  <c r="M219" i="2"/>
  <c r="U218" i="2"/>
  <c r="E218" i="1"/>
  <c r="T218" i="2"/>
  <c r="S218" i="2"/>
  <c r="R218" i="2"/>
  <c r="Q218" i="2"/>
  <c r="N218" i="2"/>
  <c r="M218" i="2"/>
  <c r="U217" i="2"/>
  <c r="E217" i="1"/>
  <c r="T217" i="2"/>
  <c r="S217" i="2"/>
  <c r="R217" i="2"/>
  <c r="Q217" i="2"/>
  <c r="N217" i="2"/>
  <c r="M217" i="2"/>
  <c r="U216" i="2"/>
  <c r="E216" i="1"/>
  <c r="T216" i="2"/>
  <c r="S216" i="2"/>
  <c r="R216" i="2"/>
  <c r="Q216" i="2"/>
  <c r="N216" i="2"/>
  <c r="M216" i="2"/>
  <c r="U215" i="2"/>
  <c r="E215" i="1"/>
  <c r="T215" i="2"/>
  <c r="S215" i="2"/>
  <c r="R215" i="2"/>
  <c r="Q215" i="2"/>
  <c r="N215" i="2"/>
  <c r="M215" i="2"/>
  <c r="U214" i="2"/>
  <c r="E214" i="1"/>
  <c r="T214" i="2"/>
  <c r="S214" i="2"/>
  <c r="R214" i="2"/>
  <c r="Q214" i="2"/>
  <c r="N214" i="2"/>
  <c r="M214" i="2"/>
  <c r="U213" i="2"/>
  <c r="E213" i="1"/>
  <c r="T213" i="2"/>
  <c r="S213" i="2"/>
  <c r="R213" i="2"/>
  <c r="Q213" i="2"/>
  <c r="N213" i="2"/>
  <c r="M213" i="2"/>
  <c r="U212" i="2"/>
  <c r="E212" i="1"/>
  <c r="T212" i="2"/>
  <c r="S212" i="2"/>
  <c r="R212" i="2"/>
  <c r="Q212" i="2"/>
  <c r="N212" i="2"/>
  <c r="M212" i="2"/>
  <c r="U211" i="2"/>
  <c r="E211" i="1"/>
  <c r="T211" i="2"/>
  <c r="S211" i="2"/>
  <c r="R211" i="2"/>
  <c r="Q211" i="2"/>
  <c r="N211" i="2"/>
  <c r="M211" i="2"/>
  <c r="U210" i="2"/>
  <c r="E210" i="1"/>
  <c r="T210" i="2"/>
  <c r="S210" i="2"/>
  <c r="R210" i="2"/>
  <c r="Q210" i="2"/>
  <c r="N210" i="2"/>
  <c r="M210" i="2"/>
  <c r="U209" i="2"/>
  <c r="E209" i="1"/>
  <c r="T209" i="2"/>
  <c r="S209" i="2"/>
  <c r="R209" i="2"/>
  <c r="Q209" i="2"/>
  <c r="N209" i="2"/>
  <c r="M209" i="2"/>
  <c r="U208" i="2"/>
  <c r="E208" i="1"/>
  <c r="T208" i="2"/>
  <c r="S208" i="2"/>
  <c r="R208" i="2"/>
  <c r="Q208" i="2"/>
  <c r="N208" i="2"/>
  <c r="M208" i="2"/>
  <c r="U207" i="2"/>
  <c r="E207" i="1"/>
  <c r="T207" i="2"/>
  <c r="S207" i="2"/>
  <c r="R207" i="2"/>
  <c r="Q207" i="2"/>
  <c r="N207" i="2"/>
  <c r="M207" i="2"/>
  <c r="U206" i="2"/>
  <c r="E206" i="1"/>
  <c r="T206" i="2"/>
  <c r="S206" i="2"/>
  <c r="R206" i="2"/>
  <c r="Q206" i="2"/>
  <c r="N206" i="2"/>
  <c r="M206" i="2"/>
  <c r="U205" i="2"/>
  <c r="E205" i="1"/>
  <c r="T205" i="2"/>
  <c r="S205" i="2"/>
  <c r="R205" i="2"/>
  <c r="Q205" i="2"/>
  <c r="N205" i="2"/>
  <c r="M205" i="2"/>
  <c r="U204" i="2"/>
  <c r="E204" i="1"/>
  <c r="T204" i="2"/>
  <c r="S204" i="2"/>
  <c r="R204" i="2"/>
  <c r="Q204" i="2"/>
  <c r="N204" i="2"/>
  <c r="M204" i="2"/>
  <c r="U203" i="2"/>
  <c r="E203" i="1"/>
  <c r="T203" i="2"/>
  <c r="S203" i="2"/>
  <c r="R203" i="2"/>
  <c r="Q203" i="2"/>
  <c r="N203" i="2"/>
  <c r="M203" i="2"/>
  <c r="U202" i="2"/>
  <c r="E202" i="1"/>
  <c r="T202" i="2"/>
  <c r="S202" i="2"/>
  <c r="R202" i="2"/>
  <c r="Q202" i="2"/>
  <c r="N202" i="2"/>
  <c r="M202" i="2"/>
  <c r="U201" i="2"/>
  <c r="E201" i="1"/>
  <c r="T201" i="2"/>
  <c r="S201" i="2"/>
  <c r="R201" i="2"/>
  <c r="Q201" i="2"/>
  <c r="N201" i="2"/>
  <c r="M201" i="2"/>
  <c r="U200" i="2"/>
  <c r="E200" i="1"/>
  <c r="T200" i="2"/>
  <c r="S200" i="2"/>
  <c r="R200" i="2"/>
  <c r="Q200" i="2"/>
  <c r="N200" i="2"/>
  <c r="M200" i="2"/>
  <c r="U199" i="2"/>
  <c r="E199" i="1"/>
  <c r="T199" i="2"/>
  <c r="S199" i="2"/>
  <c r="R199" i="2"/>
  <c r="Q199" i="2"/>
  <c r="N199" i="2"/>
  <c r="M199" i="2"/>
  <c r="U198" i="2"/>
  <c r="E198" i="1"/>
  <c r="T198" i="2"/>
  <c r="S198" i="2"/>
  <c r="R198" i="2"/>
  <c r="Q198" i="2"/>
  <c r="N198" i="2"/>
  <c r="M198" i="2"/>
  <c r="U197" i="2"/>
  <c r="E197" i="1"/>
  <c r="T197" i="2"/>
  <c r="S197" i="2"/>
  <c r="R197" i="2"/>
  <c r="Q197" i="2"/>
  <c r="N197" i="2"/>
  <c r="M197" i="2"/>
  <c r="U196" i="2"/>
  <c r="E196" i="1"/>
  <c r="T196" i="2"/>
  <c r="S196" i="2"/>
  <c r="R196" i="2"/>
  <c r="Q196" i="2"/>
  <c r="N196" i="2"/>
  <c r="M196" i="2"/>
  <c r="U195" i="2"/>
  <c r="E195" i="1"/>
  <c r="T195" i="2"/>
  <c r="S195" i="2"/>
  <c r="R195" i="2"/>
  <c r="Q195" i="2"/>
  <c r="N195" i="2"/>
  <c r="M195" i="2"/>
  <c r="U194" i="2"/>
  <c r="E194" i="1"/>
  <c r="T194" i="2"/>
  <c r="S194" i="2"/>
  <c r="R194" i="2"/>
  <c r="Q194" i="2"/>
  <c r="N194" i="2"/>
  <c r="M194" i="2"/>
  <c r="U193" i="2"/>
  <c r="E193" i="1"/>
  <c r="T193" i="2"/>
  <c r="S193" i="2"/>
  <c r="R193" i="2"/>
  <c r="Q193" i="2"/>
  <c r="N193" i="2"/>
  <c r="M193" i="2"/>
  <c r="U192" i="2"/>
  <c r="E192" i="1"/>
  <c r="T192" i="2"/>
  <c r="S192" i="2"/>
  <c r="R192" i="2"/>
  <c r="Q192" i="2"/>
  <c r="N192" i="2"/>
  <c r="M192" i="2"/>
  <c r="U191" i="2"/>
  <c r="E191" i="1"/>
  <c r="T191" i="2"/>
  <c r="S191" i="2"/>
  <c r="R191" i="2"/>
  <c r="Q191" i="2"/>
  <c r="N191" i="2"/>
  <c r="M191" i="2"/>
  <c r="U190" i="2"/>
  <c r="E190" i="1"/>
  <c r="T190" i="2"/>
  <c r="S190" i="2"/>
  <c r="R190" i="2"/>
  <c r="Q190" i="2"/>
  <c r="N190" i="2"/>
  <c r="M190" i="2"/>
  <c r="U189" i="2"/>
  <c r="E189" i="1"/>
  <c r="T189" i="2"/>
  <c r="S189" i="2"/>
  <c r="R189" i="2"/>
  <c r="Q189" i="2"/>
  <c r="N189" i="2"/>
  <c r="M189" i="2"/>
  <c r="U188" i="2"/>
  <c r="E188" i="1"/>
  <c r="T188" i="2"/>
  <c r="S188" i="2"/>
  <c r="R188" i="2"/>
  <c r="Q188" i="2"/>
  <c r="N188" i="2"/>
  <c r="M188" i="2"/>
  <c r="U187" i="2"/>
  <c r="E187" i="1"/>
  <c r="T187" i="2"/>
  <c r="S187" i="2"/>
  <c r="R187" i="2"/>
  <c r="Q187" i="2"/>
  <c r="N187" i="2"/>
  <c r="M187" i="2"/>
  <c r="U186" i="2"/>
  <c r="E186" i="1"/>
  <c r="T186" i="2"/>
  <c r="S186" i="2"/>
  <c r="R186" i="2"/>
  <c r="Q186" i="2"/>
  <c r="N186" i="2"/>
  <c r="M186" i="2"/>
  <c r="U185" i="2"/>
  <c r="E185" i="1"/>
  <c r="T185" i="2"/>
  <c r="S185" i="2"/>
  <c r="R185" i="2"/>
  <c r="Q185" i="2"/>
  <c r="N185" i="2"/>
  <c r="M185" i="2"/>
  <c r="U184" i="2"/>
  <c r="E184" i="1"/>
  <c r="T184" i="2"/>
  <c r="S184" i="2"/>
  <c r="R184" i="2"/>
  <c r="Q184" i="2"/>
  <c r="N184" i="2"/>
  <c r="M184" i="2"/>
  <c r="U183" i="2"/>
  <c r="E183" i="1"/>
  <c r="T183" i="2"/>
  <c r="S183" i="2"/>
  <c r="R183" i="2"/>
  <c r="Q183" i="2"/>
  <c r="N183" i="2"/>
  <c r="M183" i="2"/>
  <c r="U182" i="2"/>
  <c r="E182" i="1"/>
  <c r="T182" i="2"/>
  <c r="S182" i="2"/>
  <c r="R182" i="2"/>
  <c r="Q182" i="2"/>
  <c r="N182" i="2"/>
  <c r="M182" i="2"/>
  <c r="U181" i="2"/>
  <c r="E181" i="1"/>
  <c r="T181" i="2"/>
  <c r="S181" i="2"/>
  <c r="R181" i="2"/>
  <c r="Q181" i="2"/>
  <c r="N181" i="2"/>
  <c r="M181" i="2"/>
  <c r="U180" i="2"/>
  <c r="E180" i="1"/>
  <c r="T180" i="2"/>
  <c r="S180" i="2"/>
  <c r="R180" i="2"/>
  <c r="Q180" i="2"/>
  <c r="N180" i="2"/>
  <c r="M180" i="2"/>
  <c r="U179" i="2"/>
  <c r="E179" i="1"/>
  <c r="T179" i="2"/>
  <c r="S179" i="2"/>
  <c r="R179" i="2"/>
  <c r="Q179" i="2"/>
  <c r="N179" i="2"/>
  <c r="M179" i="2"/>
  <c r="U178" i="2"/>
  <c r="E178" i="1"/>
  <c r="T178" i="2"/>
  <c r="S178" i="2"/>
  <c r="R178" i="2"/>
  <c r="Q178" i="2"/>
  <c r="N178" i="2"/>
  <c r="M178" i="2"/>
  <c r="U177" i="2"/>
  <c r="E177" i="1"/>
  <c r="T177" i="2"/>
  <c r="S177" i="2"/>
  <c r="R177" i="2"/>
  <c r="Q177" i="2"/>
  <c r="N177" i="2"/>
  <c r="M177" i="2"/>
  <c r="U176" i="2"/>
  <c r="E176" i="1"/>
  <c r="T176" i="2"/>
  <c r="S176" i="2"/>
  <c r="R176" i="2"/>
  <c r="Q176" i="2"/>
  <c r="N176" i="2"/>
  <c r="M176" i="2"/>
  <c r="U175" i="2"/>
  <c r="E175" i="1"/>
  <c r="T175" i="2"/>
  <c r="S175" i="2"/>
  <c r="R175" i="2"/>
  <c r="Q175" i="2"/>
  <c r="N175" i="2"/>
  <c r="M175" i="2"/>
  <c r="U174" i="2"/>
  <c r="E174" i="1"/>
  <c r="T174" i="2"/>
  <c r="S174" i="2"/>
  <c r="R174" i="2"/>
  <c r="Q174" i="2"/>
  <c r="N174" i="2"/>
  <c r="M174" i="2"/>
  <c r="U173" i="2"/>
  <c r="E173" i="1"/>
  <c r="T173" i="2"/>
  <c r="S173" i="2"/>
  <c r="R173" i="2"/>
  <c r="Q173" i="2"/>
  <c r="N173" i="2"/>
  <c r="M173" i="2"/>
  <c r="U172" i="2"/>
  <c r="E172" i="1"/>
  <c r="T172" i="2"/>
  <c r="S172" i="2"/>
  <c r="R172" i="2"/>
  <c r="Q172" i="2"/>
  <c r="N172" i="2"/>
  <c r="M172" i="2"/>
  <c r="U171" i="2"/>
  <c r="E171" i="1"/>
  <c r="T171" i="2"/>
  <c r="S171" i="2"/>
  <c r="R171" i="2"/>
  <c r="Q171" i="2"/>
  <c r="N171" i="2"/>
  <c r="M171" i="2"/>
  <c r="U170" i="2"/>
  <c r="E170" i="1"/>
  <c r="T170" i="2"/>
  <c r="S170" i="2"/>
  <c r="R170" i="2"/>
  <c r="Q170" i="2"/>
  <c r="N170" i="2"/>
  <c r="M170" i="2"/>
  <c r="U169" i="2"/>
  <c r="E169" i="1"/>
  <c r="T169" i="2"/>
  <c r="S169" i="2"/>
  <c r="R169" i="2"/>
  <c r="Q169" i="2"/>
  <c r="N169" i="2"/>
  <c r="M169" i="2"/>
  <c r="U168" i="2"/>
  <c r="E168" i="1"/>
  <c r="T168" i="2"/>
  <c r="S168" i="2"/>
  <c r="R168" i="2"/>
  <c r="Q168" i="2"/>
  <c r="N168" i="2"/>
  <c r="M168" i="2"/>
  <c r="U167" i="2"/>
  <c r="E167" i="1"/>
  <c r="T167" i="2"/>
  <c r="S167" i="2"/>
  <c r="R167" i="2"/>
  <c r="Q167" i="2"/>
  <c r="N167" i="2"/>
  <c r="M167" i="2"/>
  <c r="U166" i="2"/>
  <c r="E166" i="1"/>
  <c r="T166" i="2"/>
  <c r="S166" i="2"/>
  <c r="R166" i="2"/>
  <c r="Q166" i="2"/>
  <c r="N166" i="2"/>
  <c r="M166" i="2"/>
  <c r="U165" i="2"/>
  <c r="E165" i="1"/>
  <c r="T165" i="2"/>
  <c r="S165" i="2"/>
  <c r="R165" i="2"/>
  <c r="Q165" i="2"/>
  <c r="N165" i="2"/>
  <c r="M165" i="2"/>
  <c r="U164" i="2"/>
  <c r="E164" i="1"/>
  <c r="T164" i="2"/>
  <c r="S164" i="2"/>
  <c r="R164" i="2"/>
  <c r="Q164" i="2"/>
  <c r="N164" i="2"/>
  <c r="M164" i="2"/>
  <c r="U163" i="2"/>
  <c r="E163" i="1"/>
  <c r="T163" i="2"/>
  <c r="S163" i="2"/>
  <c r="R163" i="2"/>
  <c r="Q163" i="2"/>
  <c r="N163" i="2"/>
  <c r="M163" i="2"/>
  <c r="U162" i="2"/>
  <c r="E162" i="1"/>
  <c r="T162" i="2"/>
  <c r="S162" i="2"/>
  <c r="R162" i="2"/>
  <c r="Q162" i="2"/>
  <c r="N162" i="2"/>
  <c r="M162" i="2"/>
  <c r="U161" i="2"/>
  <c r="E161" i="1"/>
  <c r="T161" i="2"/>
  <c r="S161" i="2"/>
  <c r="R161" i="2"/>
  <c r="Q161" i="2"/>
  <c r="N161" i="2"/>
  <c r="M161" i="2"/>
  <c r="U160" i="2"/>
  <c r="E160" i="1"/>
  <c r="T160" i="2"/>
  <c r="S160" i="2"/>
  <c r="R160" i="2"/>
  <c r="Q160" i="2"/>
  <c r="N160" i="2"/>
  <c r="M160" i="2"/>
  <c r="U159" i="2"/>
  <c r="E159" i="1"/>
  <c r="T159" i="2"/>
  <c r="S159" i="2"/>
  <c r="R159" i="2"/>
  <c r="Q159" i="2"/>
  <c r="N159" i="2"/>
  <c r="M159" i="2"/>
  <c r="U158" i="2"/>
  <c r="E158" i="1"/>
  <c r="T158" i="2"/>
  <c r="S158" i="2"/>
  <c r="R158" i="2"/>
  <c r="Q158" i="2"/>
  <c r="N158" i="2"/>
  <c r="M158" i="2"/>
  <c r="U157" i="2"/>
  <c r="E157" i="1"/>
  <c r="T157" i="2"/>
  <c r="S157" i="2"/>
  <c r="R157" i="2"/>
  <c r="Q157" i="2"/>
  <c r="N157" i="2"/>
  <c r="M157" i="2"/>
  <c r="U156" i="2"/>
  <c r="E156" i="1"/>
  <c r="T156" i="2"/>
  <c r="S156" i="2"/>
  <c r="R156" i="2"/>
  <c r="Q156" i="2"/>
  <c r="N156" i="2"/>
  <c r="M156" i="2"/>
  <c r="U155" i="2"/>
  <c r="E155" i="1"/>
  <c r="T155" i="2"/>
  <c r="S155" i="2"/>
  <c r="R155" i="2"/>
  <c r="Q155" i="2"/>
  <c r="N155" i="2"/>
  <c r="M155" i="2"/>
  <c r="U154" i="2"/>
  <c r="E154" i="1"/>
  <c r="T154" i="2"/>
  <c r="S154" i="2"/>
  <c r="R154" i="2"/>
  <c r="Q154" i="2"/>
  <c r="N154" i="2"/>
  <c r="M154" i="2"/>
  <c r="U153" i="2"/>
  <c r="E153" i="1"/>
  <c r="T153" i="2"/>
  <c r="S153" i="2"/>
  <c r="R153" i="2"/>
  <c r="Q153" i="2"/>
  <c r="N153" i="2"/>
  <c r="M153" i="2"/>
  <c r="U152" i="2"/>
  <c r="E152" i="1"/>
  <c r="T152" i="2"/>
  <c r="S152" i="2"/>
  <c r="R152" i="2"/>
  <c r="Q152" i="2"/>
  <c r="N152" i="2"/>
  <c r="M152" i="2"/>
  <c r="U151" i="2"/>
  <c r="E151" i="1"/>
  <c r="T151" i="2"/>
  <c r="S151" i="2"/>
  <c r="R151" i="2"/>
  <c r="Q151" i="2"/>
  <c r="N151" i="2"/>
  <c r="M151" i="2"/>
  <c r="U150" i="2"/>
  <c r="E150" i="1"/>
  <c r="T150" i="2"/>
  <c r="S150" i="2"/>
  <c r="R150" i="2"/>
  <c r="Q150" i="2"/>
  <c r="N150" i="2"/>
  <c r="M150" i="2"/>
  <c r="U149" i="2"/>
  <c r="E149" i="1"/>
  <c r="T149" i="2"/>
  <c r="S149" i="2"/>
  <c r="R149" i="2"/>
  <c r="Q149" i="2"/>
  <c r="N149" i="2"/>
  <c r="M149" i="2"/>
  <c r="U148" i="2"/>
  <c r="E148" i="1"/>
  <c r="T148" i="2"/>
  <c r="S148" i="2"/>
  <c r="R148" i="2"/>
  <c r="Q148" i="2"/>
  <c r="N148" i="2"/>
  <c r="M148" i="2"/>
  <c r="U147" i="2"/>
  <c r="E147" i="1"/>
  <c r="T147" i="2"/>
  <c r="S147" i="2"/>
  <c r="R147" i="2"/>
  <c r="Q147" i="2"/>
  <c r="N147" i="2"/>
  <c r="M147" i="2"/>
  <c r="U146" i="2"/>
  <c r="E146" i="1"/>
  <c r="T146" i="2"/>
  <c r="S146" i="2"/>
  <c r="R146" i="2"/>
  <c r="Q146" i="2"/>
  <c r="N146" i="2"/>
  <c r="M146" i="2"/>
  <c r="U145" i="2"/>
  <c r="E145" i="1"/>
  <c r="T145" i="2"/>
  <c r="S145" i="2"/>
  <c r="R145" i="2"/>
  <c r="Q145" i="2"/>
  <c r="N145" i="2"/>
  <c r="M145" i="2"/>
  <c r="U144" i="2"/>
  <c r="E144" i="1"/>
  <c r="T144" i="2"/>
  <c r="S144" i="2"/>
  <c r="R144" i="2"/>
  <c r="Q144" i="2"/>
  <c r="N144" i="2"/>
  <c r="M144" i="2"/>
  <c r="U143" i="2"/>
  <c r="E143" i="1"/>
  <c r="T143" i="2"/>
  <c r="S143" i="2"/>
  <c r="R143" i="2"/>
  <c r="Q143" i="2"/>
  <c r="N143" i="2"/>
  <c r="M143" i="2"/>
  <c r="U142" i="2"/>
  <c r="E142" i="1"/>
  <c r="T142" i="2"/>
  <c r="S142" i="2"/>
  <c r="R142" i="2"/>
  <c r="Q142" i="2"/>
  <c r="N142" i="2"/>
  <c r="M142" i="2"/>
  <c r="U141" i="2"/>
  <c r="E141" i="1"/>
  <c r="T141" i="2"/>
  <c r="S141" i="2"/>
  <c r="R141" i="2"/>
  <c r="Q141" i="2"/>
  <c r="N141" i="2"/>
  <c r="M141" i="2"/>
  <c r="U140" i="2"/>
  <c r="E140" i="1"/>
  <c r="T140" i="2"/>
  <c r="S140" i="2"/>
  <c r="R140" i="2"/>
  <c r="Q140" i="2"/>
  <c r="N140" i="2"/>
  <c r="M140" i="2"/>
  <c r="U139" i="2"/>
  <c r="E139" i="1"/>
  <c r="T139" i="2"/>
  <c r="S139" i="2"/>
  <c r="R139" i="2"/>
  <c r="Q139" i="2"/>
  <c r="N139" i="2"/>
  <c r="M139" i="2"/>
  <c r="U138" i="2"/>
  <c r="E138" i="1"/>
  <c r="T138" i="2"/>
  <c r="S138" i="2"/>
  <c r="R138" i="2"/>
  <c r="Q138" i="2"/>
  <c r="N138" i="2"/>
  <c r="M138" i="2"/>
  <c r="U137" i="2"/>
  <c r="E137" i="1"/>
  <c r="T137" i="2"/>
  <c r="S137" i="2"/>
  <c r="R137" i="2"/>
  <c r="Q137" i="2"/>
  <c r="N137" i="2"/>
  <c r="M137" i="2"/>
  <c r="U136" i="2"/>
  <c r="E136" i="1"/>
  <c r="T136" i="2"/>
  <c r="S136" i="2"/>
  <c r="R136" i="2"/>
  <c r="Q136" i="2"/>
  <c r="N136" i="2"/>
  <c r="M136" i="2"/>
  <c r="U135" i="2"/>
  <c r="E135" i="1"/>
  <c r="T135" i="2"/>
  <c r="S135" i="2"/>
  <c r="R135" i="2"/>
  <c r="Q135" i="2"/>
  <c r="N135" i="2"/>
  <c r="M135" i="2"/>
  <c r="U134" i="2"/>
  <c r="E134" i="1"/>
  <c r="T134" i="2"/>
  <c r="S134" i="2"/>
  <c r="R134" i="2"/>
  <c r="Q134" i="2"/>
  <c r="N134" i="2"/>
  <c r="M134" i="2"/>
  <c r="U133" i="2"/>
  <c r="E133" i="1"/>
  <c r="T133" i="2"/>
  <c r="S133" i="2"/>
  <c r="R133" i="2"/>
  <c r="Q133" i="2"/>
  <c r="N133" i="2"/>
  <c r="M133" i="2"/>
  <c r="U132" i="2"/>
  <c r="E132" i="1"/>
  <c r="T132" i="2"/>
  <c r="S132" i="2"/>
  <c r="R132" i="2"/>
  <c r="Q132" i="2"/>
  <c r="N132" i="2"/>
  <c r="M132" i="2"/>
  <c r="U131" i="2"/>
  <c r="E131" i="1"/>
  <c r="T131" i="2"/>
  <c r="S131" i="2"/>
  <c r="R131" i="2"/>
  <c r="Q131" i="2"/>
  <c r="N131" i="2"/>
  <c r="M131" i="2"/>
  <c r="U130" i="2"/>
  <c r="E130" i="1"/>
  <c r="T130" i="2"/>
  <c r="S130" i="2"/>
  <c r="R130" i="2"/>
  <c r="Q130" i="2"/>
  <c r="N130" i="2"/>
  <c r="M130" i="2"/>
  <c r="U129" i="2"/>
  <c r="E129" i="1"/>
  <c r="T129" i="2"/>
  <c r="S129" i="2"/>
  <c r="R129" i="2"/>
  <c r="Q129" i="2"/>
  <c r="N129" i="2"/>
  <c r="M129" i="2"/>
  <c r="U128" i="2"/>
  <c r="E128" i="1"/>
  <c r="T128" i="2"/>
  <c r="S128" i="2"/>
  <c r="R128" i="2"/>
  <c r="Q128" i="2"/>
  <c r="N128" i="2"/>
  <c r="M128" i="2"/>
  <c r="U127" i="2"/>
  <c r="E127" i="1"/>
  <c r="T127" i="2"/>
  <c r="S127" i="2"/>
  <c r="R127" i="2"/>
  <c r="Q127" i="2"/>
  <c r="N127" i="2"/>
  <c r="M127" i="2"/>
  <c r="U126" i="2"/>
  <c r="E126" i="1"/>
  <c r="T126" i="2"/>
  <c r="S126" i="2"/>
  <c r="R126" i="2"/>
  <c r="Q126" i="2"/>
  <c r="N126" i="2"/>
  <c r="M126" i="2"/>
  <c r="U125" i="2"/>
  <c r="E125" i="1"/>
  <c r="T125" i="2"/>
  <c r="S125" i="2"/>
  <c r="R125" i="2"/>
  <c r="Q125" i="2"/>
  <c r="N125" i="2"/>
  <c r="M125" i="2"/>
  <c r="U124" i="2"/>
  <c r="E124" i="1"/>
  <c r="T124" i="2"/>
  <c r="S124" i="2"/>
  <c r="R124" i="2"/>
  <c r="Q124" i="2"/>
  <c r="N124" i="2"/>
  <c r="M124" i="2"/>
  <c r="U123" i="2"/>
  <c r="E123" i="1"/>
  <c r="T123" i="2"/>
  <c r="S123" i="2"/>
  <c r="R123" i="2"/>
  <c r="Q123" i="2"/>
  <c r="N123" i="2"/>
  <c r="M123" i="2"/>
  <c r="U122" i="2"/>
  <c r="E122" i="1"/>
  <c r="T122" i="2"/>
  <c r="S122" i="2"/>
  <c r="R122" i="2"/>
  <c r="Q122" i="2"/>
  <c r="N122" i="2"/>
  <c r="M122" i="2"/>
  <c r="U121" i="2"/>
  <c r="E121" i="1"/>
  <c r="T121" i="2"/>
  <c r="S121" i="2"/>
  <c r="R121" i="2"/>
  <c r="Q121" i="2"/>
  <c r="N121" i="2"/>
  <c r="M121" i="2"/>
  <c r="U120" i="2"/>
  <c r="E120" i="1"/>
  <c r="T120" i="2"/>
  <c r="S120" i="2"/>
  <c r="R120" i="2"/>
  <c r="Q120" i="2"/>
  <c r="N120" i="2"/>
  <c r="M120" i="2"/>
  <c r="U119" i="2"/>
  <c r="E119" i="1"/>
  <c r="T119" i="2"/>
  <c r="S119" i="2"/>
  <c r="R119" i="2"/>
  <c r="Q119" i="2"/>
  <c r="N119" i="2"/>
  <c r="M119" i="2"/>
  <c r="U118" i="2"/>
  <c r="E118" i="1"/>
  <c r="T118" i="2"/>
  <c r="S118" i="2"/>
  <c r="R118" i="2"/>
  <c r="Q118" i="2"/>
  <c r="N118" i="2"/>
  <c r="M118" i="2"/>
  <c r="U117" i="2"/>
  <c r="E117" i="1"/>
  <c r="T117" i="2"/>
  <c r="S117" i="2"/>
  <c r="R117" i="2"/>
  <c r="Q117" i="2"/>
  <c r="N117" i="2"/>
  <c r="M117" i="2"/>
  <c r="U116" i="2"/>
  <c r="E116" i="1"/>
  <c r="T116" i="2"/>
  <c r="S116" i="2"/>
  <c r="R116" i="2"/>
  <c r="Q116" i="2"/>
  <c r="N116" i="2"/>
  <c r="M116" i="2"/>
  <c r="U115" i="2"/>
  <c r="E115" i="1"/>
  <c r="T115" i="2"/>
  <c r="S115" i="2"/>
  <c r="R115" i="2"/>
  <c r="Q115" i="2"/>
  <c r="N115" i="2"/>
  <c r="M115" i="2"/>
  <c r="U114" i="2"/>
  <c r="E114" i="1"/>
  <c r="T114" i="2"/>
  <c r="S114" i="2"/>
  <c r="R114" i="2"/>
  <c r="Q114" i="2"/>
  <c r="N114" i="2"/>
  <c r="M114" i="2"/>
  <c r="U113" i="2"/>
  <c r="E113" i="1"/>
  <c r="T113" i="2"/>
  <c r="S113" i="2"/>
  <c r="R113" i="2"/>
  <c r="Q113" i="2"/>
  <c r="N113" i="2"/>
  <c r="M113" i="2"/>
  <c r="U112" i="2"/>
  <c r="E112" i="1"/>
  <c r="T112" i="2"/>
  <c r="S112" i="2"/>
  <c r="R112" i="2"/>
  <c r="Q112" i="2"/>
  <c r="N112" i="2"/>
  <c r="M112" i="2"/>
  <c r="U111" i="2"/>
  <c r="E111" i="1"/>
  <c r="T111" i="2"/>
  <c r="S111" i="2"/>
  <c r="R111" i="2"/>
  <c r="Q111" i="2"/>
  <c r="N111" i="2"/>
  <c r="M111" i="2"/>
  <c r="U110" i="2"/>
  <c r="E110" i="1"/>
  <c r="T110" i="2"/>
  <c r="S110" i="2"/>
  <c r="R110" i="2"/>
  <c r="Q110" i="2"/>
  <c r="N110" i="2"/>
  <c r="M110" i="2"/>
  <c r="U109" i="2"/>
  <c r="E109" i="1"/>
  <c r="T109" i="2"/>
  <c r="S109" i="2"/>
  <c r="R109" i="2"/>
  <c r="Q109" i="2"/>
  <c r="N109" i="2"/>
  <c r="M109" i="2"/>
  <c r="U108" i="2"/>
  <c r="E108" i="1"/>
  <c r="T108" i="2"/>
  <c r="S108" i="2"/>
  <c r="R108" i="2"/>
  <c r="Q108" i="2"/>
  <c r="N108" i="2"/>
  <c r="M108" i="2"/>
  <c r="U107" i="2"/>
  <c r="E107" i="1"/>
  <c r="T107" i="2"/>
  <c r="S107" i="2"/>
  <c r="R107" i="2"/>
  <c r="Q107" i="2"/>
  <c r="N107" i="2"/>
  <c r="M107" i="2"/>
  <c r="U106" i="2"/>
  <c r="E106" i="1"/>
  <c r="T106" i="2"/>
  <c r="S106" i="2"/>
  <c r="R106" i="2"/>
  <c r="Q106" i="2"/>
  <c r="N106" i="2"/>
  <c r="M106" i="2"/>
  <c r="U105" i="2"/>
  <c r="E105" i="1"/>
  <c r="T105" i="2"/>
  <c r="S105" i="2"/>
  <c r="R105" i="2"/>
  <c r="Q105" i="2"/>
  <c r="N105" i="2"/>
  <c r="M105" i="2"/>
  <c r="U104" i="2"/>
  <c r="E104" i="1"/>
  <c r="T104" i="2"/>
  <c r="S104" i="2"/>
  <c r="R104" i="2"/>
  <c r="Q104" i="2"/>
  <c r="N104" i="2"/>
  <c r="M104" i="2"/>
  <c r="U103" i="2"/>
  <c r="E103" i="1"/>
  <c r="T103" i="2"/>
  <c r="S103" i="2"/>
  <c r="R103" i="2"/>
  <c r="Q103" i="2"/>
  <c r="N103" i="2"/>
  <c r="M103" i="2"/>
  <c r="U102" i="2"/>
  <c r="E102" i="1"/>
  <c r="T102" i="2"/>
  <c r="S102" i="2"/>
  <c r="R102" i="2"/>
  <c r="Q102" i="2"/>
  <c r="N102" i="2"/>
  <c r="M102" i="2"/>
  <c r="U101" i="2"/>
  <c r="E101" i="1"/>
  <c r="T101" i="2"/>
  <c r="S101" i="2"/>
  <c r="R101" i="2"/>
  <c r="Q101" i="2"/>
  <c r="N101" i="2"/>
  <c r="M101" i="2"/>
  <c r="U100" i="2"/>
  <c r="E100" i="1"/>
  <c r="T100" i="2"/>
  <c r="S100" i="2"/>
  <c r="R100" i="2"/>
  <c r="Q100" i="2"/>
  <c r="N100" i="2"/>
  <c r="M100" i="2"/>
  <c r="U99" i="2"/>
  <c r="E99" i="1"/>
  <c r="T99" i="2"/>
  <c r="S99" i="2"/>
  <c r="R99" i="2"/>
  <c r="Q99" i="2"/>
  <c r="N99" i="2"/>
  <c r="M99" i="2"/>
  <c r="U98" i="2"/>
  <c r="E98" i="1"/>
  <c r="T98" i="2"/>
  <c r="S98" i="2"/>
  <c r="R98" i="2"/>
  <c r="Q98" i="2"/>
  <c r="N98" i="2"/>
  <c r="M98" i="2"/>
  <c r="U97" i="2"/>
  <c r="E97" i="1"/>
  <c r="T97" i="2"/>
  <c r="S97" i="2"/>
  <c r="R97" i="2"/>
  <c r="Q97" i="2"/>
  <c r="N97" i="2"/>
  <c r="M97" i="2"/>
  <c r="U96" i="2"/>
  <c r="E96" i="1"/>
  <c r="T96" i="2"/>
  <c r="S96" i="2"/>
  <c r="R96" i="2"/>
  <c r="Q96" i="2"/>
  <c r="N96" i="2"/>
  <c r="M96" i="2"/>
  <c r="U95" i="2"/>
  <c r="E95" i="1"/>
  <c r="T95" i="2"/>
  <c r="S95" i="2"/>
  <c r="R95" i="2"/>
  <c r="Q95" i="2"/>
  <c r="N95" i="2"/>
  <c r="M95" i="2"/>
  <c r="U94" i="2"/>
  <c r="E94" i="1"/>
  <c r="T94" i="2"/>
  <c r="S94" i="2"/>
  <c r="R94" i="2"/>
  <c r="Q94" i="2"/>
  <c r="N94" i="2"/>
  <c r="M94" i="2"/>
  <c r="U93" i="2"/>
  <c r="E93" i="1"/>
  <c r="T93" i="2"/>
  <c r="S93" i="2"/>
  <c r="R93" i="2"/>
  <c r="Q93" i="2"/>
  <c r="N93" i="2"/>
  <c r="M93" i="2"/>
  <c r="U92" i="2"/>
  <c r="E92" i="1"/>
  <c r="T92" i="2"/>
  <c r="S92" i="2"/>
  <c r="R92" i="2"/>
  <c r="Q92" i="2"/>
  <c r="N92" i="2"/>
  <c r="M92" i="2"/>
  <c r="U91" i="2"/>
  <c r="E91" i="1"/>
  <c r="T91" i="2"/>
  <c r="S91" i="2"/>
  <c r="R91" i="2"/>
  <c r="Q91" i="2"/>
  <c r="N91" i="2"/>
  <c r="M91" i="2"/>
  <c r="U90" i="2"/>
  <c r="E90" i="1"/>
  <c r="T90" i="2"/>
  <c r="S90" i="2"/>
  <c r="R90" i="2"/>
  <c r="Q90" i="2"/>
  <c r="N90" i="2"/>
  <c r="M90" i="2"/>
  <c r="U89" i="2"/>
  <c r="E89" i="1"/>
  <c r="T89" i="2"/>
  <c r="S89" i="2"/>
  <c r="R89" i="2"/>
  <c r="Q89" i="2"/>
  <c r="N89" i="2"/>
  <c r="M89" i="2"/>
  <c r="U88" i="2"/>
  <c r="E88" i="1"/>
  <c r="T88" i="2"/>
  <c r="S88" i="2"/>
  <c r="R88" i="2"/>
  <c r="Q88" i="2"/>
  <c r="N88" i="2"/>
  <c r="M88" i="2"/>
  <c r="U87" i="2"/>
  <c r="E87" i="1"/>
  <c r="T87" i="2"/>
  <c r="S87" i="2"/>
  <c r="R87" i="2"/>
  <c r="Q87" i="2"/>
  <c r="N87" i="2"/>
  <c r="M87" i="2"/>
  <c r="U86" i="2"/>
  <c r="E86" i="1"/>
  <c r="T86" i="2"/>
  <c r="S86" i="2"/>
  <c r="R86" i="2"/>
  <c r="Q86" i="2"/>
  <c r="N86" i="2"/>
  <c r="M86" i="2"/>
  <c r="U85" i="2"/>
  <c r="E85" i="1"/>
  <c r="T85" i="2"/>
  <c r="S85" i="2"/>
  <c r="R85" i="2"/>
  <c r="Q85" i="2"/>
  <c r="N85" i="2"/>
  <c r="M85" i="2"/>
  <c r="U84" i="2"/>
  <c r="E84" i="1"/>
  <c r="T84" i="2"/>
  <c r="S84" i="2"/>
  <c r="R84" i="2"/>
  <c r="Q84" i="2"/>
  <c r="N84" i="2"/>
  <c r="M84" i="2"/>
  <c r="U83" i="2"/>
  <c r="E83" i="1"/>
  <c r="T83" i="2"/>
  <c r="S83" i="2"/>
  <c r="R83" i="2"/>
  <c r="Q83" i="2"/>
  <c r="N83" i="2"/>
  <c r="M83" i="2"/>
  <c r="U82" i="2"/>
  <c r="E82" i="1"/>
  <c r="T82" i="2"/>
  <c r="S82" i="2"/>
  <c r="R82" i="2"/>
  <c r="Q82" i="2"/>
  <c r="N82" i="2"/>
  <c r="M82" i="2"/>
  <c r="U81" i="2"/>
  <c r="E81" i="1"/>
  <c r="T81" i="2"/>
  <c r="S81" i="2"/>
  <c r="R81" i="2"/>
  <c r="Q81" i="2"/>
  <c r="N81" i="2"/>
  <c r="M81" i="2"/>
  <c r="U80" i="2"/>
  <c r="E80" i="1"/>
  <c r="T80" i="2"/>
  <c r="S80" i="2"/>
  <c r="R80" i="2"/>
  <c r="Q80" i="2"/>
  <c r="N80" i="2"/>
  <c r="M80" i="2"/>
  <c r="U79" i="2"/>
  <c r="E79" i="1"/>
  <c r="T79" i="2"/>
  <c r="S79" i="2"/>
  <c r="R79" i="2"/>
  <c r="Q79" i="2"/>
  <c r="N79" i="2"/>
  <c r="M79" i="2"/>
  <c r="U78" i="2"/>
  <c r="E78" i="1"/>
  <c r="T78" i="2"/>
  <c r="S78" i="2"/>
  <c r="R78" i="2"/>
  <c r="Q78" i="2"/>
  <c r="N78" i="2"/>
  <c r="M78" i="2"/>
  <c r="U77" i="2"/>
  <c r="E77" i="1"/>
  <c r="T77" i="2"/>
  <c r="S77" i="2"/>
  <c r="R77" i="2"/>
  <c r="Q77" i="2"/>
  <c r="N77" i="2"/>
  <c r="M77" i="2"/>
  <c r="U76" i="2"/>
  <c r="E76" i="1"/>
  <c r="T76" i="2"/>
  <c r="S76" i="2"/>
  <c r="R76" i="2"/>
  <c r="Q76" i="2"/>
  <c r="N76" i="2"/>
  <c r="M76" i="2"/>
  <c r="U75" i="2"/>
  <c r="E75" i="1"/>
  <c r="T75" i="2"/>
  <c r="S75" i="2"/>
  <c r="R75" i="2"/>
  <c r="Q75" i="2"/>
  <c r="N75" i="2"/>
  <c r="M75" i="2"/>
  <c r="U74" i="2"/>
  <c r="E74" i="1"/>
  <c r="T74" i="2"/>
  <c r="S74" i="2"/>
  <c r="R74" i="2"/>
  <c r="Q74" i="2"/>
  <c r="N74" i="2"/>
  <c r="M74" i="2"/>
  <c r="U73" i="2"/>
  <c r="E73" i="1"/>
  <c r="T73" i="2"/>
  <c r="S73" i="2"/>
  <c r="R73" i="2"/>
  <c r="Q73" i="2"/>
  <c r="N73" i="2"/>
  <c r="M73" i="2"/>
  <c r="U72" i="2"/>
  <c r="E72" i="1"/>
  <c r="T72" i="2"/>
  <c r="S72" i="2"/>
  <c r="R72" i="2"/>
  <c r="Q72" i="2"/>
  <c r="N72" i="2"/>
  <c r="M72" i="2"/>
  <c r="U71" i="2"/>
  <c r="E71" i="1"/>
  <c r="T71" i="2"/>
  <c r="S71" i="2"/>
  <c r="R71" i="2"/>
  <c r="Q71" i="2"/>
  <c r="N71" i="2"/>
  <c r="M71" i="2"/>
  <c r="U70" i="2"/>
  <c r="E70" i="1"/>
  <c r="T70" i="2"/>
  <c r="S70" i="2"/>
  <c r="R70" i="2"/>
  <c r="Q70" i="2"/>
  <c r="N70" i="2"/>
  <c r="M70" i="2"/>
  <c r="U69" i="2"/>
  <c r="E69" i="1"/>
  <c r="T69" i="2"/>
  <c r="S69" i="2"/>
  <c r="R69" i="2"/>
  <c r="Q69" i="2"/>
  <c r="N69" i="2"/>
  <c r="M69" i="2"/>
  <c r="U68" i="2"/>
  <c r="E68" i="1"/>
  <c r="T68" i="2"/>
  <c r="S68" i="2"/>
  <c r="R68" i="2"/>
  <c r="Q68" i="2"/>
  <c r="N68" i="2"/>
  <c r="M68" i="2"/>
  <c r="U67" i="2"/>
  <c r="E67" i="1"/>
  <c r="T67" i="2"/>
  <c r="S67" i="2"/>
  <c r="R67" i="2"/>
  <c r="Q67" i="2"/>
  <c r="N67" i="2"/>
  <c r="M67" i="2"/>
  <c r="U66" i="2"/>
  <c r="E66" i="1"/>
  <c r="T66" i="2"/>
  <c r="S66" i="2"/>
  <c r="R66" i="2"/>
  <c r="Q66" i="2"/>
  <c r="N66" i="2"/>
  <c r="M66" i="2"/>
  <c r="U65" i="2"/>
  <c r="E65" i="1"/>
  <c r="T65" i="2"/>
  <c r="S65" i="2"/>
  <c r="R65" i="2"/>
  <c r="Q65" i="2"/>
  <c r="N65" i="2"/>
  <c r="M65" i="2"/>
  <c r="U64" i="2"/>
  <c r="E64" i="1"/>
  <c r="T64" i="2"/>
  <c r="S64" i="2"/>
  <c r="R64" i="2"/>
  <c r="Q64" i="2"/>
  <c r="N64" i="2"/>
  <c r="M64" i="2"/>
  <c r="U63" i="2"/>
  <c r="E63" i="1"/>
  <c r="T63" i="2"/>
  <c r="S63" i="2"/>
  <c r="R63" i="2"/>
  <c r="Q63" i="2"/>
  <c r="N63" i="2"/>
  <c r="M63" i="2"/>
  <c r="U62" i="2"/>
  <c r="E62" i="1"/>
  <c r="T62" i="2"/>
  <c r="S62" i="2"/>
  <c r="R62" i="2"/>
  <c r="Q62" i="2"/>
  <c r="N62" i="2"/>
  <c r="M62" i="2"/>
  <c r="U61" i="2"/>
  <c r="E61" i="1"/>
  <c r="T61" i="2"/>
  <c r="S61" i="2"/>
  <c r="R61" i="2"/>
  <c r="Q61" i="2"/>
  <c r="N61" i="2"/>
  <c r="M61" i="2"/>
  <c r="U60" i="2"/>
  <c r="E60" i="1"/>
  <c r="T60" i="2"/>
  <c r="S60" i="2"/>
  <c r="R60" i="2"/>
  <c r="Q60" i="2"/>
  <c r="N60" i="2"/>
  <c r="M60" i="2"/>
  <c r="U59" i="2"/>
  <c r="E59" i="1"/>
  <c r="T59" i="2"/>
  <c r="S59" i="2"/>
  <c r="R59" i="2"/>
  <c r="Q59" i="2"/>
  <c r="N59" i="2"/>
  <c r="M59" i="2"/>
  <c r="U58" i="2"/>
  <c r="E58" i="1"/>
  <c r="T58" i="2"/>
  <c r="S58" i="2"/>
  <c r="R58" i="2"/>
  <c r="Q58" i="2"/>
  <c r="N58" i="2"/>
  <c r="M58" i="2"/>
  <c r="U57" i="2"/>
  <c r="E57" i="1"/>
  <c r="T57" i="2"/>
  <c r="S57" i="2"/>
  <c r="R57" i="2"/>
  <c r="Q57" i="2"/>
  <c r="N57" i="2"/>
  <c r="M57" i="2"/>
  <c r="U56" i="2"/>
  <c r="E56" i="1"/>
  <c r="T56" i="2"/>
  <c r="S56" i="2"/>
  <c r="R56" i="2"/>
  <c r="Q56" i="2"/>
  <c r="N56" i="2"/>
  <c r="M56" i="2"/>
  <c r="U55" i="2"/>
  <c r="E55" i="1"/>
  <c r="T55" i="2"/>
  <c r="S55" i="2"/>
  <c r="R55" i="2"/>
  <c r="Q55" i="2"/>
  <c r="N55" i="2"/>
  <c r="M55" i="2"/>
  <c r="U54" i="2"/>
  <c r="E54" i="1"/>
  <c r="T54" i="2"/>
  <c r="S54" i="2"/>
  <c r="R54" i="2"/>
  <c r="Q54" i="2"/>
  <c r="N54" i="2"/>
  <c r="M54" i="2"/>
  <c r="U53" i="2"/>
  <c r="E53" i="1"/>
  <c r="T53" i="2"/>
  <c r="S53" i="2"/>
  <c r="R53" i="2"/>
  <c r="Q53" i="2"/>
  <c r="N53" i="2"/>
  <c r="M53" i="2"/>
  <c r="U52" i="2"/>
  <c r="E52" i="1"/>
  <c r="T52" i="2"/>
  <c r="S52" i="2"/>
  <c r="R52" i="2"/>
  <c r="Q52" i="2"/>
  <c r="N52" i="2"/>
  <c r="M52" i="2"/>
  <c r="U51" i="2"/>
  <c r="E51" i="1"/>
  <c r="T51" i="2"/>
  <c r="S51" i="2"/>
  <c r="R51" i="2"/>
  <c r="Q51" i="2"/>
  <c r="N51" i="2"/>
  <c r="M51" i="2"/>
  <c r="U50" i="2"/>
  <c r="E50" i="1"/>
  <c r="T50" i="2"/>
  <c r="S50" i="2"/>
  <c r="R50" i="2"/>
  <c r="Q50" i="2"/>
  <c r="N50" i="2"/>
  <c r="M50" i="2"/>
  <c r="U49" i="2"/>
  <c r="E49" i="1"/>
  <c r="T49" i="2"/>
  <c r="S49" i="2"/>
  <c r="R49" i="2"/>
  <c r="Q49" i="2"/>
  <c r="N49" i="2"/>
  <c r="M49" i="2"/>
  <c r="U48" i="2"/>
  <c r="E48" i="1"/>
  <c r="T48" i="2"/>
  <c r="S48" i="2"/>
  <c r="R48" i="2"/>
  <c r="Q48" i="2"/>
  <c r="N48" i="2"/>
  <c r="M48" i="2"/>
  <c r="U47" i="2"/>
  <c r="E47" i="1"/>
  <c r="T47" i="2"/>
  <c r="S47" i="2"/>
  <c r="R47" i="2"/>
  <c r="Q47" i="2"/>
  <c r="N47" i="2"/>
  <c r="M47" i="2"/>
  <c r="U46" i="2"/>
  <c r="E46" i="1"/>
  <c r="T46" i="2"/>
  <c r="S46" i="2"/>
  <c r="R46" i="2"/>
  <c r="Q46" i="2"/>
  <c r="N46" i="2"/>
  <c r="M46" i="2"/>
  <c r="U45" i="2"/>
  <c r="E45" i="1"/>
  <c r="T45" i="2"/>
  <c r="S45" i="2"/>
  <c r="R45" i="2"/>
  <c r="Q45" i="2"/>
  <c r="N45" i="2"/>
  <c r="M45" i="2"/>
  <c r="U44" i="2"/>
  <c r="E44" i="1"/>
  <c r="T44" i="2"/>
  <c r="S44" i="2"/>
  <c r="R44" i="2"/>
  <c r="Q44" i="2"/>
  <c r="N44" i="2"/>
  <c r="M44" i="2"/>
  <c r="U43" i="2"/>
  <c r="E43" i="1"/>
  <c r="T43" i="2"/>
  <c r="S43" i="2"/>
  <c r="R43" i="2"/>
  <c r="Q43" i="2"/>
  <c r="N43" i="2"/>
  <c r="M43" i="2"/>
  <c r="U42" i="2"/>
  <c r="E42" i="1"/>
  <c r="T42" i="2"/>
  <c r="S42" i="2"/>
  <c r="R42" i="2"/>
  <c r="Q42" i="2"/>
  <c r="N42" i="2"/>
  <c r="M42" i="2"/>
  <c r="U41" i="2"/>
  <c r="E41" i="1"/>
  <c r="T41" i="2"/>
  <c r="S41" i="2"/>
  <c r="R41" i="2"/>
  <c r="Q41" i="2"/>
  <c r="N41" i="2"/>
  <c r="M41" i="2"/>
  <c r="U40" i="2"/>
  <c r="E40" i="1"/>
  <c r="T40" i="2"/>
  <c r="S40" i="2"/>
  <c r="R40" i="2"/>
  <c r="Q40" i="2"/>
  <c r="N40" i="2"/>
  <c r="M40" i="2"/>
  <c r="U39" i="2"/>
  <c r="E39" i="1"/>
  <c r="T39" i="2"/>
  <c r="S39" i="2"/>
  <c r="R39" i="2"/>
  <c r="Q39" i="2"/>
  <c r="N39" i="2"/>
  <c r="M39" i="2"/>
  <c r="U38" i="2"/>
  <c r="E38" i="1"/>
  <c r="T38" i="2"/>
  <c r="S38" i="2"/>
  <c r="R38" i="2"/>
  <c r="Q38" i="2"/>
  <c r="N38" i="2"/>
  <c r="M38" i="2"/>
  <c r="U37" i="2"/>
  <c r="E37" i="1"/>
  <c r="T37" i="2"/>
  <c r="S37" i="2"/>
  <c r="R37" i="2"/>
  <c r="Q37" i="2"/>
  <c r="N37" i="2"/>
  <c r="M37" i="2"/>
  <c r="U36" i="2"/>
  <c r="E36" i="1"/>
  <c r="T36" i="2"/>
  <c r="S36" i="2"/>
  <c r="R36" i="2"/>
  <c r="Q36" i="2"/>
  <c r="N36" i="2"/>
  <c r="M36" i="2"/>
  <c r="U35" i="2"/>
  <c r="E35" i="1"/>
  <c r="T35" i="2"/>
  <c r="S35" i="2"/>
  <c r="R35" i="2"/>
  <c r="Q35" i="2"/>
  <c r="N35" i="2"/>
  <c r="M35" i="2"/>
  <c r="U34" i="2"/>
  <c r="E34" i="1"/>
  <c r="T34" i="2"/>
  <c r="S34" i="2"/>
  <c r="R34" i="2"/>
  <c r="Q34" i="2"/>
  <c r="N34" i="2"/>
  <c r="M34" i="2"/>
  <c r="U33" i="2"/>
  <c r="E33" i="1"/>
  <c r="T33" i="2"/>
  <c r="S33" i="2"/>
  <c r="R33" i="2"/>
  <c r="Q33" i="2"/>
  <c r="N33" i="2"/>
  <c r="M33" i="2"/>
  <c r="U32" i="2"/>
  <c r="E32" i="1"/>
  <c r="T32" i="2"/>
  <c r="S32" i="2"/>
  <c r="R32" i="2"/>
  <c r="Q32" i="2"/>
  <c r="N32" i="2"/>
  <c r="M32" i="2"/>
  <c r="U31" i="2"/>
  <c r="E31" i="1"/>
  <c r="T31" i="2"/>
  <c r="S31" i="2"/>
  <c r="R31" i="2"/>
  <c r="Q31" i="2"/>
  <c r="N31" i="2"/>
  <c r="M31" i="2"/>
  <c r="U30" i="2"/>
  <c r="E30" i="1"/>
  <c r="T30" i="2"/>
  <c r="S30" i="2"/>
  <c r="R30" i="2"/>
  <c r="Q30" i="2"/>
  <c r="N30" i="2"/>
  <c r="M30" i="2"/>
  <c r="U29" i="2"/>
  <c r="E29" i="1"/>
  <c r="T29" i="2"/>
  <c r="S29" i="2"/>
  <c r="R29" i="2"/>
  <c r="Q29" i="2"/>
  <c r="N29" i="2"/>
  <c r="M29" i="2"/>
  <c r="U28" i="2"/>
  <c r="E28" i="1"/>
  <c r="T28" i="2"/>
  <c r="S28" i="2"/>
  <c r="R28" i="2"/>
  <c r="Q28" i="2"/>
  <c r="N28" i="2"/>
  <c r="M28" i="2"/>
  <c r="U27" i="2"/>
  <c r="E27" i="1"/>
  <c r="T27" i="2"/>
  <c r="S27" i="2"/>
  <c r="R27" i="2"/>
  <c r="Q27" i="2"/>
  <c r="N27" i="2"/>
  <c r="M27" i="2"/>
  <c r="U26" i="2"/>
  <c r="E26" i="1"/>
  <c r="T26" i="2"/>
  <c r="S26" i="2"/>
  <c r="R26" i="2"/>
  <c r="Q26" i="2"/>
  <c r="N26" i="2"/>
  <c r="M26" i="2"/>
  <c r="U25" i="2"/>
  <c r="E25" i="1"/>
  <c r="T25" i="2"/>
  <c r="S25" i="2"/>
  <c r="R25" i="2"/>
  <c r="Q25" i="2"/>
  <c r="N25" i="2"/>
  <c r="M25" i="2"/>
  <c r="U24" i="2"/>
  <c r="E24" i="1"/>
  <c r="T24" i="2"/>
  <c r="S24" i="2"/>
  <c r="R24" i="2"/>
  <c r="Q24" i="2"/>
  <c r="N24" i="2"/>
  <c r="M24" i="2"/>
  <c r="U23" i="2"/>
  <c r="E23" i="1"/>
  <c r="T23" i="2"/>
  <c r="S23" i="2"/>
  <c r="R23" i="2"/>
  <c r="Q23" i="2"/>
  <c r="N23" i="2"/>
  <c r="M23" i="2"/>
  <c r="U22" i="2"/>
  <c r="E22" i="1"/>
  <c r="T22" i="2"/>
  <c r="S22" i="2"/>
  <c r="R22" i="2"/>
  <c r="Q22" i="2"/>
  <c r="N22" i="2"/>
  <c r="M22" i="2"/>
  <c r="U21" i="2"/>
  <c r="E21" i="1"/>
  <c r="T21" i="2"/>
  <c r="S21" i="2"/>
  <c r="R21" i="2"/>
  <c r="Q21" i="2"/>
  <c r="N21" i="2"/>
  <c r="M21" i="2"/>
  <c r="U20" i="2"/>
  <c r="E20" i="1"/>
  <c r="T20" i="2"/>
  <c r="S20" i="2"/>
  <c r="R20" i="2"/>
  <c r="Q20" i="2"/>
  <c r="N20" i="2"/>
  <c r="M20" i="2"/>
  <c r="U19" i="2"/>
  <c r="E19" i="1"/>
  <c r="T19" i="2"/>
  <c r="S19" i="2"/>
  <c r="R19" i="2"/>
  <c r="Q19" i="2"/>
  <c r="N19" i="2"/>
  <c r="M19" i="2"/>
  <c r="U18" i="2"/>
  <c r="E18" i="1"/>
  <c r="T18" i="2"/>
  <c r="S18" i="2"/>
  <c r="R18" i="2"/>
  <c r="Q18" i="2"/>
  <c r="N18" i="2"/>
  <c r="M18" i="2"/>
  <c r="U17" i="2"/>
  <c r="E17" i="1"/>
  <c r="T17" i="2"/>
  <c r="S17" i="2"/>
  <c r="R17" i="2"/>
  <c r="Q17" i="2"/>
  <c r="N17" i="2"/>
  <c r="M17" i="2"/>
  <c r="U16" i="2"/>
  <c r="E16" i="1"/>
  <c r="T16" i="2"/>
  <c r="S16" i="2"/>
  <c r="R16" i="2"/>
  <c r="Q16" i="2"/>
  <c r="N16" i="2"/>
  <c r="M16" i="2"/>
  <c r="U15" i="2"/>
  <c r="E15" i="1"/>
  <c r="T15" i="2"/>
  <c r="S15" i="2"/>
  <c r="R15" i="2"/>
  <c r="Q15" i="2"/>
  <c r="N15" i="2"/>
  <c r="M15" i="2"/>
  <c r="U14" i="2"/>
  <c r="E14" i="1"/>
  <c r="T14" i="2"/>
  <c r="S14" i="2"/>
  <c r="R14" i="2"/>
  <c r="Q14" i="2"/>
  <c r="N14" i="2"/>
  <c r="M14" i="2"/>
  <c r="U13" i="2"/>
  <c r="E13" i="1"/>
  <c r="T13" i="2"/>
  <c r="S13" i="2"/>
  <c r="R13" i="2"/>
  <c r="Q13" i="2"/>
  <c r="N13" i="2"/>
  <c r="M13" i="2"/>
  <c r="U12" i="2"/>
  <c r="E12" i="1"/>
  <c r="T12" i="2"/>
  <c r="S12" i="2"/>
  <c r="R12" i="2"/>
  <c r="Q12" i="2"/>
  <c r="N12" i="2"/>
  <c r="M12" i="2"/>
  <c r="U11" i="2"/>
  <c r="E11" i="1"/>
  <c r="T11" i="2"/>
  <c r="S11" i="2"/>
  <c r="R11" i="2"/>
  <c r="Q11" i="2"/>
  <c r="N11" i="2"/>
  <c r="M11" i="2"/>
  <c r="U10" i="2"/>
  <c r="E10" i="1"/>
  <c r="T10" i="2"/>
  <c r="S10" i="2"/>
  <c r="R10" i="2"/>
  <c r="Q10" i="2"/>
  <c r="N10" i="2"/>
  <c r="M10" i="2"/>
  <c r="U9" i="2"/>
  <c r="E9" i="1"/>
  <c r="T9" i="2"/>
  <c r="S9" i="2"/>
  <c r="R9" i="2"/>
  <c r="Q9" i="2"/>
  <c r="N9" i="2"/>
  <c r="M9" i="2"/>
  <c r="U8" i="2"/>
  <c r="E8" i="1"/>
  <c r="T8" i="2"/>
  <c r="S8" i="2"/>
  <c r="R8" i="2"/>
  <c r="Q8" i="2"/>
  <c r="N8" i="2"/>
  <c r="M8" i="2"/>
  <c r="U7" i="2"/>
  <c r="E7" i="1"/>
  <c r="T7" i="2"/>
  <c r="S7" i="2"/>
  <c r="R7" i="2"/>
  <c r="Q7" i="2"/>
  <c r="N7" i="2"/>
  <c r="M7" i="2"/>
  <c r="U6" i="2"/>
  <c r="E6" i="1"/>
  <c r="T6" i="2"/>
  <c r="S6" i="2"/>
  <c r="R6" i="2"/>
  <c r="Q6" i="2"/>
  <c r="N6" i="2"/>
  <c r="M6" i="2"/>
  <c r="U5" i="2"/>
  <c r="E5" i="1"/>
  <c r="T5" i="2"/>
  <c r="S5" i="2"/>
  <c r="R5" i="2"/>
  <c r="Q5" i="2"/>
  <c r="N5" i="2"/>
  <c r="M5" i="2"/>
  <c r="U4" i="2"/>
  <c r="E4" i="1"/>
  <c r="T4" i="2"/>
  <c r="S4" i="2"/>
  <c r="R4" i="2"/>
  <c r="Q4" i="2"/>
  <c r="N4" i="2"/>
  <c r="M4" i="2"/>
  <c r="U3" i="2"/>
  <c r="E3" i="1"/>
  <c r="T3" i="2"/>
  <c r="S3" i="2"/>
  <c r="R3" i="2"/>
  <c r="Q3" i="2"/>
  <c r="N3" i="2"/>
  <c r="M3" i="2"/>
  <c r="U2" i="2"/>
  <c r="E2" i="1"/>
  <c r="T2" i="2"/>
  <c r="S2" i="2"/>
  <c r="R2" i="2"/>
  <c r="Q2" i="2"/>
  <c r="O2" i="2" a="1"/>
  <c r="O3" i="2"/>
  <c r="O4" i="2"/>
  <c r="O5" i="2"/>
  <c r="O6" i="2"/>
  <c r="O7" i="2"/>
  <c r="O8" i="2"/>
  <c r="O9" i="2"/>
  <c r="O10" i="2"/>
  <c r="O11" i="2"/>
  <c r="O12" i="2"/>
  <c r="O13" i="2"/>
  <c r="O14" i="2"/>
  <c r="O15" i="2"/>
  <c r="O16" i="2"/>
  <c r="O17" i="2"/>
  <c r="O18" i="2"/>
  <c r="O19" i="2"/>
  <c r="O20" i="2"/>
  <c r="O21" i="2"/>
  <c r="O22" i="2"/>
  <c r="O23" i="2"/>
  <c r="O24" i="2"/>
  <c r="O25" i="2"/>
  <c r="O26" i="2"/>
  <c r="O27" i="2"/>
  <c r="O28" i="2"/>
  <c r="O29" i="2"/>
  <c r="O30" i="2"/>
  <c r="O31" i="2"/>
  <c r="O32" i="2"/>
  <c r="O33" i="2"/>
  <c r="O34" i="2"/>
  <c r="O35" i="2"/>
  <c r="O36" i="2"/>
  <c r="O37" i="2"/>
  <c r="O38" i="2"/>
  <c r="O39" i="2"/>
  <c r="O40" i="2"/>
  <c r="O41" i="2"/>
  <c r="O42" i="2"/>
  <c r="O43" i="2"/>
  <c r="O44" i="2"/>
  <c r="O45" i="2"/>
  <c r="O46" i="2"/>
  <c r="O47" i="2"/>
  <c r="O48" i="2"/>
  <c r="O49" i="2"/>
  <c r="O50" i="2"/>
  <c r="O51" i="2"/>
  <c r="O52" i="2"/>
  <c r="O53" i="2"/>
  <c r="O54" i="2"/>
  <c r="O55" i="2"/>
  <c r="O56" i="2"/>
  <c r="O57" i="2"/>
  <c r="O58" i="2"/>
  <c r="O59" i="2"/>
  <c r="O60" i="2"/>
  <c r="O61" i="2"/>
  <c r="O62" i="2"/>
  <c r="O63" i="2"/>
  <c r="O64" i="2"/>
  <c r="O65" i="2"/>
  <c r="O66" i="2"/>
  <c r="O67" i="2"/>
  <c r="O68" i="2"/>
  <c r="O69" i="2"/>
  <c r="O70" i="2"/>
  <c r="O71" i="2"/>
  <c r="O72" i="2"/>
  <c r="O73" i="2"/>
  <c r="O74" i="2"/>
  <c r="O75" i="2"/>
  <c r="O76" i="2"/>
  <c r="O77" i="2"/>
  <c r="O78" i="2"/>
  <c r="O79" i="2"/>
  <c r="O80" i="2"/>
  <c r="O81" i="2"/>
  <c r="O82" i="2"/>
  <c r="O83" i="2"/>
  <c r="O84" i="2"/>
  <c r="O85" i="2"/>
  <c r="O86" i="2"/>
  <c r="O87" i="2"/>
  <c r="O88" i="2"/>
  <c r="O89" i="2"/>
  <c r="O90" i="2"/>
  <c r="O91" i="2"/>
  <c r="O92" i="2"/>
  <c r="O93" i="2"/>
  <c r="O94" i="2"/>
  <c r="O95" i="2"/>
  <c r="O96" i="2"/>
  <c r="O97" i="2"/>
  <c r="O98" i="2"/>
  <c r="O99" i="2"/>
  <c r="O100" i="2"/>
  <c r="O101" i="2"/>
  <c r="O102" i="2"/>
  <c r="O103" i="2"/>
  <c r="O104" i="2"/>
  <c r="O105" i="2"/>
  <c r="O106" i="2"/>
  <c r="O107" i="2"/>
  <c r="O108" i="2"/>
  <c r="O109" i="2"/>
  <c r="O110" i="2"/>
  <c r="O111" i="2"/>
  <c r="O112" i="2"/>
  <c r="O113" i="2"/>
  <c r="O114" i="2"/>
  <c r="O115" i="2"/>
  <c r="O116" i="2"/>
  <c r="O117" i="2"/>
  <c r="O118" i="2"/>
  <c r="O119" i="2"/>
  <c r="O120" i="2"/>
  <c r="O121" i="2"/>
  <c r="O122" i="2"/>
  <c r="O123" i="2"/>
  <c r="O124" i="2"/>
  <c r="O125" i="2"/>
  <c r="O126" i="2"/>
  <c r="O127" i="2"/>
  <c r="O128" i="2"/>
  <c r="O129" i="2"/>
  <c r="O130" i="2"/>
  <c r="O131" i="2"/>
  <c r="O132" i="2"/>
  <c r="O133" i="2"/>
  <c r="O134" i="2"/>
  <c r="O135" i="2"/>
  <c r="O136" i="2"/>
  <c r="O137" i="2"/>
  <c r="O138" i="2"/>
  <c r="O139" i="2"/>
  <c r="O140" i="2"/>
  <c r="O141" i="2"/>
  <c r="O142" i="2"/>
  <c r="O143" i="2"/>
  <c r="O144" i="2"/>
  <c r="O145" i="2"/>
  <c r="O146" i="2"/>
  <c r="O147" i="2"/>
  <c r="O148" i="2"/>
  <c r="O149" i="2"/>
  <c r="O150" i="2"/>
  <c r="O151" i="2"/>
  <c r="O152" i="2"/>
  <c r="O153" i="2"/>
  <c r="O154" i="2"/>
  <c r="O155" i="2"/>
  <c r="O156" i="2"/>
  <c r="O157" i="2"/>
  <c r="O158" i="2"/>
  <c r="O159" i="2"/>
  <c r="O160" i="2"/>
  <c r="O161" i="2"/>
  <c r="O162" i="2"/>
  <c r="O163" i="2"/>
  <c r="O164" i="2"/>
  <c r="O165" i="2"/>
  <c r="O166" i="2"/>
  <c r="O167" i="2"/>
  <c r="O168" i="2"/>
  <c r="O169" i="2"/>
  <c r="O170" i="2"/>
  <c r="O171" i="2"/>
  <c r="O172" i="2"/>
  <c r="O173" i="2"/>
  <c r="O174" i="2"/>
  <c r="O175" i="2"/>
  <c r="O176" i="2"/>
  <c r="O177" i="2"/>
  <c r="O178" i="2"/>
  <c r="O179" i="2"/>
  <c r="O180" i="2"/>
  <c r="O181" i="2"/>
  <c r="O182" i="2"/>
  <c r="O183" i="2"/>
  <c r="O184" i="2"/>
  <c r="O185" i="2"/>
  <c r="O186" i="2"/>
  <c r="O187" i="2"/>
  <c r="O188" i="2"/>
  <c r="O189" i="2"/>
  <c r="O190" i="2"/>
  <c r="O191" i="2"/>
  <c r="O192" i="2"/>
  <c r="O193" i="2"/>
  <c r="O194" i="2"/>
  <c r="O195" i="2"/>
  <c r="O196" i="2"/>
  <c r="O197" i="2"/>
  <c r="O198" i="2"/>
  <c r="O199" i="2"/>
  <c r="O200" i="2"/>
  <c r="O201" i="2"/>
  <c r="O202" i="2"/>
  <c r="O203" i="2"/>
  <c r="O204" i="2"/>
  <c r="O205" i="2"/>
  <c r="O206" i="2"/>
  <c r="O207" i="2"/>
  <c r="O208" i="2"/>
  <c r="O209" i="2"/>
  <c r="O210" i="2"/>
  <c r="O211" i="2"/>
  <c r="O212" i="2"/>
  <c r="O213" i="2"/>
  <c r="O214" i="2"/>
  <c r="O215" i="2"/>
  <c r="O216" i="2"/>
  <c r="O217" i="2"/>
  <c r="O218" i="2"/>
  <c r="O219" i="2"/>
  <c r="O220" i="2"/>
  <c r="O221" i="2"/>
  <c r="O222" i="2"/>
  <c r="O223" i="2"/>
  <c r="O224" i="2"/>
  <c r="O225" i="2"/>
  <c r="O226" i="2"/>
  <c r="O227" i="2"/>
  <c r="O228" i="2"/>
  <c r="O229" i="2"/>
  <c r="O230" i="2"/>
  <c r="O231" i="2"/>
  <c r="O232" i="2"/>
  <c r="O233" i="2"/>
  <c r="O234" i="2"/>
  <c r="O235" i="2"/>
  <c r="O236" i="2"/>
  <c r="O237" i="2"/>
  <c r="O238" i="2"/>
  <c r="O239" i="2"/>
  <c r="O240" i="2"/>
  <c r="O241" i="2"/>
  <c r="O242" i="2"/>
  <c r="O243" i="2"/>
  <c r="O244" i="2"/>
  <c r="O245" i="2"/>
  <c r="O246" i="2"/>
  <c r="O247" i="2"/>
  <c r="O248" i="2"/>
  <c r="O249" i="2"/>
  <c r="O250" i="2"/>
  <c r="O251" i="2"/>
  <c r="O252" i="2"/>
  <c r="O253" i="2"/>
  <c r="O254" i="2"/>
  <c r="O255" i="2"/>
  <c r="O256" i="2"/>
  <c r="O257" i="2"/>
  <c r="O258" i="2"/>
  <c r="O259" i="2"/>
  <c r="O260" i="2"/>
  <c r="O261" i="2"/>
  <c r="O262" i="2"/>
  <c r="O263" i="2"/>
  <c r="O264" i="2"/>
  <c r="O265" i="2"/>
  <c r="O266" i="2"/>
  <c r="O267" i="2"/>
  <c r="O268" i="2"/>
  <c r="O269" i="2"/>
  <c r="O270" i="2"/>
  <c r="O271" i="2"/>
  <c r="O272" i="2"/>
  <c r="O273" i="2"/>
  <c r="O274" i="2"/>
  <c r="O275" i="2"/>
  <c r="O276" i="2"/>
  <c r="O277" i="2"/>
  <c r="O278" i="2"/>
  <c r="O279" i="2"/>
  <c r="O280" i="2"/>
  <c r="O281" i="2"/>
  <c r="O282" i="2"/>
  <c r="O283" i="2"/>
  <c r="O284" i="2"/>
  <c r="O285" i="2"/>
  <c r="O286" i="2"/>
  <c r="O287" i="2"/>
  <c r="O288" i="2"/>
  <c r="O289" i="2"/>
  <c r="O290" i="2"/>
  <c r="O291" i="2"/>
  <c r="O292" i="2"/>
  <c r="O293" i="2"/>
  <c r="O294" i="2"/>
  <c r="O295" i="2"/>
  <c r="O296" i="2"/>
  <c r="O297" i="2"/>
  <c r="O298" i="2"/>
  <c r="O299" i="2"/>
  <c r="O300" i="2"/>
  <c r="O301" i="2"/>
  <c r="O302" i="2"/>
  <c r="O303" i="2"/>
  <c r="O304" i="2"/>
  <c r="O305" i="2"/>
  <c r="O306" i="2"/>
  <c r="O307" i="2"/>
  <c r="O308" i="2"/>
  <c r="O309" i="2"/>
  <c r="O310" i="2"/>
  <c r="O311" i="2"/>
  <c r="O312" i="2"/>
  <c r="O313" i="2"/>
  <c r="O314" i="2"/>
  <c r="O315" i="2"/>
  <c r="O316" i="2"/>
  <c r="O317" i="2"/>
  <c r="O318" i="2"/>
  <c r="O319" i="2"/>
  <c r="O320" i="2"/>
  <c r="O321" i="2"/>
  <c r="O322" i="2"/>
  <c r="O323" i="2"/>
  <c r="O324" i="2"/>
  <c r="O325" i="2"/>
  <c r="O326" i="2"/>
  <c r="O327" i="2"/>
  <c r="O328" i="2"/>
  <c r="O329" i="2"/>
  <c r="O330" i="2"/>
  <c r="O331" i="2"/>
  <c r="O332" i="2"/>
  <c r="O333" i="2"/>
  <c r="O334" i="2"/>
  <c r="O335" i="2"/>
  <c r="O336" i="2"/>
  <c r="O337" i="2"/>
  <c r="O338" i="2"/>
  <c r="O339" i="2"/>
  <c r="O340" i="2"/>
  <c r="O341" i="2"/>
  <c r="O342" i="2"/>
  <c r="O343" i="2"/>
  <c r="O344" i="2"/>
  <c r="O345" i="2"/>
  <c r="O346" i="2"/>
  <c r="O347" i="2"/>
  <c r="O348" i="2"/>
  <c r="O349" i="2"/>
  <c r="O350" i="2"/>
  <c r="O351" i="2"/>
  <c r="O352" i="2"/>
  <c r="O353" i="2"/>
  <c r="O354" i="2"/>
  <c r="O355" i="2"/>
  <c r="O356" i="2"/>
  <c r="O357" i="2"/>
  <c r="O358" i="2"/>
  <c r="O359" i="2"/>
  <c r="O360" i="2"/>
  <c r="O361" i="2"/>
  <c r="O362" i="2"/>
  <c r="O363" i="2"/>
  <c r="O364" i="2"/>
  <c r="O365" i="2"/>
  <c r="O366" i="2"/>
  <c r="O367" i="2"/>
  <c r="O368" i="2"/>
  <c r="O369" i="2"/>
  <c r="O370" i="2"/>
  <c r="O371" i="2"/>
  <c r="O372" i="2"/>
  <c r="O373" i="2"/>
  <c r="O374" i="2"/>
  <c r="O375" i="2"/>
  <c r="O376" i="2"/>
  <c r="O377" i="2"/>
  <c r="O378" i="2"/>
  <c r="O379" i="2"/>
  <c r="O380" i="2"/>
  <c r="O381" i="2"/>
  <c r="O382" i="2"/>
  <c r="O383" i="2"/>
  <c r="O384" i="2"/>
  <c r="O385" i="2"/>
  <c r="O386" i="2"/>
  <c r="O387" i="2"/>
  <c r="O388" i="2"/>
  <c r="O389" i="2"/>
  <c r="O390" i="2"/>
  <c r="O391" i="2"/>
  <c r="O392" i="2"/>
  <c r="O393" i="2"/>
  <c r="O394" i="2"/>
  <c r="O395" i="2"/>
  <c r="O396" i="2"/>
  <c r="O397" i="2"/>
  <c r="O398" i="2"/>
  <c r="O399" i="2"/>
  <c r="O400" i="2"/>
  <c r="O401" i="2"/>
  <c r="O402" i="2"/>
  <c r="O403" i="2"/>
  <c r="O404" i="2"/>
  <c r="O405" i="2"/>
  <c r="O406" i="2"/>
  <c r="O407" i="2"/>
  <c r="O408" i="2"/>
  <c r="O409" i="2"/>
  <c r="O410" i="2"/>
  <c r="O411" i="2"/>
  <c r="O412" i="2"/>
  <c r="O413" i="2"/>
  <c r="O414" i="2"/>
  <c r="O415" i="2"/>
  <c r="O416" i="2"/>
  <c r="O417" i="2"/>
  <c r="O418" i="2"/>
  <c r="O419" i="2"/>
  <c r="O420" i="2"/>
  <c r="O421" i="2"/>
  <c r="O422" i="2"/>
  <c r="O423" i="2"/>
  <c r="O424" i="2"/>
  <c r="O425" i="2"/>
  <c r="O426" i="2"/>
  <c r="O427" i="2"/>
  <c r="O428" i="2"/>
  <c r="O429" i="2"/>
  <c r="O430" i="2"/>
  <c r="O431" i="2"/>
  <c r="O432" i="2"/>
  <c r="O433" i="2"/>
  <c r="O434" i="2"/>
  <c r="O435" i="2"/>
  <c r="O436" i="2"/>
  <c r="O437" i="2"/>
  <c r="O438" i="2"/>
  <c r="O439" i="2"/>
  <c r="O440" i="2"/>
  <c r="O441" i="2"/>
  <c r="O442" i="2"/>
  <c r="O443" i="2"/>
  <c r="O444" i="2"/>
  <c r="O445" i="2"/>
  <c r="O446" i="2"/>
  <c r="O447" i="2"/>
  <c r="O448" i="2"/>
  <c r="O449" i="2"/>
  <c r="O450" i="2"/>
  <c r="O451" i="2"/>
  <c r="O452" i="2"/>
  <c r="O453" i="2"/>
  <c r="O454" i="2"/>
  <c r="O455" i="2"/>
  <c r="O456" i="2"/>
  <c r="O457" i="2"/>
  <c r="O458" i="2"/>
  <c r="O459" i="2"/>
  <c r="O460" i="2"/>
  <c r="O461" i="2"/>
  <c r="O462" i="2"/>
  <c r="O463" i="2"/>
  <c r="O464" i="2"/>
  <c r="O465" i="2"/>
  <c r="O466" i="2"/>
  <c r="O467" i="2"/>
  <c r="O468" i="2"/>
  <c r="O469" i="2"/>
  <c r="O470" i="2"/>
  <c r="O471" i="2"/>
  <c r="O472" i="2"/>
  <c r="O473" i="2"/>
  <c r="O474" i="2"/>
  <c r="O475" i="2"/>
  <c r="O476" i="2"/>
  <c r="O477" i="2"/>
  <c r="O478" i="2"/>
  <c r="O479" i="2"/>
  <c r="O480" i="2"/>
  <c r="O481" i="2"/>
  <c r="O482" i="2"/>
  <c r="O483" i="2"/>
  <c r="O484" i="2"/>
  <c r="O485" i="2"/>
  <c r="O486" i="2"/>
  <c r="O487" i="2"/>
  <c r="O488" i="2"/>
  <c r="O489" i="2"/>
  <c r="O490" i="2"/>
  <c r="O491" i="2"/>
  <c r="O492" i="2"/>
  <c r="O493" i="2"/>
  <c r="O494" i="2"/>
  <c r="O495" i="2"/>
  <c r="O496" i="2"/>
  <c r="O497" i="2"/>
  <c r="O498" i="2"/>
  <c r="O499" i="2"/>
  <c r="O500" i="2"/>
  <c r="O501" i="2"/>
  <c r="O502" i="2"/>
  <c r="O503" i="2"/>
  <c r="O504" i="2"/>
  <c r="O505" i="2"/>
  <c r="O506" i="2"/>
  <c r="O507" i="2"/>
  <c r="O508" i="2"/>
  <c r="O509" i="2"/>
  <c r="O510" i="2"/>
  <c r="O511" i="2"/>
  <c r="O512" i="2"/>
  <c r="O513" i="2"/>
  <c r="O514" i="2"/>
  <c r="O515" i="2"/>
  <c r="O516" i="2"/>
  <c r="O517" i="2"/>
  <c r="O518" i="2"/>
  <c r="O519" i="2"/>
  <c r="O520" i="2"/>
  <c r="O521" i="2"/>
  <c r="O522" i="2"/>
  <c r="O523" i="2"/>
  <c r="O524" i="2"/>
  <c r="O525" i="2"/>
  <c r="O526" i="2"/>
  <c r="O527" i="2"/>
  <c r="O528" i="2"/>
  <c r="O529" i="2"/>
  <c r="O530" i="2"/>
  <c r="O531" i="2"/>
  <c r="O532" i="2"/>
  <c r="O533" i="2"/>
  <c r="O534" i="2"/>
  <c r="O535" i="2"/>
  <c r="O536" i="2"/>
  <c r="O537" i="2"/>
  <c r="O538" i="2"/>
  <c r="O539" i="2"/>
  <c r="O540" i="2"/>
  <c r="O541" i="2"/>
  <c r="O542" i="2"/>
  <c r="O543" i="2"/>
  <c r="O544" i="2"/>
  <c r="O545" i="2"/>
  <c r="O546" i="2"/>
  <c r="O547" i="2"/>
  <c r="O548" i="2"/>
  <c r="O549" i="2"/>
  <c r="O550" i="2"/>
  <c r="O551" i="2"/>
  <c r="O552" i="2"/>
  <c r="O553" i="2"/>
  <c r="O554" i="2"/>
  <c r="O555" i="2"/>
  <c r="O556" i="2"/>
  <c r="O557" i="2"/>
  <c r="O558" i="2"/>
  <c r="O559" i="2"/>
  <c r="O560" i="2"/>
  <c r="O561" i="2"/>
  <c r="O562" i="2"/>
  <c r="O563" i="2"/>
  <c r="O564" i="2"/>
  <c r="O565" i="2"/>
  <c r="O566" i="2"/>
  <c r="O567" i="2"/>
  <c r="O568" i="2"/>
  <c r="O569" i="2"/>
  <c r="O570" i="2"/>
  <c r="O571" i="2"/>
  <c r="O572" i="2"/>
  <c r="O573" i="2"/>
  <c r="O574" i="2"/>
  <c r="O575" i="2"/>
  <c r="O576" i="2"/>
  <c r="O577" i="2"/>
  <c r="O578" i="2"/>
  <c r="O579" i="2"/>
  <c r="O580" i="2"/>
  <c r="O581" i="2"/>
  <c r="O582" i="2"/>
  <c r="O583" i="2"/>
  <c r="O584" i="2"/>
  <c r="O585" i="2"/>
  <c r="O586" i="2"/>
  <c r="O587" i="2"/>
  <c r="O588" i="2"/>
  <c r="O589" i="2"/>
  <c r="O590" i="2"/>
  <c r="O591" i="2"/>
  <c r="O592" i="2"/>
  <c r="O593" i="2"/>
  <c r="O594" i="2"/>
  <c r="O595" i="2"/>
  <c r="O596" i="2"/>
  <c r="O597" i="2"/>
  <c r="O598" i="2"/>
  <c r="O599" i="2"/>
  <c r="O600" i="2"/>
  <c r="O601" i="2"/>
  <c r="O602" i="2"/>
  <c r="O603" i="2"/>
  <c r="O604" i="2"/>
  <c r="O605" i="2"/>
  <c r="O606" i="2"/>
  <c r="O607" i="2"/>
  <c r="O608" i="2"/>
  <c r="O609" i="2"/>
  <c r="O610" i="2"/>
  <c r="O611" i="2"/>
  <c r="O612" i="2"/>
  <c r="O613" i="2"/>
  <c r="O614" i="2"/>
  <c r="O615" i="2"/>
  <c r="O616" i="2"/>
  <c r="O617" i="2"/>
  <c r="O618" i="2"/>
  <c r="O619" i="2"/>
  <c r="O620" i="2"/>
  <c r="O621" i="2"/>
  <c r="O622" i="2"/>
  <c r="O623" i="2"/>
  <c r="O624" i="2"/>
  <c r="O625" i="2"/>
  <c r="O626" i="2"/>
  <c r="O627" i="2"/>
  <c r="O628" i="2"/>
  <c r="O629" i="2"/>
  <c r="O630" i="2"/>
  <c r="O631" i="2"/>
  <c r="O632" i="2"/>
  <c r="O633" i="2"/>
  <c r="O634" i="2"/>
  <c r="O635" i="2"/>
  <c r="O636" i="2"/>
  <c r="O637" i="2"/>
  <c r="O638" i="2"/>
  <c r="O639" i="2"/>
  <c r="O640" i="2"/>
  <c r="O641" i="2"/>
  <c r="O642" i="2"/>
  <c r="O643" i="2"/>
  <c r="O644" i="2"/>
  <c r="O645" i="2"/>
  <c r="O646" i="2"/>
  <c r="O647" i="2"/>
  <c r="O648" i="2"/>
  <c r="O649" i="2"/>
  <c r="O650" i="2"/>
  <c r="O651" i="2"/>
  <c r="O652" i="2"/>
  <c r="O653" i="2"/>
  <c r="O654" i="2"/>
  <c r="O655" i="2"/>
  <c r="O656" i="2"/>
  <c r="O657" i="2"/>
  <c r="O658" i="2"/>
  <c r="O659" i="2"/>
  <c r="O660" i="2"/>
  <c r="O661" i="2"/>
  <c r="O662" i="2"/>
  <c r="O663" i="2"/>
  <c r="O664" i="2"/>
  <c r="O665" i="2"/>
  <c r="O666" i="2"/>
  <c r="O667" i="2"/>
  <c r="O668" i="2"/>
  <c r="O669" i="2"/>
  <c r="O670" i="2"/>
  <c r="O671" i="2"/>
  <c r="O672" i="2"/>
  <c r="O673" i="2"/>
  <c r="O674" i="2"/>
  <c r="O675" i="2"/>
  <c r="O676" i="2"/>
  <c r="O677" i="2"/>
  <c r="O678" i="2"/>
  <c r="O679" i="2"/>
  <c r="O680" i="2"/>
  <c r="O681" i="2"/>
  <c r="O682" i="2"/>
  <c r="O683" i="2"/>
  <c r="O684" i="2"/>
  <c r="O685" i="2"/>
  <c r="O686" i="2"/>
  <c r="O687" i="2"/>
  <c r="O688" i="2"/>
  <c r="O689" i="2"/>
  <c r="O690" i="2"/>
  <c r="O691" i="2"/>
  <c r="O692" i="2"/>
  <c r="O693" i="2"/>
  <c r="O694" i="2"/>
  <c r="O695" i="2"/>
  <c r="O696" i="2"/>
  <c r="O697" i="2"/>
  <c r="O698" i="2"/>
  <c r="O699" i="2"/>
  <c r="O700" i="2"/>
  <c r="O701" i="2"/>
  <c r="O702" i="2"/>
  <c r="O703" i="2"/>
  <c r="O704" i="2"/>
  <c r="O705" i="2"/>
  <c r="O706" i="2"/>
  <c r="O707" i="2"/>
  <c r="O708" i="2"/>
  <c r="O709" i="2"/>
  <c r="O710" i="2"/>
  <c r="O711" i="2"/>
  <c r="O712" i="2"/>
  <c r="O713" i="2"/>
  <c r="O714" i="2"/>
  <c r="O715" i="2"/>
  <c r="O716" i="2"/>
  <c r="O717" i="2"/>
  <c r="O718" i="2"/>
  <c r="O719" i="2"/>
  <c r="O720" i="2"/>
  <c r="O721" i="2"/>
  <c r="O722" i="2"/>
  <c r="O723" i="2"/>
  <c r="O724" i="2"/>
  <c r="O725" i="2"/>
  <c r="O726" i="2"/>
  <c r="O727" i="2"/>
  <c r="O728" i="2"/>
  <c r="O729" i="2"/>
  <c r="O730" i="2"/>
  <c r="O731" i="2"/>
  <c r="O732" i="2"/>
  <c r="O733" i="2"/>
  <c r="O734" i="2"/>
  <c r="O735" i="2"/>
  <c r="O736" i="2"/>
  <c r="O737" i="2"/>
  <c r="O738" i="2"/>
  <c r="O739" i="2"/>
  <c r="O740" i="2"/>
  <c r="O741" i="2"/>
  <c r="O742" i="2"/>
  <c r="O743" i="2"/>
  <c r="O744" i="2"/>
  <c r="O745" i="2"/>
  <c r="O746" i="2"/>
  <c r="O747" i="2"/>
  <c r="O748" i="2"/>
  <c r="O749" i="2"/>
  <c r="O750" i="2"/>
  <c r="O751" i="2"/>
  <c r="O752" i="2"/>
  <c r="O753" i="2"/>
  <c r="O754" i="2"/>
  <c r="O755" i="2"/>
  <c r="O756" i="2"/>
  <c r="O757" i="2"/>
  <c r="O758" i="2"/>
  <c r="O759" i="2"/>
  <c r="O760" i="2"/>
  <c r="O761" i="2"/>
  <c r="O762" i="2"/>
  <c r="O763" i="2"/>
  <c r="O764" i="2"/>
  <c r="O765" i="2"/>
  <c r="O766" i="2"/>
  <c r="O767" i="2"/>
  <c r="O768" i="2"/>
  <c r="O769" i="2"/>
  <c r="O770" i="2"/>
  <c r="O771" i="2"/>
  <c r="O772" i="2"/>
  <c r="O773" i="2"/>
  <c r="O774" i="2"/>
  <c r="O775" i="2"/>
  <c r="O776" i="2"/>
  <c r="O777" i="2"/>
  <c r="O778" i="2"/>
  <c r="O779" i="2"/>
  <c r="O780" i="2"/>
  <c r="O781" i="2"/>
  <c r="O782" i="2"/>
  <c r="O783" i="2"/>
  <c r="O784" i="2"/>
  <c r="O785" i="2"/>
  <c r="O786" i="2"/>
  <c r="O787" i="2"/>
  <c r="O788" i="2"/>
  <c r="O789" i="2"/>
  <c r="O790" i="2"/>
  <c r="O791" i="2"/>
  <c r="O792" i="2"/>
  <c r="O793" i="2"/>
  <c r="O794" i="2"/>
  <c r="O795" i="2"/>
  <c r="O796" i="2"/>
  <c r="O797" i="2"/>
  <c r="O798" i="2"/>
  <c r="O799" i="2"/>
  <c r="O800" i="2"/>
  <c r="O801" i="2"/>
  <c r="O802" i="2"/>
  <c r="O803" i="2"/>
  <c r="O804" i="2"/>
  <c r="O805" i="2"/>
  <c r="O806" i="2"/>
  <c r="O807" i="2"/>
  <c r="O808" i="2"/>
  <c r="O809" i="2"/>
  <c r="O810" i="2"/>
  <c r="O811" i="2"/>
  <c r="O812" i="2"/>
  <c r="O813" i="2"/>
  <c r="O814" i="2"/>
  <c r="O815" i="2"/>
  <c r="O816" i="2"/>
  <c r="O817" i="2"/>
  <c r="O818" i="2"/>
  <c r="O819" i="2"/>
  <c r="O820" i="2"/>
  <c r="O821" i="2"/>
  <c r="O822" i="2"/>
  <c r="O823" i="2"/>
  <c r="O824" i="2"/>
  <c r="O825" i="2"/>
  <c r="O826" i="2"/>
  <c r="O827" i="2"/>
  <c r="O828" i="2"/>
  <c r="O829" i="2"/>
  <c r="O830" i="2"/>
  <c r="O831" i="2"/>
  <c r="O832" i="2"/>
  <c r="O833" i="2"/>
  <c r="O834" i="2"/>
  <c r="O835" i="2"/>
  <c r="O836" i="2"/>
  <c r="O837" i="2"/>
  <c r="O838" i="2"/>
  <c r="O839" i="2"/>
  <c r="O840" i="2"/>
  <c r="O841" i="2"/>
  <c r="O842" i="2"/>
  <c r="O843" i="2"/>
  <c r="O844" i="2"/>
  <c r="O845" i="2"/>
  <c r="O846" i="2"/>
  <c r="O847" i="2"/>
  <c r="O848" i="2"/>
  <c r="O849" i="2"/>
  <c r="O850" i="2"/>
  <c r="O851" i="2"/>
  <c r="O852" i="2"/>
  <c r="O853" i="2"/>
  <c r="O854" i="2"/>
  <c r="O855" i="2"/>
  <c r="O856" i="2"/>
  <c r="O857" i="2"/>
  <c r="O858" i="2"/>
  <c r="O859" i="2"/>
  <c r="O860" i="2"/>
  <c r="O861" i="2"/>
  <c r="O862" i="2"/>
  <c r="O863" i="2"/>
  <c r="O864" i="2"/>
  <c r="O865" i="2"/>
  <c r="O866" i="2"/>
  <c r="O867" i="2"/>
  <c r="O868" i="2"/>
  <c r="O869" i="2"/>
  <c r="O870" i="2"/>
  <c r="O871" i="2"/>
  <c r="O872" i="2"/>
  <c r="O873" i="2"/>
  <c r="O874" i="2"/>
  <c r="O875" i="2"/>
  <c r="O876" i="2"/>
  <c r="O877" i="2"/>
  <c r="O878" i="2"/>
  <c r="O879" i="2"/>
  <c r="O880" i="2"/>
  <c r="O881" i="2"/>
  <c r="O882" i="2"/>
  <c r="O883" i="2"/>
  <c r="O884" i="2"/>
  <c r="O885" i="2"/>
  <c r="O886" i="2"/>
  <c r="O887" i="2"/>
  <c r="O888" i="2"/>
  <c r="O889" i="2"/>
  <c r="O890" i="2"/>
  <c r="O891" i="2"/>
  <c r="O892" i="2"/>
  <c r="O893" i="2"/>
  <c r="O894" i="2"/>
  <c r="O895" i="2"/>
  <c r="O896" i="2"/>
  <c r="O897" i="2"/>
  <c r="O898" i="2"/>
  <c r="O899" i="2"/>
  <c r="O900" i="2"/>
  <c r="O901" i="2"/>
  <c r="O902" i="2"/>
  <c r="O903" i="2"/>
  <c r="O904" i="2"/>
  <c r="O905" i="2"/>
  <c r="O906" i="2"/>
  <c r="O907" i="2"/>
  <c r="O908" i="2"/>
  <c r="O909" i="2"/>
  <c r="O910" i="2"/>
  <c r="O911" i="2"/>
  <c r="O912" i="2"/>
  <c r="O913" i="2"/>
  <c r="O914" i="2"/>
  <c r="O915" i="2"/>
  <c r="O916" i="2"/>
  <c r="O917" i="2"/>
  <c r="O918" i="2"/>
  <c r="O919" i="2"/>
  <c r="O920" i="2"/>
  <c r="O921" i="2"/>
  <c r="O922" i="2"/>
  <c r="O923" i="2"/>
  <c r="O924" i="2"/>
  <c r="O925" i="2"/>
  <c r="O926" i="2"/>
  <c r="O927" i="2"/>
  <c r="O928" i="2"/>
  <c r="O929" i="2"/>
  <c r="O930" i="2"/>
  <c r="O931" i="2"/>
  <c r="O932" i="2"/>
  <c r="O933" i="2"/>
  <c r="O934" i="2"/>
  <c r="O935" i="2"/>
  <c r="O936" i="2"/>
  <c r="O937" i="2"/>
  <c r="O938" i="2"/>
  <c r="O939" i="2"/>
  <c r="O940" i="2"/>
  <c r="O941" i="2"/>
  <c r="O942" i="2"/>
  <c r="O943" i="2"/>
  <c r="O944" i="2"/>
  <c r="O945" i="2"/>
  <c r="O946" i="2"/>
  <c r="O947" i="2"/>
  <c r="O948" i="2"/>
  <c r="O949" i="2"/>
  <c r="O950" i="2"/>
  <c r="O951" i="2"/>
  <c r="O952" i="2"/>
  <c r="O953" i="2"/>
  <c r="O954" i="2"/>
  <c r="O955" i="2"/>
  <c r="O956" i="2"/>
  <c r="O957" i="2"/>
  <c r="O958" i="2"/>
  <c r="O959" i="2"/>
  <c r="O960" i="2"/>
  <c r="O961" i="2"/>
  <c r="O962" i="2"/>
  <c r="O963" i="2"/>
  <c r="O964" i="2"/>
  <c r="O965" i="2"/>
  <c r="O966" i="2"/>
  <c r="O967" i="2"/>
  <c r="O968" i="2"/>
  <c r="O969" i="2"/>
  <c r="O970" i="2"/>
  <c r="O971" i="2"/>
  <c r="O972" i="2"/>
  <c r="O973" i="2"/>
  <c r="O974" i="2"/>
  <c r="O975" i="2"/>
  <c r="O976" i="2"/>
  <c r="O977" i="2"/>
  <c r="O978" i="2"/>
  <c r="O979" i="2"/>
  <c r="O980" i="2"/>
  <c r="O981" i="2"/>
  <c r="O982" i="2"/>
  <c r="O983" i="2"/>
  <c r="O984" i="2"/>
  <c r="O985" i="2"/>
  <c r="O986" i="2"/>
  <c r="O987" i="2"/>
  <c r="O988" i="2"/>
  <c r="O989" i="2"/>
  <c r="O990" i="2"/>
  <c r="O991" i="2"/>
  <c r="O992" i="2"/>
  <c r="O993" i="2"/>
  <c r="O994" i="2"/>
  <c r="O995" i="2"/>
  <c r="O996" i="2"/>
  <c r="O997" i="2"/>
  <c r="O998" i="2"/>
  <c r="O999" i="2"/>
  <c r="O1000" i="2"/>
  <c r="O1001" i="2"/>
  <c r="O2" i="2"/>
  <c r="N2" i="2"/>
  <c r="M2" i="2"/>
  <c r="L2" i="2" a="1"/>
  <c r="L3" i="2"/>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2" i="2"/>
  <c r="K2" i="2" a="1"/>
  <c r="K3" i="2"/>
  <c r="K4" i="2"/>
  <c r="K5" i="2"/>
  <c r="K6" i="2"/>
  <c r="K7" i="2"/>
  <c r="K8" i="2"/>
  <c r="K9" i="2"/>
  <c r="K10" i="2"/>
  <c r="K11" i="2"/>
  <c r="K12" i="2"/>
  <c r="K13" i="2"/>
  <c r="K14" i="2"/>
  <c r="K15" i="2"/>
  <c r="K16" i="2"/>
  <c r="K17" i="2"/>
  <c r="K18" i="2"/>
  <c r="K19" i="2"/>
  <c r="K20" i="2"/>
  <c r="K21" i="2"/>
  <c r="K22" i="2"/>
  <c r="K23" i="2"/>
  <c r="K24" i="2"/>
  <c r="K25" i="2"/>
  <c r="K26" i="2"/>
  <c r="K27" i="2"/>
  <c r="K28" i="2"/>
  <c r="K29" i="2"/>
  <c r="K30" i="2"/>
  <c r="K31" i="2"/>
  <c r="K32" i="2"/>
  <c r="K33" i="2"/>
  <c r="K34" i="2"/>
  <c r="K35" i="2"/>
  <c r="K36" i="2"/>
  <c r="K37" i="2"/>
  <c r="K38" i="2"/>
  <c r="K39" i="2"/>
  <c r="K40" i="2"/>
  <c r="K41" i="2"/>
  <c r="K42" i="2"/>
  <c r="K43" i="2"/>
  <c r="K44" i="2"/>
  <c r="K45" i="2"/>
  <c r="K46" i="2"/>
  <c r="K47" i="2"/>
  <c r="K48" i="2"/>
  <c r="K49" i="2"/>
  <c r="K50" i="2"/>
  <c r="K51" i="2"/>
  <c r="K52" i="2"/>
  <c r="K53" i="2"/>
  <c r="K54" i="2"/>
  <c r="K55" i="2"/>
  <c r="K56" i="2"/>
  <c r="K57" i="2"/>
  <c r="K58" i="2"/>
  <c r="K59" i="2"/>
  <c r="K60" i="2"/>
  <c r="K61" i="2"/>
  <c r="K62" i="2"/>
  <c r="K63" i="2"/>
  <c r="K64" i="2"/>
  <c r="K65" i="2"/>
  <c r="K66" i="2"/>
  <c r="K67" i="2"/>
  <c r="K68" i="2"/>
  <c r="K69" i="2"/>
  <c r="K70" i="2"/>
  <c r="K71" i="2"/>
  <c r="K72" i="2"/>
  <c r="K73" i="2"/>
  <c r="K74" i="2"/>
  <c r="K75" i="2"/>
  <c r="K76" i="2"/>
  <c r="K77" i="2"/>
  <c r="K78" i="2"/>
  <c r="K79" i="2"/>
  <c r="K80" i="2"/>
  <c r="K81" i="2"/>
  <c r="K82" i="2"/>
  <c r="K83" i="2"/>
  <c r="K84" i="2"/>
  <c r="K85" i="2"/>
  <c r="K86" i="2"/>
  <c r="K87" i="2"/>
  <c r="K88" i="2"/>
  <c r="K89" i="2"/>
  <c r="K90" i="2"/>
  <c r="K91" i="2"/>
  <c r="K92" i="2"/>
  <c r="K93" i="2"/>
  <c r="K94" i="2"/>
  <c r="K95" i="2"/>
  <c r="K96" i="2"/>
  <c r="K97" i="2"/>
  <c r="K98" i="2"/>
  <c r="K99" i="2"/>
  <c r="K100" i="2"/>
  <c r="K101" i="2"/>
  <c r="K102" i="2"/>
  <c r="K103" i="2"/>
  <c r="K104" i="2"/>
  <c r="K105" i="2"/>
  <c r="K106" i="2"/>
  <c r="K107" i="2"/>
  <c r="K108" i="2"/>
  <c r="K109" i="2"/>
  <c r="K110" i="2"/>
  <c r="K111" i="2"/>
  <c r="K112" i="2"/>
  <c r="K113" i="2"/>
  <c r="K114" i="2"/>
  <c r="K115" i="2"/>
  <c r="K116" i="2"/>
  <c r="K117" i="2"/>
  <c r="K118" i="2"/>
  <c r="K119" i="2"/>
  <c r="K120" i="2"/>
  <c r="K121" i="2"/>
  <c r="K122" i="2"/>
  <c r="K123" i="2"/>
  <c r="K124" i="2"/>
  <c r="K125" i="2"/>
  <c r="K126" i="2"/>
  <c r="K127" i="2"/>
  <c r="K128" i="2"/>
  <c r="K129" i="2"/>
  <c r="K130" i="2"/>
  <c r="K131" i="2"/>
  <c r="K132" i="2"/>
  <c r="K133" i="2"/>
  <c r="K134" i="2"/>
  <c r="K135" i="2"/>
  <c r="K136" i="2"/>
  <c r="K137" i="2"/>
  <c r="K138" i="2"/>
  <c r="K139" i="2"/>
  <c r="K140" i="2"/>
  <c r="K141" i="2"/>
  <c r="K142" i="2"/>
  <c r="K143" i="2"/>
  <c r="K144" i="2"/>
  <c r="K145" i="2"/>
  <c r="K146" i="2"/>
  <c r="K147" i="2"/>
  <c r="K148" i="2"/>
  <c r="K149" i="2"/>
  <c r="K150" i="2"/>
  <c r="K151" i="2"/>
  <c r="K152" i="2"/>
  <c r="K153" i="2"/>
  <c r="K154" i="2"/>
  <c r="K155" i="2"/>
  <c r="K156" i="2"/>
  <c r="K157" i="2"/>
  <c r="K158" i="2"/>
  <c r="K159" i="2"/>
  <c r="K160" i="2"/>
  <c r="K161" i="2"/>
  <c r="K162" i="2"/>
  <c r="K163" i="2"/>
  <c r="K164" i="2"/>
  <c r="K165" i="2"/>
  <c r="K166" i="2"/>
  <c r="K167" i="2"/>
  <c r="K168" i="2"/>
  <c r="K169" i="2"/>
  <c r="K170" i="2"/>
  <c r="K171" i="2"/>
  <c r="K172" i="2"/>
  <c r="K173" i="2"/>
  <c r="K174" i="2"/>
  <c r="K175" i="2"/>
  <c r="K176" i="2"/>
  <c r="K177" i="2"/>
  <c r="K178" i="2"/>
  <c r="K179" i="2"/>
  <c r="K180" i="2"/>
  <c r="K181" i="2"/>
  <c r="K182" i="2"/>
  <c r="K183" i="2"/>
  <c r="K184" i="2"/>
  <c r="K185" i="2"/>
  <c r="K186" i="2"/>
  <c r="K187" i="2"/>
  <c r="K188" i="2"/>
  <c r="K189" i="2"/>
  <c r="K190" i="2"/>
  <c r="K191" i="2"/>
  <c r="K192" i="2"/>
  <c r="K193" i="2"/>
  <c r="K194" i="2"/>
  <c r="K195" i="2"/>
  <c r="K196" i="2"/>
  <c r="K197" i="2"/>
  <c r="K198" i="2"/>
  <c r="K199" i="2"/>
  <c r="K200" i="2"/>
  <c r="K201" i="2"/>
  <c r="K202" i="2"/>
  <c r="K203" i="2"/>
  <c r="K204" i="2"/>
  <c r="K205" i="2"/>
  <c r="K206" i="2"/>
  <c r="K207" i="2"/>
  <c r="K208" i="2"/>
  <c r="K209" i="2"/>
  <c r="K210" i="2"/>
  <c r="K211" i="2"/>
  <c r="K212" i="2"/>
  <c r="K213" i="2"/>
  <c r="K214" i="2"/>
  <c r="K215" i="2"/>
  <c r="K216" i="2"/>
  <c r="K217" i="2"/>
  <c r="K218" i="2"/>
  <c r="K219" i="2"/>
  <c r="K220" i="2"/>
  <c r="K221" i="2"/>
  <c r="K222" i="2"/>
  <c r="K223" i="2"/>
  <c r="K224" i="2"/>
  <c r="K225" i="2"/>
  <c r="K226" i="2"/>
  <c r="K227" i="2"/>
  <c r="K228" i="2"/>
  <c r="K229" i="2"/>
  <c r="K230" i="2"/>
  <c r="K231" i="2"/>
  <c r="K232" i="2"/>
  <c r="K233" i="2"/>
  <c r="K234" i="2"/>
  <c r="K235" i="2"/>
  <c r="K236" i="2"/>
  <c r="K237" i="2"/>
  <c r="K238" i="2"/>
  <c r="K239" i="2"/>
  <c r="K240" i="2"/>
  <c r="K241" i="2"/>
  <c r="K242" i="2"/>
  <c r="K243" i="2"/>
  <c r="K244" i="2"/>
  <c r="K245" i="2"/>
  <c r="K246" i="2"/>
  <c r="K247" i="2"/>
  <c r="K248" i="2"/>
  <c r="K249" i="2"/>
  <c r="K250" i="2"/>
  <c r="K251" i="2"/>
  <c r="K252" i="2"/>
  <c r="K253" i="2"/>
  <c r="K254" i="2"/>
  <c r="K255" i="2"/>
  <c r="K256" i="2"/>
  <c r="K257" i="2"/>
  <c r="K258" i="2"/>
  <c r="K259" i="2"/>
  <c r="K260" i="2"/>
  <c r="K261" i="2"/>
  <c r="K262" i="2"/>
  <c r="K263" i="2"/>
  <c r="K264" i="2"/>
  <c r="K265" i="2"/>
  <c r="K266" i="2"/>
  <c r="K267" i="2"/>
  <c r="K268" i="2"/>
  <c r="K269" i="2"/>
  <c r="K270" i="2"/>
  <c r="K271" i="2"/>
  <c r="K272" i="2"/>
  <c r="K273" i="2"/>
  <c r="K274" i="2"/>
  <c r="K275" i="2"/>
  <c r="K276" i="2"/>
  <c r="K277" i="2"/>
  <c r="K278" i="2"/>
  <c r="K279" i="2"/>
  <c r="K280" i="2"/>
  <c r="K281" i="2"/>
  <c r="K282" i="2"/>
  <c r="K283" i="2"/>
  <c r="K284" i="2"/>
  <c r="K285" i="2"/>
  <c r="K286" i="2"/>
  <c r="K287" i="2"/>
  <c r="K288" i="2"/>
  <c r="K289" i="2"/>
  <c r="K290" i="2"/>
  <c r="K291" i="2"/>
  <c r="K292" i="2"/>
  <c r="K293" i="2"/>
  <c r="K294" i="2"/>
  <c r="K295" i="2"/>
  <c r="K296" i="2"/>
  <c r="K297" i="2"/>
  <c r="K298" i="2"/>
  <c r="K299" i="2"/>
  <c r="K300" i="2"/>
  <c r="K301" i="2"/>
  <c r="K302" i="2"/>
  <c r="K303" i="2"/>
  <c r="K304" i="2"/>
  <c r="K305" i="2"/>
  <c r="K306" i="2"/>
  <c r="K307" i="2"/>
  <c r="K308" i="2"/>
  <c r="K309" i="2"/>
  <c r="K310" i="2"/>
  <c r="K311" i="2"/>
  <c r="K312" i="2"/>
  <c r="K313" i="2"/>
  <c r="K314" i="2"/>
  <c r="K315" i="2"/>
  <c r="K316" i="2"/>
  <c r="K317" i="2"/>
  <c r="K318" i="2"/>
  <c r="K319" i="2"/>
  <c r="K320" i="2"/>
  <c r="K321" i="2"/>
  <c r="K322" i="2"/>
  <c r="K323" i="2"/>
  <c r="K324" i="2"/>
  <c r="K325" i="2"/>
  <c r="K326" i="2"/>
  <c r="K327" i="2"/>
  <c r="K328" i="2"/>
  <c r="K329" i="2"/>
  <c r="K330" i="2"/>
  <c r="K331" i="2"/>
  <c r="K332" i="2"/>
  <c r="K333" i="2"/>
  <c r="K334" i="2"/>
  <c r="K335" i="2"/>
  <c r="K336" i="2"/>
  <c r="K337" i="2"/>
  <c r="K338" i="2"/>
  <c r="K339" i="2"/>
  <c r="K340" i="2"/>
  <c r="K341" i="2"/>
  <c r="K342" i="2"/>
  <c r="K343" i="2"/>
  <c r="K344" i="2"/>
  <c r="K345" i="2"/>
  <c r="K346" i="2"/>
  <c r="K347" i="2"/>
  <c r="K348" i="2"/>
  <c r="K349" i="2"/>
  <c r="K350" i="2"/>
  <c r="K351" i="2"/>
  <c r="K352" i="2"/>
  <c r="K353" i="2"/>
  <c r="K354" i="2"/>
  <c r="K355" i="2"/>
  <c r="K356" i="2"/>
  <c r="K357" i="2"/>
  <c r="K358" i="2"/>
  <c r="K359" i="2"/>
  <c r="K360" i="2"/>
  <c r="K361" i="2"/>
  <c r="K362" i="2"/>
  <c r="K363" i="2"/>
  <c r="K364" i="2"/>
  <c r="K365" i="2"/>
  <c r="K366" i="2"/>
  <c r="K367" i="2"/>
  <c r="K368" i="2"/>
  <c r="K369" i="2"/>
  <c r="K370" i="2"/>
  <c r="K371" i="2"/>
  <c r="K372" i="2"/>
  <c r="K373" i="2"/>
  <c r="K374" i="2"/>
  <c r="K375" i="2"/>
  <c r="K376" i="2"/>
  <c r="K377" i="2"/>
  <c r="K378" i="2"/>
  <c r="K379" i="2"/>
  <c r="K380" i="2"/>
  <c r="K381" i="2"/>
  <c r="K382" i="2"/>
  <c r="K383" i="2"/>
  <c r="K384" i="2"/>
  <c r="K385" i="2"/>
  <c r="K386" i="2"/>
  <c r="K387" i="2"/>
  <c r="K388" i="2"/>
  <c r="K389" i="2"/>
  <c r="K390" i="2"/>
  <c r="K391" i="2"/>
  <c r="K392" i="2"/>
  <c r="K393" i="2"/>
  <c r="K394" i="2"/>
  <c r="K395" i="2"/>
  <c r="K396" i="2"/>
  <c r="K397" i="2"/>
  <c r="K398" i="2"/>
  <c r="K399" i="2"/>
  <c r="K400" i="2"/>
  <c r="K401" i="2"/>
  <c r="K402" i="2"/>
  <c r="K403" i="2"/>
  <c r="K404" i="2"/>
  <c r="K405" i="2"/>
  <c r="K406" i="2"/>
  <c r="K407" i="2"/>
  <c r="K408" i="2"/>
  <c r="K409" i="2"/>
  <c r="K410" i="2"/>
  <c r="K411" i="2"/>
  <c r="K412" i="2"/>
  <c r="K413" i="2"/>
  <c r="K414" i="2"/>
  <c r="K415" i="2"/>
  <c r="K416" i="2"/>
  <c r="K417" i="2"/>
  <c r="K418" i="2"/>
  <c r="K419" i="2"/>
  <c r="K420" i="2"/>
  <c r="K421" i="2"/>
  <c r="K422" i="2"/>
  <c r="K423" i="2"/>
  <c r="K424" i="2"/>
  <c r="K425" i="2"/>
  <c r="K426" i="2"/>
  <c r="K427" i="2"/>
  <c r="K428" i="2"/>
  <c r="K429" i="2"/>
  <c r="K430" i="2"/>
  <c r="K431" i="2"/>
  <c r="K432" i="2"/>
  <c r="K433" i="2"/>
  <c r="K434" i="2"/>
  <c r="K435" i="2"/>
  <c r="K436" i="2"/>
  <c r="K437" i="2"/>
  <c r="K438" i="2"/>
  <c r="K439" i="2"/>
  <c r="K440" i="2"/>
  <c r="K441" i="2"/>
  <c r="K442" i="2"/>
  <c r="K443" i="2"/>
  <c r="K444" i="2"/>
  <c r="K445" i="2"/>
  <c r="K446" i="2"/>
  <c r="K447" i="2"/>
  <c r="K448" i="2"/>
  <c r="K449" i="2"/>
  <c r="K450" i="2"/>
  <c r="K451" i="2"/>
  <c r="K452" i="2"/>
  <c r="K453" i="2"/>
  <c r="K454" i="2"/>
  <c r="K455" i="2"/>
  <c r="K456" i="2"/>
  <c r="K457" i="2"/>
  <c r="K458" i="2"/>
  <c r="K459" i="2"/>
  <c r="K460" i="2"/>
  <c r="K461" i="2"/>
  <c r="K462" i="2"/>
  <c r="K463" i="2"/>
  <c r="K464" i="2"/>
  <c r="K465" i="2"/>
  <c r="K466" i="2"/>
  <c r="K467" i="2"/>
  <c r="K468" i="2"/>
  <c r="K469" i="2"/>
  <c r="K470" i="2"/>
  <c r="K471" i="2"/>
  <c r="K472" i="2"/>
  <c r="K473" i="2"/>
  <c r="K474" i="2"/>
  <c r="K475" i="2"/>
  <c r="K476" i="2"/>
  <c r="K477" i="2"/>
  <c r="K478" i="2"/>
  <c r="K479" i="2"/>
  <c r="K480" i="2"/>
  <c r="K481" i="2"/>
  <c r="K482" i="2"/>
  <c r="K483" i="2"/>
  <c r="K484" i="2"/>
  <c r="K485" i="2"/>
  <c r="K486" i="2"/>
  <c r="K487" i="2"/>
  <c r="K488" i="2"/>
  <c r="K489" i="2"/>
  <c r="K490" i="2"/>
  <c r="K491" i="2"/>
  <c r="K492" i="2"/>
  <c r="K493" i="2"/>
  <c r="K494" i="2"/>
  <c r="K495" i="2"/>
  <c r="K496" i="2"/>
  <c r="K497" i="2"/>
  <c r="K498" i="2"/>
  <c r="K499" i="2"/>
  <c r="K500" i="2"/>
  <c r="K501" i="2"/>
  <c r="K502" i="2"/>
  <c r="K503" i="2"/>
  <c r="K504" i="2"/>
  <c r="K505" i="2"/>
  <c r="K506" i="2"/>
  <c r="K507" i="2"/>
  <c r="K508" i="2"/>
  <c r="K509" i="2"/>
  <c r="K510" i="2"/>
  <c r="K511" i="2"/>
  <c r="K512" i="2"/>
  <c r="K513" i="2"/>
  <c r="K514" i="2"/>
  <c r="K515" i="2"/>
  <c r="K516" i="2"/>
  <c r="K517" i="2"/>
  <c r="K518" i="2"/>
  <c r="K519" i="2"/>
  <c r="K520" i="2"/>
  <c r="K521" i="2"/>
  <c r="K522" i="2"/>
  <c r="K523" i="2"/>
  <c r="K524" i="2"/>
  <c r="K525" i="2"/>
  <c r="K526" i="2"/>
  <c r="K527" i="2"/>
  <c r="K528" i="2"/>
  <c r="K529" i="2"/>
  <c r="K530" i="2"/>
  <c r="K531" i="2"/>
  <c r="K532" i="2"/>
  <c r="K533" i="2"/>
  <c r="K534" i="2"/>
  <c r="K535" i="2"/>
  <c r="K536" i="2"/>
  <c r="K537" i="2"/>
  <c r="K538" i="2"/>
  <c r="K539" i="2"/>
  <c r="K540" i="2"/>
  <c r="K541" i="2"/>
  <c r="K542" i="2"/>
  <c r="K543" i="2"/>
  <c r="K544" i="2"/>
  <c r="K545" i="2"/>
  <c r="K546" i="2"/>
  <c r="K547" i="2"/>
  <c r="K548" i="2"/>
  <c r="K549" i="2"/>
  <c r="K550" i="2"/>
  <c r="K551" i="2"/>
  <c r="K552" i="2"/>
  <c r="K553" i="2"/>
  <c r="K554" i="2"/>
  <c r="K555" i="2"/>
  <c r="K556" i="2"/>
  <c r="K557" i="2"/>
  <c r="K558" i="2"/>
  <c r="K559" i="2"/>
  <c r="K560" i="2"/>
  <c r="K561" i="2"/>
  <c r="K562" i="2"/>
  <c r="K563" i="2"/>
  <c r="K564" i="2"/>
  <c r="K565" i="2"/>
  <c r="K566" i="2"/>
  <c r="K567" i="2"/>
  <c r="K568" i="2"/>
  <c r="K569" i="2"/>
  <c r="K570" i="2"/>
  <c r="K571" i="2"/>
  <c r="K572" i="2"/>
  <c r="K573" i="2"/>
  <c r="K574" i="2"/>
  <c r="K575" i="2"/>
  <c r="K576" i="2"/>
  <c r="K577" i="2"/>
  <c r="K578" i="2"/>
  <c r="K579" i="2"/>
  <c r="K580" i="2"/>
  <c r="K581" i="2"/>
  <c r="K582" i="2"/>
  <c r="K583" i="2"/>
  <c r="K584" i="2"/>
  <c r="K585" i="2"/>
  <c r="K586" i="2"/>
  <c r="K587" i="2"/>
  <c r="K588" i="2"/>
  <c r="K589" i="2"/>
  <c r="K590" i="2"/>
  <c r="K591" i="2"/>
  <c r="K592" i="2"/>
  <c r="K593" i="2"/>
  <c r="K594" i="2"/>
  <c r="K595" i="2"/>
  <c r="K596" i="2"/>
  <c r="K597" i="2"/>
  <c r="K598" i="2"/>
  <c r="K599" i="2"/>
  <c r="K600" i="2"/>
  <c r="K601" i="2"/>
  <c r="K602" i="2"/>
  <c r="K603" i="2"/>
  <c r="K604" i="2"/>
  <c r="K605" i="2"/>
  <c r="K606" i="2"/>
  <c r="K607" i="2"/>
  <c r="K608" i="2"/>
  <c r="K609" i="2"/>
  <c r="K610" i="2"/>
  <c r="K611" i="2"/>
  <c r="K612" i="2"/>
  <c r="K613" i="2"/>
  <c r="K614" i="2"/>
  <c r="K615" i="2"/>
  <c r="K616" i="2"/>
  <c r="K617" i="2"/>
  <c r="K618" i="2"/>
  <c r="K619" i="2"/>
  <c r="K620" i="2"/>
  <c r="K621" i="2"/>
  <c r="K622" i="2"/>
  <c r="K623" i="2"/>
  <c r="K624" i="2"/>
  <c r="K625" i="2"/>
  <c r="K626" i="2"/>
  <c r="K627" i="2"/>
  <c r="K628" i="2"/>
  <c r="K629" i="2"/>
  <c r="K630" i="2"/>
  <c r="K631" i="2"/>
  <c r="K632" i="2"/>
  <c r="K633" i="2"/>
  <c r="K634" i="2"/>
  <c r="K635" i="2"/>
  <c r="K636" i="2"/>
  <c r="K637" i="2"/>
  <c r="K638" i="2"/>
  <c r="K639" i="2"/>
  <c r="K640" i="2"/>
  <c r="K641" i="2"/>
  <c r="K642" i="2"/>
  <c r="K643" i="2"/>
  <c r="K644" i="2"/>
  <c r="K645" i="2"/>
  <c r="K646" i="2"/>
  <c r="K647" i="2"/>
  <c r="K648" i="2"/>
  <c r="K649" i="2"/>
  <c r="K650" i="2"/>
  <c r="K651" i="2"/>
  <c r="K652" i="2"/>
  <c r="K653" i="2"/>
  <c r="K654" i="2"/>
  <c r="K655" i="2"/>
  <c r="K656" i="2"/>
  <c r="K657" i="2"/>
  <c r="K658" i="2"/>
  <c r="K659" i="2"/>
  <c r="K660" i="2"/>
  <c r="K661" i="2"/>
  <c r="K662" i="2"/>
  <c r="K663" i="2"/>
  <c r="K664" i="2"/>
  <c r="K665" i="2"/>
  <c r="K666" i="2"/>
  <c r="K667" i="2"/>
  <c r="K668" i="2"/>
  <c r="K669" i="2"/>
  <c r="K670" i="2"/>
  <c r="K671" i="2"/>
  <c r="K672" i="2"/>
  <c r="K673" i="2"/>
  <c r="K674" i="2"/>
  <c r="K675" i="2"/>
  <c r="K676" i="2"/>
  <c r="K677" i="2"/>
  <c r="K678" i="2"/>
  <c r="K679" i="2"/>
  <c r="K680" i="2"/>
  <c r="K681" i="2"/>
  <c r="K682" i="2"/>
  <c r="K683" i="2"/>
  <c r="K684" i="2"/>
  <c r="K685" i="2"/>
  <c r="K686" i="2"/>
  <c r="K687" i="2"/>
  <c r="K688" i="2"/>
  <c r="K689" i="2"/>
  <c r="K690" i="2"/>
  <c r="K691" i="2"/>
  <c r="K692" i="2"/>
  <c r="K693" i="2"/>
  <c r="K694" i="2"/>
  <c r="K695" i="2"/>
  <c r="K696" i="2"/>
  <c r="K697" i="2"/>
  <c r="K698" i="2"/>
  <c r="K699" i="2"/>
  <c r="K700" i="2"/>
  <c r="K701" i="2"/>
  <c r="K702" i="2"/>
  <c r="K703" i="2"/>
  <c r="K704" i="2"/>
  <c r="K705" i="2"/>
  <c r="K706" i="2"/>
  <c r="K707" i="2"/>
  <c r="K708" i="2"/>
  <c r="K709" i="2"/>
  <c r="K710" i="2"/>
  <c r="K711" i="2"/>
  <c r="K712" i="2"/>
  <c r="K713" i="2"/>
  <c r="K714" i="2"/>
  <c r="K715" i="2"/>
  <c r="K716" i="2"/>
  <c r="K717" i="2"/>
  <c r="K718" i="2"/>
  <c r="K719" i="2"/>
  <c r="K720" i="2"/>
  <c r="K721" i="2"/>
  <c r="K722" i="2"/>
  <c r="K723" i="2"/>
  <c r="K724" i="2"/>
  <c r="K725" i="2"/>
  <c r="K726" i="2"/>
  <c r="K727" i="2"/>
  <c r="K728" i="2"/>
  <c r="K729" i="2"/>
  <c r="K730" i="2"/>
  <c r="K731" i="2"/>
  <c r="K732" i="2"/>
  <c r="K733" i="2"/>
  <c r="K734" i="2"/>
  <c r="K735" i="2"/>
  <c r="K736" i="2"/>
  <c r="K737" i="2"/>
  <c r="K738" i="2"/>
  <c r="K739" i="2"/>
  <c r="K740" i="2"/>
  <c r="K741" i="2"/>
  <c r="K742" i="2"/>
  <c r="K743" i="2"/>
  <c r="K744" i="2"/>
  <c r="K745" i="2"/>
  <c r="K746" i="2"/>
  <c r="K747" i="2"/>
  <c r="K748" i="2"/>
  <c r="K749" i="2"/>
  <c r="K750" i="2"/>
  <c r="K751" i="2"/>
  <c r="K752" i="2"/>
  <c r="K753" i="2"/>
  <c r="K754" i="2"/>
  <c r="K755" i="2"/>
  <c r="K756" i="2"/>
  <c r="K757" i="2"/>
  <c r="K758" i="2"/>
  <c r="K759" i="2"/>
  <c r="K760" i="2"/>
  <c r="K761" i="2"/>
  <c r="K762" i="2"/>
  <c r="K763" i="2"/>
  <c r="K764" i="2"/>
  <c r="K765" i="2"/>
  <c r="K766" i="2"/>
  <c r="K767" i="2"/>
  <c r="K768" i="2"/>
  <c r="K769" i="2"/>
  <c r="K770" i="2"/>
  <c r="K771" i="2"/>
  <c r="K772" i="2"/>
  <c r="K773" i="2"/>
  <c r="K774" i="2"/>
  <c r="K775" i="2"/>
  <c r="K776" i="2"/>
  <c r="K777" i="2"/>
  <c r="K778" i="2"/>
  <c r="K779" i="2"/>
  <c r="K780" i="2"/>
  <c r="K781" i="2"/>
  <c r="K782" i="2"/>
  <c r="K783" i="2"/>
  <c r="K784" i="2"/>
  <c r="K785" i="2"/>
  <c r="K786" i="2"/>
  <c r="K787" i="2"/>
  <c r="K788" i="2"/>
  <c r="K789" i="2"/>
  <c r="K790" i="2"/>
  <c r="K791" i="2"/>
  <c r="K792" i="2"/>
  <c r="K793" i="2"/>
  <c r="K794" i="2"/>
  <c r="K795" i="2"/>
  <c r="K796" i="2"/>
  <c r="K797" i="2"/>
  <c r="K798" i="2"/>
  <c r="K799" i="2"/>
  <c r="K800" i="2"/>
  <c r="K801" i="2"/>
  <c r="K802" i="2"/>
  <c r="K803" i="2"/>
  <c r="K804" i="2"/>
  <c r="K805" i="2"/>
  <c r="K806" i="2"/>
  <c r="K807" i="2"/>
  <c r="K808" i="2"/>
  <c r="K809" i="2"/>
  <c r="K810" i="2"/>
  <c r="K811" i="2"/>
  <c r="K812" i="2"/>
  <c r="K813" i="2"/>
  <c r="K814" i="2"/>
  <c r="K815" i="2"/>
  <c r="K816" i="2"/>
  <c r="K817" i="2"/>
  <c r="K818" i="2"/>
  <c r="K819" i="2"/>
  <c r="K820" i="2"/>
  <c r="K821" i="2"/>
  <c r="K822" i="2"/>
  <c r="K823" i="2"/>
  <c r="K824" i="2"/>
  <c r="K825" i="2"/>
  <c r="K826" i="2"/>
  <c r="K827" i="2"/>
  <c r="K828" i="2"/>
  <c r="K829" i="2"/>
  <c r="K830" i="2"/>
  <c r="K831" i="2"/>
  <c r="K832" i="2"/>
  <c r="K833" i="2"/>
  <c r="K834" i="2"/>
  <c r="K835" i="2"/>
  <c r="K836" i="2"/>
  <c r="K837" i="2"/>
  <c r="K838" i="2"/>
  <c r="K839" i="2"/>
  <c r="K840" i="2"/>
  <c r="K841" i="2"/>
  <c r="K842" i="2"/>
  <c r="K843" i="2"/>
  <c r="K844" i="2"/>
  <c r="K845" i="2"/>
  <c r="K846" i="2"/>
  <c r="K847" i="2"/>
  <c r="K848" i="2"/>
  <c r="K849" i="2"/>
  <c r="K850" i="2"/>
  <c r="K851" i="2"/>
  <c r="K852" i="2"/>
  <c r="K853" i="2"/>
  <c r="K854" i="2"/>
  <c r="K855" i="2"/>
  <c r="K856" i="2"/>
  <c r="K857" i="2"/>
  <c r="K858" i="2"/>
  <c r="K859" i="2"/>
  <c r="K860" i="2"/>
  <c r="K861" i="2"/>
  <c r="K862" i="2"/>
  <c r="K863" i="2"/>
  <c r="K864" i="2"/>
  <c r="K865" i="2"/>
  <c r="K866" i="2"/>
  <c r="K867" i="2"/>
  <c r="K868" i="2"/>
  <c r="K869" i="2"/>
  <c r="K870" i="2"/>
  <c r="K871" i="2"/>
  <c r="K872" i="2"/>
  <c r="K873" i="2"/>
  <c r="K874" i="2"/>
  <c r="K875" i="2"/>
  <c r="K876" i="2"/>
  <c r="K877" i="2"/>
  <c r="K878" i="2"/>
  <c r="K879" i="2"/>
  <c r="K880" i="2"/>
  <c r="K881" i="2"/>
  <c r="K882" i="2"/>
  <c r="K883" i="2"/>
  <c r="K884" i="2"/>
  <c r="K885" i="2"/>
  <c r="K886" i="2"/>
  <c r="K887" i="2"/>
  <c r="K888" i="2"/>
  <c r="K889" i="2"/>
  <c r="K890" i="2"/>
  <c r="K891" i="2"/>
  <c r="K892" i="2"/>
  <c r="K893" i="2"/>
  <c r="K894" i="2"/>
  <c r="K895" i="2"/>
  <c r="K896" i="2"/>
  <c r="K897" i="2"/>
  <c r="K898" i="2"/>
  <c r="K899" i="2"/>
  <c r="K900" i="2"/>
  <c r="K901" i="2"/>
  <c r="K902" i="2"/>
  <c r="K903" i="2"/>
  <c r="K904" i="2"/>
  <c r="K905" i="2"/>
  <c r="K906" i="2"/>
  <c r="K907" i="2"/>
  <c r="K908" i="2"/>
  <c r="K909" i="2"/>
  <c r="K910" i="2"/>
  <c r="K911" i="2"/>
  <c r="K912" i="2"/>
  <c r="K913" i="2"/>
  <c r="K914" i="2"/>
  <c r="K915" i="2"/>
  <c r="K916" i="2"/>
  <c r="K917" i="2"/>
  <c r="K918" i="2"/>
  <c r="K919" i="2"/>
  <c r="K920" i="2"/>
  <c r="K921" i="2"/>
  <c r="K922" i="2"/>
  <c r="K923" i="2"/>
  <c r="K924" i="2"/>
  <c r="K925" i="2"/>
  <c r="K926" i="2"/>
  <c r="K927" i="2"/>
  <c r="K928" i="2"/>
  <c r="K929" i="2"/>
  <c r="K930" i="2"/>
  <c r="K931" i="2"/>
  <c r="K932" i="2"/>
  <c r="K933" i="2"/>
  <c r="K934" i="2"/>
  <c r="K935" i="2"/>
  <c r="K936" i="2"/>
  <c r="K937" i="2"/>
  <c r="K938" i="2"/>
  <c r="K939" i="2"/>
  <c r="K940" i="2"/>
  <c r="K941" i="2"/>
  <c r="K942" i="2"/>
  <c r="K943" i="2"/>
  <c r="K944" i="2"/>
  <c r="K945" i="2"/>
  <c r="K946" i="2"/>
  <c r="K947" i="2"/>
  <c r="K948" i="2"/>
  <c r="K949" i="2"/>
  <c r="K950" i="2"/>
  <c r="K951" i="2"/>
  <c r="K952" i="2"/>
  <c r="K953" i="2"/>
  <c r="K954" i="2"/>
  <c r="K955" i="2"/>
  <c r="K956" i="2"/>
  <c r="K957" i="2"/>
  <c r="K958" i="2"/>
  <c r="K959" i="2"/>
  <c r="K960" i="2"/>
  <c r="K961" i="2"/>
  <c r="K962" i="2"/>
  <c r="K963" i="2"/>
  <c r="K964" i="2"/>
  <c r="K965" i="2"/>
  <c r="K966" i="2"/>
  <c r="K967" i="2"/>
  <c r="K968" i="2"/>
  <c r="K969" i="2"/>
  <c r="K970" i="2"/>
  <c r="K971" i="2"/>
  <c r="K972" i="2"/>
  <c r="K973" i="2"/>
  <c r="K974" i="2"/>
  <c r="K975" i="2"/>
  <c r="K976" i="2"/>
  <c r="K977" i="2"/>
  <c r="K978" i="2"/>
  <c r="K979" i="2"/>
  <c r="K980" i="2"/>
  <c r="K981" i="2"/>
  <c r="K982" i="2"/>
  <c r="K983" i="2"/>
  <c r="K984" i="2"/>
  <c r="K985" i="2"/>
  <c r="K986" i="2"/>
  <c r="K987" i="2"/>
  <c r="K988" i="2"/>
  <c r="K989" i="2"/>
  <c r="K990" i="2"/>
  <c r="K991" i="2"/>
  <c r="K992" i="2"/>
  <c r="K993" i="2"/>
  <c r="K994" i="2"/>
  <c r="K995" i="2"/>
  <c r="K996" i="2"/>
  <c r="K997" i="2"/>
  <c r="K998" i="2"/>
  <c r="K999" i="2"/>
  <c r="K1000" i="2"/>
  <c r="K1001" i="2"/>
  <c r="K2" i="2"/>
  <c r="A1001" i="1"/>
  <c r="A1000" i="1"/>
  <c r="A999" i="1"/>
  <c r="A998" i="1"/>
  <c r="A997" i="1"/>
  <c r="A996" i="1"/>
  <c r="A995" i="1"/>
  <c r="A994" i="1"/>
  <c r="A993" i="1"/>
  <c r="A992" i="1"/>
  <c r="A991" i="1"/>
  <c r="A990" i="1"/>
  <c r="A989" i="1"/>
  <c r="A988" i="1"/>
  <c r="A987" i="1"/>
  <c r="A986" i="1"/>
  <c r="A985" i="1"/>
  <c r="A984" i="1"/>
  <c r="A983" i="1"/>
  <c r="A982" i="1"/>
  <c r="A981" i="1"/>
  <c r="A980" i="1"/>
  <c r="A979" i="1"/>
  <c r="A978" i="1"/>
  <c r="A977" i="1"/>
  <c r="A976" i="1"/>
  <c r="A975" i="1"/>
  <c r="A974" i="1"/>
  <c r="A973" i="1"/>
  <c r="A972" i="1"/>
  <c r="A971" i="1"/>
  <c r="A970" i="1"/>
  <c r="A969" i="1"/>
  <c r="A968" i="1"/>
  <c r="A967" i="1"/>
  <c r="A966" i="1"/>
  <c r="A965" i="1"/>
  <c r="A964" i="1"/>
  <c r="A963" i="1"/>
  <c r="A962" i="1"/>
  <c r="A961" i="1"/>
  <c r="A960" i="1"/>
  <c r="A959" i="1"/>
  <c r="A958" i="1"/>
  <c r="A957" i="1"/>
  <c r="A956" i="1"/>
  <c r="A955" i="1"/>
  <c r="A954" i="1"/>
  <c r="A953" i="1"/>
  <c r="A952" i="1"/>
  <c r="A951" i="1"/>
  <c r="A950" i="1"/>
  <c r="A949" i="1"/>
  <c r="A948" i="1"/>
  <c r="A947" i="1"/>
  <c r="A946" i="1"/>
  <c r="A945" i="1"/>
  <c r="A944" i="1"/>
  <c r="A943" i="1"/>
  <c r="A942" i="1"/>
  <c r="A941" i="1"/>
  <c r="A940" i="1"/>
  <c r="A939" i="1"/>
  <c r="A938" i="1"/>
  <c r="A937" i="1"/>
  <c r="A936" i="1"/>
  <c r="A935" i="1"/>
  <c r="A934" i="1"/>
  <c r="A933" i="1"/>
  <c r="A932" i="1"/>
  <c r="A931" i="1"/>
  <c r="A930" i="1"/>
  <c r="A929" i="1"/>
  <c r="A928" i="1"/>
  <c r="A927" i="1"/>
  <c r="A926" i="1"/>
  <c r="A925" i="1"/>
  <c r="A924" i="1"/>
  <c r="A923" i="1"/>
  <c r="A922" i="1"/>
  <c r="A921" i="1"/>
  <c r="A920" i="1"/>
  <c r="A919" i="1"/>
  <c r="A918" i="1"/>
  <c r="A917" i="1"/>
  <c r="A916" i="1"/>
  <c r="A915" i="1"/>
  <c r="A914" i="1"/>
  <c r="A913" i="1"/>
  <c r="A912" i="1"/>
  <c r="A911" i="1"/>
  <c r="A910" i="1"/>
  <c r="A909" i="1"/>
  <c r="A908" i="1"/>
  <c r="A907" i="1"/>
  <c r="A906" i="1"/>
  <c r="A905" i="1"/>
  <c r="A904" i="1"/>
  <c r="A903" i="1"/>
  <c r="A902" i="1"/>
  <c r="A901" i="1"/>
  <c r="A900" i="1"/>
  <c r="A899" i="1"/>
  <c r="A898" i="1"/>
  <c r="A897" i="1"/>
  <c r="A896" i="1"/>
  <c r="A895" i="1"/>
  <c r="A894" i="1"/>
  <c r="A893" i="1"/>
  <c r="A892" i="1"/>
  <c r="A891" i="1"/>
  <c r="A890" i="1"/>
  <c r="A889" i="1"/>
  <c r="A888" i="1"/>
  <c r="A887" i="1"/>
  <c r="A886" i="1"/>
  <c r="A885" i="1"/>
  <c r="A884" i="1"/>
  <c r="A883" i="1"/>
  <c r="A882" i="1"/>
  <c r="A881" i="1"/>
  <c r="A880" i="1"/>
  <c r="A879" i="1"/>
  <c r="A878" i="1"/>
  <c r="A877" i="1"/>
  <c r="A876" i="1"/>
  <c r="A875" i="1"/>
  <c r="A874" i="1"/>
  <c r="A873" i="1"/>
  <c r="A872" i="1"/>
  <c r="A871" i="1"/>
  <c r="A870" i="1"/>
  <c r="A869" i="1"/>
  <c r="A868" i="1"/>
  <c r="A867" i="1"/>
  <c r="A866" i="1"/>
  <c r="A865" i="1"/>
  <c r="A864" i="1"/>
  <c r="A863" i="1"/>
  <c r="A862" i="1"/>
  <c r="A861" i="1"/>
  <c r="A860" i="1"/>
  <c r="A859" i="1"/>
  <c r="A858" i="1"/>
  <c r="A857" i="1"/>
  <c r="A856" i="1"/>
  <c r="A855" i="1"/>
  <c r="A854" i="1"/>
  <c r="A853" i="1"/>
  <c r="A852" i="1"/>
  <c r="A851" i="1"/>
  <c r="A850" i="1"/>
  <c r="A849" i="1"/>
  <c r="A848" i="1"/>
  <c r="A847" i="1"/>
  <c r="A846" i="1"/>
  <c r="A845" i="1"/>
  <c r="A844" i="1"/>
  <c r="A843" i="1"/>
  <c r="A842" i="1"/>
  <c r="A841" i="1"/>
  <c r="A840" i="1"/>
  <c r="A839" i="1"/>
  <c r="A838" i="1"/>
  <c r="A837" i="1"/>
  <c r="A836" i="1"/>
  <c r="A835" i="1"/>
  <c r="A834" i="1"/>
  <c r="A833" i="1"/>
  <c r="A832" i="1"/>
  <c r="A831" i="1"/>
  <c r="A830" i="1"/>
  <c r="A829" i="1"/>
  <c r="A828" i="1"/>
  <c r="A827" i="1"/>
  <c r="A826" i="1"/>
  <c r="A825" i="1"/>
  <c r="A824" i="1"/>
  <c r="A823" i="1"/>
  <c r="A822" i="1"/>
  <c r="A821" i="1"/>
  <c r="A820" i="1"/>
  <c r="A819" i="1"/>
  <c r="A818" i="1"/>
  <c r="A817" i="1"/>
  <c r="A816" i="1"/>
  <c r="A815" i="1"/>
  <c r="A814" i="1"/>
  <c r="A813" i="1"/>
  <c r="A812" i="1"/>
  <c r="A811" i="1"/>
  <c r="A810" i="1"/>
  <c r="A809" i="1"/>
  <c r="A808" i="1"/>
  <c r="A807" i="1"/>
  <c r="A806" i="1"/>
  <c r="A805" i="1"/>
  <c r="A804" i="1"/>
  <c r="A803" i="1"/>
  <c r="A802" i="1"/>
  <c r="A801" i="1"/>
  <c r="A800" i="1"/>
  <c r="A799" i="1"/>
  <c r="A798" i="1"/>
  <c r="A797" i="1"/>
  <c r="A796" i="1"/>
  <c r="A795" i="1"/>
  <c r="A794" i="1"/>
  <c r="A793" i="1"/>
  <c r="A792" i="1"/>
  <c r="A791" i="1"/>
  <c r="A790" i="1"/>
  <c r="A789" i="1"/>
  <c r="A788" i="1"/>
  <c r="A787" i="1"/>
  <c r="A786" i="1"/>
  <c r="A785" i="1"/>
  <c r="A784" i="1"/>
  <c r="A783" i="1"/>
  <c r="A782" i="1"/>
  <c r="A781" i="1"/>
  <c r="A780" i="1"/>
  <c r="A779" i="1"/>
  <c r="A778" i="1"/>
  <c r="A777" i="1"/>
  <c r="A776" i="1"/>
  <c r="A775" i="1"/>
  <c r="A774" i="1"/>
  <c r="A773" i="1"/>
  <c r="A772" i="1"/>
  <c r="A771" i="1"/>
  <c r="A770" i="1"/>
  <c r="A769" i="1"/>
  <c r="A768" i="1"/>
  <c r="A767" i="1"/>
  <c r="A766" i="1"/>
  <c r="A765" i="1"/>
  <c r="A764" i="1"/>
  <c r="A763" i="1"/>
  <c r="A762" i="1"/>
  <c r="A761" i="1"/>
  <c r="A760" i="1"/>
  <c r="A759" i="1"/>
  <c r="A758" i="1"/>
  <c r="A757" i="1"/>
  <c r="A756" i="1"/>
  <c r="A755" i="1"/>
  <c r="A754" i="1"/>
  <c r="A753" i="1"/>
  <c r="A752" i="1"/>
  <c r="A751" i="1"/>
  <c r="A750" i="1"/>
  <c r="A749" i="1"/>
  <c r="A748" i="1"/>
  <c r="A747" i="1"/>
  <c r="A746" i="1"/>
  <c r="A745" i="1"/>
  <c r="A744" i="1"/>
  <c r="A743" i="1"/>
  <c r="A742" i="1"/>
  <c r="A741" i="1"/>
  <c r="A740" i="1"/>
  <c r="A739" i="1"/>
  <c r="A738" i="1"/>
  <c r="A737" i="1"/>
  <c r="A736" i="1"/>
  <c r="A735" i="1"/>
  <c r="A734" i="1"/>
  <c r="A733" i="1"/>
  <c r="A732" i="1"/>
  <c r="A731" i="1"/>
  <c r="A730" i="1"/>
  <c r="A729" i="1"/>
  <c r="A728" i="1"/>
  <c r="A727" i="1"/>
  <c r="A726" i="1"/>
  <c r="A725" i="1"/>
  <c r="A724" i="1"/>
  <c r="A723" i="1"/>
  <c r="A722" i="1"/>
  <c r="A721" i="1"/>
  <c r="A720" i="1"/>
  <c r="A719" i="1"/>
  <c r="A718" i="1"/>
  <c r="A717" i="1"/>
  <c r="A716" i="1"/>
  <c r="A715" i="1"/>
  <c r="A714" i="1"/>
  <c r="A713" i="1"/>
  <c r="A712" i="1"/>
  <c r="A711" i="1"/>
  <c r="A710" i="1"/>
  <c r="A709" i="1"/>
  <c r="A708" i="1"/>
  <c r="A707" i="1"/>
  <c r="A706" i="1"/>
  <c r="A705" i="1"/>
  <c r="A704" i="1"/>
  <c r="A703" i="1"/>
  <c r="A702" i="1"/>
  <c r="A701" i="1"/>
  <c r="A700" i="1"/>
  <c r="A699" i="1"/>
  <c r="A698" i="1"/>
  <c r="A697" i="1"/>
  <c r="A696" i="1"/>
  <c r="A695" i="1"/>
  <c r="A694" i="1"/>
  <c r="A693" i="1"/>
  <c r="A692" i="1"/>
  <c r="A691" i="1"/>
  <c r="A690" i="1"/>
  <c r="A689" i="1"/>
  <c r="A688" i="1"/>
  <c r="A687" i="1"/>
  <c r="A686" i="1"/>
  <c r="A685" i="1"/>
  <c r="A684" i="1"/>
  <c r="A683" i="1"/>
  <c r="A682" i="1"/>
  <c r="A681" i="1"/>
  <c r="A680" i="1"/>
  <c r="A679" i="1"/>
  <c r="A678" i="1"/>
  <c r="A677" i="1"/>
  <c r="A676" i="1"/>
  <c r="A675" i="1"/>
  <c r="A674" i="1"/>
  <c r="A673" i="1"/>
  <c r="A672" i="1"/>
  <c r="A671" i="1"/>
  <c r="A670" i="1"/>
  <c r="A669" i="1"/>
  <c r="A668" i="1"/>
  <c r="A667" i="1"/>
  <c r="A666" i="1"/>
  <c r="A665" i="1"/>
  <c r="A664" i="1"/>
  <c r="A663" i="1"/>
  <c r="A662" i="1"/>
  <c r="A661" i="1"/>
  <c r="A660" i="1"/>
  <c r="A659" i="1"/>
  <c r="A658" i="1"/>
  <c r="A657" i="1"/>
  <c r="A656" i="1"/>
  <c r="A655" i="1"/>
  <c r="A654" i="1"/>
  <c r="A653" i="1"/>
  <c r="A652" i="1"/>
  <c r="A651" i="1"/>
  <c r="A650" i="1"/>
  <c r="A649" i="1"/>
  <c r="A648" i="1"/>
  <c r="A647" i="1"/>
  <c r="A646" i="1"/>
  <c r="A645" i="1"/>
  <c r="A644" i="1"/>
  <c r="A643" i="1"/>
  <c r="A642" i="1"/>
  <c r="A641" i="1"/>
  <c r="A640" i="1"/>
  <c r="A639" i="1"/>
  <c r="A638" i="1"/>
  <c r="A637" i="1"/>
  <c r="A636" i="1"/>
  <c r="A635" i="1"/>
  <c r="A634" i="1"/>
  <c r="A633" i="1"/>
  <c r="A632" i="1"/>
  <c r="A631" i="1"/>
  <c r="A630" i="1"/>
  <c r="A629" i="1"/>
  <c r="A628" i="1"/>
  <c r="A627" i="1"/>
  <c r="A626" i="1"/>
  <c r="A625" i="1"/>
  <c r="A624" i="1"/>
  <c r="A623" i="1"/>
  <c r="A622" i="1"/>
  <c r="A621" i="1"/>
  <c r="A620" i="1"/>
  <c r="A619" i="1"/>
  <c r="A618" i="1"/>
  <c r="A617" i="1"/>
  <c r="A616" i="1"/>
  <c r="A615" i="1"/>
  <c r="A614" i="1"/>
  <c r="A613" i="1"/>
  <c r="A612" i="1"/>
  <c r="A611" i="1"/>
  <c r="A610" i="1"/>
  <c r="A609" i="1"/>
  <c r="A608" i="1"/>
  <c r="A607" i="1"/>
  <c r="A606" i="1"/>
  <c r="A605" i="1"/>
  <c r="A604" i="1"/>
  <c r="A603" i="1"/>
  <c r="A602" i="1"/>
  <c r="A601" i="1"/>
  <c r="A600" i="1"/>
  <c r="A599" i="1"/>
  <c r="A598" i="1"/>
  <c r="A597" i="1"/>
  <c r="A596" i="1"/>
  <c r="A595" i="1"/>
  <c r="A594" i="1"/>
  <c r="A593" i="1"/>
  <c r="A592" i="1"/>
  <c r="A591" i="1"/>
  <c r="A590" i="1"/>
  <c r="A589" i="1"/>
  <c r="A588" i="1"/>
  <c r="A587" i="1"/>
  <c r="A586" i="1"/>
  <c r="A585" i="1"/>
  <c r="A584" i="1"/>
  <c r="A583" i="1"/>
  <c r="A582" i="1"/>
  <c r="A581" i="1"/>
  <c r="A580" i="1"/>
  <c r="A579" i="1"/>
  <c r="A578" i="1"/>
  <c r="A577" i="1"/>
  <c r="A576" i="1"/>
  <c r="A575" i="1"/>
  <c r="A574" i="1"/>
  <c r="A573" i="1"/>
  <c r="A572" i="1"/>
  <c r="A571" i="1"/>
  <c r="A570" i="1"/>
  <c r="A569" i="1"/>
  <c r="A568" i="1"/>
  <c r="A567" i="1"/>
  <c r="A566" i="1"/>
  <c r="A565" i="1"/>
  <c r="A564" i="1"/>
  <c r="A563" i="1"/>
  <c r="A562" i="1"/>
  <c r="A561" i="1"/>
  <c r="A560" i="1"/>
  <c r="A559" i="1"/>
  <c r="A558" i="1"/>
  <c r="A557" i="1"/>
  <c r="A556" i="1"/>
  <c r="A555" i="1"/>
  <c r="A554" i="1"/>
  <c r="A553" i="1"/>
  <c r="A552" i="1"/>
  <c r="A551" i="1"/>
  <c r="A550" i="1"/>
  <c r="A549" i="1"/>
  <c r="A548" i="1"/>
  <c r="A547" i="1"/>
  <c r="A546" i="1"/>
  <c r="A545" i="1"/>
  <c r="A544" i="1"/>
  <c r="A543" i="1"/>
  <c r="A542" i="1"/>
  <c r="A541" i="1"/>
  <c r="A540" i="1"/>
  <c r="A539" i="1"/>
  <c r="A538" i="1"/>
  <c r="A537" i="1"/>
  <c r="A536" i="1"/>
  <c r="A535" i="1"/>
  <c r="A534" i="1"/>
  <c r="A533" i="1"/>
  <c r="A532" i="1"/>
  <c r="A531" i="1"/>
  <c r="A530" i="1"/>
  <c r="A529" i="1"/>
  <c r="A528" i="1"/>
  <c r="A527" i="1"/>
  <c r="A526" i="1"/>
  <c r="A525" i="1"/>
  <c r="A524" i="1"/>
  <c r="A523" i="1"/>
  <c r="A522" i="1"/>
  <c r="A521" i="1"/>
  <c r="A520" i="1"/>
  <c r="A519" i="1"/>
  <c r="A518" i="1"/>
  <c r="A517" i="1"/>
  <c r="A516" i="1"/>
  <c r="A515" i="1"/>
  <c r="A514" i="1"/>
  <c r="A513" i="1"/>
  <c r="A512" i="1"/>
  <c r="A511" i="1"/>
  <c r="A510" i="1"/>
  <c r="A509" i="1"/>
  <c r="A508" i="1"/>
  <c r="A507" i="1"/>
  <c r="A506" i="1"/>
  <c r="A505" i="1"/>
  <c r="A504" i="1"/>
  <c r="A503" i="1"/>
  <c r="A502" i="1"/>
  <c r="A501" i="1"/>
  <c r="A500" i="1"/>
  <c r="A499" i="1"/>
  <c r="A498" i="1"/>
  <c r="A497" i="1"/>
  <c r="A496" i="1"/>
  <c r="A495" i="1"/>
  <c r="A494" i="1"/>
  <c r="A493" i="1"/>
  <c r="A492" i="1"/>
  <c r="A491" i="1"/>
  <c r="A490" i="1"/>
  <c r="A489" i="1"/>
  <c r="A488" i="1"/>
  <c r="A487" i="1"/>
  <c r="A486" i="1"/>
  <c r="A485" i="1"/>
  <c r="A484" i="1"/>
  <c r="A483" i="1"/>
  <c r="A482" i="1"/>
  <c r="A481" i="1"/>
  <c r="A480" i="1"/>
  <c r="A479" i="1"/>
  <c r="A478" i="1"/>
  <c r="A477" i="1"/>
  <c r="A476" i="1"/>
  <c r="A475" i="1"/>
  <c r="A474" i="1"/>
  <c r="A473" i="1"/>
  <c r="A472" i="1"/>
  <c r="A471" i="1"/>
  <c r="A470" i="1"/>
  <c r="A469" i="1"/>
  <c r="A468" i="1"/>
  <c r="A467" i="1"/>
  <c r="A466" i="1"/>
  <c r="A465" i="1"/>
  <c r="A464" i="1"/>
  <c r="A463" i="1"/>
  <c r="A462" i="1"/>
  <c r="A461" i="1"/>
  <c r="A460" i="1"/>
  <c r="A459" i="1"/>
  <c r="A458" i="1"/>
  <c r="A457" i="1"/>
  <c r="A456" i="1"/>
  <c r="A455" i="1"/>
  <c r="A454" i="1"/>
  <c r="A453" i="1"/>
  <c r="A452" i="1"/>
  <c r="A451" i="1"/>
  <c r="A450" i="1"/>
  <c r="A449" i="1"/>
  <c r="A448" i="1"/>
  <c r="A447" i="1"/>
  <c r="A446" i="1"/>
  <c r="A445" i="1"/>
  <c r="A444" i="1"/>
  <c r="A443" i="1"/>
  <c r="A442" i="1"/>
  <c r="A441" i="1"/>
  <c r="A440" i="1"/>
  <c r="A439" i="1"/>
  <c r="A438" i="1"/>
  <c r="A437" i="1"/>
  <c r="A436" i="1"/>
  <c r="A435" i="1"/>
  <c r="A434" i="1"/>
  <c r="A433" i="1"/>
  <c r="A432" i="1"/>
  <c r="A431" i="1"/>
  <c r="A430" i="1"/>
  <c r="A429" i="1"/>
  <c r="A428" i="1"/>
  <c r="A427" i="1"/>
  <c r="A426" i="1"/>
  <c r="A425" i="1"/>
  <c r="A424" i="1"/>
  <c r="A423" i="1"/>
  <c r="A422" i="1"/>
  <c r="A421" i="1"/>
  <c r="A420" i="1"/>
  <c r="A419" i="1"/>
  <c r="A418" i="1"/>
  <c r="A417" i="1"/>
  <c r="A416" i="1"/>
  <c r="A415" i="1"/>
  <c r="A414" i="1"/>
  <c r="A413" i="1"/>
  <c r="A412" i="1"/>
  <c r="A411" i="1"/>
  <c r="A410" i="1"/>
  <c r="A409" i="1"/>
  <c r="A408" i="1"/>
  <c r="A407" i="1"/>
  <c r="A406" i="1"/>
  <c r="A405" i="1"/>
  <c r="A404" i="1"/>
  <c r="A403" i="1"/>
  <c r="A402" i="1"/>
  <c r="A401" i="1"/>
  <c r="A400" i="1"/>
  <c r="A399" i="1"/>
  <c r="A398" i="1"/>
  <c r="A397" i="1"/>
  <c r="A396" i="1"/>
  <c r="A395" i="1"/>
  <c r="A394" i="1"/>
  <c r="A393" i="1"/>
  <c r="A392" i="1"/>
  <c r="A391" i="1"/>
  <c r="A390" i="1"/>
  <c r="A389" i="1"/>
  <c r="A388" i="1"/>
  <c r="A387" i="1"/>
  <c r="A386" i="1"/>
  <c r="A385" i="1"/>
  <c r="A384" i="1"/>
  <c r="A383" i="1"/>
  <c r="A382" i="1"/>
  <c r="A381" i="1"/>
  <c r="A380" i="1"/>
  <c r="A379" i="1"/>
  <c r="A378" i="1"/>
  <c r="A377" i="1"/>
  <c r="A376" i="1"/>
  <c r="A375" i="1"/>
  <c r="A374" i="1"/>
  <c r="A373" i="1"/>
  <c r="A372" i="1"/>
  <c r="A371" i="1"/>
  <c r="A370" i="1"/>
  <c r="A369" i="1"/>
  <c r="A368" i="1"/>
  <c r="A367" i="1"/>
  <c r="A366" i="1"/>
  <c r="A365" i="1"/>
  <c r="A364" i="1"/>
  <c r="A363" i="1"/>
  <c r="A362" i="1"/>
  <c r="A361" i="1"/>
  <c r="A360" i="1"/>
  <c r="A359" i="1"/>
  <c r="A358" i="1"/>
  <c r="A357" i="1"/>
  <c r="A356" i="1"/>
  <c r="A355" i="1"/>
  <c r="A354" i="1"/>
  <c r="A353" i="1"/>
  <c r="A352" i="1"/>
  <c r="A351" i="1"/>
  <c r="A350" i="1"/>
  <c r="A349" i="1"/>
  <c r="A348" i="1"/>
  <c r="A347" i="1"/>
  <c r="A346" i="1"/>
  <c r="A345" i="1"/>
  <c r="A344" i="1"/>
  <c r="A343" i="1"/>
  <c r="A342" i="1"/>
  <c r="A341" i="1"/>
  <c r="A340" i="1"/>
  <c r="A339" i="1"/>
  <c r="A338" i="1"/>
  <c r="A337" i="1"/>
  <c r="A336" i="1"/>
  <c r="A335" i="1"/>
  <c r="A334" i="1"/>
  <c r="A333" i="1"/>
  <c r="A332" i="1"/>
  <c r="A331" i="1"/>
  <c r="A330" i="1"/>
  <c r="A329" i="1"/>
  <c r="A328" i="1"/>
  <c r="A327" i="1"/>
  <c r="A326" i="1"/>
  <c r="A325" i="1"/>
  <c r="A324" i="1"/>
  <c r="A323" i="1"/>
  <c r="A322" i="1"/>
  <c r="A321" i="1"/>
  <c r="A320" i="1"/>
  <c r="A319" i="1"/>
  <c r="A318" i="1"/>
  <c r="A317" i="1"/>
  <c r="A316" i="1"/>
  <c r="A315" i="1"/>
  <c r="A314" i="1"/>
  <c r="A313" i="1"/>
  <c r="A312" i="1"/>
  <c r="A311" i="1"/>
  <c r="A310" i="1"/>
  <c r="A309" i="1"/>
  <c r="A308" i="1"/>
  <c r="A307" i="1"/>
  <c r="A306" i="1"/>
  <c r="A305" i="1"/>
  <c r="A304" i="1"/>
  <c r="A303" i="1"/>
  <c r="A302" i="1"/>
  <c r="A301" i="1"/>
  <c r="A300" i="1"/>
  <c r="A299" i="1"/>
  <c r="A298" i="1"/>
  <c r="A297" i="1"/>
  <c r="A296" i="1"/>
  <c r="A295" i="1"/>
  <c r="A294" i="1"/>
  <c r="A293" i="1"/>
  <c r="A292" i="1"/>
  <c r="A291" i="1"/>
  <c r="A290" i="1"/>
  <c r="A289" i="1"/>
  <c r="A288" i="1"/>
  <c r="A287" i="1"/>
  <c r="A286" i="1"/>
  <c r="A285" i="1"/>
  <c r="A284" i="1"/>
  <c r="A283" i="1"/>
  <c r="A282" i="1"/>
  <c r="A281" i="1"/>
  <c r="A280" i="1"/>
  <c r="A279" i="1"/>
  <c r="A278" i="1"/>
  <c r="A277" i="1"/>
  <c r="A276" i="1"/>
  <c r="A275" i="1"/>
  <c r="A274" i="1"/>
  <c r="A273" i="1"/>
  <c r="A272" i="1"/>
  <c r="A271" i="1"/>
  <c r="A270" i="1"/>
  <c r="A269" i="1"/>
  <c r="A268" i="1"/>
  <c r="A267" i="1"/>
  <c r="A266" i="1"/>
  <c r="A265" i="1"/>
  <c r="A264" i="1"/>
  <c r="A263" i="1"/>
  <c r="A262" i="1"/>
  <c r="A261" i="1"/>
  <c r="A260" i="1"/>
  <c r="A259" i="1"/>
  <c r="A258" i="1"/>
  <c r="A257" i="1"/>
  <c r="A256" i="1"/>
  <c r="A255" i="1"/>
  <c r="A254" i="1"/>
  <c r="A253" i="1"/>
  <c r="A252" i="1"/>
  <c r="A251" i="1"/>
  <c r="A250" i="1"/>
  <c r="A249" i="1"/>
  <c r="A248" i="1"/>
  <c r="A247" i="1"/>
  <c r="A246" i="1"/>
  <c r="A245" i="1"/>
  <c r="A244" i="1"/>
  <c r="A243" i="1"/>
  <c r="A242" i="1"/>
  <c r="A241" i="1"/>
  <c r="A240" i="1"/>
  <c r="A239" i="1"/>
  <c r="A238" i="1"/>
  <c r="A237" i="1"/>
  <c r="A236" i="1"/>
  <c r="A235" i="1"/>
  <c r="A234" i="1"/>
  <c r="A233" i="1"/>
  <c r="A232" i="1"/>
  <c r="A231" i="1"/>
  <c r="A230" i="1"/>
  <c r="A229" i="1"/>
  <c r="A228" i="1"/>
  <c r="A227" i="1"/>
  <c r="A226" i="1"/>
  <c r="A225" i="1"/>
  <c r="A224" i="1"/>
  <c r="A223" i="1"/>
  <c r="A222" i="1"/>
  <c r="A221" i="1"/>
  <c r="A220" i="1"/>
  <c r="A219" i="1"/>
  <c r="A218" i="1"/>
  <c r="A217" i="1"/>
  <c r="A216" i="1"/>
  <c r="A215" i="1"/>
  <c r="A214" i="1"/>
  <c r="A213" i="1"/>
  <c r="A212" i="1"/>
  <c r="A211" i="1"/>
  <c r="A210" i="1"/>
  <c r="A209" i="1"/>
  <c r="A208" i="1"/>
  <c r="A207" i="1"/>
  <c r="A206" i="1"/>
  <c r="A205" i="1"/>
  <c r="A204" i="1"/>
  <c r="A203" i="1"/>
  <c r="A202" i="1"/>
  <c r="A201" i="1"/>
  <c r="A200" i="1"/>
  <c r="A199" i="1"/>
  <c r="A198" i="1"/>
  <c r="A197" i="1"/>
  <c r="A196" i="1"/>
  <c r="A195" i="1"/>
  <c r="A194" i="1"/>
  <c r="A193" i="1"/>
  <c r="A192" i="1"/>
  <c r="A191" i="1"/>
  <c r="A190" i="1"/>
  <c r="A189" i="1"/>
  <c r="A188" i="1"/>
  <c r="A187" i="1"/>
  <c r="A186" i="1"/>
  <c r="A185" i="1"/>
  <c r="A184" i="1"/>
  <c r="A183" i="1"/>
  <c r="A182" i="1"/>
  <c r="A181" i="1"/>
  <c r="A180" i="1"/>
  <c r="A179" i="1"/>
  <c r="A178" i="1"/>
  <c r="A177" i="1"/>
  <c r="A176" i="1"/>
  <c r="A175" i="1"/>
  <c r="A174" i="1"/>
  <c r="A173" i="1"/>
  <c r="A172" i="1"/>
  <c r="A171" i="1"/>
  <c r="A170" i="1"/>
  <c r="A169" i="1"/>
  <c r="A168" i="1"/>
  <c r="A167" i="1"/>
  <c r="A166" i="1"/>
  <c r="A165" i="1"/>
  <c r="A164" i="1"/>
  <c r="A163" i="1"/>
  <c r="A162" i="1"/>
  <c r="A161" i="1"/>
  <c r="A160" i="1"/>
  <c r="A159" i="1"/>
  <c r="A158" i="1"/>
  <c r="A157" i="1"/>
  <c r="A156" i="1"/>
  <c r="A155" i="1"/>
  <c r="A154" i="1"/>
  <c r="A153" i="1"/>
  <c r="A152" i="1"/>
  <c r="A151" i="1"/>
  <c r="A150" i="1"/>
  <c r="A149" i="1"/>
  <c r="A148" i="1"/>
  <c r="A147" i="1"/>
  <c r="A146" i="1"/>
  <c r="A145" i="1"/>
  <c r="A144" i="1"/>
  <c r="A143" i="1"/>
  <c r="A142" i="1"/>
  <c r="A141" i="1"/>
  <c r="A140" i="1"/>
  <c r="A139" i="1"/>
  <c r="A138" i="1"/>
  <c r="A137" i="1"/>
  <c r="A136" i="1"/>
  <c r="A135" i="1"/>
  <c r="A134" i="1"/>
  <c r="A133" i="1"/>
  <c r="A132" i="1"/>
  <c r="A131" i="1"/>
  <c r="A130" i="1"/>
  <c r="A129" i="1"/>
  <c r="A128" i="1"/>
  <c r="A127" i="1"/>
  <c r="A126" i="1"/>
  <c r="A125" i="1"/>
  <c r="A124" i="1"/>
  <c r="A123" i="1"/>
  <c r="A122" i="1"/>
  <c r="A121" i="1"/>
  <c r="A120" i="1"/>
  <c r="A119" i="1"/>
  <c r="A118" i="1"/>
  <c r="A117" i="1"/>
  <c r="A116" i="1"/>
  <c r="A115" i="1"/>
  <c r="A114" i="1"/>
  <c r="A113" i="1"/>
  <c r="A112" i="1"/>
  <c r="A111" i="1"/>
  <c r="A110" i="1"/>
  <c r="A109" i="1"/>
  <c r="A108" i="1"/>
  <c r="A107" i="1"/>
  <c r="A106" i="1"/>
  <c r="A105" i="1"/>
  <c r="A104" i="1"/>
  <c r="A103" i="1"/>
  <c r="A102" i="1"/>
  <c r="A101" i="1"/>
  <c r="A100" i="1"/>
  <c r="A99" i="1"/>
  <c r="A98" i="1"/>
  <c r="A97" i="1"/>
  <c r="A96" i="1"/>
  <c r="A95" i="1"/>
  <c r="A94" i="1"/>
  <c r="A93" i="1"/>
  <c r="A92" i="1"/>
  <c r="A91" i="1"/>
  <c r="A90" i="1"/>
  <c r="A89" i="1"/>
  <c r="A88" i="1"/>
  <c r="A87" i="1"/>
  <c r="A86" i="1"/>
  <c r="A85" i="1"/>
  <c r="A84" i="1"/>
  <c r="A83" i="1"/>
  <c r="A82" i="1"/>
  <c r="A81" i="1"/>
  <c r="A80" i="1"/>
  <c r="A79" i="1"/>
  <c r="A78" i="1"/>
  <c r="A77" i="1"/>
  <c r="A76" i="1"/>
  <c r="A75" i="1"/>
  <c r="A74" i="1"/>
  <c r="A73" i="1"/>
  <c r="A72" i="1"/>
  <c r="A71" i="1"/>
  <c r="A70" i="1"/>
  <c r="A69" i="1"/>
  <c r="A68" i="1"/>
  <c r="A67" i="1"/>
  <c r="A66" i="1"/>
  <c r="A65" i="1"/>
  <c r="A64" i="1"/>
  <c r="A63" i="1"/>
  <c r="A62" i="1"/>
  <c r="A61" i="1"/>
  <c r="A60" i="1"/>
  <c r="A59" i="1"/>
  <c r="A58" i="1"/>
  <c r="A57" i="1"/>
  <c r="A56" i="1"/>
  <c r="A55" i="1"/>
  <c r="A54" i="1"/>
  <c r="A53" i="1"/>
  <c r="A52" i="1"/>
  <c r="A51" i="1"/>
  <c r="A50" i="1"/>
  <c r="A49" i="1"/>
  <c r="A48" i="1"/>
  <c r="A47" i="1"/>
  <c r="A46" i="1"/>
  <c r="A45" i="1"/>
  <c r="A44" i="1"/>
  <c r="A43" i="1"/>
  <c r="A42" i="1"/>
  <c r="A41" i="1"/>
  <c r="A40" i="1"/>
  <c r="A39" i="1"/>
  <c r="A38" i="1"/>
  <c r="A37" i="1"/>
  <c r="A36" i="1"/>
  <c r="A35" i="1"/>
  <c r="A34" i="1"/>
  <c r="A33" i="1"/>
  <c r="A32" i="1"/>
  <c r="A31" i="1"/>
  <c r="A30" i="1"/>
  <c r="A29" i="1"/>
  <c r="A28" i="1"/>
  <c r="A27" i="1"/>
  <c r="A26" i="1"/>
  <c r="A25" i="1"/>
  <c r="A24" i="1"/>
  <c r="A23" i="1"/>
  <c r="A22" i="1"/>
  <c r="A21" i="1"/>
  <c r="A20" i="1"/>
  <c r="A19" i="1"/>
  <c r="A18" i="1"/>
  <c r="A17" i="1"/>
  <c r="A16" i="1"/>
  <c r="A15" i="1"/>
  <c r="A14" i="1"/>
  <c r="A13" i="1"/>
  <c r="A12" i="1"/>
  <c r="A11" i="1"/>
  <c r="A10" i="1"/>
  <c r="A9" i="1"/>
  <c r="A8" i="1"/>
  <c r="A7" i="1"/>
  <c r="A6" i="1"/>
  <c r="A5" i="1"/>
  <c r="A4" i="1"/>
  <c r="A3" i="1"/>
  <c r="A2" i="1"/>
  <c r="J2" i="2" a="1"/>
  <c r="J2" i="2"/>
  <c r="J3" i="2"/>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Q1003" i="2" a="1"/>
  <c r="Q1003" i="2"/>
  <c r="R1003" i="2" a="1"/>
  <c r="R1003" i="2"/>
  <c r="S1003" i="2" a="1"/>
  <c r="S1003" i="2"/>
  <c r="T1003" i="2" a="1"/>
  <c r="T1003" i="2"/>
  <c r="U1003" i="2" a="1"/>
  <c r="U1003" i="2"/>
  <c r="Q1005" i="2" a="1"/>
  <c r="R1005" i="2"/>
  <c r="S1005" i="2"/>
  <c r="T1005" i="2"/>
  <c r="U1005" i="2"/>
  <c r="Q1005" i="2"/>
  <c r="Q1006" i="2" a="1"/>
  <c r="Q1006" i="2"/>
  <c r="R1006" i="2"/>
  <c r="S1006" i="2"/>
  <c r="T1006" i="2"/>
  <c r="U1006" i="2"/>
  <c r="F1001" i="2"/>
  <c r="E1001" i="2"/>
  <c r="D1001" i="2"/>
  <c r="C1001" i="2"/>
  <c r="B1001" i="2"/>
  <c r="A1001" i="2"/>
  <c r="F1000" i="2"/>
  <c r="E1000" i="2"/>
  <c r="D1000" i="2"/>
  <c r="C1000" i="2"/>
  <c r="B1000" i="2"/>
  <c r="A1000" i="2"/>
  <c r="F999" i="2"/>
  <c r="E999" i="2"/>
  <c r="D999" i="2"/>
  <c r="C999" i="2"/>
  <c r="B999" i="2"/>
  <c r="A999" i="2"/>
  <c r="F998" i="2"/>
  <c r="E998" i="2"/>
  <c r="D998" i="2"/>
  <c r="C998" i="2"/>
  <c r="B998" i="2"/>
  <c r="A998" i="2"/>
  <c r="F997" i="2"/>
  <c r="E997" i="2"/>
  <c r="D997" i="2"/>
  <c r="C997" i="2"/>
  <c r="B997" i="2"/>
  <c r="A997" i="2"/>
  <c r="F996" i="2"/>
  <c r="E996" i="2"/>
  <c r="D996" i="2"/>
  <c r="C996" i="2"/>
  <c r="B996" i="2"/>
  <c r="A996" i="2"/>
  <c r="F995" i="2"/>
  <c r="E995" i="2"/>
  <c r="D995" i="2"/>
  <c r="C995" i="2"/>
  <c r="B995" i="2"/>
  <c r="A995" i="2"/>
  <c r="F994" i="2"/>
  <c r="E994" i="2"/>
  <c r="D994" i="2"/>
  <c r="C994" i="2"/>
  <c r="B994" i="2"/>
  <c r="A994" i="2"/>
  <c r="F993" i="2"/>
  <c r="E993" i="2"/>
  <c r="D993" i="2"/>
  <c r="C993" i="2"/>
  <c r="B993" i="2"/>
  <c r="A993" i="2"/>
  <c r="F992" i="2"/>
  <c r="E992" i="2"/>
  <c r="D992" i="2"/>
  <c r="C992" i="2"/>
  <c r="B992" i="2"/>
  <c r="A992" i="2"/>
  <c r="F991" i="2"/>
  <c r="E991" i="2"/>
  <c r="D991" i="2"/>
  <c r="C991" i="2"/>
  <c r="B991" i="2"/>
  <c r="A991" i="2"/>
  <c r="F990" i="2"/>
  <c r="E990" i="2"/>
  <c r="D990" i="2"/>
  <c r="C990" i="2"/>
  <c r="B990" i="2"/>
  <c r="A990" i="2"/>
  <c r="F989" i="2"/>
  <c r="E989" i="2"/>
  <c r="D989" i="2"/>
  <c r="C989" i="2"/>
  <c r="B989" i="2"/>
  <c r="A989" i="2"/>
  <c r="F988" i="2"/>
  <c r="E988" i="2"/>
  <c r="D988" i="2"/>
  <c r="C988" i="2"/>
  <c r="B988" i="2"/>
  <c r="A988" i="2"/>
  <c r="F987" i="2"/>
  <c r="E987" i="2"/>
  <c r="D987" i="2"/>
  <c r="C987" i="2"/>
  <c r="B987" i="2"/>
  <c r="A987" i="2"/>
  <c r="F986" i="2"/>
  <c r="E986" i="2"/>
  <c r="D986" i="2"/>
  <c r="C986" i="2"/>
  <c r="B986" i="2"/>
  <c r="A986" i="2"/>
  <c r="F985" i="2"/>
  <c r="E985" i="2"/>
  <c r="D985" i="2"/>
  <c r="C985" i="2"/>
  <c r="B985" i="2"/>
  <c r="A985" i="2"/>
  <c r="F984" i="2"/>
  <c r="E984" i="2"/>
  <c r="D984" i="2"/>
  <c r="C984" i="2"/>
  <c r="B984" i="2"/>
  <c r="A984" i="2"/>
  <c r="F983" i="2"/>
  <c r="E983" i="2"/>
  <c r="D983" i="2"/>
  <c r="C983" i="2"/>
  <c r="B983" i="2"/>
  <c r="A983" i="2"/>
  <c r="F982" i="2"/>
  <c r="E982" i="2"/>
  <c r="D982" i="2"/>
  <c r="C982" i="2"/>
  <c r="B982" i="2"/>
  <c r="A982" i="2"/>
  <c r="F981" i="2"/>
  <c r="E981" i="2"/>
  <c r="D981" i="2"/>
  <c r="C981" i="2"/>
  <c r="B981" i="2"/>
  <c r="A981" i="2"/>
  <c r="F980" i="2"/>
  <c r="E980" i="2"/>
  <c r="D980" i="2"/>
  <c r="C980" i="2"/>
  <c r="B980" i="2"/>
  <c r="A980" i="2"/>
  <c r="F979" i="2"/>
  <c r="E979" i="2"/>
  <c r="D979" i="2"/>
  <c r="C979" i="2"/>
  <c r="B979" i="2"/>
  <c r="A979" i="2"/>
  <c r="F978" i="2"/>
  <c r="E978" i="2"/>
  <c r="D978" i="2"/>
  <c r="C978" i="2"/>
  <c r="B978" i="2"/>
  <c r="A978" i="2"/>
  <c r="F977" i="2"/>
  <c r="E977" i="2"/>
  <c r="D977" i="2"/>
  <c r="C977" i="2"/>
  <c r="B977" i="2"/>
  <c r="A977" i="2"/>
  <c r="F976" i="2"/>
  <c r="E976" i="2"/>
  <c r="D976" i="2"/>
  <c r="C976" i="2"/>
  <c r="B976" i="2"/>
  <c r="A976" i="2"/>
  <c r="F975" i="2"/>
  <c r="E975" i="2"/>
  <c r="D975" i="2"/>
  <c r="C975" i="2"/>
  <c r="B975" i="2"/>
  <c r="A975" i="2"/>
  <c r="F974" i="2"/>
  <c r="E974" i="2"/>
  <c r="D974" i="2"/>
  <c r="C974" i="2"/>
  <c r="B974" i="2"/>
  <c r="A974" i="2"/>
  <c r="F973" i="2"/>
  <c r="E973" i="2"/>
  <c r="D973" i="2"/>
  <c r="C973" i="2"/>
  <c r="B973" i="2"/>
  <c r="A973" i="2"/>
  <c r="F972" i="2"/>
  <c r="E972" i="2"/>
  <c r="D972" i="2"/>
  <c r="C972" i="2"/>
  <c r="B972" i="2"/>
  <c r="A972" i="2"/>
  <c r="F971" i="2"/>
  <c r="E971" i="2"/>
  <c r="D971" i="2"/>
  <c r="C971" i="2"/>
  <c r="B971" i="2"/>
  <c r="A971" i="2"/>
  <c r="F970" i="2"/>
  <c r="E970" i="2"/>
  <c r="D970" i="2"/>
  <c r="C970" i="2"/>
  <c r="B970" i="2"/>
  <c r="A970" i="2"/>
  <c r="F969" i="2"/>
  <c r="E969" i="2"/>
  <c r="D969" i="2"/>
  <c r="C969" i="2"/>
  <c r="B969" i="2"/>
  <c r="A969" i="2"/>
  <c r="F968" i="2"/>
  <c r="E968" i="2"/>
  <c r="D968" i="2"/>
  <c r="C968" i="2"/>
  <c r="B968" i="2"/>
  <c r="A968" i="2"/>
  <c r="F967" i="2"/>
  <c r="E967" i="2"/>
  <c r="D967" i="2"/>
  <c r="C967" i="2"/>
  <c r="B967" i="2"/>
  <c r="A967" i="2"/>
  <c r="F966" i="2"/>
  <c r="E966" i="2"/>
  <c r="D966" i="2"/>
  <c r="C966" i="2"/>
  <c r="B966" i="2"/>
  <c r="A966" i="2"/>
  <c r="F965" i="2"/>
  <c r="E965" i="2"/>
  <c r="D965" i="2"/>
  <c r="C965" i="2"/>
  <c r="B965" i="2"/>
  <c r="A965" i="2"/>
  <c r="F964" i="2"/>
  <c r="E964" i="2"/>
  <c r="D964" i="2"/>
  <c r="C964" i="2"/>
  <c r="B964" i="2"/>
  <c r="A964" i="2"/>
  <c r="F963" i="2"/>
  <c r="E963" i="2"/>
  <c r="D963" i="2"/>
  <c r="C963" i="2"/>
  <c r="B963" i="2"/>
  <c r="A963" i="2"/>
  <c r="F962" i="2"/>
  <c r="E962" i="2"/>
  <c r="D962" i="2"/>
  <c r="C962" i="2"/>
  <c r="B962" i="2"/>
  <c r="A962" i="2"/>
  <c r="F961" i="2"/>
  <c r="E961" i="2"/>
  <c r="D961" i="2"/>
  <c r="C961" i="2"/>
  <c r="B961" i="2"/>
  <c r="A961" i="2"/>
  <c r="F960" i="2"/>
  <c r="E960" i="2"/>
  <c r="D960" i="2"/>
  <c r="C960" i="2"/>
  <c r="B960" i="2"/>
  <c r="A960" i="2"/>
  <c r="F959" i="2"/>
  <c r="E959" i="2"/>
  <c r="D959" i="2"/>
  <c r="C959" i="2"/>
  <c r="B959" i="2"/>
  <c r="A959" i="2"/>
  <c r="F958" i="2"/>
  <c r="E958" i="2"/>
  <c r="D958" i="2"/>
  <c r="C958" i="2"/>
  <c r="B958" i="2"/>
  <c r="A958" i="2"/>
  <c r="F957" i="2"/>
  <c r="E957" i="2"/>
  <c r="D957" i="2"/>
  <c r="C957" i="2"/>
  <c r="B957" i="2"/>
  <c r="A957" i="2"/>
  <c r="F956" i="2"/>
  <c r="E956" i="2"/>
  <c r="D956" i="2"/>
  <c r="C956" i="2"/>
  <c r="B956" i="2"/>
  <c r="A956" i="2"/>
  <c r="F955" i="2"/>
  <c r="E955" i="2"/>
  <c r="D955" i="2"/>
  <c r="C955" i="2"/>
  <c r="B955" i="2"/>
  <c r="A955" i="2"/>
  <c r="F954" i="2"/>
  <c r="E954" i="2"/>
  <c r="D954" i="2"/>
  <c r="C954" i="2"/>
  <c r="B954" i="2"/>
  <c r="A954" i="2"/>
  <c r="F953" i="2"/>
  <c r="E953" i="2"/>
  <c r="D953" i="2"/>
  <c r="C953" i="2"/>
  <c r="B953" i="2"/>
  <c r="A953" i="2"/>
  <c r="F952" i="2"/>
  <c r="E952" i="2"/>
  <c r="D952" i="2"/>
  <c r="C952" i="2"/>
  <c r="B952" i="2"/>
  <c r="A952" i="2"/>
  <c r="F951" i="2"/>
  <c r="E951" i="2"/>
  <c r="D951" i="2"/>
  <c r="C951" i="2"/>
  <c r="B951" i="2"/>
  <c r="A951" i="2"/>
  <c r="F950" i="2"/>
  <c r="E950" i="2"/>
  <c r="D950" i="2"/>
  <c r="C950" i="2"/>
  <c r="B950" i="2"/>
  <c r="A950" i="2"/>
  <c r="F949" i="2"/>
  <c r="E949" i="2"/>
  <c r="D949" i="2"/>
  <c r="C949" i="2"/>
  <c r="B949" i="2"/>
  <c r="A949" i="2"/>
  <c r="F948" i="2"/>
  <c r="E948" i="2"/>
  <c r="D948" i="2"/>
  <c r="C948" i="2"/>
  <c r="B948" i="2"/>
  <c r="A948" i="2"/>
  <c r="F947" i="2"/>
  <c r="E947" i="2"/>
  <c r="D947" i="2"/>
  <c r="C947" i="2"/>
  <c r="B947" i="2"/>
  <c r="A947" i="2"/>
  <c r="F946" i="2"/>
  <c r="E946" i="2"/>
  <c r="D946" i="2"/>
  <c r="C946" i="2"/>
  <c r="B946" i="2"/>
  <c r="A946" i="2"/>
  <c r="F945" i="2"/>
  <c r="E945" i="2"/>
  <c r="D945" i="2"/>
  <c r="C945" i="2"/>
  <c r="B945" i="2"/>
  <c r="A945" i="2"/>
  <c r="F944" i="2"/>
  <c r="E944" i="2"/>
  <c r="D944" i="2"/>
  <c r="C944" i="2"/>
  <c r="B944" i="2"/>
  <c r="A944" i="2"/>
  <c r="F943" i="2"/>
  <c r="E943" i="2"/>
  <c r="D943" i="2"/>
  <c r="C943" i="2"/>
  <c r="B943" i="2"/>
  <c r="A943" i="2"/>
  <c r="F942" i="2"/>
  <c r="E942" i="2"/>
  <c r="D942" i="2"/>
  <c r="C942" i="2"/>
  <c r="B942" i="2"/>
  <c r="A942" i="2"/>
  <c r="F941" i="2"/>
  <c r="E941" i="2"/>
  <c r="D941" i="2"/>
  <c r="C941" i="2"/>
  <c r="B941" i="2"/>
  <c r="A941" i="2"/>
  <c r="F940" i="2"/>
  <c r="E940" i="2"/>
  <c r="D940" i="2"/>
  <c r="C940" i="2"/>
  <c r="B940" i="2"/>
  <c r="A940" i="2"/>
  <c r="F939" i="2"/>
  <c r="E939" i="2"/>
  <c r="D939" i="2"/>
  <c r="C939" i="2"/>
  <c r="B939" i="2"/>
  <c r="A939" i="2"/>
  <c r="F938" i="2"/>
  <c r="E938" i="2"/>
  <c r="D938" i="2"/>
  <c r="C938" i="2"/>
  <c r="B938" i="2"/>
  <c r="A938" i="2"/>
  <c r="F937" i="2"/>
  <c r="E937" i="2"/>
  <c r="D937" i="2"/>
  <c r="C937" i="2"/>
  <c r="B937" i="2"/>
  <c r="A937" i="2"/>
  <c r="F936" i="2"/>
  <c r="E936" i="2"/>
  <c r="D936" i="2"/>
  <c r="C936" i="2"/>
  <c r="B936" i="2"/>
  <c r="A936" i="2"/>
  <c r="F935" i="2"/>
  <c r="E935" i="2"/>
  <c r="D935" i="2"/>
  <c r="C935" i="2"/>
  <c r="B935" i="2"/>
  <c r="A935" i="2"/>
  <c r="F934" i="2"/>
  <c r="E934" i="2"/>
  <c r="D934" i="2"/>
  <c r="C934" i="2"/>
  <c r="B934" i="2"/>
  <c r="A934" i="2"/>
  <c r="F933" i="2"/>
  <c r="E933" i="2"/>
  <c r="D933" i="2"/>
  <c r="C933" i="2"/>
  <c r="B933" i="2"/>
  <c r="A933" i="2"/>
  <c r="F932" i="2"/>
  <c r="E932" i="2"/>
  <c r="D932" i="2"/>
  <c r="C932" i="2"/>
  <c r="B932" i="2"/>
  <c r="A932" i="2"/>
  <c r="F931" i="2"/>
  <c r="E931" i="2"/>
  <c r="D931" i="2"/>
  <c r="C931" i="2"/>
  <c r="B931" i="2"/>
  <c r="A931" i="2"/>
  <c r="F930" i="2"/>
  <c r="E930" i="2"/>
  <c r="D930" i="2"/>
  <c r="C930" i="2"/>
  <c r="B930" i="2"/>
  <c r="A930" i="2"/>
  <c r="F929" i="2"/>
  <c r="E929" i="2"/>
  <c r="D929" i="2"/>
  <c r="C929" i="2"/>
  <c r="B929" i="2"/>
  <c r="A929" i="2"/>
  <c r="F928" i="2"/>
  <c r="E928" i="2"/>
  <c r="D928" i="2"/>
  <c r="C928" i="2"/>
  <c r="B928" i="2"/>
  <c r="A928" i="2"/>
  <c r="F927" i="2"/>
  <c r="E927" i="2"/>
  <c r="D927" i="2"/>
  <c r="C927" i="2"/>
  <c r="B927" i="2"/>
  <c r="A927" i="2"/>
  <c r="F926" i="2"/>
  <c r="E926" i="2"/>
  <c r="D926" i="2"/>
  <c r="C926" i="2"/>
  <c r="B926" i="2"/>
  <c r="A926" i="2"/>
  <c r="F925" i="2"/>
  <c r="E925" i="2"/>
  <c r="D925" i="2"/>
  <c r="C925" i="2"/>
  <c r="B925" i="2"/>
  <c r="A925" i="2"/>
  <c r="F924" i="2"/>
  <c r="E924" i="2"/>
  <c r="D924" i="2"/>
  <c r="C924" i="2"/>
  <c r="B924" i="2"/>
  <c r="A924" i="2"/>
  <c r="F923" i="2"/>
  <c r="E923" i="2"/>
  <c r="D923" i="2"/>
  <c r="C923" i="2"/>
  <c r="B923" i="2"/>
  <c r="A923" i="2"/>
  <c r="F922" i="2"/>
  <c r="E922" i="2"/>
  <c r="D922" i="2"/>
  <c r="C922" i="2"/>
  <c r="B922" i="2"/>
  <c r="A922" i="2"/>
  <c r="F921" i="2"/>
  <c r="E921" i="2"/>
  <c r="D921" i="2"/>
  <c r="C921" i="2"/>
  <c r="B921" i="2"/>
  <c r="A921" i="2"/>
  <c r="F920" i="2"/>
  <c r="E920" i="2"/>
  <c r="D920" i="2"/>
  <c r="C920" i="2"/>
  <c r="B920" i="2"/>
  <c r="A920" i="2"/>
  <c r="F919" i="2"/>
  <c r="E919" i="2"/>
  <c r="D919" i="2"/>
  <c r="C919" i="2"/>
  <c r="B919" i="2"/>
  <c r="A919" i="2"/>
  <c r="F918" i="2"/>
  <c r="E918" i="2"/>
  <c r="D918" i="2"/>
  <c r="C918" i="2"/>
  <c r="B918" i="2"/>
  <c r="A918" i="2"/>
  <c r="F917" i="2"/>
  <c r="E917" i="2"/>
  <c r="D917" i="2"/>
  <c r="C917" i="2"/>
  <c r="B917" i="2"/>
  <c r="A917" i="2"/>
  <c r="F916" i="2"/>
  <c r="E916" i="2"/>
  <c r="D916" i="2"/>
  <c r="C916" i="2"/>
  <c r="B916" i="2"/>
  <c r="A916" i="2"/>
  <c r="F915" i="2"/>
  <c r="E915" i="2"/>
  <c r="D915" i="2"/>
  <c r="C915" i="2"/>
  <c r="B915" i="2"/>
  <c r="A915" i="2"/>
  <c r="F914" i="2"/>
  <c r="E914" i="2"/>
  <c r="D914" i="2"/>
  <c r="C914" i="2"/>
  <c r="B914" i="2"/>
  <c r="A914" i="2"/>
  <c r="F913" i="2"/>
  <c r="E913" i="2"/>
  <c r="D913" i="2"/>
  <c r="C913" i="2"/>
  <c r="B913" i="2"/>
  <c r="A913" i="2"/>
  <c r="F912" i="2"/>
  <c r="E912" i="2"/>
  <c r="D912" i="2"/>
  <c r="C912" i="2"/>
  <c r="B912" i="2"/>
  <c r="A912" i="2"/>
  <c r="F911" i="2"/>
  <c r="E911" i="2"/>
  <c r="D911" i="2"/>
  <c r="C911" i="2"/>
  <c r="B911" i="2"/>
  <c r="A911" i="2"/>
  <c r="F910" i="2"/>
  <c r="E910" i="2"/>
  <c r="D910" i="2"/>
  <c r="C910" i="2"/>
  <c r="B910" i="2"/>
  <c r="A910" i="2"/>
  <c r="F909" i="2"/>
  <c r="E909" i="2"/>
  <c r="D909" i="2"/>
  <c r="C909" i="2"/>
  <c r="B909" i="2"/>
  <c r="A909" i="2"/>
  <c r="F908" i="2"/>
  <c r="E908" i="2"/>
  <c r="D908" i="2"/>
  <c r="C908" i="2"/>
  <c r="B908" i="2"/>
  <c r="A908" i="2"/>
  <c r="F907" i="2"/>
  <c r="E907" i="2"/>
  <c r="D907" i="2"/>
  <c r="C907" i="2"/>
  <c r="B907" i="2"/>
  <c r="A907" i="2"/>
  <c r="F906" i="2"/>
  <c r="E906" i="2"/>
  <c r="D906" i="2"/>
  <c r="C906" i="2"/>
  <c r="B906" i="2"/>
  <c r="A906" i="2"/>
  <c r="F905" i="2"/>
  <c r="E905" i="2"/>
  <c r="D905" i="2"/>
  <c r="C905" i="2"/>
  <c r="B905" i="2"/>
  <c r="A905" i="2"/>
  <c r="F904" i="2"/>
  <c r="E904" i="2"/>
  <c r="D904" i="2"/>
  <c r="C904" i="2"/>
  <c r="B904" i="2"/>
  <c r="A904" i="2"/>
  <c r="F903" i="2"/>
  <c r="E903" i="2"/>
  <c r="D903" i="2"/>
  <c r="C903" i="2"/>
  <c r="B903" i="2"/>
  <c r="A903" i="2"/>
  <c r="F902" i="2"/>
  <c r="E902" i="2"/>
  <c r="D902" i="2"/>
  <c r="C902" i="2"/>
  <c r="B902" i="2"/>
  <c r="A902" i="2"/>
  <c r="F901" i="2"/>
  <c r="E901" i="2"/>
  <c r="D901" i="2"/>
  <c r="C901" i="2"/>
  <c r="B901" i="2"/>
  <c r="A901" i="2"/>
  <c r="F900" i="2"/>
  <c r="E900" i="2"/>
  <c r="D900" i="2"/>
  <c r="C900" i="2"/>
  <c r="B900" i="2"/>
  <c r="A900" i="2"/>
  <c r="F899" i="2"/>
  <c r="E899" i="2"/>
  <c r="D899" i="2"/>
  <c r="C899" i="2"/>
  <c r="B899" i="2"/>
  <c r="A899" i="2"/>
  <c r="F898" i="2"/>
  <c r="E898" i="2"/>
  <c r="D898" i="2"/>
  <c r="C898" i="2"/>
  <c r="B898" i="2"/>
  <c r="A898" i="2"/>
  <c r="F897" i="2"/>
  <c r="E897" i="2"/>
  <c r="D897" i="2"/>
  <c r="C897" i="2"/>
  <c r="B897" i="2"/>
  <c r="A897" i="2"/>
  <c r="F896" i="2"/>
  <c r="E896" i="2"/>
  <c r="D896" i="2"/>
  <c r="C896" i="2"/>
  <c r="B896" i="2"/>
  <c r="A896" i="2"/>
  <c r="F895" i="2"/>
  <c r="E895" i="2"/>
  <c r="D895" i="2"/>
  <c r="C895" i="2"/>
  <c r="B895" i="2"/>
  <c r="A895" i="2"/>
  <c r="F894" i="2"/>
  <c r="E894" i="2"/>
  <c r="D894" i="2"/>
  <c r="C894" i="2"/>
  <c r="B894" i="2"/>
  <c r="A894" i="2"/>
  <c r="F893" i="2"/>
  <c r="E893" i="2"/>
  <c r="D893" i="2"/>
  <c r="C893" i="2"/>
  <c r="B893" i="2"/>
  <c r="A893" i="2"/>
  <c r="F892" i="2"/>
  <c r="E892" i="2"/>
  <c r="D892" i="2"/>
  <c r="C892" i="2"/>
  <c r="B892" i="2"/>
  <c r="A892" i="2"/>
  <c r="F891" i="2"/>
  <c r="E891" i="2"/>
  <c r="D891" i="2"/>
  <c r="C891" i="2"/>
  <c r="B891" i="2"/>
  <c r="A891" i="2"/>
  <c r="F890" i="2"/>
  <c r="E890" i="2"/>
  <c r="D890" i="2"/>
  <c r="C890" i="2"/>
  <c r="B890" i="2"/>
  <c r="A890" i="2"/>
  <c r="F889" i="2"/>
  <c r="E889" i="2"/>
  <c r="D889" i="2"/>
  <c r="C889" i="2"/>
  <c r="B889" i="2"/>
  <c r="A889" i="2"/>
  <c r="F888" i="2"/>
  <c r="E888" i="2"/>
  <c r="D888" i="2"/>
  <c r="C888" i="2"/>
  <c r="B888" i="2"/>
  <c r="A888" i="2"/>
  <c r="F887" i="2"/>
  <c r="E887" i="2"/>
  <c r="D887" i="2"/>
  <c r="C887" i="2"/>
  <c r="B887" i="2"/>
  <c r="A887" i="2"/>
  <c r="F886" i="2"/>
  <c r="E886" i="2"/>
  <c r="D886" i="2"/>
  <c r="C886" i="2"/>
  <c r="B886" i="2"/>
  <c r="A886" i="2"/>
  <c r="F885" i="2"/>
  <c r="E885" i="2"/>
  <c r="D885" i="2"/>
  <c r="C885" i="2"/>
  <c r="B885" i="2"/>
  <c r="A885" i="2"/>
  <c r="F884" i="2"/>
  <c r="E884" i="2"/>
  <c r="D884" i="2"/>
  <c r="C884" i="2"/>
  <c r="B884" i="2"/>
  <c r="A884" i="2"/>
  <c r="F883" i="2"/>
  <c r="E883" i="2"/>
  <c r="D883" i="2"/>
  <c r="C883" i="2"/>
  <c r="B883" i="2"/>
  <c r="A883" i="2"/>
  <c r="F882" i="2"/>
  <c r="E882" i="2"/>
  <c r="D882" i="2"/>
  <c r="C882" i="2"/>
  <c r="B882" i="2"/>
  <c r="A882" i="2"/>
  <c r="F881" i="2"/>
  <c r="E881" i="2"/>
  <c r="D881" i="2"/>
  <c r="C881" i="2"/>
  <c r="B881" i="2"/>
  <c r="A881" i="2"/>
  <c r="F880" i="2"/>
  <c r="E880" i="2"/>
  <c r="D880" i="2"/>
  <c r="C880" i="2"/>
  <c r="B880" i="2"/>
  <c r="A880" i="2"/>
  <c r="F879" i="2"/>
  <c r="E879" i="2"/>
  <c r="D879" i="2"/>
  <c r="C879" i="2"/>
  <c r="B879" i="2"/>
  <c r="A879" i="2"/>
  <c r="F878" i="2"/>
  <c r="E878" i="2"/>
  <c r="D878" i="2"/>
  <c r="C878" i="2"/>
  <c r="B878" i="2"/>
  <c r="A878" i="2"/>
  <c r="F877" i="2"/>
  <c r="E877" i="2"/>
  <c r="D877" i="2"/>
  <c r="C877" i="2"/>
  <c r="B877" i="2"/>
  <c r="A877" i="2"/>
  <c r="F876" i="2"/>
  <c r="E876" i="2"/>
  <c r="D876" i="2"/>
  <c r="C876" i="2"/>
  <c r="B876" i="2"/>
  <c r="A876" i="2"/>
  <c r="F875" i="2"/>
  <c r="E875" i="2"/>
  <c r="D875" i="2"/>
  <c r="C875" i="2"/>
  <c r="B875" i="2"/>
  <c r="A875" i="2"/>
  <c r="F874" i="2"/>
  <c r="E874" i="2"/>
  <c r="D874" i="2"/>
  <c r="C874" i="2"/>
  <c r="B874" i="2"/>
  <c r="A874" i="2"/>
  <c r="F873" i="2"/>
  <c r="E873" i="2"/>
  <c r="D873" i="2"/>
  <c r="C873" i="2"/>
  <c r="B873" i="2"/>
  <c r="A873" i="2"/>
  <c r="F872" i="2"/>
  <c r="E872" i="2"/>
  <c r="D872" i="2"/>
  <c r="C872" i="2"/>
  <c r="B872" i="2"/>
  <c r="A872" i="2"/>
  <c r="F871" i="2"/>
  <c r="E871" i="2"/>
  <c r="D871" i="2"/>
  <c r="C871" i="2"/>
  <c r="B871" i="2"/>
  <c r="A871" i="2"/>
  <c r="F870" i="2"/>
  <c r="E870" i="2"/>
  <c r="D870" i="2"/>
  <c r="C870" i="2"/>
  <c r="B870" i="2"/>
  <c r="A870" i="2"/>
  <c r="F869" i="2"/>
  <c r="E869" i="2"/>
  <c r="D869" i="2"/>
  <c r="C869" i="2"/>
  <c r="B869" i="2"/>
  <c r="A869" i="2"/>
  <c r="F868" i="2"/>
  <c r="E868" i="2"/>
  <c r="D868" i="2"/>
  <c r="C868" i="2"/>
  <c r="B868" i="2"/>
  <c r="A868" i="2"/>
  <c r="F867" i="2"/>
  <c r="E867" i="2"/>
  <c r="D867" i="2"/>
  <c r="C867" i="2"/>
  <c r="B867" i="2"/>
  <c r="A867" i="2"/>
  <c r="F866" i="2"/>
  <c r="E866" i="2"/>
  <c r="D866" i="2"/>
  <c r="C866" i="2"/>
  <c r="B866" i="2"/>
  <c r="A866" i="2"/>
  <c r="F865" i="2"/>
  <c r="E865" i="2"/>
  <c r="D865" i="2"/>
  <c r="C865" i="2"/>
  <c r="B865" i="2"/>
  <c r="A865" i="2"/>
  <c r="F864" i="2"/>
  <c r="E864" i="2"/>
  <c r="D864" i="2"/>
  <c r="C864" i="2"/>
  <c r="B864" i="2"/>
  <c r="A864" i="2"/>
  <c r="F863" i="2"/>
  <c r="E863" i="2"/>
  <c r="D863" i="2"/>
  <c r="C863" i="2"/>
  <c r="B863" i="2"/>
  <c r="A863" i="2"/>
  <c r="F862" i="2"/>
  <c r="E862" i="2"/>
  <c r="D862" i="2"/>
  <c r="C862" i="2"/>
  <c r="B862" i="2"/>
  <c r="A862" i="2"/>
  <c r="F861" i="2"/>
  <c r="E861" i="2"/>
  <c r="D861" i="2"/>
  <c r="C861" i="2"/>
  <c r="B861" i="2"/>
  <c r="A861" i="2"/>
  <c r="F860" i="2"/>
  <c r="E860" i="2"/>
  <c r="D860" i="2"/>
  <c r="C860" i="2"/>
  <c r="B860" i="2"/>
  <c r="A860" i="2"/>
  <c r="F859" i="2"/>
  <c r="E859" i="2"/>
  <c r="D859" i="2"/>
  <c r="C859" i="2"/>
  <c r="B859" i="2"/>
  <c r="A859" i="2"/>
  <c r="F858" i="2"/>
  <c r="E858" i="2"/>
  <c r="D858" i="2"/>
  <c r="C858" i="2"/>
  <c r="B858" i="2"/>
  <c r="A858" i="2"/>
  <c r="F857" i="2"/>
  <c r="E857" i="2"/>
  <c r="D857" i="2"/>
  <c r="C857" i="2"/>
  <c r="B857" i="2"/>
  <c r="A857" i="2"/>
  <c r="F856" i="2"/>
  <c r="E856" i="2"/>
  <c r="D856" i="2"/>
  <c r="C856" i="2"/>
  <c r="B856" i="2"/>
  <c r="A856" i="2"/>
  <c r="F855" i="2"/>
  <c r="E855" i="2"/>
  <c r="D855" i="2"/>
  <c r="C855" i="2"/>
  <c r="B855" i="2"/>
  <c r="A855" i="2"/>
  <c r="F854" i="2"/>
  <c r="E854" i="2"/>
  <c r="D854" i="2"/>
  <c r="C854" i="2"/>
  <c r="B854" i="2"/>
  <c r="A854" i="2"/>
  <c r="F853" i="2"/>
  <c r="E853" i="2"/>
  <c r="D853" i="2"/>
  <c r="C853" i="2"/>
  <c r="B853" i="2"/>
  <c r="A853" i="2"/>
  <c r="F852" i="2"/>
  <c r="E852" i="2"/>
  <c r="D852" i="2"/>
  <c r="C852" i="2"/>
  <c r="B852" i="2"/>
  <c r="A852" i="2"/>
  <c r="F851" i="2"/>
  <c r="E851" i="2"/>
  <c r="D851" i="2"/>
  <c r="C851" i="2"/>
  <c r="B851" i="2"/>
  <c r="A851" i="2"/>
  <c r="F850" i="2"/>
  <c r="E850" i="2"/>
  <c r="D850" i="2"/>
  <c r="C850" i="2"/>
  <c r="B850" i="2"/>
  <c r="A850" i="2"/>
  <c r="F849" i="2"/>
  <c r="E849" i="2"/>
  <c r="D849" i="2"/>
  <c r="C849" i="2"/>
  <c r="B849" i="2"/>
  <c r="A849" i="2"/>
  <c r="F848" i="2"/>
  <c r="E848" i="2"/>
  <c r="D848" i="2"/>
  <c r="C848" i="2"/>
  <c r="B848" i="2"/>
  <c r="A848" i="2"/>
  <c r="F847" i="2"/>
  <c r="E847" i="2"/>
  <c r="D847" i="2"/>
  <c r="C847" i="2"/>
  <c r="B847" i="2"/>
  <c r="A847" i="2"/>
  <c r="F846" i="2"/>
  <c r="E846" i="2"/>
  <c r="D846" i="2"/>
  <c r="C846" i="2"/>
  <c r="B846" i="2"/>
  <c r="A846" i="2"/>
  <c r="F845" i="2"/>
  <c r="E845" i="2"/>
  <c r="D845" i="2"/>
  <c r="C845" i="2"/>
  <c r="B845" i="2"/>
  <c r="A845" i="2"/>
  <c r="F844" i="2"/>
  <c r="E844" i="2"/>
  <c r="D844" i="2"/>
  <c r="C844" i="2"/>
  <c r="B844" i="2"/>
  <c r="A844" i="2"/>
  <c r="F843" i="2"/>
  <c r="E843" i="2"/>
  <c r="D843" i="2"/>
  <c r="C843" i="2"/>
  <c r="B843" i="2"/>
  <c r="A843" i="2"/>
  <c r="F842" i="2"/>
  <c r="E842" i="2"/>
  <c r="D842" i="2"/>
  <c r="C842" i="2"/>
  <c r="B842" i="2"/>
  <c r="A842" i="2"/>
  <c r="F841" i="2"/>
  <c r="E841" i="2"/>
  <c r="D841" i="2"/>
  <c r="C841" i="2"/>
  <c r="B841" i="2"/>
  <c r="A841" i="2"/>
  <c r="F840" i="2"/>
  <c r="E840" i="2"/>
  <c r="D840" i="2"/>
  <c r="C840" i="2"/>
  <c r="B840" i="2"/>
  <c r="A840" i="2"/>
  <c r="F839" i="2"/>
  <c r="E839" i="2"/>
  <c r="D839" i="2"/>
  <c r="C839" i="2"/>
  <c r="B839" i="2"/>
  <c r="A839" i="2"/>
  <c r="F838" i="2"/>
  <c r="E838" i="2"/>
  <c r="D838" i="2"/>
  <c r="C838" i="2"/>
  <c r="B838" i="2"/>
  <c r="A838" i="2"/>
  <c r="F837" i="2"/>
  <c r="E837" i="2"/>
  <c r="D837" i="2"/>
  <c r="C837" i="2"/>
  <c r="B837" i="2"/>
  <c r="A837" i="2"/>
  <c r="F836" i="2"/>
  <c r="E836" i="2"/>
  <c r="D836" i="2"/>
  <c r="C836" i="2"/>
  <c r="B836" i="2"/>
  <c r="A836" i="2"/>
  <c r="F835" i="2"/>
  <c r="E835" i="2"/>
  <c r="D835" i="2"/>
  <c r="C835" i="2"/>
  <c r="B835" i="2"/>
  <c r="A835" i="2"/>
  <c r="F834" i="2"/>
  <c r="E834" i="2"/>
  <c r="D834" i="2"/>
  <c r="C834" i="2"/>
  <c r="B834" i="2"/>
  <c r="A834" i="2"/>
  <c r="F833" i="2"/>
  <c r="E833" i="2"/>
  <c r="D833" i="2"/>
  <c r="C833" i="2"/>
  <c r="B833" i="2"/>
  <c r="A833" i="2"/>
  <c r="F832" i="2"/>
  <c r="E832" i="2"/>
  <c r="D832" i="2"/>
  <c r="C832" i="2"/>
  <c r="B832" i="2"/>
  <c r="A832" i="2"/>
  <c r="F831" i="2"/>
  <c r="E831" i="2"/>
  <c r="D831" i="2"/>
  <c r="C831" i="2"/>
  <c r="B831" i="2"/>
  <c r="A831" i="2"/>
  <c r="F830" i="2"/>
  <c r="E830" i="2"/>
  <c r="D830" i="2"/>
  <c r="C830" i="2"/>
  <c r="B830" i="2"/>
  <c r="A830" i="2"/>
  <c r="F829" i="2"/>
  <c r="E829" i="2"/>
  <c r="D829" i="2"/>
  <c r="C829" i="2"/>
  <c r="B829" i="2"/>
  <c r="A829" i="2"/>
  <c r="F828" i="2"/>
  <c r="E828" i="2"/>
  <c r="D828" i="2"/>
  <c r="C828" i="2"/>
  <c r="B828" i="2"/>
  <c r="A828" i="2"/>
  <c r="F827" i="2"/>
  <c r="E827" i="2"/>
  <c r="D827" i="2"/>
  <c r="C827" i="2"/>
  <c r="B827" i="2"/>
  <c r="A827" i="2"/>
  <c r="F826" i="2"/>
  <c r="E826" i="2"/>
  <c r="D826" i="2"/>
  <c r="C826" i="2"/>
  <c r="B826" i="2"/>
  <c r="A826" i="2"/>
  <c r="F825" i="2"/>
  <c r="E825" i="2"/>
  <c r="D825" i="2"/>
  <c r="C825" i="2"/>
  <c r="B825" i="2"/>
  <c r="A825" i="2"/>
  <c r="F824" i="2"/>
  <c r="E824" i="2"/>
  <c r="D824" i="2"/>
  <c r="C824" i="2"/>
  <c r="B824" i="2"/>
  <c r="A824" i="2"/>
  <c r="F823" i="2"/>
  <c r="E823" i="2"/>
  <c r="D823" i="2"/>
  <c r="C823" i="2"/>
  <c r="B823" i="2"/>
  <c r="A823" i="2"/>
  <c r="F822" i="2"/>
  <c r="E822" i="2"/>
  <c r="D822" i="2"/>
  <c r="C822" i="2"/>
  <c r="B822" i="2"/>
  <c r="A822" i="2"/>
  <c r="F821" i="2"/>
  <c r="E821" i="2"/>
  <c r="D821" i="2"/>
  <c r="C821" i="2"/>
  <c r="B821" i="2"/>
  <c r="A821" i="2"/>
  <c r="F820" i="2"/>
  <c r="E820" i="2"/>
  <c r="D820" i="2"/>
  <c r="C820" i="2"/>
  <c r="B820" i="2"/>
  <c r="A820" i="2"/>
  <c r="F819" i="2"/>
  <c r="E819" i="2"/>
  <c r="D819" i="2"/>
  <c r="C819" i="2"/>
  <c r="B819" i="2"/>
  <c r="A819" i="2"/>
  <c r="F818" i="2"/>
  <c r="E818" i="2"/>
  <c r="D818" i="2"/>
  <c r="C818" i="2"/>
  <c r="B818" i="2"/>
  <c r="A818" i="2"/>
  <c r="F817" i="2"/>
  <c r="E817" i="2"/>
  <c r="D817" i="2"/>
  <c r="C817" i="2"/>
  <c r="B817" i="2"/>
  <c r="A817" i="2"/>
  <c r="F816" i="2"/>
  <c r="E816" i="2"/>
  <c r="D816" i="2"/>
  <c r="C816" i="2"/>
  <c r="B816" i="2"/>
  <c r="A816" i="2"/>
  <c r="F815" i="2"/>
  <c r="E815" i="2"/>
  <c r="D815" i="2"/>
  <c r="C815" i="2"/>
  <c r="B815" i="2"/>
  <c r="A815" i="2"/>
  <c r="F814" i="2"/>
  <c r="E814" i="2"/>
  <c r="D814" i="2"/>
  <c r="C814" i="2"/>
  <c r="B814" i="2"/>
  <c r="A814" i="2"/>
  <c r="F813" i="2"/>
  <c r="E813" i="2"/>
  <c r="D813" i="2"/>
  <c r="C813" i="2"/>
  <c r="B813" i="2"/>
  <c r="A813" i="2"/>
  <c r="F812" i="2"/>
  <c r="E812" i="2"/>
  <c r="D812" i="2"/>
  <c r="C812" i="2"/>
  <c r="B812" i="2"/>
  <c r="A812" i="2"/>
  <c r="F811" i="2"/>
  <c r="E811" i="2"/>
  <c r="D811" i="2"/>
  <c r="C811" i="2"/>
  <c r="B811" i="2"/>
  <c r="A811" i="2"/>
  <c r="F810" i="2"/>
  <c r="E810" i="2"/>
  <c r="D810" i="2"/>
  <c r="C810" i="2"/>
  <c r="B810" i="2"/>
  <c r="A810" i="2"/>
  <c r="F809" i="2"/>
  <c r="E809" i="2"/>
  <c r="D809" i="2"/>
  <c r="C809" i="2"/>
  <c r="B809" i="2"/>
  <c r="A809" i="2"/>
  <c r="F808" i="2"/>
  <c r="E808" i="2"/>
  <c r="D808" i="2"/>
  <c r="C808" i="2"/>
  <c r="B808" i="2"/>
  <c r="A808" i="2"/>
  <c r="F807" i="2"/>
  <c r="E807" i="2"/>
  <c r="D807" i="2"/>
  <c r="C807" i="2"/>
  <c r="B807" i="2"/>
  <c r="A807" i="2"/>
  <c r="F806" i="2"/>
  <c r="E806" i="2"/>
  <c r="D806" i="2"/>
  <c r="C806" i="2"/>
  <c r="B806" i="2"/>
  <c r="A806" i="2"/>
  <c r="F805" i="2"/>
  <c r="E805" i="2"/>
  <c r="D805" i="2"/>
  <c r="C805" i="2"/>
  <c r="B805" i="2"/>
  <c r="A805" i="2"/>
  <c r="F804" i="2"/>
  <c r="E804" i="2"/>
  <c r="D804" i="2"/>
  <c r="C804" i="2"/>
  <c r="B804" i="2"/>
  <c r="A804" i="2"/>
  <c r="F803" i="2"/>
  <c r="E803" i="2"/>
  <c r="D803" i="2"/>
  <c r="C803" i="2"/>
  <c r="B803" i="2"/>
  <c r="A803" i="2"/>
  <c r="F802" i="2"/>
  <c r="E802" i="2"/>
  <c r="D802" i="2"/>
  <c r="C802" i="2"/>
  <c r="B802" i="2"/>
  <c r="A802" i="2"/>
  <c r="F801" i="2"/>
  <c r="E801" i="2"/>
  <c r="D801" i="2"/>
  <c r="C801" i="2"/>
  <c r="B801" i="2"/>
  <c r="A801" i="2"/>
  <c r="F800" i="2"/>
  <c r="E800" i="2"/>
  <c r="D800" i="2"/>
  <c r="C800" i="2"/>
  <c r="B800" i="2"/>
  <c r="A800" i="2"/>
  <c r="F799" i="2"/>
  <c r="E799" i="2"/>
  <c r="D799" i="2"/>
  <c r="C799" i="2"/>
  <c r="B799" i="2"/>
  <c r="A799" i="2"/>
  <c r="F798" i="2"/>
  <c r="E798" i="2"/>
  <c r="D798" i="2"/>
  <c r="C798" i="2"/>
  <c r="B798" i="2"/>
  <c r="A798" i="2"/>
  <c r="F797" i="2"/>
  <c r="E797" i="2"/>
  <c r="D797" i="2"/>
  <c r="C797" i="2"/>
  <c r="B797" i="2"/>
  <c r="A797" i="2"/>
  <c r="F796" i="2"/>
  <c r="E796" i="2"/>
  <c r="D796" i="2"/>
  <c r="C796" i="2"/>
  <c r="B796" i="2"/>
  <c r="A796" i="2"/>
  <c r="F795" i="2"/>
  <c r="E795" i="2"/>
  <c r="D795" i="2"/>
  <c r="C795" i="2"/>
  <c r="B795" i="2"/>
  <c r="A795" i="2"/>
  <c r="F794" i="2"/>
  <c r="E794" i="2"/>
  <c r="D794" i="2"/>
  <c r="C794" i="2"/>
  <c r="B794" i="2"/>
  <c r="A794" i="2"/>
  <c r="F793" i="2"/>
  <c r="E793" i="2"/>
  <c r="D793" i="2"/>
  <c r="C793" i="2"/>
  <c r="B793" i="2"/>
  <c r="A793" i="2"/>
  <c r="F792" i="2"/>
  <c r="E792" i="2"/>
  <c r="D792" i="2"/>
  <c r="C792" i="2"/>
  <c r="B792" i="2"/>
  <c r="A792" i="2"/>
  <c r="F791" i="2"/>
  <c r="E791" i="2"/>
  <c r="D791" i="2"/>
  <c r="C791" i="2"/>
  <c r="B791" i="2"/>
  <c r="A791" i="2"/>
  <c r="F790" i="2"/>
  <c r="E790" i="2"/>
  <c r="D790" i="2"/>
  <c r="C790" i="2"/>
  <c r="B790" i="2"/>
  <c r="A790" i="2"/>
  <c r="F789" i="2"/>
  <c r="E789" i="2"/>
  <c r="D789" i="2"/>
  <c r="C789" i="2"/>
  <c r="B789" i="2"/>
  <c r="A789" i="2"/>
  <c r="F788" i="2"/>
  <c r="E788" i="2"/>
  <c r="D788" i="2"/>
  <c r="C788" i="2"/>
  <c r="B788" i="2"/>
  <c r="A788" i="2"/>
  <c r="F787" i="2"/>
  <c r="E787" i="2"/>
  <c r="D787" i="2"/>
  <c r="C787" i="2"/>
  <c r="B787" i="2"/>
  <c r="A787" i="2"/>
  <c r="F786" i="2"/>
  <c r="E786" i="2"/>
  <c r="D786" i="2"/>
  <c r="C786" i="2"/>
  <c r="B786" i="2"/>
  <c r="A786" i="2"/>
  <c r="F785" i="2"/>
  <c r="E785" i="2"/>
  <c r="D785" i="2"/>
  <c r="C785" i="2"/>
  <c r="B785" i="2"/>
  <c r="A785" i="2"/>
  <c r="F784" i="2"/>
  <c r="E784" i="2"/>
  <c r="D784" i="2"/>
  <c r="C784" i="2"/>
  <c r="B784" i="2"/>
  <c r="A784" i="2"/>
  <c r="F783" i="2"/>
  <c r="E783" i="2"/>
  <c r="D783" i="2"/>
  <c r="C783" i="2"/>
  <c r="B783" i="2"/>
  <c r="A783" i="2"/>
  <c r="F782" i="2"/>
  <c r="E782" i="2"/>
  <c r="D782" i="2"/>
  <c r="C782" i="2"/>
  <c r="B782" i="2"/>
  <c r="A782" i="2"/>
  <c r="F781" i="2"/>
  <c r="E781" i="2"/>
  <c r="D781" i="2"/>
  <c r="C781" i="2"/>
  <c r="B781" i="2"/>
  <c r="A781" i="2"/>
  <c r="F780" i="2"/>
  <c r="E780" i="2"/>
  <c r="D780" i="2"/>
  <c r="C780" i="2"/>
  <c r="B780" i="2"/>
  <c r="A780" i="2"/>
  <c r="F779" i="2"/>
  <c r="E779" i="2"/>
  <c r="D779" i="2"/>
  <c r="C779" i="2"/>
  <c r="B779" i="2"/>
  <c r="A779" i="2"/>
  <c r="F778" i="2"/>
  <c r="E778" i="2"/>
  <c r="D778" i="2"/>
  <c r="C778" i="2"/>
  <c r="B778" i="2"/>
  <c r="A778" i="2"/>
  <c r="F777" i="2"/>
  <c r="E777" i="2"/>
  <c r="D777" i="2"/>
  <c r="C777" i="2"/>
  <c r="B777" i="2"/>
  <c r="A777" i="2"/>
  <c r="F776" i="2"/>
  <c r="E776" i="2"/>
  <c r="D776" i="2"/>
  <c r="C776" i="2"/>
  <c r="B776" i="2"/>
  <c r="A776" i="2"/>
  <c r="F775" i="2"/>
  <c r="E775" i="2"/>
  <c r="D775" i="2"/>
  <c r="C775" i="2"/>
  <c r="B775" i="2"/>
  <c r="A775" i="2"/>
  <c r="F774" i="2"/>
  <c r="E774" i="2"/>
  <c r="D774" i="2"/>
  <c r="C774" i="2"/>
  <c r="B774" i="2"/>
  <c r="A774" i="2"/>
  <c r="F773" i="2"/>
  <c r="E773" i="2"/>
  <c r="D773" i="2"/>
  <c r="C773" i="2"/>
  <c r="B773" i="2"/>
  <c r="A773" i="2"/>
  <c r="F772" i="2"/>
  <c r="E772" i="2"/>
  <c r="D772" i="2"/>
  <c r="C772" i="2"/>
  <c r="B772" i="2"/>
  <c r="A772" i="2"/>
  <c r="F771" i="2"/>
  <c r="E771" i="2"/>
  <c r="D771" i="2"/>
  <c r="C771" i="2"/>
  <c r="B771" i="2"/>
  <c r="A771" i="2"/>
  <c r="F770" i="2"/>
  <c r="E770" i="2"/>
  <c r="D770" i="2"/>
  <c r="C770" i="2"/>
  <c r="B770" i="2"/>
  <c r="A770" i="2"/>
  <c r="F769" i="2"/>
  <c r="E769" i="2"/>
  <c r="D769" i="2"/>
  <c r="C769" i="2"/>
  <c r="B769" i="2"/>
  <c r="A769" i="2"/>
  <c r="F768" i="2"/>
  <c r="E768" i="2"/>
  <c r="D768" i="2"/>
  <c r="C768" i="2"/>
  <c r="B768" i="2"/>
  <c r="A768" i="2"/>
  <c r="F767" i="2"/>
  <c r="E767" i="2"/>
  <c r="D767" i="2"/>
  <c r="C767" i="2"/>
  <c r="B767" i="2"/>
  <c r="A767" i="2"/>
  <c r="F766" i="2"/>
  <c r="E766" i="2"/>
  <c r="D766" i="2"/>
  <c r="C766" i="2"/>
  <c r="B766" i="2"/>
  <c r="A766" i="2"/>
  <c r="F765" i="2"/>
  <c r="E765" i="2"/>
  <c r="D765" i="2"/>
  <c r="C765" i="2"/>
  <c r="B765" i="2"/>
  <c r="A765" i="2"/>
  <c r="F764" i="2"/>
  <c r="E764" i="2"/>
  <c r="D764" i="2"/>
  <c r="C764" i="2"/>
  <c r="B764" i="2"/>
  <c r="A764" i="2"/>
  <c r="F763" i="2"/>
  <c r="E763" i="2"/>
  <c r="D763" i="2"/>
  <c r="C763" i="2"/>
  <c r="B763" i="2"/>
  <c r="A763" i="2"/>
  <c r="F762" i="2"/>
  <c r="E762" i="2"/>
  <c r="D762" i="2"/>
  <c r="C762" i="2"/>
  <c r="B762" i="2"/>
  <c r="A762" i="2"/>
  <c r="F761" i="2"/>
  <c r="E761" i="2"/>
  <c r="D761" i="2"/>
  <c r="C761" i="2"/>
  <c r="B761" i="2"/>
  <c r="A761" i="2"/>
  <c r="F760" i="2"/>
  <c r="E760" i="2"/>
  <c r="D760" i="2"/>
  <c r="C760" i="2"/>
  <c r="B760" i="2"/>
  <c r="A760" i="2"/>
  <c r="F759" i="2"/>
  <c r="E759" i="2"/>
  <c r="D759" i="2"/>
  <c r="C759" i="2"/>
  <c r="B759" i="2"/>
  <c r="A759" i="2"/>
  <c r="F758" i="2"/>
  <c r="E758" i="2"/>
  <c r="D758" i="2"/>
  <c r="C758" i="2"/>
  <c r="B758" i="2"/>
  <c r="A758" i="2"/>
  <c r="F757" i="2"/>
  <c r="E757" i="2"/>
  <c r="D757" i="2"/>
  <c r="C757" i="2"/>
  <c r="B757" i="2"/>
  <c r="A757" i="2"/>
  <c r="F756" i="2"/>
  <c r="E756" i="2"/>
  <c r="D756" i="2"/>
  <c r="C756" i="2"/>
  <c r="B756" i="2"/>
  <c r="A756" i="2"/>
  <c r="F755" i="2"/>
  <c r="E755" i="2"/>
  <c r="D755" i="2"/>
  <c r="C755" i="2"/>
  <c r="B755" i="2"/>
  <c r="A755" i="2"/>
  <c r="F754" i="2"/>
  <c r="E754" i="2"/>
  <c r="D754" i="2"/>
  <c r="C754" i="2"/>
  <c r="B754" i="2"/>
  <c r="A754" i="2"/>
  <c r="F753" i="2"/>
  <c r="E753" i="2"/>
  <c r="D753" i="2"/>
  <c r="C753" i="2"/>
  <c r="B753" i="2"/>
  <c r="A753" i="2"/>
  <c r="F752" i="2"/>
  <c r="E752" i="2"/>
  <c r="D752" i="2"/>
  <c r="C752" i="2"/>
  <c r="B752" i="2"/>
  <c r="A752" i="2"/>
  <c r="F751" i="2"/>
  <c r="E751" i="2"/>
  <c r="D751" i="2"/>
  <c r="C751" i="2"/>
  <c r="B751" i="2"/>
  <c r="A751" i="2"/>
  <c r="F750" i="2"/>
  <c r="E750" i="2"/>
  <c r="D750" i="2"/>
  <c r="C750" i="2"/>
  <c r="B750" i="2"/>
  <c r="A750" i="2"/>
  <c r="F749" i="2"/>
  <c r="E749" i="2"/>
  <c r="D749" i="2"/>
  <c r="C749" i="2"/>
  <c r="B749" i="2"/>
  <c r="A749" i="2"/>
  <c r="F748" i="2"/>
  <c r="E748" i="2"/>
  <c r="D748" i="2"/>
  <c r="C748" i="2"/>
  <c r="B748" i="2"/>
  <c r="A748" i="2"/>
  <c r="F747" i="2"/>
  <c r="E747" i="2"/>
  <c r="D747" i="2"/>
  <c r="C747" i="2"/>
  <c r="B747" i="2"/>
  <c r="A747" i="2"/>
  <c r="F746" i="2"/>
  <c r="E746" i="2"/>
  <c r="D746" i="2"/>
  <c r="C746" i="2"/>
  <c r="B746" i="2"/>
  <c r="A746" i="2"/>
  <c r="F745" i="2"/>
  <c r="E745" i="2"/>
  <c r="D745" i="2"/>
  <c r="C745" i="2"/>
  <c r="B745" i="2"/>
  <c r="A745" i="2"/>
  <c r="F744" i="2"/>
  <c r="E744" i="2"/>
  <c r="D744" i="2"/>
  <c r="C744" i="2"/>
  <c r="B744" i="2"/>
  <c r="A744" i="2"/>
  <c r="F743" i="2"/>
  <c r="E743" i="2"/>
  <c r="D743" i="2"/>
  <c r="C743" i="2"/>
  <c r="B743" i="2"/>
  <c r="A743" i="2"/>
  <c r="F742" i="2"/>
  <c r="E742" i="2"/>
  <c r="D742" i="2"/>
  <c r="C742" i="2"/>
  <c r="B742" i="2"/>
  <c r="A742" i="2"/>
  <c r="F741" i="2"/>
  <c r="E741" i="2"/>
  <c r="D741" i="2"/>
  <c r="C741" i="2"/>
  <c r="B741" i="2"/>
  <c r="A741" i="2"/>
  <c r="F740" i="2"/>
  <c r="E740" i="2"/>
  <c r="D740" i="2"/>
  <c r="C740" i="2"/>
  <c r="B740" i="2"/>
  <c r="A740" i="2"/>
  <c r="F739" i="2"/>
  <c r="E739" i="2"/>
  <c r="D739" i="2"/>
  <c r="C739" i="2"/>
  <c r="B739" i="2"/>
  <c r="A739" i="2"/>
  <c r="F738" i="2"/>
  <c r="E738" i="2"/>
  <c r="D738" i="2"/>
  <c r="C738" i="2"/>
  <c r="B738" i="2"/>
  <c r="A738" i="2"/>
  <c r="F737" i="2"/>
  <c r="E737" i="2"/>
  <c r="D737" i="2"/>
  <c r="C737" i="2"/>
  <c r="B737" i="2"/>
  <c r="A737" i="2"/>
  <c r="F736" i="2"/>
  <c r="E736" i="2"/>
  <c r="D736" i="2"/>
  <c r="C736" i="2"/>
  <c r="B736" i="2"/>
  <c r="A736" i="2"/>
  <c r="F735" i="2"/>
  <c r="E735" i="2"/>
  <c r="D735" i="2"/>
  <c r="C735" i="2"/>
  <c r="B735" i="2"/>
  <c r="A735" i="2"/>
  <c r="F734" i="2"/>
  <c r="E734" i="2"/>
  <c r="D734" i="2"/>
  <c r="C734" i="2"/>
  <c r="B734" i="2"/>
  <c r="A734" i="2"/>
  <c r="F733" i="2"/>
  <c r="E733" i="2"/>
  <c r="D733" i="2"/>
  <c r="C733" i="2"/>
  <c r="B733" i="2"/>
  <c r="A733" i="2"/>
  <c r="F732" i="2"/>
  <c r="E732" i="2"/>
  <c r="D732" i="2"/>
  <c r="C732" i="2"/>
  <c r="B732" i="2"/>
  <c r="A732" i="2"/>
  <c r="F731" i="2"/>
  <c r="E731" i="2"/>
  <c r="D731" i="2"/>
  <c r="C731" i="2"/>
  <c r="B731" i="2"/>
  <c r="A731" i="2"/>
  <c r="F730" i="2"/>
  <c r="E730" i="2"/>
  <c r="D730" i="2"/>
  <c r="C730" i="2"/>
  <c r="B730" i="2"/>
  <c r="A730" i="2"/>
  <c r="F729" i="2"/>
  <c r="E729" i="2"/>
  <c r="D729" i="2"/>
  <c r="C729" i="2"/>
  <c r="B729" i="2"/>
  <c r="A729" i="2"/>
  <c r="F728" i="2"/>
  <c r="E728" i="2"/>
  <c r="D728" i="2"/>
  <c r="C728" i="2"/>
  <c r="B728" i="2"/>
  <c r="A728" i="2"/>
  <c r="F727" i="2"/>
  <c r="E727" i="2"/>
  <c r="D727" i="2"/>
  <c r="C727" i="2"/>
  <c r="B727" i="2"/>
  <c r="A727" i="2"/>
  <c r="F726" i="2"/>
  <c r="E726" i="2"/>
  <c r="D726" i="2"/>
  <c r="C726" i="2"/>
  <c r="B726" i="2"/>
  <c r="A726" i="2"/>
  <c r="F725" i="2"/>
  <c r="E725" i="2"/>
  <c r="D725" i="2"/>
  <c r="C725" i="2"/>
  <c r="B725" i="2"/>
  <c r="A725" i="2"/>
  <c r="F724" i="2"/>
  <c r="E724" i="2"/>
  <c r="D724" i="2"/>
  <c r="C724" i="2"/>
  <c r="B724" i="2"/>
  <c r="A724" i="2"/>
  <c r="F723" i="2"/>
  <c r="E723" i="2"/>
  <c r="D723" i="2"/>
  <c r="C723" i="2"/>
  <c r="B723" i="2"/>
  <c r="A723" i="2"/>
  <c r="F722" i="2"/>
  <c r="E722" i="2"/>
  <c r="D722" i="2"/>
  <c r="C722" i="2"/>
  <c r="B722" i="2"/>
  <c r="A722" i="2"/>
  <c r="F721" i="2"/>
  <c r="E721" i="2"/>
  <c r="D721" i="2"/>
  <c r="C721" i="2"/>
  <c r="B721" i="2"/>
  <c r="A721" i="2"/>
  <c r="F720" i="2"/>
  <c r="E720" i="2"/>
  <c r="D720" i="2"/>
  <c r="C720" i="2"/>
  <c r="B720" i="2"/>
  <c r="A720" i="2"/>
  <c r="F719" i="2"/>
  <c r="E719" i="2"/>
  <c r="D719" i="2"/>
  <c r="C719" i="2"/>
  <c r="B719" i="2"/>
  <c r="A719" i="2"/>
  <c r="F718" i="2"/>
  <c r="E718" i="2"/>
  <c r="D718" i="2"/>
  <c r="C718" i="2"/>
  <c r="B718" i="2"/>
  <c r="A718" i="2"/>
  <c r="F717" i="2"/>
  <c r="E717" i="2"/>
  <c r="D717" i="2"/>
  <c r="C717" i="2"/>
  <c r="B717" i="2"/>
  <c r="A717" i="2"/>
  <c r="F716" i="2"/>
  <c r="E716" i="2"/>
  <c r="D716" i="2"/>
  <c r="C716" i="2"/>
  <c r="B716" i="2"/>
  <c r="A716" i="2"/>
  <c r="F715" i="2"/>
  <c r="E715" i="2"/>
  <c r="D715" i="2"/>
  <c r="C715" i="2"/>
  <c r="B715" i="2"/>
  <c r="A715" i="2"/>
  <c r="F714" i="2"/>
  <c r="E714" i="2"/>
  <c r="D714" i="2"/>
  <c r="C714" i="2"/>
  <c r="B714" i="2"/>
  <c r="A714" i="2"/>
  <c r="F713" i="2"/>
  <c r="E713" i="2"/>
  <c r="D713" i="2"/>
  <c r="C713" i="2"/>
  <c r="B713" i="2"/>
  <c r="A713" i="2"/>
  <c r="F712" i="2"/>
  <c r="E712" i="2"/>
  <c r="D712" i="2"/>
  <c r="C712" i="2"/>
  <c r="B712" i="2"/>
  <c r="A712" i="2"/>
  <c r="F711" i="2"/>
  <c r="E711" i="2"/>
  <c r="D711" i="2"/>
  <c r="C711" i="2"/>
  <c r="B711" i="2"/>
  <c r="A711" i="2"/>
  <c r="F710" i="2"/>
  <c r="E710" i="2"/>
  <c r="D710" i="2"/>
  <c r="C710" i="2"/>
  <c r="B710" i="2"/>
  <c r="A710" i="2"/>
  <c r="F709" i="2"/>
  <c r="E709" i="2"/>
  <c r="D709" i="2"/>
  <c r="C709" i="2"/>
  <c r="B709" i="2"/>
  <c r="A709" i="2"/>
  <c r="F708" i="2"/>
  <c r="E708" i="2"/>
  <c r="D708" i="2"/>
  <c r="C708" i="2"/>
  <c r="B708" i="2"/>
  <c r="A708" i="2"/>
  <c r="F707" i="2"/>
  <c r="E707" i="2"/>
  <c r="D707" i="2"/>
  <c r="C707" i="2"/>
  <c r="B707" i="2"/>
  <c r="A707" i="2"/>
  <c r="F706" i="2"/>
  <c r="E706" i="2"/>
  <c r="D706" i="2"/>
  <c r="C706" i="2"/>
  <c r="B706" i="2"/>
  <c r="A706" i="2"/>
  <c r="F705" i="2"/>
  <c r="E705" i="2"/>
  <c r="D705" i="2"/>
  <c r="C705" i="2"/>
  <c r="B705" i="2"/>
  <c r="A705" i="2"/>
  <c r="F704" i="2"/>
  <c r="E704" i="2"/>
  <c r="D704" i="2"/>
  <c r="C704" i="2"/>
  <c r="B704" i="2"/>
  <c r="A704" i="2"/>
  <c r="F703" i="2"/>
  <c r="E703" i="2"/>
  <c r="D703" i="2"/>
  <c r="C703" i="2"/>
  <c r="B703" i="2"/>
  <c r="A703" i="2"/>
  <c r="F702" i="2"/>
  <c r="E702" i="2"/>
  <c r="D702" i="2"/>
  <c r="C702" i="2"/>
  <c r="B702" i="2"/>
  <c r="A702" i="2"/>
  <c r="F701" i="2"/>
  <c r="E701" i="2"/>
  <c r="D701" i="2"/>
  <c r="C701" i="2"/>
  <c r="B701" i="2"/>
  <c r="A701" i="2"/>
  <c r="F700" i="2"/>
  <c r="E700" i="2"/>
  <c r="D700" i="2"/>
  <c r="C700" i="2"/>
  <c r="B700" i="2"/>
  <c r="A700" i="2"/>
  <c r="F699" i="2"/>
  <c r="E699" i="2"/>
  <c r="D699" i="2"/>
  <c r="C699" i="2"/>
  <c r="B699" i="2"/>
  <c r="A699" i="2"/>
  <c r="F698" i="2"/>
  <c r="E698" i="2"/>
  <c r="D698" i="2"/>
  <c r="C698" i="2"/>
  <c r="B698" i="2"/>
  <c r="A698" i="2"/>
  <c r="F697" i="2"/>
  <c r="E697" i="2"/>
  <c r="D697" i="2"/>
  <c r="C697" i="2"/>
  <c r="B697" i="2"/>
  <c r="A697" i="2"/>
  <c r="F696" i="2"/>
  <c r="E696" i="2"/>
  <c r="D696" i="2"/>
  <c r="C696" i="2"/>
  <c r="B696" i="2"/>
  <c r="A696" i="2"/>
  <c r="F695" i="2"/>
  <c r="E695" i="2"/>
  <c r="D695" i="2"/>
  <c r="C695" i="2"/>
  <c r="B695" i="2"/>
  <c r="A695" i="2"/>
  <c r="F694" i="2"/>
  <c r="E694" i="2"/>
  <c r="D694" i="2"/>
  <c r="C694" i="2"/>
  <c r="B694" i="2"/>
  <c r="A694" i="2"/>
  <c r="F693" i="2"/>
  <c r="E693" i="2"/>
  <c r="D693" i="2"/>
  <c r="C693" i="2"/>
  <c r="B693" i="2"/>
  <c r="A693" i="2"/>
  <c r="F692" i="2"/>
  <c r="E692" i="2"/>
  <c r="D692" i="2"/>
  <c r="C692" i="2"/>
  <c r="B692" i="2"/>
  <c r="A692" i="2"/>
  <c r="F691" i="2"/>
  <c r="E691" i="2"/>
  <c r="D691" i="2"/>
  <c r="C691" i="2"/>
  <c r="B691" i="2"/>
  <c r="A691" i="2"/>
  <c r="F690" i="2"/>
  <c r="E690" i="2"/>
  <c r="D690" i="2"/>
  <c r="C690" i="2"/>
  <c r="B690" i="2"/>
  <c r="A690" i="2"/>
  <c r="F689" i="2"/>
  <c r="E689" i="2"/>
  <c r="D689" i="2"/>
  <c r="C689" i="2"/>
  <c r="B689" i="2"/>
  <c r="A689" i="2"/>
  <c r="F688" i="2"/>
  <c r="E688" i="2"/>
  <c r="D688" i="2"/>
  <c r="C688" i="2"/>
  <c r="B688" i="2"/>
  <c r="A688" i="2"/>
  <c r="F687" i="2"/>
  <c r="E687" i="2"/>
  <c r="D687" i="2"/>
  <c r="C687" i="2"/>
  <c r="B687" i="2"/>
  <c r="A687" i="2"/>
  <c r="F686" i="2"/>
  <c r="E686" i="2"/>
  <c r="D686" i="2"/>
  <c r="C686" i="2"/>
  <c r="B686" i="2"/>
  <c r="A686" i="2"/>
  <c r="F685" i="2"/>
  <c r="E685" i="2"/>
  <c r="D685" i="2"/>
  <c r="C685" i="2"/>
  <c r="B685" i="2"/>
  <c r="A685" i="2"/>
  <c r="F684" i="2"/>
  <c r="E684" i="2"/>
  <c r="D684" i="2"/>
  <c r="C684" i="2"/>
  <c r="B684" i="2"/>
  <c r="A684" i="2"/>
  <c r="F683" i="2"/>
  <c r="E683" i="2"/>
  <c r="D683" i="2"/>
  <c r="C683" i="2"/>
  <c r="B683" i="2"/>
  <c r="A683" i="2"/>
  <c r="F682" i="2"/>
  <c r="E682" i="2"/>
  <c r="D682" i="2"/>
  <c r="C682" i="2"/>
  <c r="B682" i="2"/>
  <c r="A682" i="2"/>
  <c r="F681" i="2"/>
  <c r="E681" i="2"/>
  <c r="D681" i="2"/>
  <c r="C681" i="2"/>
  <c r="B681" i="2"/>
  <c r="A681" i="2"/>
  <c r="F680" i="2"/>
  <c r="E680" i="2"/>
  <c r="D680" i="2"/>
  <c r="C680" i="2"/>
  <c r="B680" i="2"/>
  <c r="A680" i="2"/>
  <c r="F679" i="2"/>
  <c r="E679" i="2"/>
  <c r="D679" i="2"/>
  <c r="C679" i="2"/>
  <c r="B679" i="2"/>
  <c r="A679" i="2"/>
  <c r="F678" i="2"/>
  <c r="E678" i="2"/>
  <c r="D678" i="2"/>
  <c r="C678" i="2"/>
  <c r="B678" i="2"/>
  <c r="A678" i="2"/>
  <c r="F677" i="2"/>
  <c r="E677" i="2"/>
  <c r="D677" i="2"/>
  <c r="C677" i="2"/>
  <c r="B677" i="2"/>
  <c r="A677" i="2"/>
  <c r="F676" i="2"/>
  <c r="E676" i="2"/>
  <c r="D676" i="2"/>
  <c r="C676" i="2"/>
  <c r="B676" i="2"/>
  <c r="A676" i="2"/>
  <c r="F675" i="2"/>
  <c r="E675" i="2"/>
  <c r="D675" i="2"/>
  <c r="C675" i="2"/>
  <c r="B675" i="2"/>
  <c r="A675" i="2"/>
  <c r="F674" i="2"/>
  <c r="E674" i="2"/>
  <c r="D674" i="2"/>
  <c r="C674" i="2"/>
  <c r="B674" i="2"/>
  <c r="A674" i="2"/>
  <c r="F673" i="2"/>
  <c r="E673" i="2"/>
  <c r="D673" i="2"/>
  <c r="C673" i="2"/>
  <c r="B673" i="2"/>
  <c r="A673" i="2"/>
  <c r="F672" i="2"/>
  <c r="E672" i="2"/>
  <c r="D672" i="2"/>
  <c r="C672" i="2"/>
  <c r="B672" i="2"/>
  <c r="A672" i="2"/>
  <c r="F671" i="2"/>
  <c r="E671" i="2"/>
  <c r="D671" i="2"/>
  <c r="C671" i="2"/>
  <c r="B671" i="2"/>
  <c r="A671" i="2"/>
  <c r="F670" i="2"/>
  <c r="E670" i="2"/>
  <c r="D670" i="2"/>
  <c r="C670" i="2"/>
  <c r="B670" i="2"/>
  <c r="A670" i="2"/>
  <c r="F669" i="2"/>
  <c r="E669" i="2"/>
  <c r="D669" i="2"/>
  <c r="C669" i="2"/>
  <c r="B669" i="2"/>
  <c r="A669" i="2"/>
  <c r="F668" i="2"/>
  <c r="E668" i="2"/>
  <c r="D668" i="2"/>
  <c r="C668" i="2"/>
  <c r="B668" i="2"/>
  <c r="A668" i="2"/>
  <c r="F667" i="2"/>
  <c r="E667" i="2"/>
  <c r="D667" i="2"/>
  <c r="C667" i="2"/>
  <c r="B667" i="2"/>
  <c r="A667" i="2"/>
  <c r="F666" i="2"/>
  <c r="E666" i="2"/>
  <c r="D666" i="2"/>
  <c r="C666" i="2"/>
  <c r="B666" i="2"/>
  <c r="A666" i="2"/>
  <c r="F665" i="2"/>
  <c r="E665" i="2"/>
  <c r="D665" i="2"/>
  <c r="C665" i="2"/>
  <c r="B665" i="2"/>
  <c r="A665" i="2"/>
  <c r="F664" i="2"/>
  <c r="E664" i="2"/>
  <c r="D664" i="2"/>
  <c r="C664" i="2"/>
  <c r="B664" i="2"/>
  <c r="A664" i="2"/>
  <c r="F663" i="2"/>
  <c r="E663" i="2"/>
  <c r="D663" i="2"/>
  <c r="C663" i="2"/>
  <c r="B663" i="2"/>
  <c r="A663" i="2"/>
  <c r="F662" i="2"/>
  <c r="E662" i="2"/>
  <c r="D662" i="2"/>
  <c r="C662" i="2"/>
  <c r="B662" i="2"/>
  <c r="A662" i="2"/>
  <c r="F661" i="2"/>
  <c r="E661" i="2"/>
  <c r="D661" i="2"/>
  <c r="C661" i="2"/>
  <c r="B661" i="2"/>
  <c r="A661" i="2"/>
  <c r="F660" i="2"/>
  <c r="E660" i="2"/>
  <c r="D660" i="2"/>
  <c r="C660" i="2"/>
  <c r="B660" i="2"/>
  <c r="A660" i="2"/>
  <c r="F659" i="2"/>
  <c r="E659" i="2"/>
  <c r="D659" i="2"/>
  <c r="C659" i="2"/>
  <c r="B659" i="2"/>
  <c r="A659" i="2"/>
  <c r="F658" i="2"/>
  <c r="E658" i="2"/>
  <c r="D658" i="2"/>
  <c r="C658" i="2"/>
  <c r="B658" i="2"/>
  <c r="A658" i="2"/>
  <c r="F657" i="2"/>
  <c r="E657" i="2"/>
  <c r="D657" i="2"/>
  <c r="C657" i="2"/>
  <c r="B657" i="2"/>
  <c r="A657" i="2"/>
  <c r="F656" i="2"/>
  <c r="E656" i="2"/>
  <c r="D656" i="2"/>
  <c r="C656" i="2"/>
  <c r="B656" i="2"/>
  <c r="A656" i="2"/>
  <c r="F655" i="2"/>
  <c r="E655" i="2"/>
  <c r="D655" i="2"/>
  <c r="C655" i="2"/>
  <c r="B655" i="2"/>
  <c r="A655" i="2"/>
  <c r="F654" i="2"/>
  <c r="E654" i="2"/>
  <c r="D654" i="2"/>
  <c r="C654" i="2"/>
  <c r="B654" i="2"/>
  <c r="A654" i="2"/>
  <c r="F653" i="2"/>
  <c r="E653" i="2"/>
  <c r="D653" i="2"/>
  <c r="C653" i="2"/>
  <c r="B653" i="2"/>
  <c r="A653" i="2"/>
  <c r="F652" i="2"/>
  <c r="E652" i="2"/>
  <c r="D652" i="2"/>
  <c r="C652" i="2"/>
  <c r="B652" i="2"/>
  <c r="A652" i="2"/>
  <c r="F651" i="2"/>
  <c r="E651" i="2"/>
  <c r="D651" i="2"/>
  <c r="C651" i="2"/>
  <c r="B651" i="2"/>
  <c r="A651" i="2"/>
  <c r="F650" i="2"/>
  <c r="E650" i="2"/>
  <c r="D650" i="2"/>
  <c r="C650" i="2"/>
  <c r="B650" i="2"/>
  <c r="A650" i="2"/>
  <c r="F649" i="2"/>
  <c r="E649" i="2"/>
  <c r="D649" i="2"/>
  <c r="C649" i="2"/>
  <c r="B649" i="2"/>
  <c r="A649" i="2"/>
  <c r="F648" i="2"/>
  <c r="E648" i="2"/>
  <c r="D648" i="2"/>
  <c r="C648" i="2"/>
  <c r="B648" i="2"/>
  <c r="A648" i="2"/>
  <c r="F647" i="2"/>
  <c r="E647" i="2"/>
  <c r="D647" i="2"/>
  <c r="C647" i="2"/>
  <c r="B647" i="2"/>
  <c r="A647" i="2"/>
  <c r="F646" i="2"/>
  <c r="E646" i="2"/>
  <c r="D646" i="2"/>
  <c r="C646" i="2"/>
  <c r="B646" i="2"/>
  <c r="A646" i="2"/>
  <c r="F645" i="2"/>
  <c r="E645" i="2"/>
  <c r="D645" i="2"/>
  <c r="C645" i="2"/>
  <c r="B645" i="2"/>
  <c r="A645" i="2"/>
  <c r="F644" i="2"/>
  <c r="E644" i="2"/>
  <c r="D644" i="2"/>
  <c r="C644" i="2"/>
  <c r="B644" i="2"/>
  <c r="A644" i="2"/>
  <c r="F643" i="2"/>
  <c r="E643" i="2"/>
  <c r="D643" i="2"/>
  <c r="C643" i="2"/>
  <c r="B643" i="2"/>
  <c r="A643" i="2"/>
  <c r="F642" i="2"/>
  <c r="E642" i="2"/>
  <c r="D642" i="2"/>
  <c r="C642" i="2"/>
  <c r="B642" i="2"/>
  <c r="A642" i="2"/>
  <c r="F641" i="2"/>
  <c r="E641" i="2"/>
  <c r="D641" i="2"/>
  <c r="C641" i="2"/>
  <c r="B641" i="2"/>
  <c r="A641" i="2"/>
  <c r="F640" i="2"/>
  <c r="E640" i="2"/>
  <c r="D640" i="2"/>
  <c r="C640" i="2"/>
  <c r="B640" i="2"/>
  <c r="A640" i="2"/>
  <c r="F639" i="2"/>
  <c r="E639" i="2"/>
  <c r="D639" i="2"/>
  <c r="C639" i="2"/>
  <c r="B639" i="2"/>
  <c r="A639" i="2"/>
  <c r="F638" i="2"/>
  <c r="E638" i="2"/>
  <c r="D638" i="2"/>
  <c r="C638" i="2"/>
  <c r="B638" i="2"/>
  <c r="A638" i="2"/>
  <c r="F637" i="2"/>
  <c r="E637" i="2"/>
  <c r="D637" i="2"/>
  <c r="C637" i="2"/>
  <c r="B637" i="2"/>
  <c r="A637" i="2"/>
  <c r="F636" i="2"/>
  <c r="E636" i="2"/>
  <c r="D636" i="2"/>
  <c r="C636" i="2"/>
  <c r="B636" i="2"/>
  <c r="A636" i="2"/>
  <c r="F635" i="2"/>
  <c r="E635" i="2"/>
  <c r="D635" i="2"/>
  <c r="C635" i="2"/>
  <c r="B635" i="2"/>
  <c r="A635" i="2"/>
  <c r="F634" i="2"/>
  <c r="E634" i="2"/>
  <c r="D634" i="2"/>
  <c r="C634" i="2"/>
  <c r="B634" i="2"/>
  <c r="A634" i="2"/>
  <c r="F633" i="2"/>
  <c r="E633" i="2"/>
  <c r="D633" i="2"/>
  <c r="C633" i="2"/>
  <c r="B633" i="2"/>
  <c r="A633" i="2"/>
  <c r="F632" i="2"/>
  <c r="E632" i="2"/>
  <c r="D632" i="2"/>
  <c r="C632" i="2"/>
  <c r="B632" i="2"/>
  <c r="A632" i="2"/>
  <c r="F631" i="2"/>
  <c r="E631" i="2"/>
  <c r="D631" i="2"/>
  <c r="C631" i="2"/>
  <c r="B631" i="2"/>
  <c r="A631" i="2"/>
  <c r="F630" i="2"/>
  <c r="E630" i="2"/>
  <c r="D630" i="2"/>
  <c r="C630" i="2"/>
  <c r="B630" i="2"/>
  <c r="A630" i="2"/>
  <c r="F629" i="2"/>
  <c r="E629" i="2"/>
  <c r="D629" i="2"/>
  <c r="C629" i="2"/>
  <c r="B629" i="2"/>
  <c r="A629" i="2"/>
  <c r="F628" i="2"/>
  <c r="E628" i="2"/>
  <c r="D628" i="2"/>
  <c r="C628" i="2"/>
  <c r="B628" i="2"/>
  <c r="A628" i="2"/>
  <c r="F627" i="2"/>
  <c r="E627" i="2"/>
  <c r="D627" i="2"/>
  <c r="C627" i="2"/>
  <c r="B627" i="2"/>
  <c r="A627" i="2"/>
  <c r="F626" i="2"/>
  <c r="E626" i="2"/>
  <c r="D626" i="2"/>
  <c r="C626" i="2"/>
  <c r="B626" i="2"/>
  <c r="A626" i="2"/>
  <c r="F625" i="2"/>
  <c r="E625" i="2"/>
  <c r="D625" i="2"/>
  <c r="C625" i="2"/>
  <c r="B625" i="2"/>
  <c r="A625" i="2"/>
  <c r="F624" i="2"/>
  <c r="E624" i="2"/>
  <c r="D624" i="2"/>
  <c r="C624" i="2"/>
  <c r="B624" i="2"/>
  <c r="A624" i="2"/>
  <c r="F623" i="2"/>
  <c r="E623" i="2"/>
  <c r="D623" i="2"/>
  <c r="C623" i="2"/>
  <c r="B623" i="2"/>
  <c r="A623" i="2"/>
  <c r="F622" i="2"/>
  <c r="E622" i="2"/>
  <c r="D622" i="2"/>
  <c r="C622" i="2"/>
  <c r="B622" i="2"/>
  <c r="A622" i="2"/>
  <c r="F621" i="2"/>
  <c r="E621" i="2"/>
  <c r="D621" i="2"/>
  <c r="C621" i="2"/>
  <c r="B621" i="2"/>
  <c r="A621" i="2"/>
  <c r="F620" i="2"/>
  <c r="E620" i="2"/>
  <c r="D620" i="2"/>
  <c r="C620" i="2"/>
  <c r="B620" i="2"/>
  <c r="A620" i="2"/>
  <c r="F619" i="2"/>
  <c r="E619" i="2"/>
  <c r="D619" i="2"/>
  <c r="C619" i="2"/>
  <c r="B619" i="2"/>
  <c r="A619" i="2"/>
  <c r="F618" i="2"/>
  <c r="E618" i="2"/>
  <c r="D618" i="2"/>
  <c r="C618" i="2"/>
  <c r="B618" i="2"/>
  <c r="A618" i="2"/>
  <c r="F617" i="2"/>
  <c r="E617" i="2"/>
  <c r="D617" i="2"/>
  <c r="C617" i="2"/>
  <c r="B617" i="2"/>
  <c r="A617" i="2"/>
  <c r="F616" i="2"/>
  <c r="E616" i="2"/>
  <c r="D616" i="2"/>
  <c r="C616" i="2"/>
  <c r="B616" i="2"/>
  <c r="A616" i="2"/>
  <c r="F615" i="2"/>
  <c r="E615" i="2"/>
  <c r="D615" i="2"/>
  <c r="C615" i="2"/>
  <c r="B615" i="2"/>
  <c r="A615" i="2"/>
  <c r="F614" i="2"/>
  <c r="E614" i="2"/>
  <c r="D614" i="2"/>
  <c r="C614" i="2"/>
  <c r="B614" i="2"/>
  <c r="A614" i="2"/>
  <c r="F613" i="2"/>
  <c r="E613" i="2"/>
  <c r="D613" i="2"/>
  <c r="C613" i="2"/>
  <c r="B613" i="2"/>
  <c r="A613" i="2"/>
  <c r="F612" i="2"/>
  <c r="E612" i="2"/>
  <c r="D612" i="2"/>
  <c r="C612" i="2"/>
  <c r="B612" i="2"/>
  <c r="A612" i="2"/>
  <c r="F611" i="2"/>
  <c r="E611" i="2"/>
  <c r="D611" i="2"/>
  <c r="C611" i="2"/>
  <c r="B611" i="2"/>
  <c r="A611" i="2"/>
  <c r="F610" i="2"/>
  <c r="E610" i="2"/>
  <c r="D610" i="2"/>
  <c r="C610" i="2"/>
  <c r="B610" i="2"/>
  <c r="A610" i="2"/>
  <c r="F609" i="2"/>
  <c r="E609" i="2"/>
  <c r="D609" i="2"/>
  <c r="C609" i="2"/>
  <c r="B609" i="2"/>
  <c r="A609" i="2"/>
  <c r="F608" i="2"/>
  <c r="E608" i="2"/>
  <c r="D608" i="2"/>
  <c r="C608" i="2"/>
  <c r="B608" i="2"/>
  <c r="A608" i="2"/>
  <c r="F607" i="2"/>
  <c r="E607" i="2"/>
  <c r="D607" i="2"/>
  <c r="C607" i="2"/>
  <c r="B607" i="2"/>
  <c r="A607" i="2"/>
  <c r="F606" i="2"/>
  <c r="E606" i="2"/>
  <c r="D606" i="2"/>
  <c r="C606" i="2"/>
  <c r="B606" i="2"/>
  <c r="A606" i="2"/>
  <c r="F605" i="2"/>
  <c r="E605" i="2"/>
  <c r="D605" i="2"/>
  <c r="C605" i="2"/>
  <c r="B605" i="2"/>
  <c r="A605" i="2"/>
  <c r="F604" i="2"/>
  <c r="E604" i="2"/>
  <c r="D604" i="2"/>
  <c r="C604" i="2"/>
  <c r="B604" i="2"/>
  <c r="A604" i="2"/>
  <c r="F603" i="2"/>
  <c r="E603" i="2"/>
  <c r="D603" i="2"/>
  <c r="C603" i="2"/>
  <c r="B603" i="2"/>
  <c r="A603" i="2"/>
  <c r="F602" i="2"/>
  <c r="E602" i="2"/>
  <c r="D602" i="2"/>
  <c r="C602" i="2"/>
  <c r="B602" i="2"/>
  <c r="A602" i="2"/>
  <c r="F601" i="2"/>
  <c r="E601" i="2"/>
  <c r="D601" i="2"/>
  <c r="C601" i="2"/>
  <c r="B601" i="2"/>
  <c r="A601" i="2"/>
  <c r="F600" i="2"/>
  <c r="E600" i="2"/>
  <c r="D600" i="2"/>
  <c r="C600" i="2"/>
  <c r="B600" i="2"/>
  <c r="A600" i="2"/>
  <c r="F599" i="2"/>
  <c r="E599" i="2"/>
  <c r="D599" i="2"/>
  <c r="C599" i="2"/>
  <c r="B599" i="2"/>
  <c r="A599" i="2"/>
  <c r="F598" i="2"/>
  <c r="E598" i="2"/>
  <c r="D598" i="2"/>
  <c r="C598" i="2"/>
  <c r="B598" i="2"/>
  <c r="A598" i="2"/>
  <c r="F597" i="2"/>
  <c r="E597" i="2"/>
  <c r="D597" i="2"/>
  <c r="C597" i="2"/>
  <c r="B597" i="2"/>
  <c r="A597" i="2"/>
  <c r="F596" i="2"/>
  <c r="E596" i="2"/>
  <c r="D596" i="2"/>
  <c r="C596" i="2"/>
  <c r="B596" i="2"/>
  <c r="A596" i="2"/>
  <c r="F595" i="2"/>
  <c r="E595" i="2"/>
  <c r="D595" i="2"/>
  <c r="C595" i="2"/>
  <c r="B595" i="2"/>
  <c r="A595" i="2"/>
  <c r="F594" i="2"/>
  <c r="E594" i="2"/>
  <c r="D594" i="2"/>
  <c r="C594" i="2"/>
  <c r="B594" i="2"/>
  <c r="A594" i="2"/>
  <c r="F593" i="2"/>
  <c r="E593" i="2"/>
  <c r="D593" i="2"/>
  <c r="C593" i="2"/>
  <c r="B593" i="2"/>
  <c r="A593" i="2"/>
  <c r="F592" i="2"/>
  <c r="E592" i="2"/>
  <c r="D592" i="2"/>
  <c r="C592" i="2"/>
  <c r="B592" i="2"/>
  <c r="A592" i="2"/>
  <c r="F591" i="2"/>
  <c r="E591" i="2"/>
  <c r="D591" i="2"/>
  <c r="C591" i="2"/>
  <c r="B591" i="2"/>
  <c r="A591" i="2"/>
  <c r="F590" i="2"/>
  <c r="E590" i="2"/>
  <c r="D590" i="2"/>
  <c r="C590" i="2"/>
  <c r="B590" i="2"/>
  <c r="A590" i="2"/>
  <c r="F589" i="2"/>
  <c r="E589" i="2"/>
  <c r="D589" i="2"/>
  <c r="C589" i="2"/>
  <c r="B589" i="2"/>
  <c r="A589" i="2"/>
  <c r="F588" i="2"/>
  <c r="E588" i="2"/>
  <c r="D588" i="2"/>
  <c r="C588" i="2"/>
  <c r="B588" i="2"/>
  <c r="A588" i="2"/>
  <c r="F587" i="2"/>
  <c r="E587" i="2"/>
  <c r="D587" i="2"/>
  <c r="C587" i="2"/>
  <c r="B587" i="2"/>
  <c r="A587" i="2"/>
  <c r="F586" i="2"/>
  <c r="E586" i="2"/>
  <c r="D586" i="2"/>
  <c r="C586" i="2"/>
  <c r="B586" i="2"/>
  <c r="A586" i="2"/>
  <c r="F585" i="2"/>
  <c r="E585" i="2"/>
  <c r="D585" i="2"/>
  <c r="C585" i="2"/>
  <c r="B585" i="2"/>
  <c r="A585" i="2"/>
  <c r="F584" i="2"/>
  <c r="E584" i="2"/>
  <c r="D584" i="2"/>
  <c r="C584" i="2"/>
  <c r="B584" i="2"/>
  <c r="A584" i="2"/>
  <c r="F583" i="2"/>
  <c r="E583" i="2"/>
  <c r="D583" i="2"/>
  <c r="C583" i="2"/>
  <c r="B583" i="2"/>
  <c r="A583" i="2"/>
  <c r="F582" i="2"/>
  <c r="E582" i="2"/>
  <c r="D582" i="2"/>
  <c r="C582" i="2"/>
  <c r="B582" i="2"/>
  <c r="A582" i="2"/>
  <c r="F581" i="2"/>
  <c r="E581" i="2"/>
  <c r="D581" i="2"/>
  <c r="C581" i="2"/>
  <c r="B581" i="2"/>
  <c r="A581" i="2"/>
  <c r="F580" i="2"/>
  <c r="E580" i="2"/>
  <c r="D580" i="2"/>
  <c r="C580" i="2"/>
  <c r="B580" i="2"/>
  <c r="A580" i="2"/>
  <c r="F579" i="2"/>
  <c r="E579" i="2"/>
  <c r="D579" i="2"/>
  <c r="C579" i="2"/>
  <c r="B579" i="2"/>
  <c r="A579" i="2"/>
  <c r="F578" i="2"/>
  <c r="E578" i="2"/>
  <c r="D578" i="2"/>
  <c r="C578" i="2"/>
  <c r="B578" i="2"/>
  <c r="A578" i="2"/>
  <c r="F577" i="2"/>
  <c r="E577" i="2"/>
  <c r="D577" i="2"/>
  <c r="C577" i="2"/>
  <c r="B577" i="2"/>
  <c r="A577" i="2"/>
  <c r="F576" i="2"/>
  <c r="E576" i="2"/>
  <c r="D576" i="2"/>
  <c r="C576" i="2"/>
  <c r="B576" i="2"/>
  <c r="A576" i="2"/>
  <c r="F575" i="2"/>
  <c r="E575" i="2"/>
  <c r="D575" i="2"/>
  <c r="C575" i="2"/>
  <c r="B575" i="2"/>
  <c r="A575" i="2"/>
  <c r="F574" i="2"/>
  <c r="E574" i="2"/>
  <c r="D574" i="2"/>
  <c r="C574" i="2"/>
  <c r="B574" i="2"/>
  <c r="A574" i="2"/>
  <c r="F573" i="2"/>
  <c r="E573" i="2"/>
  <c r="D573" i="2"/>
  <c r="C573" i="2"/>
  <c r="B573" i="2"/>
  <c r="A573" i="2"/>
  <c r="F572" i="2"/>
  <c r="E572" i="2"/>
  <c r="D572" i="2"/>
  <c r="C572" i="2"/>
  <c r="B572" i="2"/>
  <c r="A572" i="2"/>
  <c r="F571" i="2"/>
  <c r="E571" i="2"/>
  <c r="D571" i="2"/>
  <c r="C571" i="2"/>
  <c r="B571" i="2"/>
  <c r="A571" i="2"/>
  <c r="F570" i="2"/>
  <c r="E570" i="2"/>
  <c r="D570" i="2"/>
  <c r="C570" i="2"/>
  <c r="B570" i="2"/>
  <c r="A570" i="2"/>
  <c r="F569" i="2"/>
  <c r="E569" i="2"/>
  <c r="D569" i="2"/>
  <c r="C569" i="2"/>
  <c r="B569" i="2"/>
  <c r="A569" i="2"/>
  <c r="F568" i="2"/>
  <c r="E568" i="2"/>
  <c r="D568" i="2"/>
  <c r="C568" i="2"/>
  <c r="B568" i="2"/>
  <c r="A568" i="2"/>
  <c r="F567" i="2"/>
  <c r="E567" i="2"/>
  <c r="D567" i="2"/>
  <c r="C567" i="2"/>
  <c r="B567" i="2"/>
  <c r="A567" i="2"/>
  <c r="F566" i="2"/>
  <c r="E566" i="2"/>
  <c r="D566" i="2"/>
  <c r="C566" i="2"/>
  <c r="B566" i="2"/>
  <c r="A566" i="2"/>
  <c r="F565" i="2"/>
  <c r="E565" i="2"/>
  <c r="D565" i="2"/>
  <c r="C565" i="2"/>
  <c r="B565" i="2"/>
  <c r="A565" i="2"/>
  <c r="F564" i="2"/>
  <c r="E564" i="2"/>
  <c r="D564" i="2"/>
  <c r="C564" i="2"/>
  <c r="B564" i="2"/>
  <c r="A564" i="2"/>
  <c r="F563" i="2"/>
  <c r="E563" i="2"/>
  <c r="D563" i="2"/>
  <c r="C563" i="2"/>
  <c r="B563" i="2"/>
  <c r="A563" i="2"/>
  <c r="F562" i="2"/>
  <c r="E562" i="2"/>
  <c r="D562" i="2"/>
  <c r="C562" i="2"/>
  <c r="B562" i="2"/>
  <c r="A562" i="2"/>
  <c r="F561" i="2"/>
  <c r="E561" i="2"/>
  <c r="D561" i="2"/>
  <c r="C561" i="2"/>
  <c r="B561" i="2"/>
  <c r="A561" i="2"/>
  <c r="F560" i="2"/>
  <c r="E560" i="2"/>
  <c r="D560" i="2"/>
  <c r="C560" i="2"/>
  <c r="B560" i="2"/>
  <c r="A560" i="2"/>
  <c r="F559" i="2"/>
  <c r="E559" i="2"/>
  <c r="D559" i="2"/>
  <c r="C559" i="2"/>
  <c r="B559" i="2"/>
  <c r="A559" i="2"/>
  <c r="F558" i="2"/>
  <c r="E558" i="2"/>
  <c r="D558" i="2"/>
  <c r="C558" i="2"/>
  <c r="B558" i="2"/>
  <c r="A558" i="2"/>
  <c r="F557" i="2"/>
  <c r="E557" i="2"/>
  <c r="D557" i="2"/>
  <c r="C557" i="2"/>
  <c r="B557" i="2"/>
  <c r="A557" i="2"/>
  <c r="F556" i="2"/>
  <c r="E556" i="2"/>
  <c r="D556" i="2"/>
  <c r="C556" i="2"/>
  <c r="B556" i="2"/>
  <c r="A556" i="2"/>
  <c r="F555" i="2"/>
  <c r="E555" i="2"/>
  <c r="D555" i="2"/>
  <c r="C555" i="2"/>
  <c r="B555" i="2"/>
  <c r="A555" i="2"/>
  <c r="F554" i="2"/>
  <c r="E554" i="2"/>
  <c r="D554" i="2"/>
  <c r="C554" i="2"/>
  <c r="B554" i="2"/>
  <c r="A554" i="2"/>
  <c r="F553" i="2"/>
  <c r="E553" i="2"/>
  <c r="D553" i="2"/>
  <c r="C553" i="2"/>
  <c r="B553" i="2"/>
  <c r="A553" i="2"/>
  <c r="F552" i="2"/>
  <c r="E552" i="2"/>
  <c r="D552" i="2"/>
  <c r="C552" i="2"/>
  <c r="B552" i="2"/>
  <c r="A552" i="2"/>
  <c r="F551" i="2"/>
  <c r="E551" i="2"/>
  <c r="D551" i="2"/>
  <c r="C551" i="2"/>
  <c r="B551" i="2"/>
  <c r="A551" i="2"/>
  <c r="F550" i="2"/>
  <c r="E550" i="2"/>
  <c r="D550" i="2"/>
  <c r="C550" i="2"/>
  <c r="B550" i="2"/>
  <c r="A550" i="2"/>
  <c r="F549" i="2"/>
  <c r="E549" i="2"/>
  <c r="D549" i="2"/>
  <c r="C549" i="2"/>
  <c r="B549" i="2"/>
  <c r="A549" i="2"/>
  <c r="F548" i="2"/>
  <c r="E548" i="2"/>
  <c r="D548" i="2"/>
  <c r="C548" i="2"/>
  <c r="B548" i="2"/>
  <c r="A548" i="2"/>
  <c r="F547" i="2"/>
  <c r="E547" i="2"/>
  <c r="D547" i="2"/>
  <c r="C547" i="2"/>
  <c r="B547" i="2"/>
  <c r="A547" i="2"/>
  <c r="F546" i="2"/>
  <c r="E546" i="2"/>
  <c r="D546" i="2"/>
  <c r="C546" i="2"/>
  <c r="B546" i="2"/>
  <c r="A546" i="2"/>
  <c r="F545" i="2"/>
  <c r="E545" i="2"/>
  <c r="D545" i="2"/>
  <c r="C545" i="2"/>
  <c r="B545" i="2"/>
  <c r="A545" i="2"/>
  <c r="F544" i="2"/>
  <c r="E544" i="2"/>
  <c r="D544" i="2"/>
  <c r="C544" i="2"/>
  <c r="B544" i="2"/>
  <c r="A544" i="2"/>
  <c r="F543" i="2"/>
  <c r="E543" i="2"/>
  <c r="D543" i="2"/>
  <c r="C543" i="2"/>
  <c r="B543" i="2"/>
  <c r="A543" i="2"/>
  <c r="F542" i="2"/>
  <c r="E542" i="2"/>
  <c r="D542" i="2"/>
  <c r="C542" i="2"/>
  <c r="B542" i="2"/>
  <c r="A542" i="2"/>
  <c r="F541" i="2"/>
  <c r="E541" i="2"/>
  <c r="D541" i="2"/>
  <c r="C541" i="2"/>
  <c r="B541" i="2"/>
  <c r="A541" i="2"/>
  <c r="F540" i="2"/>
  <c r="E540" i="2"/>
  <c r="D540" i="2"/>
  <c r="C540" i="2"/>
  <c r="B540" i="2"/>
  <c r="A540" i="2"/>
  <c r="F539" i="2"/>
  <c r="E539" i="2"/>
  <c r="D539" i="2"/>
  <c r="C539" i="2"/>
  <c r="B539" i="2"/>
  <c r="A539" i="2"/>
  <c r="F538" i="2"/>
  <c r="E538" i="2"/>
  <c r="D538" i="2"/>
  <c r="C538" i="2"/>
  <c r="B538" i="2"/>
  <c r="A538" i="2"/>
  <c r="F537" i="2"/>
  <c r="E537" i="2"/>
  <c r="D537" i="2"/>
  <c r="C537" i="2"/>
  <c r="B537" i="2"/>
  <c r="A537" i="2"/>
  <c r="F536" i="2"/>
  <c r="E536" i="2"/>
  <c r="D536" i="2"/>
  <c r="C536" i="2"/>
  <c r="B536" i="2"/>
  <c r="A536" i="2"/>
  <c r="F535" i="2"/>
  <c r="E535" i="2"/>
  <c r="D535" i="2"/>
  <c r="C535" i="2"/>
  <c r="B535" i="2"/>
  <c r="A535" i="2"/>
  <c r="F534" i="2"/>
  <c r="E534" i="2"/>
  <c r="D534" i="2"/>
  <c r="C534" i="2"/>
  <c r="B534" i="2"/>
  <c r="A534" i="2"/>
  <c r="F533" i="2"/>
  <c r="E533" i="2"/>
  <c r="D533" i="2"/>
  <c r="C533" i="2"/>
  <c r="B533" i="2"/>
  <c r="A533" i="2"/>
  <c r="F532" i="2"/>
  <c r="E532" i="2"/>
  <c r="D532" i="2"/>
  <c r="C532" i="2"/>
  <c r="B532" i="2"/>
  <c r="A532" i="2"/>
  <c r="F531" i="2"/>
  <c r="E531" i="2"/>
  <c r="D531" i="2"/>
  <c r="C531" i="2"/>
  <c r="B531" i="2"/>
  <c r="A531" i="2"/>
  <c r="F530" i="2"/>
  <c r="E530" i="2"/>
  <c r="D530" i="2"/>
  <c r="C530" i="2"/>
  <c r="B530" i="2"/>
  <c r="A530" i="2"/>
  <c r="F529" i="2"/>
  <c r="E529" i="2"/>
  <c r="D529" i="2"/>
  <c r="C529" i="2"/>
  <c r="B529" i="2"/>
  <c r="A529" i="2"/>
  <c r="F528" i="2"/>
  <c r="E528" i="2"/>
  <c r="D528" i="2"/>
  <c r="C528" i="2"/>
  <c r="B528" i="2"/>
  <c r="A528" i="2"/>
  <c r="F527" i="2"/>
  <c r="E527" i="2"/>
  <c r="D527" i="2"/>
  <c r="C527" i="2"/>
  <c r="B527" i="2"/>
  <c r="A527" i="2"/>
  <c r="F526" i="2"/>
  <c r="E526" i="2"/>
  <c r="D526" i="2"/>
  <c r="C526" i="2"/>
  <c r="B526" i="2"/>
  <c r="A526" i="2"/>
  <c r="F525" i="2"/>
  <c r="E525" i="2"/>
  <c r="D525" i="2"/>
  <c r="C525" i="2"/>
  <c r="B525" i="2"/>
  <c r="A525" i="2"/>
  <c r="F524" i="2"/>
  <c r="E524" i="2"/>
  <c r="D524" i="2"/>
  <c r="C524" i="2"/>
  <c r="B524" i="2"/>
  <c r="A524" i="2"/>
  <c r="F523" i="2"/>
  <c r="E523" i="2"/>
  <c r="D523" i="2"/>
  <c r="C523" i="2"/>
  <c r="B523" i="2"/>
  <c r="A523" i="2"/>
  <c r="F522" i="2"/>
  <c r="E522" i="2"/>
  <c r="D522" i="2"/>
  <c r="C522" i="2"/>
  <c r="B522" i="2"/>
  <c r="A522" i="2"/>
  <c r="F521" i="2"/>
  <c r="E521" i="2"/>
  <c r="D521" i="2"/>
  <c r="C521" i="2"/>
  <c r="B521" i="2"/>
  <c r="A521" i="2"/>
  <c r="F520" i="2"/>
  <c r="E520" i="2"/>
  <c r="D520" i="2"/>
  <c r="C520" i="2"/>
  <c r="B520" i="2"/>
  <c r="A520" i="2"/>
  <c r="F519" i="2"/>
  <c r="E519" i="2"/>
  <c r="D519" i="2"/>
  <c r="C519" i="2"/>
  <c r="B519" i="2"/>
  <c r="A519" i="2"/>
  <c r="F518" i="2"/>
  <c r="E518" i="2"/>
  <c r="D518" i="2"/>
  <c r="C518" i="2"/>
  <c r="B518" i="2"/>
  <c r="A518" i="2"/>
  <c r="F517" i="2"/>
  <c r="E517" i="2"/>
  <c r="D517" i="2"/>
  <c r="C517" i="2"/>
  <c r="B517" i="2"/>
  <c r="A517" i="2"/>
  <c r="F516" i="2"/>
  <c r="E516" i="2"/>
  <c r="D516" i="2"/>
  <c r="C516" i="2"/>
  <c r="B516" i="2"/>
  <c r="A516" i="2"/>
  <c r="F515" i="2"/>
  <c r="E515" i="2"/>
  <c r="D515" i="2"/>
  <c r="C515" i="2"/>
  <c r="B515" i="2"/>
  <c r="A515" i="2"/>
  <c r="F514" i="2"/>
  <c r="E514" i="2"/>
  <c r="D514" i="2"/>
  <c r="C514" i="2"/>
  <c r="B514" i="2"/>
  <c r="A514" i="2"/>
  <c r="F513" i="2"/>
  <c r="E513" i="2"/>
  <c r="D513" i="2"/>
  <c r="C513" i="2"/>
  <c r="B513" i="2"/>
  <c r="A513" i="2"/>
  <c r="F512" i="2"/>
  <c r="E512" i="2"/>
  <c r="D512" i="2"/>
  <c r="C512" i="2"/>
  <c r="B512" i="2"/>
  <c r="A512" i="2"/>
  <c r="F511" i="2"/>
  <c r="E511" i="2"/>
  <c r="D511" i="2"/>
  <c r="C511" i="2"/>
  <c r="B511" i="2"/>
  <c r="A511" i="2"/>
  <c r="F510" i="2"/>
  <c r="E510" i="2"/>
  <c r="D510" i="2"/>
  <c r="C510" i="2"/>
  <c r="B510" i="2"/>
  <c r="A510" i="2"/>
  <c r="F509" i="2"/>
  <c r="E509" i="2"/>
  <c r="D509" i="2"/>
  <c r="C509" i="2"/>
  <c r="B509" i="2"/>
  <c r="A509" i="2"/>
  <c r="F508" i="2"/>
  <c r="E508" i="2"/>
  <c r="D508" i="2"/>
  <c r="C508" i="2"/>
  <c r="B508" i="2"/>
  <c r="A508" i="2"/>
  <c r="F507" i="2"/>
  <c r="E507" i="2"/>
  <c r="D507" i="2"/>
  <c r="C507" i="2"/>
  <c r="B507" i="2"/>
  <c r="A507" i="2"/>
  <c r="F506" i="2"/>
  <c r="E506" i="2"/>
  <c r="D506" i="2"/>
  <c r="C506" i="2"/>
  <c r="B506" i="2"/>
  <c r="A506" i="2"/>
  <c r="F505" i="2"/>
  <c r="E505" i="2"/>
  <c r="D505" i="2"/>
  <c r="C505" i="2"/>
  <c r="B505" i="2"/>
  <c r="A505" i="2"/>
  <c r="F504" i="2"/>
  <c r="E504" i="2"/>
  <c r="D504" i="2"/>
  <c r="C504" i="2"/>
  <c r="B504" i="2"/>
  <c r="A504" i="2"/>
  <c r="F503" i="2"/>
  <c r="E503" i="2"/>
  <c r="D503" i="2"/>
  <c r="C503" i="2"/>
  <c r="B503" i="2"/>
  <c r="A503" i="2"/>
  <c r="F502" i="2"/>
  <c r="E502" i="2"/>
  <c r="D502" i="2"/>
  <c r="C502" i="2"/>
  <c r="B502" i="2"/>
  <c r="A502" i="2"/>
  <c r="F501" i="2"/>
  <c r="E501" i="2"/>
  <c r="D501" i="2"/>
  <c r="C501" i="2"/>
  <c r="B501" i="2"/>
  <c r="A501" i="2"/>
  <c r="F500" i="2"/>
  <c r="E500" i="2"/>
  <c r="D500" i="2"/>
  <c r="C500" i="2"/>
  <c r="B500" i="2"/>
  <c r="A500" i="2"/>
  <c r="F499" i="2"/>
  <c r="E499" i="2"/>
  <c r="D499" i="2"/>
  <c r="C499" i="2"/>
  <c r="B499" i="2"/>
  <c r="A499" i="2"/>
  <c r="F498" i="2"/>
  <c r="E498" i="2"/>
  <c r="D498" i="2"/>
  <c r="C498" i="2"/>
  <c r="B498" i="2"/>
  <c r="A498" i="2"/>
  <c r="F497" i="2"/>
  <c r="E497" i="2"/>
  <c r="D497" i="2"/>
  <c r="C497" i="2"/>
  <c r="B497" i="2"/>
  <c r="A497" i="2"/>
  <c r="F496" i="2"/>
  <c r="E496" i="2"/>
  <c r="D496" i="2"/>
  <c r="C496" i="2"/>
  <c r="B496" i="2"/>
  <c r="A496" i="2"/>
  <c r="F495" i="2"/>
  <c r="E495" i="2"/>
  <c r="D495" i="2"/>
  <c r="C495" i="2"/>
  <c r="B495" i="2"/>
  <c r="A495" i="2"/>
  <c r="F494" i="2"/>
  <c r="E494" i="2"/>
  <c r="D494" i="2"/>
  <c r="C494" i="2"/>
  <c r="B494" i="2"/>
  <c r="A494" i="2"/>
  <c r="F493" i="2"/>
  <c r="E493" i="2"/>
  <c r="D493" i="2"/>
  <c r="C493" i="2"/>
  <c r="B493" i="2"/>
  <c r="A493" i="2"/>
  <c r="F492" i="2"/>
  <c r="E492" i="2"/>
  <c r="D492" i="2"/>
  <c r="C492" i="2"/>
  <c r="B492" i="2"/>
  <c r="A492" i="2"/>
  <c r="F491" i="2"/>
  <c r="E491" i="2"/>
  <c r="D491" i="2"/>
  <c r="C491" i="2"/>
  <c r="B491" i="2"/>
  <c r="A491" i="2"/>
  <c r="F490" i="2"/>
  <c r="E490" i="2"/>
  <c r="D490" i="2"/>
  <c r="C490" i="2"/>
  <c r="B490" i="2"/>
  <c r="A490" i="2"/>
  <c r="F489" i="2"/>
  <c r="E489" i="2"/>
  <c r="D489" i="2"/>
  <c r="C489" i="2"/>
  <c r="B489" i="2"/>
  <c r="A489" i="2"/>
  <c r="F488" i="2"/>
  <c r="E488" i="2"/>
  <c r="D488" i="2"/>
  <c r="C488" i="2"/>
  <c r="B488" i="2"/>
  <c r="A488" i="2"/>
  <c r="F487" i="2"/>
  <c r="E487" i="2"/>
  <c r="D487" i="2"/>
  <c r="C487" i="2"/>
  <c r="B487" i="2"/>
  <c r="A487" i="2"/>
  <c r="F486" i="2"/>
  <c r="E486" i="2"/>
  <c r="D486" i="2"/>
  <c r="C486" i="2"/>
  <c r="B486" i="2"/>
  <c r="A486" i="2"/>
  <c r="F485" i="2"/>
  <c r="E485" i="2"/>
  <c r="D485" i="2"/>
  <c r="C485" i="2"/>
  <c r="B485" i="2"/>
  <c r="A485" i="2"/>
  <c r="F484" i="2"/>
  <c r="E484" i="2"/>
  <c r="D484" i="2"/>
  <c r="C484" i="2"/>
  <c r="B484" i="2"/>
  <c r="A484" i="2"/>
  <c r="F483" i="2"/>
  <c r="E483" i="2"/>
  <c r="D483" i="2"/>
  <c r="C483" i="2"/>
  <c r="B483" i="2"/>
  <c r="A483" i="2"/>
  <c r="F482" i="2"/>
  <c r="E482" i="2"/>
  <c r="D482" i="2"/>
  <c r="C482" i="2"/>
  <c r="B482" i="2"/>
  <c r="A482" i="2"/>
  <c r="F481" i="2"/>
  <c r="E481" i="2"/>
  <c r="D481" i="2"/>
  <c r="C481" i="2"/>
  <c r="B481" i="2"/>
  <c r="A481" i="2"/>
  <c r="F480" i="2"/>
  <c r="E480" i="2"/>
  <c r="D480" i="2"/>
  <c r="C480" i="2"/>
  <c r="B480" i="2"/>
  <c r="A480" i="2"/>
  <c r="F479" i="2"/>
  <c r="E479" i="2"/>
  <c r="D479" i="2"/>
  <c r="C479" i="2"/>
  <c r="B479" i="2"/>
  <c r="A479" i="2"/>
  <c r="F478" i="2"/>
  <c r="E478" i="2"/>
  <c r="D478" i="2"/>
  <c r="C478" i="2"/>
  <c r="B478" i="2"/>
  <c r="A478" i="2"/>
  <c r="F477" i="2"/>
  <c r="E477" i="2"/>
  <c r="D477" i="2"/>
  <c r="C477" i="2"/>
  <c r="B477" i="2"/>
  <c r="A477" i="2"/>
  <c r="F476" i="2"/>
  <c r="E476" i="2"/>
  <c r="D476" i="2"/>
  <c r="C476" i="2"/>
  <c r="B476" i="2"/>
  <c r="A476" i="2"/>
  <c r="F475" i="2"/>
  <c r="E475" i="2"/>
  <c r="D475" i="2"/>
  <c r="C475" i="2"/>
  <c r="B475" i="2"/>
  <c r="A475" i="2"/>
  <c r="F474" i="2"/>
  <c r="E474" i="2"/>
  <c r="D474" i="2"/>
  <c r="C474" i="2"/>
  <c r="B474" i="2"/>
  <c r="A474" i="2"/>
  <c r="F473" i="2"/>
  <c r="E473" i="2"/>
  <c r="D473" i="2"/>
  <c r="C473" i="2"/>
  <c r="B473" i="2"/>
  <c r="A473" i="2"/>
  <c r="F472" i="2"/>
  <c r="E472" i="2"/>
  <c r="D472" i="2"/>
  <c r="C472" i="2"/>
  <c r="B472" i="2"/>
  <c r="A472" i="2"/>
  <c r="F471" i="2"/>
  <c r="E471" i="2"/>
  <c r="D471" i="2"/>
  <c r="C471" i="2"/>
  <c r="B471" i="2"/>
  <c r="A471" i="2"/>
  <c r="F470" i="2"/>
  <c r="E470" i="2"/>
  <c r="D470" i="2"/>
  <c r="C470" i="2"/>
  <c r="B470" i="2"/>
  <c r="A470" i="2"/>
  <c r="F469" i="2"/>
  <c r="E469" i="2"/>
  <c r="D469" i="2"/>
  <c r="C469" i="2"/>
  <c r="B469" i="2"/>
  <c r="A469" i="2"/>
  <c r="F468" i="2"/>
  <c r="E468" i="2"/>
  <c r="D468" i="2"/>
  <c r="C468" i="2"/>
  <c r="B468" i="2"/>
  <c r="A468" i="2"/>
  <c r="F467" i="2"/>
  <c r="E467" i="2"/>
  <c r="D467" i="2"/>
  <c r="C467" i="2"/>
  <c r="B467" i="2"/>
  <c r="A467" i="2"/>
  <c r="F466" i="2"/>
  <c r="E466" i="2"/>
  <c r="D466" i="2"/>
  <c r="C466" i="2"/>
  <c r="B466" i="2"/>
  <c r="A466" i="2"/>
  <c r="F465" i="2"/>
  <c r="E465" i="2"/>
  <c r="D465" i="2"/>
  <c r="C465" i="2"/>
  <c r="B465" i="2"/>
  <c r="A465" i="2"/>
  <c r="F464" i="2"/>
  <c r="E464" i="2"/>
  <c r="D464" i="2"/>
  <c r="C464" i="2"/>
  <c r="B464" i="2"/>
  <c r="A464" i="2"/>
  <c r="F463" i="2"/>
  <c r="E463" i="2"/>
  <c r="D463" i="2"/>
  <c r="C463" i="2"/>
  <c r="B463" i="2"/>
  <c r="A463" i="2"/>
  <c r="F462" i="2"/>
  <c r="E462" i="2"/>
  <c r="D462" i="2"/>
  <c r="C462" i="2"/>
  <c r="B462" i="2"/>
  <c r="A462" i="2"/>
  <c r="F461" i="2"/>
  <c r="E461" i="2"/>
  <c r="D461" i="2"/>
  <c r="C461" i="2"/>
  <c r="B461" i="2"/>
  <c r="A461" i="2"/>
  <c r="F460" i="2"/>
  <c r="E460" i="2"/>
  <c r="D460" i="2"/>
  <c r="C460" i="2"/>
  <c r="B460" i="2"/>
  <c r="A460" i="2"/>
  <c r="F459" i="2"/>
  <c r="E459" i="2"/>
  <c r="D459" i="2"/>
  <c r="C459" i="2"/>
  <c r="B459" i="2"/>
  <c r="A459" i="2"/>
  <c r="F458" i="2"/>
  <c r="E458" i="2"/>
  <c r="D458" i="2"/>
  <c r="C458" i="2"/>
  <c r="B458" i="2"/>
  <c r="A458" i="2"/>
  <c r="F457" i="2"/>
  <c r="E457" i="2"/>
  <c r="D457" i="2"/>
  <c r="C457" i="2"/>
  <c r="B457" i="2"/>
  <c r="A457" i="2"/>
  <c r="F456" i="2"/>
  <c r="E456" i="2"/>
  <c r="D456" i="2"/>
  <c r="C456" i="2"/>
  <c r="B456" i="2"/>
  <c r="A456" i="2"/>
  <c r="F455" i="2"/>
  <c r="E455" i="2"/>
  <c r="D455" i="2"/>
  <c r="C455" i="2"/>
  <c r="B455" i="2"/>
  <c r="A455" i="2"/>
  <c r="F454" i="2"/>
  <c r="E454" i="2"/>
  <c r="D454" i="2"/>
  <c r="C454" i="2"/>
  <c r="B454" i="2"/>
  <c r="A454" i="2"/>
  <c r="F453" i="2"/>
  <c r="E453" i="2"/>
  <c r="D453" i="2"/>
  <c r="C453" i="2"/>
  <c r="B453" i="2"/>
  <c r="A453" i="2"/>
  <c r="F452" i="2"/>
  <c r="E452" i="2"/>
  <c r="D452" i="2"/>
  <c r="C452" i="2"/>
  <c r="B452" i="2"/>
  <c r="A452" i="2"/>
  <c r="F451" i="2"/>
  <c r="E451" i="2"/>
  <c r="D451" i="2"/>
  <c r="C451" i="2"/>
  <c r="B451" i="2"/>
  <c r="A451" i="2"/>
  <c r="F450" i="2"/>
  <c r="E450" i="2"/>
  <c r="D450" i="2"/>
  <c r="C450" i="2"/>
  <c r="B450" i="2"/>
  <c r="A450" i="2"/>
  <c r="F449" i="2"/>
  <c r="E449" i="2"/>
  <c r="D449" i="2"/>
  <c r="C449" i="2"/>
  <c r="B449" i="2"/>
  <c r="A449" i="2"/>
  <c r="F448" i="2"/>
  <c r="E448" i="2"/>
  <c r="D448" i="2"/>
  <c r="C448" i="2"/>
  <c r="B448" i="2"/>
  <c r="A448" i="2"/>
  <c r="F447" i="2"/>
  <c r="E447" i="2"/>
  <c r="D447" i="2"/>
  <c r="C447" i="2"/>
  <c r="B447" i="2"/>
  <c r="A447" i="2"/>
  <c r="F446" i="2"/>
  <c r="E446" i="2"/>
  <c r="D446" i="2"/>
  <c r="C446" i="2"/>
  <c r="B446" i="2"/>
  <c r="A446" i="2"/>
  <c r="F445" i="2"/>
  <c r="E445" i="2"/>
  <c r="D445" i="2"/>
  <c r="C445" i="2"/>
  <c r="B445" i="2"/>
  <c r="A445" i="2"/>
  <c r="F444" i="2"/>
  <c r="E444" i="2"/>
  <c r="D444" i="2"/>
  <c r="C444" i="2"/>
  <c r="B444" i="2"/>
  <c r="A444" i="2"/>
  <c r="F443" i="2"/>
  <c r="E443" i="2"/>
  <c r="D443" i="2"/>
  <c r="C443" i="2"/>
  <c r="B443" i="2"/>
  <c r="A443" i="2"/>
  <c r="F442" i="2"/>
  <c r="E442" i="2"/>
  <c r="D442" i="2"/>
  <c r="C442" i="2"/>
  <c r="B442" i="2"/>
  <c r="A442" i="2"/>
  <c r="F441" i="2"/>
  <c r="E441" i="2"/>
  <c r="D441" i="2"/>
  <c r="C441" i="2"/>
  <c r="B441" i="2"/>
  <c r="A441" i="2"/>
  <c r="F440" i="2"/>
  <c r="E440" i="2"/>
  <c r="D440" i="2"/>
  <c r="C440" i="2"/>
  <c r="B440" i="2"/>
  <c r="A440" i="2"/>
  <c r="F439" i="2"/>
  <c r="E439" i="2"/>
  <c r="D439" i="2"/>
  <c r="C439" i="2"/>
  <c r="B439" i="2"/>
  <c r="A439" i="2"/>
  <c r="F438" i="2"/>
  <c r="E438" i="2"/>
  <c r="D438" i="2"/>
  <c r="C438" i="2"/>
  <c r="B438" i="2"/>
  <c r="A438" i="2"/>
  <c r="F437" i="2"/>
  <c r="E437" i="2"/>
  <c r="D437" i="2"/>
  <c r="C437" i="2"/>
  <c r="B437" i="2"/>
  <c r="A437" i="2"/>
  <c r="F436" i="2"/>
  <c r="E436" i="2"/>
  <c r="D436" i="2"/>
  <c r="C436" i="2"/>
  <c r="B436" i="2"/>
  <c r="A436" i="2"/>
  <c r="F435" i="2"/>
  <c r="E435" i="2"/>
  <c r="D435" i="2"/>
  <c r="C435" i="2"/>
  <c r="B435" i="2"/>
  <c r="A435" i="2"/>
  <c r="F434" i="2"/>
  <c r="E434" i="2"/>
  <c r="D434" i="2"/>
  <c r="C434" i="2"/>
  <c r="B434" i="2"/>
  <c r="A434" i="2"/>
  <c r="F433" i="2"/>
  <c r="E433" i="2"/>
  <c r="D433" i="2"/>
  <c r="C433" i="2"/>
  <c r="B433" i="2"/>
  <c r="A433" i="2"/>
  <c r="F432" i="2"/>
  <c r="E432" i="2"/>
  <c r="D432" i="2"/>
  <c r="C432" i="2"/>
  <c r="B432" i="2"/>
  <c r="A432" i="2"/>
  <c r="F431" i="2"/>
  <c r="E431" i="2"/>
  <c r="D431" i="2"/>
  <c r="C431" i="2"/>
  <c r="B431" i="2"/>
  <c r="A431" i="2"/>
  <c r="F430" i="2"/>
  <c r="E430" i="2"/>
  <c r="D430" i="2"/>
  <c r="C430" i="2"/>
  <c r="B430" i="2"/>
  <c r="A430" i="2"/>
  <c r="F429" i="2"/>
  <c r="E429" i="2"/>
  <c r="D429" i="2"/>
  <c r="C429" i="2"/>
  <c r="B429" i="2"/>
  <c r="A429" i="2"/>
  <c r="F428" i="2"/>
  <c r="E428" i="2"/>
  <c r="D428" i="2"/>
  <c r="C428" i="2"/>
  <c r="B428" i="2"/>
  <c r="A428" i="2"/>
  <c r="F427" i="2"/>
  <c r="E427" i="2"/>
  <c r="D427" i="2"/>
  <c r="C427" i="2"/>
  <c r="B427" i="2"/>
  <c r="A427" i="2"/>
  <c r="F426" i="2"/>
  <c r="E426" i="2"/>
  <c r="D426" i="2"/>
  <c r="C426" i="2"/>
  <c r="B426" i="2"/>
  <c r="A426" i="2"/>
  <c r="F425" i="2"/>
  <c r="E425" i="2"/>
  <c r="D425" i="2"/>
  <c r="C425" i="2"/>
  <c r="B425" i="2"/>
  <c r="A425" i="2"/>
  <c r="F424" i="2"/>
  <c r="E424" i="2"/>
  <c r="D424" i="2"/>
  <c r="C424" i="2"/>
  <c r="B424" i="2"/>
  <c r="A424" i="2"/>
  <c r="F423" i="2"/>
  <c r="E423" i="2"/>
  <c r="D423" i="2"/>
  <c r="C423" i="2"/>
  <c r="B423" i="2"/>
  <c r="A423" i="2"/>
  <c r="F422" i="2"/>
  <c r="E422" i="2"/>
  <c r="D422" i="2"/>
  <c r="C422" i="2"/>
  <c r="B422" i="2"/>
  <c r="A422" i="2"/>
  <c r="F421" i="2"/>
  <c r="E421" i="2"/>
  <c r="D421" i="2"/>
  <c r="C421" i="2"/>
  <c r="B421" i="2"/>
  <c r="A421" i="2"/>
  <c r="F420" i="2"/>
  <c r="E420" i="2"/>
  <c r="D420" i="2"/>
  <c r="C420" i="2"/>
  <c r="B420" i="2"/>
  <c r="A420" i="2"/>
  <c r="F419" i="2"/>
  <c r="E419" i="2"/>
  <c r="D419" i="2"/>
  <c r="C419" i="2"/>
  <c r="B419" i="2"/>
  <c r="A419" i="2"/>
  <c r="F418" i="2"/>
  <c r="E418" i="2"/>
  <c r="D418" i="2"/>
  <c r="C418" i="2"/>
  <c r="B418" i="2"/>
  <c r="A418" i="2"/>
  <c r="F417" i="2"/>
  <c r="E417" i="2"/>
  <c r="D417" i="2"/>
  <c r="C417" i="2"/>
  <c r="B417" i="2"/>
  <c r="A417" i="2"/>
  <c r="F416" i="2"/>
  <c r="E416" i="2"/>
  <c r="D416" i="2"/>
  <c r="C416" i="2"/>
  <c r="B416" i="2"/>
  <c r="A416" i="2"/>
  <c r="F415" i="2"/>
  <c r="E415" i="2"/>
  <c r="D415" i="2"/>
  <c r="C415" i="2"/>
  <c r="B415" i="2"/>
  <c r="A415" i="2"/>
  <c r="F414" i="2"/>
  <c r="E414" i="2"/>
  <c r="D414" i="2"/>
  <c r="C414" i="2"/>
  <c r="B414" i="2"/>
  <c r="A414" i="2"/>
  <c r="F413" i="2"/>
  <c r="E413" i="2"/>
  <c r="D413" i="2"/>
  <c r="C413" i="2"/>
  <c r="B413" i="2"/>
  <c r="A413" i="2"/>
  <c r="F412" i="2"/>
  <c r="E412" i="2"/>
  <c r="D412" i="2"/>
  <c r="C412" i="2"/>
  <c r="B412" i="2"/>
  <c r="A412" i="2"/>
  <c r="F411" i="2"/>
  <c r="E411" i="2"/>
  <c r="D411" i="2"/>
  <c r="C411" i="2"/>
  <c r="B411" i="2"/>
  <c r="A411" i="2"/>
  <c r="F410" i="2"/>
  <c r="E410" i="2"/>
  <c r="D410" i="2"/>
  <c r="C410" i="2"/>
  <c r="B410" i="2"/>
  <c r="A410" i="2"/>
  <c r="F409" i="2"/>
  <c r="E409" i="2"/>
  <c r="D409" i="2"/>
  <c r="C409" i="2"/>
  <c r="B409" i="2"/>
  <c r="A409" i="2"/>
  <c r="F408" i="2"/>
  <c r="E408" i="2"/>
  <c r="D408" i="2"/>
  <c r="C408" i="2"/>
  <c r="B408" i="2"/>
  <c r="A408" i="2"/>
  <c r="F407" i="2"/>
  <c r="E407" i="2"/>
  <c r="D407" i="2"/>
  <c r="C407" i="2"/>
  <c r="B407" i="2"/>
  <c r="A407" i="2"/>
  <c r="F406" i="2"/>
  <c r="E406" i="2"/>
  <c r="D406" i="2"/>
  <c r="C406" i="2"/>
  <c r="B406" i="2"/>
  <c r="A406" i="2"/>
  <c r="F405" i="2"/>
  <c r="E405" i="2"/>
  <c r="D405" i="2"/>
  <c r="C405" i="2"/>
  <c r="B405" i="2"/>
  <c r="A405" i="2"/>
  <c r="F404" i="2"/>
  <c r="E404" i="2"/>
  <c r="D404" i="2"/>
  <c r="C404" i="2"/>
  <c r="B404" i="2"/>
  <c r="A404" i="2"/>
  <c r="F403" i="2"/>
  <c r="E403" i="2"/>
  <c r="D403" i="2"/>
  <c r="C403" i="2"/>
  <c r="B403" i="2"/>
  <c r="A403" i="2"/>
  <c r="F402" i="2"/>
  <c r="E402" i="2"/>
  <c r="D402" i="2"/>
  <c r="C402" i="2"/>
  <c r="B402" i="2"/>
  <c r="A402" i="2"/>
  <c r="F401" i="2"/>
  <c r="E401" i="2"/>
  <c r="D401" i="2"/>
  <c r="C401" i="2"/>
  <c r="B401" i="2"/>
  <c r="A401" i="2"/>
  <c r="F400" i="2"/>
  <c r="E400" i="2"/>
  <c r="D400" i="2"/>
  <c r="C400" i="2"/>
  <c r="B400" i="2"/>
  <c r="A400" i="2"/>
  <c r="F399" i="2"/>
  <c r="E399" i="2"/>
  <c r="D399" i="2"/>
  <c r="C399" i="2"/>
  <c r="B399" i="2"/>
  <c r="A399" i="2"/>
  <c r="F398" i="2"/>
  <c r="E398" i="2"/>
  <c r="D398" i="2"/>
  <c r="C398" i="2"/>
  <c r="B398" i="2"/>
  <c r="A398" i="2"/>
  <c r="F397" i="2"/>
  <c r="E397" i="2"/>
  <c r="D397" i="2"/>
  <c r="C397" i="2"/>
  <c r="B397" i="2"/>
  <c r="A397" i="2"/>
  <c r="F396" i="2"/>
  <c r="E396" i="2"/>
  <c r="D396" i="2"/>
  <c r="C396" i="2"/>
  <c r="B396" i="2"/>
  <c r="A396" i="2"/>
  <c r="F395" i="2"/>
  <c r="E395" i="2"/>
  <c r="D395" i="2"/>
  <c r="C395" i="2"/>
  <c r="B395" i="2"/>
  <c r="A395" i="2"/>
  <c r="F394" i="2"/>
  <c r="E394" i="2"/>
  <c r="D394" i="2"/>
  <c r="C394" i="2"/>
  <c r="B394" i="2"/>
  <c r="A394" i="2"/>
  <c r="F393" i="2"/>
  <c r="E393" i="2"/>
  <c r="D393" i="2"/>
  <c r="C393" i="2"/>
  <c r="B393" i="2"/>
  <c r="A393" i="2"/>
  <c r="F392" i="2"/>
  <c r="E392" i="2"/>
  <c r="D392" i="2"/>
  <c r="C392" i="2"/>
  <c r="B392" i="2"/>
  <c r="A392" i="2"/>
  <c r="F391" i="2"/>
  <c r="E391" i="2"/>
  <c r="D391" i="2"/>
  <c r="C391" i="2"/>
  <c r="B391" i="2"/>
  <c r="A391" i="2"/>
  <c r="F390" i="2"/>
  <c r="E390" i="2"/>
  <c r="D390" i="2"/>
  <c r="C390" i="2"/>
  <c r="B390" i="2"/>
  <c r="A390" i="2"/>
  <c r="F389" i="2"/>
  <c r="E389" i="2"/>
  <c r="D389" i="2"/>
  <c r="C389" i="2"/>
  <c r="B389" i="2"/>
  <c r="A389" i="2"/>
  <c r="F388" i="2"/>
  <c r="E388" i="2"/>
  <c r="D388" i="2"/>
  <c r="C388" i="2"/>
  <c r="B388" i="2"/>
  <c r="A388" i="2"/>
  <c r="F387" i="2"/>
  <c r="E387" i="2"/>
  <c r="D387" i="2"/>
  <c r="C387" i="2"/>
  <c r="B387" i="2"/>
  <c r="A387" i="2"/>
  <c r="F386" i="2"/>
  <c r="E386" i="2"/>
  <c r="D386" i="2"/>
  <c r="C386" i="2"/>
  <c r="B386" i="2"/>
  <c r="A386" i="2"/>
  <c r="F385" i="2"/>
  <c r="E385" i="2"/>
  <c r="D385" i="2"/>
  <c r="C385" i="2"/>
  <c r="B385" i="2"/>
  <c r="A385" i="2"/>
  <c r="F384" i="2"/>
  <c r="E384" i="2"/>
  <c r="D384" i="2"/>
  <c r="C384" i="2"/>
  <c r="B384" i="2"/>
  <c r="A384" i="2"/>
  <c r="F383" i="2"/>
  <c r="E383" i="2"/>
  <c r="D383" i="2"/>
  <c r="C383" i="2"/>
  <c r="B383" i="2"/>
  <c r="A383" i="2"/>
  <c r="F382" i="2"/>
  <c r="E382" i="2"/>
  <c r="D382" i="2"/>
  <c r="C382" i="2"/>
  <c r="B382" i="2"/>
  <c r="A382" i="2"/>
  <c r="F381" i="2"/>
  <c r="E381" i="2"/>
  <c r="D381" i="2"/>
  <c r="C381" i="2"/>
  <c r="B381" i="2"/>
  <c r="A381" i="2"/>
  <c r="F380" i="2"/>
  <c r="E380" i="2"/>
  <c r="D380" i="2"/>
  <c r="C380" i="2"/>
  <c r="B380" i="2"/>
  <c r="A380" i="2"/>
  <c r="F379" i="2"/>
  <c r="E379" i="2"/>
  <c r="D379" i="2"/>
  <c r="C379" i="2"/>
  <c r="B379" i="2"/>
  <c r="A379" i="2"/>
  <c r="F378" i="2"/>
  <c r="E378" i="2"/>
  <c r="D378" i="2"/>
  <c r="C378" i="2"/>
  <c r="B378" i="2"/>
  <c r="A378" i="2"/>
  <c r="F377" i="2"/>
  <c r="E377" i="2"/>
  <c r="D377" i="2"/>
  <c r="C377" i="2"/>
  <c r="B377" i="2"/>
  <c r="A377" i="2"/>
  <c r="F376" i="2"/>
  <c r="E376" i="2"/>
  <c r="D376" i="2"/>
  <c r="C376" i="2"/>
  <c r="B376" i="2"/>
  <c r="A376" i="2"/>
  <c r="F375" i="2"/>
  <c r="E375" i="2"/>
  <c r="D375" i="2"/>
  <c r="C375" i="2"/>
  <c r="B375" i="2"/>
  <c r="A375" i="2"/>
  <c r="F374" i="2"/>
  <c r="E374" i="2"/>
  <c r="D374" i="2"/>
  <c r="C374" i="2"/>
  <c r="B374" i="2"/>
  <c r="A374" i="2"/>
  <c r="F373" i="2"/>
  <c r="E373" i="2"/>
  <c r="D373" i="2"/>
  <c r="C373" i="2"/>
  <c r="B373" i="2"/>
  <c r="A373" i="2"/>
  <c r="F372" i="2"/>
  <c r="E372" i="2"/>
  <c r="D372" i="2"/>
  <c r="C372" i="2"/>
  <c r="B372" i="2"/>
  <c r="A372" i="2"/>
  <c r="F371" i="2"/>
  <c r="E371" i="2"/>
  <c r="D371" i="2"/>
  <c r="C371" i="2"/>
  <c r="B371" i="2"/>
  <c r="A371" i="2"/>
  <c r="F370" i="2"/>
  <c r="E370" i="2"/>
  <c r="D370" i="2"/>
  <c r="C370" i="2"/>
  <c r="B370" i="2"/>
  <c r="A370" i="2"/>
  <c r="F369" i="2"/>
  <c r="E369" i="2"/>
  <c r="D369" i="2"/>
  <c r="C369" i="2"/>
  <c r="B369" i="2"/>
  <c r="A369" i="2"/>
  <c r="F368" i="2"/>
  <c r="E368" i="2"/>
  <c r="D368" i="2"/>
  <c r="C368" i="2"/>
  <c r="B368" i="2"/>
  <c r="A368" i="2"/>
  <c r="F367" i="2"/>
  <c r="E367" i="2"/>
  <c r="D367" i="2"/>
  <c r="C367" i="2"/>
  <c r="B367" i="2"/>
  <c r="A367" i="2"/>
  <c r="F366" i="2"/>
  <c r="E366" i="2"/>
  <c r="D366" i="2"/>
  <c r="C366" i="2"/>
  <c r="B366" i="2"/>
  <c r="A366" i="2"/>
  <c r="F365" i="2"/>
  <c r="E365" i="2"/>
  <c r="D365" i="2"/>
  <c r="C365" i="2"/>
  <c r="B365" i="2"/>
  <c r="A365" i="2"/>
  <c r="F364" i="2"/>
  <c r="E364" i="2"/>
  <c r="D364" i="2"/>
  <c r="C364" i="2"/>
  <c r="B364" i="2"/>
  <c r="A364" i="2"/>
  <c r="F363" i="2"/>
  <c r="E363" i="2"/>
  <c r="D363" i="2"/>
  <c r="C363" i="2"/>
  <c r="B363" i="2"/>
  <c r="A363" i="2"/>
  <c r="F362" i="2"/>
  <c r="E362" i="2"/>
  <c r="D362" i="2"/>
  <c r="C362" i="2"/>
  <c r="B362" i="2"/>
  <c r="A362" i="2"/>
  <c r="F361" i="2"/>
  <c r="E361" i="2"/>
  <c r="D361" i="2"/>
  <c r="C361" i="2"/>
  <c r="B361" i="2"/>
  <c r="A361" i="2"/>
  <c r="F360" i="2"/>
  <c r="E360" i="2"/>
  <c r="D360" i="2"/>
  <c r="C360" i="2"/>
  <c r="B360" i="2"/>
  <c r="A360" i="2"/>
  <c r="F359" i="2"/>
  <c r="E359" i="2"/>
  <c r="D359" i="2"/>
  <c r="C359" i="2"/>
  <c r="B359" i="2"/>
  <c r="A359" i="2"/>
  <c r="F358" i="2"/>
  <c r="E358" i="2"/>
  <c r="D358" i="2"/>
  <c r="C358" i="2"/>
  <c r="B358" i="2"/>
  <c r="A358" i="2"/>
  <c r="F357" i="2"/>
  <c r="E357" i="2"/>
  <c r="D357" i="2"/>
  <c r="C357" i="2"/>
  <c r="B357" i="2"/>
  <c r="A357" i="2"/>
  <c r="F356" i="2"/>
  <c r="E356" i="2"/>
  <c r="D356" i="2"/>
  <c r="C356" i="2"/>
  <c r="B356" i="2"/>
  <c r="A356" i="2"/>
  <c r="F355" i="2"/>
  <c r="E355" i="2"/>
  <c r="D355" i="2"/>
  <c r="C355" i="2"/>
  <c r="B355" i="2"/>
  <c r="A355" i="2"/>
  <c r="F354" i="2"/>
  <c r="E354" i="2"/>
  <c r="D354" i="2"/>
  <c r="C354" i="2"/>
  <c r="B354" i="2"/>
  <c r="A354" i="2"/>
  <c r="F353" i="2"/>
  <c r="E353" i="2"/>
  <c r="D353" i="2"/>
  <c r="C353" i="2"/>
  <c r="B353" i="2"/>
  <c r="A353" i="2"/>
  <c r="F352" i="2"/>
  <c r="E352" i="2"/>
  <c r="D352" i="2"/>
  <c r="C352" i="2"/>
  <c r="B352" i="2"/>
  <c r="A352" i="2"/>
  <c r="F351" i="2"/>
  <c r="E351" i="2"/>
  <c r="D351" i="2"/>
  <c r="C351" i="2"/>
  <c r="B351" i="2"/>
  <c r="A351" i="2"/>
  <c r="F350" i="2"/>
  <c r="E350" i="2"/>
  <c r="D350" i="2"/>
  <c r="C350" i="2"/>
  <c r="B350" i="2"/>
  <c r="A350" i="2"/>
  <c r="F349" i="2"/>
  <c r="E349" i="2"/>
  <c r="D349" i="2"/>
  <c r="C349" i="2"/>
  <c r="B349" i="2"/>
  <c r="A349" i="2"/>
  <c r="F348" i="2"/>
  <c r="E348" i="2"/>
  <c r="D348" i="2"/>
  <c r="C348" i="2"/>
  <c r="B348" i="2"/>
  <c r="A348" i="2"/>
  <c r="F347" i="2"/>
  <c r="E347" i="2"/>
  <c r="D347" i="2"/>
  <c r="C347" i="2"/>
  <c r="B347" i="2"/>
  <c r="A347" i="2"/>
  <c r="F346" i="2"/>
  <c r="E346" i="2"/>
  <c r="D346" i="2"/>
  <c r="C346" i="2"/>
  <c r="B346" i="2"/>
  <c r="A346" i="2"/>
  <c r="F345" i="2"/>
  <c r="E345" i="2"/>
  <c r="D345" i="2"/>
  <c r="C345" i="2"/>
  <c r="B345" i="2"/>
  <c r="A345" i="2"/>
  <c r="F344" i="2"/>
  <c r="E344" i="2"/>
  <c r="D344" i="2"/>
  <c r="C344" i="2"/>
  <c r="B344" i="2"/>
  <c r="A344" i="2"/>
  <c r="F343" i="2"/>
  <c r="E343" i="2"/>
  <c r="D343" i="2"/>
  <c r="C343" i="2"/>
  <c r="B343" i="2"/>
  <c r="A343" i="2"/>
  <c r="F342" i="2"/>
  <c r="E342" i="2"/>
  <c r="D342" i="2"/>
  <c r="C342" i="2"/>
  <c r="B342" i="2"/>
  <c r="A342" i="2"/>
  <c r="F341" i="2"/>
  <c r="E341" i="2"/>
  <c r="D341" i="2"/>
  <c r="C341" i="2"/>
  <c r="B341" i="2"/>
  <c r="A341" i="2"/>
  <c r="F340" i="2"/>
  <c r="E340" i="2"/>
  <c r="D340" i="2"/>
  <c r="C340" i="2"/>
  <c r="B340" i="2"/>
  <c r="A340" i="2"/>
  <c r="F339" i="2"/>
  <c r="E339" i="2"/>
  <c r="D339" i="2"/>
  <c r="C339" i="2"/>
  <c r="B339" i="2"/>
  <c r="A339" i="2"/>
  <c r="F338" i="2"/>
  <c r="E338" i="2"/>
  <c r="D338" i="2"/>
  <c r="C338" i="2"/>
  <c r="B338" i="2"/>
  <c r="A338" i="2"/>
  <c r="F337" i="2"/>
  <c r="E337" i="2"/>
  <c r="D337" i="2"/>
  <c r="C337" i="2"/>
  <c r="B337" i="2"/>
  <c r="A337" i="2"/>
  <c r="F336" i="2"/>
  <c r="E336" i="2"/>
  <c r="D336" i="2"/>
  <c r="C336" i="2"/>
  <c r="B336" i="2"/>
  <c r="A336" i="2"/>
  <c r="F335" i="2"/>
  <c r="E335" i="2"/>
  <c r="D335" i="2"/>
  <c r="C335" i="2"/>
  <c r="B335" i="2"/>
  <c r="A335" i="2"/>
  <c r="F334" i="2"/>
  <c r="E334" i="2"/>
  <c r="D334" i="2"/>
  <c r="C334" i="2"/>
  <c r="B334" i="2"/>
  <c r="A334" i="2"/>
  <c r="F333" i="2"/>
  <c r="E333" i="2"/>
  <c r="D333" i="2"/>
  <c r="C333" i="2"/>
  <c r="B333" i="2"/>
  <c r="A333" i="2"/>
  <c r="F332" i="2"/>
  <c r="E332" i="2"/>
  <c r="D332" i="2"/>
  <c r="C332" i="2"/>
  <c r="B332" i="2"/>
  <c r="A332" i="2"/>
  <c r="F331" i="2"/>
  <c r="E331" i="2"/>
  <c r="D331" i="2"/>
  <c r="C331" i="2"/>
  <c r="B331" i="2"/>
  <c r="A331" i="2"/>
  <c r="F330" i="2"/>
  <c r="E330" i="2"/>
  <c r="D330" i="2"/>
  <c r="C330" i="2"/>
  <c r="B330" i="2"/>
  <c r="A330" i="2"/>
  <c r="F329" i="2"/>
  <c r="E329" i="2"/>
  <c r="D329" i="2"/>
  <c r="C329" i="2"/>
  <c r="B329" i="2"/>
  <c r="A329" i="2"/>
  <c r="F328" i="2"/>
  <c r="E328" i="2"/>
  <c r="D328" i="2"/>
  <c r="C328" i="2"/>
  <c r="B328" i="2"/>
  <c r="A328" i="2"/>
  <c r="F327" i="2"/>
  <c r="E327" i="2"/>
  <c r="D327" i="2"/>
  <c r="C327" i="2"/>
  <c r="B327" i="2"/>
  <c r="A327" i="2"/>
  <c r="F326" i="2"/>
  <c r="E326" i="2"/>
  <c r="D326" i="2"/>
  <c r="C326" i="2"/>
  <c r="B326" i="2"/>
  <c r="A326" i="2"/>
  <c r="F325" i="2"/>
  <c r="E325" i="2"/>
  <c r="D325" i="2"/>
  <c r="C325" i="2"/>
  <c r="B325" i="2"/>
  <c r="A325" i="2"/>
  <c r="F324" i="2"/>
  <c r="E324" i="2"/>
  <c r="D324" i="2"/>
  <c r="C324" i="2"/>
  <c r="B324" i="2"/>
  <c r="A324" i="2"/>
  <c r="F323" i="2"/>
  <c r="E323" i="2"/>
  <c r="D323" i="2"/>
  <c r="C323" i="2"/>
  <c r="B323" i="2"/>
  <c r="A323" i="2"/>
  <c r="F322" i="2"/>
  <c r="E322" i="2"/>
  <c r="D322" i="2"/>
  <c r="C322" i="2"/>
  <c r="B322" i="2"/>
  <c r="A322" i="2"/>
  <c r="F321" i="2"/>
  <c r="E321" i="2"/>
  <c r="D321" i="2"/>
  <c r="C321" i="2"/>
  <c r="B321" i="2"/>
  <c r="A321" i="2"/>
  <c r="F320" i="2"/>
  <c r="E320" i="2"/>
  <c r="D320" i="2"/>
  <c r="C320" i="2"/>
  <c r="B320" i="2"/>
  <c r="A320" i="2"/>
  <c r="F319" i="2"/>
  <c r="E319" i="2"/>
  <c r="D319" i="2"/>
  <c r="C319" i="2"/>
  <c r="B319" i="2"/>
  <c r="A319" i="2"/>
  <c r="F318" i="2"/>
  <c r="E318" i="2"/>
  <c r="D318" i="2"/>
  <c r="C318" i="2"/>
  <c r="B318" i="2"/>
  <c r="A318" i="2"/>
  <c r="F317" i="2"/>
  <c r="E317" i="2"/>
  <c r="D317" i="2"/>
  <c r="C317" i="2"/>
  <c r="B317" i="2"/>
  <c r="A317" i="2"/>
  <c r="F316" i="2"/>
  <c r="E316" i="2"/>
  <c r="D316" i="2"/>
  <c r="C316" i="2"/>
  <c r="B316" i="2"/>
  <c r="A316" i="2"/>
  <c r="F315" i="2"/>
  <c r="E315" i="2"/>
  <c r="D315" i="2"/>
  <c r="C315" i="2"/>
  <c r="B315" i="2"/>
  <c r="A315" i="2"/>
  <c r="F314" i="2"/>
  <c r="E314" i="2"/>
  <c r="D314" i="2"/>
  <c r="C314" i="2"/>
  <c r="B314" i="2"/>
  <c r="A314" i="2"/>
  <c r="F313" i="2"/>
  <c r="E313" i="2"/>
  <c r="D313" i="2"/>
  <c r="C313" i="2"/>
  <c r="B313" i="2"/>
  <c r="A313" i="2"/>
  <c r="F312" i="2"/>
  <c r="E312" i="2"/>
  <c r="D312" i="2"/>
  <c r="C312" i="2"/>
  <c r="B312" i="2"/>
  <c r="A312" i="2"/>
  <c r="F311" i="2"/>
  <c r="E311" i="2"/>
  <c r="D311" i="2"/>
  <c r="C311" i="2"/>
  <c r="B311" i="2"/>
  <c r="A311" i="2"/>
  <c r="F310" i="2"/>
  <c r="E310" i="2"/>
  <c r="D310" i="2"/>
  <c r="C310" i="2"/>
  <c r="B310" i="2"/>
  <c r="A310" i="2"/>
  <c r="F309" i="2"/>
  <c r="E309" i="2"/>
  <c r="D309" i="2"/>
  <c r="C309" i="2"/>
  <c r="B309" i="2"/>
  <c r="A309" i="2"/>
  <c r="F308" i="2"/>
  <c r="E308" i="2"/>
  <c r="D308" i="2"/>
  <c r="C308" i="2"/>
  <c r="B308" i="2"/>
  <c r="A308" i="2"/>
  <c r="F307" i="2"/>
  <c r="E307" i="2"/>
  <c r="D307" i="2"/>
  <c r="C307" i="2"/>
  <c r="B307" i="2"/>
  <c r="A307" i="2"/>
  <c r="F306" i="2"/>
  <c r="E306" i="2"/>
  <c r="D306" i="2"/>
  <c r="C306" i="2"/>
  <c r="B306" i="2"/>
  <c r="A306" i="2"/>
  <c r="F305" i="2"/>
  <c r="E305" i="2"/>
  <c r="D305" i="2"/>
  <c r="C305" i="2"/>
  <c r="B305" i="2"/>
  <c r="A305" i="2"/>
  <c r="F304" i="2"/>
  <c r="E304" i="2"/>
  <c r="D304" i="2"/>
  <c r="C304" i="2"/>
  <c r="B304" i="2"/>
  <c r="A304" i="2"/>
  <c r="F303" i="2"/>
  <c r="E303" i="2"/>
  <c r="D303" i="2"/>
  <c r="C303" i="2"/>
  <c r="B303" i="2"/>
  <c r="A303" i="2"/>
  <c r="F302" i="2"/>
  <c r="E302" i="2"/>
  <c r="D302" i="2"/>
  <c r="C302" i="2"/>
  <c r="B302" i="2"/>
  <c r="A302" i="2"/>
  <c r="F301" i="2"/>
  <c r="E301" i="2"/>
  <c r="D301" i="2"/>
  <c r="C301" i="2"/>
  <c r="B301" i="2"/>
  <c r="A301" i="2"/>
  <c r="F300" i="2"/>
  <c r="E300" i="2"/>
  <c r="D300" i="2"/>
  <c r="C300" i="2"/>
  <c r="B300" i="2"/>
  <c r="A300" i="2"/>
  <c r="F299" i="2"/>
  <c r="E299" i="2"/>
  <c r="D299" i="2"/>
  <c r="C299" i="2"/>
  <c r="B299" i="2"/>
  <c r="A299" i="2"/>
  <c r="F298" i="2"/>
  <c r="E298" i="2"/>
  <c r="D298" i="2"/>
  <c r="C298" i="2"/>
  <c r="B298" i="2"/>
  <c r="A298" i="2"/>
  <c r="F297" i="2"/>
  <c r="E297" i="2"/>
  <c r="D297" i="2"/>
  <c r="C297" i="2"/>
  <c r="B297" i="2"/>
  <c r="A297" i="2"/>
  <c r="F296" i="2"/>
  <c r="E296" i="2"/>
  <c r="D296" i="2"/>
  <c r="C296" i="2"/>
  <c r="B296" i="2"/>
  <c r="A296" i="2"/>
  <c r="F295" i="2"/>
  <c r="E295" i="2"/>
  <c r="D295" i="2"/>
  <c r="C295" i="2"/>
  <c r="B295" i="2"/>
  <c r="A295" i="2"/>
  <c r="F294" i="2"/>
  <c r="E294" i="2"/>
  <c r="D294" i="2"/>
  <c r="C294" i="2"/>
  <c r="B294" i="2"/>
  <c r="A294" i="2"/>
  <c r="F293" i="2"/>
  <c r="E293" i="2"/>
  <c r="D293" i="2"/>
  <c r="C293" i="2"/>
  <c r="B293" i="2"/>
  <c r="A293" i="2"/>
  <c r="F292" i="2"/>
  <c r="E292" i="2"/>
  <c r="D292" i="2"/>
  <c r="C292" i="2"/>
  <c r="B292" i="2"/>
  <c r="A292" i="2"/>
  <c r="F291" i="2"/>
  <c r="E291" i="2"/>
  <c r="D291" i="2"/>
  <c r="C291" i="2"/>
  <c r="B291" i="2"/>
  <c r="A291" i="2"/>
  <c r="F290" i="2"/>
  <c r="E290" i="2"/>
  <c r="D290" i="2"/>
  <c r="C290" i="2"/>
  <c r="B290" i="2"/>
  <c r="A290" i="2"/>
  <c r="F289" i="2"/>
  <c r="E289" i="2"/>
  <c r="D289" i="2"/>
  <c r="C289" i="2"/>
  <c r="B289" i="2"/>
  <c r="A289" i="2"/>
  <c r="F288" i="2"/>
  <c r="E288" i="2"/>
  <c r="D288" i="2"/>
  <c r="C288" i="2"/>
  <c r="B288" i="2"/>
  <c r="A288" i="2"/>
  <c r="F287" i="2"/>
  <c r="E287" i="2"/>
  <c r="D287" i="2"/>
  <c r="C287" i="2"/>
  <c r="B287" i="2"/>
  <c r="A287" i="2"/>
  <c r="F286" i="2"/>
  <c r="E286" i="2"/>
  <c r="D286" i="2"/>
  <c r="C286" i="2"/>
  <c r="B286" i="2"/>
  <c r="A286" i="2"/>
  <c r="F285" i="2"/>
  <c r="E285" i="2"/>
  <c r="D285" i="2"/>
  <c r="C285" i="2"/>
  <c r="B285" i="2"/>
  <c r="A285" i="2"/>
  <c r="F284" i="2"/>
  <c r="E284" i="2"/>
  <c r="D284" i="2"/>
  <c r="C284" i="2"/>
  <c r="B284" i="2"/>
  <c r="A284" i="2"/>
  <c r="F283" i="2"/>
  <c r="E283" i="2"/>
  <c r="D283" i="2"/>
  <c r="C283" i="2"/>
  <c r="B283" i="2"/>
  <c r="A283" i="2"/>
  <c r="F282" i="2"/>
  <c r="E282" i="2"/>
  <c r="D282" i="2"/>
  <c r="C282" i="2"/>
  <c r="B282" i="2"/>
  <c r="A282" i="2"/>
  <c r="F281" i="2"/>
  <c r="E281" i="2"/>
  <c r="D281" i="2"/>
  <c r="C281" i="2"/>
  <c r="B281" i="2"/>
  <c r="A281" i="2"/>
  <c r="F280" i="2"/>
  <c r="E280" i="2"/>
  <c r="D280" i="2"/>
  <c r="C280" i="2"/>
  <c r="B280" i="2"/>
  <c r="A280" i="2"/>
  <c r="F279" i="2"/>
  <c r="E279" i="2"/>
  <c r="D279" i="2"/>
  <c r="C279" i="2"/>
  <c r="B279" i="2"/>
  <c r="A279" i="2"/>
  <c r="F278" i="2"/>
  <c r="E278" i="2"/>
  <c r="D278" i="2"/>
  <c r="C278" i="2"/>
  <c r="B278" i="2"/>
  <c r="A278" i="2"/>
  <c r="F277" i="2"/>
  <c r="E277" i="2"/>
  <c r="D277" i="2"/>
  <c r="C277" i="2"/>
  <c r="B277" i="2"/>
  <c r="A277" i="2"/>
  <c r="F276" i="2"/>
  <c r="E276" i="2"/>
  <c r="D276" i="2"/>
  <c r="C276" i="2"/>
  <c r="B276" i="2"/>
  <c r="A276" i="2"/>
  <c r="F275" i="2"/>
  <c r="E275" i="2"/>
  <c r="D275" i="2"/>
  <c r="C275" i="2"/>
  <c r="B275" i="2"/>
  <c r="A275" i="2"/>
  <c r="F274" i="2"/>
  <c r="E274" i="2"/>
  <c r="D274" i="2"/>
  <c r="C274" i="2"/>
  <c r="B274" i="2"/>
  <c r="A274" i="2"/>
  <c r="F273" i="2"/>
  <c r="E273" i="2"/>
  <c r="D273" i="2"/>
  <c r="C273" i="2"/>
  <c r="B273" i="2"/>
  <c r="A273" i="2"/>
  <c r="F272" i="2"/>
  <c r="E272" i="2"/>
  <c r="D272" i="2"/>
  <c r="C272" i="2"/>
  <c r="B272" i="2"/>
  <c r="A272" i="2"/>
  <c r="F271" i="2"/>
  <c r="E271" i="2"/>
  <c r="D271" i="2"/>
  <c r="C271" i="2"/>
  <c r="B271" i="2"/>
  <c r="A271" i="2"/>
  <c r="F270" i="2"/>
  <c r="E270" i="2"/>
  <c r="D270" i="2"/>
  <c r="C270" i="2"/>
  <c r="B270" i="2"/>
  <c r="A270" i="2"/>
  <c r="F269" i="2"/>
  <c r="E269" i="2"/>
  <c r="D269" i="2"/>
  <c r="C269" i="2"/>
  <c r="B269" i="2"/>
  <c r="A269" i="2"/>
  <c r="F268" i="2"/>
  <c r="E268" i="2"/>
  <c r="D268" i="2"/>
  <c r="C268" i="2"/>
  <c r="B268" i="2"/>
  <c r="A268" i="2"/>
  <c r="F267" i="2"/>
  <c r="E267" i="2"/>
  <c r="D267" i="2"/>
  <c r="C267" i="2"/>
  <c r="B267" i="2"/>
  <c r="A267" i="2"/>
  <c r="F266" i="2"/>
  <c r="E266" i="2"/>
  <c r="D266" i="2"/>
  <c r="C266" i="2"/>
  <c r="B266" i="2"/>
  <c r="A266" i="2"/>
  <c r="F265" i="2"/>
  <c r="E265" i="2"/>
  <c r="D265" i="2"/>
  <c r="C265" i="2"/>
  <c r="B265" i="2"/>
  <c r="A265" i="2"/>
  <c r="F264" i="2"/>
  <c r="E264" i="2"/>
  <c r="D264" i="2"/>
  <c r="C264" i="2"/>
  <c r="B264" i="2"/>
  <c r="A264" i="2"/>
  <c r="F263" i="2"/>
  <c r="E263" i="2"/>
  <c r="D263" i="2"/>
  <c r="C263" i="2"/>
  <c r="B263" i="2"/>
  <c r="A263" i="2"/>
  <c r="F262" i="2"/>
  <c r="E262" i="2"/>
  <c r="D262" i="2"/>
  <c r="C262" i="2"/>
  <c r="B262" i="2"/>
  <c r="A262" i="2"/>
  <c r="F261" i="2"/>
  <c r="E261" i="2"/>
  <c r="D261" i="2"/>
  <c r="C261" i="2"/>
  <c r="B261" i="2"/>
  <c r="A261" i="2"/>
  <c r="F260" i="2"/>
  <c r="E260" i="2"/>
  <c r="D260" i="2"/>
  <c r="C260" i="2"/>
  <c r="B260" i="2"/>
  <c r="A260" i="2"/>
  <c r="F259" i="2"/>
  <c r="E259" i="2"/>
  <c r="D259" i="2"/>
  <c r="C259" i="2"/>
  <c r="B259" i="2"/>
  <c r="A259" i="2"/>
  <c r="F258" i="2"/>
  <c r="E258" i="2"/>
  <c r="D258" i="2"/>
  <c r="C258" i="2"/>
  <c r="B258" i="2"/>
  <c r="A258" i="2"/>
  <c r="F257" i="2"/>
  <c r="E257" i="2"/>
  <c r="D257" i="2"/>
  <c r="C257" i="2"/>
  <c r="B257" i="2"/>
  <c r="A257" i="2"/>
  <c r="F256" i="2"/>
  <c r="E256" i="2"/>
  <c r="D256" i="2"/>
  <c r="C256" i="2"/>
  <c r="B256" i="2"/>
  <c r="A256" i="2"/>
  <c r="F255" i="2"/>
  <c r="E255" i="2"/>
  <c r="D255" i="2"/>
  <c r="C255" i="2"/>
  <c r="B255" i="2"/>
  <c r="A255" i="2"/>
  <c r="F254" i="2"/>
  <c r="E254" i="2"/>
  <c r="D254" i="2"/>
  <c r="C254" i="2"/>
  <c r="B254" i="2"/>
  <c r="A254" i="2"/>
  <c r="F253" i="2"/>
  <c r="E253" i="2"/>
  <c r="D253" i="2"/>
  <c r="C253" i="2"/>
  <c r="B253" i="2"/>
  <c r="A253" i="2"/>
  <c r="F252" i="2"/>
  <c r="E252" i="2"/>
  <c r="D252" i="2"/>
  <c r="C252" i="2"/>
  <c r="B252" i="2"/>
  <c r="A252" i="2"/>
  <c r="F251" i="2"/>
  <c r="E251" i="2"/>
  <c r="D251" i="2"/>
  <c r="C251" i="2"/>
  <c r="B251" i="2"/>
  <c r="A251" i="2"/>
  <c r="F250" i="2"/>
  <c r="E250" i="2"/>
  <c r="D250" i="2"/>
  <c r="C250" i="2"/>
  <c r="B250" i="2"/>
  <c r="A250" i="2"/>
  <c r="F249" i="2"/>
  <c r="E249" i="2"/>
  <c r="D249" i="2"/>
  <c r="C249" i="2"/>
  <c r="B249" i="2"/>
  <c r="A249" i="2"/>
  <c r="F248" i="2"/>
  <c r="E248" i="2"/>
  <c r="D248" i="2"/>
  <c r="C248" i="2"/>
  <c r="B248" i="2"/>
  <c r="A248" i="2"/>
  <c r="F247" i="2"/>
  <c r="E247" i="2"/>
  <c r="D247" i="2"/>
  <c r="C247" i="2"/>
  <c r="B247" i="2"/>
  <c r="A247" i="2"/>
  <c r="F246" i="2"/>
  <c r="E246" i="2"/>
  <c r="D246" i="2"/>
  <c r="C246" i="2"/>
  <c r="B246" i="2"/>
  <c r="A246" i="2"/>
  <c r="F245" i="2"/>
  <c r="E245" i="2"/>
  <c r="D245" i="2"/>
  <c r="C245" i="2"/>
  <c r="B245" i="2"/>
  <c r="A245" i="2"/>
  <c r="F244" i="2"/>
  <c r="E244" i="2"/>
  <c r="D244" i="2"/>
  <c r="C244" i="2"/>
  <c r="B244" i="2"/>
  <c r="A244" i="2"/>
  <c r="F243" i="2"/>
  <c r="E243" i="2"/>
  <c r="D243" i="2"/>
  <c r="C243" i="2"/>
  <c r="B243" i="2"/>
  <c r="A243" i="2"/>
  <c r="F242" i="2"/>
  <c r="E242" i="2"/>
  <c r="D242" i="2"/>
  <c r="C242" i="2"/>
  <c r="B242" i="2"/>
  <c r="A242" i="2"/>
  <c r="F241" i="2"/>
  <c r="E241" i="2"/>
  <c r="D241" i="2"/>
  <c r="C241" i="2"/>
  <c r="B241" i="2"/>
  <c r="A241" i="2"/>
  <c r="F240" i="2"/>
  <c r="E240" i="2"/>
  <c r="D240" i="2"/>
  <c r="C240" i="2"/>
  <c r="B240" i="2"/>
  <c r="A240" i="2"/>
  <c r="F239" i="2"/>
  <c r="E239" i="2"/>
  <c r="D239" i="2"/>
  <c r="C239" i="2"/>
  <c r="B239" i="2"/>
  <c r="A239" i="2"/>
  <c r="F238" i="2"/>
  <c r="E238" i="2"/>
  <c r="D238" i="2"/>
  <c r="C238" i="2"/>
  <c r="B238" i="2"/>
  <c r="A238" i="2"/>
  <c r="F237" i="2"/>
  <c r="E237" i="2"/>
  <c r="D237" i="2"/>
  <c r="C237" i="2"/>
  <c r="B237" i="2"/>
  <c r="A237" i="2"/>
  <c r="F236" i="2"/>
  <c r="E236" i="2"/>
  <c r="D236" i="2"/>
  <c r="C236" i="2"/>
  <c r="B236" i="2"/>
  <c r="A236" i="2"/>
  <c r="F235" i="2"/>
  <c r="E235" i="2"/>
  <c r="D235" i="2"/>
  <c r="C235" i="2"/>
  <c r="B235" i="2"/>
  <c r="A235" i="2"/>
  <c r="F234" i="2"/>
  <c r="E234" i="2"/>
  <c r="D234" i="2"/>
  <c r="C234" i="2"/>
  <c r="B234" i="2"/>
  <c r="A234" i="2"/>
  <c r="F233" i="2"/>
  <c r="E233" i="2"/>
  <c r="D233" i="2"/>
  <c r="C233" i="2"/>
  <c r="B233" i="2"/>
  <c r="A233" i="2"/>
  <c r="F232" i="2"/>
  <c r="E232" i="2"/>
  <c r="D232" i="2"/>
  <c r="C232" i="2"/>
  <c r="B232" i="2"/>
  <c r="A232" i="2"/>
  <c r="F231" i="2"/>
  <c r="E231" i="2"/>
  <c r="D231" i="2"/>
  <c r="C231" i="2"/>
  <c r="B231" i="2"/>
  <c r="A231" i="2"/>
  <c r="F230" i="2"/>
  <c r="E230" i="2"/>
  <c r="D230" i="2"/>
  <c r="C230" i="2"/>
  <c r="B230" i="2"/>
  <c r="A230" i="2"/>
  <c r="F229" i="2"/>
  <c r="E229" i="2"/>
  <c r="D229" i="2"/>
  <c r="C229" i="2"/>
  <c r="B229" i="2"/>
  <c r="A229" i="2"/>
  <c r="F228" i="2"/>
  <c r="E228" i="2"/>
  <c r="D228" i="2"/>
  <c r="C228" i="2"/>
  <c r="B228" i="2"/>
  <c r="A228" i="2"/>
  <c r="F227" i="2"/>
  <c r="E227" i="2"/>
  <c r="D227" i="2"/>
  <c r="C227" i="2"/>
  <c r="B227" i="2"/>
  <c r="A227" i="2"/>
  <c r="F226" i="2"/>
  <c r="E226" i="2"/>
  <c r="D226" i="2"/>
  <c r="C226" i="2"/>
  <c r="B226" i="2"/>
  <c r="A226" i="2"/>
  <c r="F225" i="2"/>
  <c r="E225" i="2"/>
  <c r="D225" i="2"/>
  <c r="C225" i="2"/>
  <c r="B225" i="2"/>
  <c r="A225" i="2"/>
  <c r="F224" i="2"/>
  <c r="E224" i="2"/>
  <c r="D224" i="2"/>
  <c r="C224" i="2"/>
  <c r="B224" i="2"/>
  <c r="A224" i="2"/>
  <c r="F223" i="2"/>
  <c r="E223" i="2"/>
  <c r="D223" i="2"/>
  <c r="C223" i="2"/>
  <c r="B223" i="2"/>
  <c r="A223" i="2"/>
  <c r="F222" i="2"/>
  <c r="E222" i="2"/>
  <c r="D222" i="2"/>
  <c r="C222" i="2"/>
  <c r="B222" i="2"/>
  <c r="A222" i="2"/>
  <c r="F221" i="2"/>
  <c r="E221" i="2"/>
  <c r="D221" i="2"/>
  <c r="C221" i="2"/>
  <c r="B221" i="2"/>
  <c r="A221" i="2"/>
  <c r="F220" i="2"/>
  <c r="E220" i="2"/>
  <c r="D220" i="2"/>
  <c r="C220" i="2"/>
  <c r="B220" i="2"/>
  <c r="A220" i="2"/>
  <c r="F219" i="2"/>
  <c r="E219" i="2"/>
  <c r="D219" i="2"/>
  <c r="C219" i="2"/>
  <c r="B219" i="2"/>
  <c r="A219" i="2"/>
  <c r="F218" i="2"/>
  <c r="E218" i="2"/>
  <c r="D218" i="2"/>
  <c r="C218" i="2"/>
  <c r="B218" i="2"/>
  <c r="A218" i="2"/>
  <c r="F217" i="2"/>
  <c r="E217" i="2"/>
  <c r="D217" i="2"/>
  <c r="C217" i="2"/>
  <c r="B217" i="2"/>
  <c r="A217" i="2"/>
  <c r="F216" i="2"/>
  <c r="E216" i="2"/>
  <c r="D216" i="2"/>
  <c r="C216" i="2"/>
  <c r="B216" i="2"/>
  <c r="A216" i="2"/>
  <c r="F215" i="2"/>
  <c r="E215" i="2"/>
  <c r="D215" i="2"/>
  <c r="C215" i="2"/>
  <c r="B215" i="2"/>
  <c r="A215" i="2"/>
  <c r="F214" i="2"/>
  <c r="E214" i="2"/>
  <c r="D214" i="2"/>
  <c r="C214" i="2"/>
  <c r="B214" i="2"/>
  <c r="A214" i="2"/>
  <c r="F213" i="2"/>
  <c r="E213" i="2"/>
  <c r="D213" i="2"/>
  <c r="C213" i="2"/>
  <c r="B213" i="2"/>
  <c r="A213" i="2"/>
  <c r="F212" i="2"/>
  <c r="E212" i="2"/>
  <c r="D212" i="2"/>
  <c r="C212" i="2"/>
  <c r="B212" i="2"/>
  <c r="A212" i="2"/>
  <c r="F211" i="2"/>
  <c r="E211" i="2"/>
  <c r="D211" i="2"/>
  <c r="C211" i="2"/>
  <c r="B211" i="2"/>
  <c r="A211" i="2"/>
  <c r="F210" i="2"/>
  <c r="E210" i="2"/>
  <c r="D210" i="2"/>
  <c r="C210" i="2"/>
  <c r="B210" i="2"/>
  <c r="A210" i="2"/>
  <c r="F209" i="2"/>
  <c r="E209" i="2"/>
  <c r="D209" i="2"/>
  <c r="C209" i="2"/>
  <c r="B209" i="2"/>
  <c r="A209" i="2"/>
  <c r="F208" i="2"/>
  <c r="E208" i="2"/>
  <c r="D208" i="2"/>
  <c r="C208" i="2"/>
  <c r="B208" i="2"/>
  <c r="A208" i="2"/>
  <c r="F207" i="2"/>
  <c r="E207" i="2"/>
  <c r="D207" i="2"/>
  <c r="C207" i="2"/>
  <c r="B207" i="2"/>
  <c r="A207" i="2"/>
  <c r="F206" i="2"/>
  <c r="E206" i="2"/>
  <c r="D206" i="2"/>
  <c r="C206" i="2"/>
  <c r="B206" i="2"/>
  <c r="A206" i="2"/>
  <c r="F205" i="2"/>
  <c r="E205" i="2"/>
  <c r="D205" i="2"/>
  <c r="C205" i="2"/>
  <c r="B205" i="2"/>
  <c r="A205" i="2"/>
  <c r="F204" i="2"/>
  <c r="E204" i="2"/>
  <c r="D204" i="2"/>
  <c r="C204" i="2"/>
  <c r="B204" i="2"/>
  <c r="A204" i="2"/>
  <c r="F203" i="2"/>
  <c r="E203" i="2"/>
  <c r="D203" i="2"/>
  <c r="C203" i="2"/>
  <c r="B203" i="2"/>
  <c r="A203" i="2"/>
  <c r="F202" i="2"/>
  <c r="E202" i="2"/>
  <c r="D202" i="2"/>
  <c r="C202" i="2"/>
  <c r="B202" i="2"/>
  <c r="A202" i="2"/>
  <c r="F201" i="2"/>
  <c r="E201" i="2"/>
  <c r="D201" i="2"/>
  <c r="C201" i="2"/>
  <c r="B201" i="2"/>
  <c r="A201" i="2"/>
  <c r="F200" i="2"/>
  <c r="E200" i="2"/>
  <c r="D200" i="2"/>
  <c r="C200" i="2"/>
  <c r="B200" i="2"/>
  <c r="A200" i="2"/>
  <c r="F199" i="2"/>
  <c r="E199" i="2"/>
  <c r="D199" i="2"/>
  <c r="C199" i="2"/>
  <c r="B199" i="2"/>
  <c r="A199" i="2"/>
  <c r="F198" i="2"/>
  <c r="E198" i="2"/>
  <c r="D198" i="2"/>
  <c r="C198" i="2"/>
  <c r="B198" i="2"/>
  <c r="A198" i="2"/>
  <c r="F197" i="2"/>
  <c r="E197" i="2"/>
  <c r="D197" i="2"/>
  <c r="C197" i="2"/>
  <c r="B197" i="2"/>
  <c r="A197" i="2"/>
  <c r="F196" i="2"/>
  <c r="E196" i="2"/>
  <c r="D196" i="2"/>
  <c r="C196" i="2"/>
  <c r="B196" i="2"/>
  <c r="A196" i="2"/>
  <c r="F195" i="2"/>
  <c r="E195" i="2"/>
  <c r="D195" i="2"/>
  <c r="C195" i="2"/>
  <c r="B195" i="2"/>
  <c r="A195" i="2"/>
  <c r="F194" i="2"/>
  <c r="E194" i="2"/>
  <c r="D194" i="2"/>
  <c r="C194" i="2"/>
  <c r="B194" i="2"/>
  <c r="A194" i="2"/>
  <c r="F193" i="2"/>
  <c r="E193" i="2"/>
  <c r="D193" i="2"/>
  <c r="C193" i="2"/>
  <c r="B193" i="2"/>
  <c r="A193" i="2"/>
  <c r="F192" i="2"/>
  <c r="E192" i="2"/>
  <c r="D192" i="2"/>
  <c r="C192" i="2"/>
  <c r="B192" i="2"/>
  <c r="A192" i="2"/>
  <c r="F191" i="2"/>
  <c r="E191" i="2"/>
  <c r="D191" i="2"/>
  <c r="C191" i="2"/>
  <c r="B191" i="2"/>
  <c r="A191" i="2"/>
  <c r="F190" i="2"/>
  <c r="E190" i="2"/>
  <c r="D190" i="2"/>
  <c r="C190" i="2"/>
  <c r="B190" i="2"/>
  <c r="A190" i="2"/>
  <c r="F189" i="2"/>
  <c r="E189" i="2"/>
  <c r="D189" i="2"/>
  <c r="C189" i="2"/>
  <c r="B189" i="2"/>
  <c r="A189" i="2"/>
  <c r="F188" i="2"/>
  <c r="E188" i="2"/>
  <c r="D188" i="2"/>
  <c r="C188" i="2"/>
  <c r="B188" i="2"/>
  <c r="A188" i="2"/>
  <c r="F187" i="2"/>
  <c r="E187" i="2"/>
  <c r="D187" i="2"/>
  <c r="C187" i="2"/>
  <c r="B187" i="2"/>
  <c r="A187" i="2"/>
  <c r="F186" i="2"/>
  <c r="E186" i="2"/>
  <c r="D186" i="2"/>
  <c r="C186" i="2"/>
  <c r="B186" i="2"/>
  <c r="A186" i="2"/>
  <c r="F185" i="2"/>
  <c r="E185" i="2"/>
  <c r="D185" i="2"/>
  <c r="C185" i="2"/>
  <c r="B185" i="2"/>
  <c r="A185" i="2"/>
  <c r="F184" i="2"/>
  <c r="E184" i="2"/>
  <c r="D184" i="2"/>
  <c r="C184" i="2"/>
  <c r="B184" i="2"/>
  <c r="A184" i="2"/>
  <c r="F183" i="2"/>
  <c r="E183" i="2"/>
  <c r="D183" i="2"/>
  <c r="C183" i="2"/>
  <c r="B183" i="2"/>
  <c r="A183" i="2"/>
  <c r="F182" i="2"/>
  <c r="E182" i="2"/>
  <c r="D182" i="2"/>
  <c r="C182" i="2"/>
  <c r="B182" i="2"/>
  <c r="A182" i="2"/>
  <c r="F181" i="2"/>
  <c r="E181" i="2"/>
  <c r="D181" i="2"/>
  <c r="C181" i="2"/>
  <c r="B181" i="2"/>
  <c r="A181" i="2"/>
  <c r="F180" i="2"/>
  <c r="E180" i="2"/>
  <c r="D180" i="2"/>
  <c r="C180" i="2"/>
  <c r="B180" i="2"/>
  <c r="A180" i="2"/>
  <c r="F179" i="2"/>
  <c r="E179" i="2"/>
  <c r="D179" i="2"/>
  <c r="C179" i="2"/>
  <c r="B179" i="2"/>
  <c r="A179" i="2"/>
  <c r="F178" i="2"/>
  <c r="E178" i="2"/>
  <c r="D178" i="2"/>
  <c r="C178" i="2"/>
  <c r="B178" i="2"/>
  <c r="A178" i="2"/>
  <c r="F177" i="2"/>
  <c r="E177" i="2"/>
  <c r="D177" i="2"/>
  <c r="C177" i="2"/>
  <c r="B177" i="2"/>
  <c r="A177" i="2"/>
  <c r="F176" i="2"/>
  <c r="E176" i="2"/>
  <c r="D176" i="2"/>
  <c r="C176" i="2"/>
  <c r="B176" i="2"/>
  <c r="A176" i="2"/>
  <c r="F175" i="2"/>
  <c r="E175" i="2"/>
  <c r="D175" i="2"/>
  <c r="C175" i="2"/>
  <c r="B175" i="2"/>
  <c r="A175" i="2"/>
  <c r="F174" i="2"/>
  <c r="E174" i="2"/>
  <c r="D174" i="2"/>
  <c r="C174" i="2"/>
  <c r="B174" i="2"/>
  <c r="A174" i="2"/>
  <c r="F173" i="2"/>
  <c r="E173" i="2"/>
  <c r="D173" i="2"/>
  <c r="C173" i="2"/>
  <c r="B173" i="2"/>
  <c r="A173" i="2"/>
  <c r="F172" i="2"/>
  <c r="E172" i="2"/>
  <c r="D172" i="2"/>
  <c r="C172" i="2"/>
  <c r="B172" i="2"/>
  <c r="A172" i="2"/>
  <c r="F171" i="2"/>
  <c r="E171" i="2"/>
  <c r="D171" i="2"/>
  <c r="C171" i="2"/>
  <c r="B171" i="2"/>
  <c r="A171" i="2"/>
  <c r="F170" i="2"/>
  <c r="E170" i="2"/>
  <c r="D170" i="2"/>
  <c r="C170" i="2"/>
  <c r="B170" i="2"/>
  <c r="A170" i="2"/>
  <c r="F169" i="2"/>
  <c r="E169" i="2"/>
  <c r="D169" i="2"/>
  <c r="C169" i="2"/>
  <c r="B169" i="2"/>
  <c r="A169" i="2"/>
  <c r="F168" i="2"/>
  <c r="E168" i="2"/>
  <c r="D168" i="2"/>
  <c r="C168" i="2"/>
  <c r="B168" i="2"/>
  <c r="A168" i="2"/>
  <c r="F167" i="2"/>
  <c r="E167" i="2"/>
  <c r="D167" i="2"/>
  <c r="C167" i="2"/>
  <c r="B167" i="2"/>
  <c r="A167" i="2"/>
  <c r="F166" i="2"/>
  <c r="E166" i="2"/>
  <c r="D166" i="2"/>
  <c r="C166" i="2"/>
  <c r="B166" i="2"/>
  <c r="A166" i="2"/>
  <c r="F165" i="2"/>
  <c r="E165" i="2"/>
  <c r="D165" i="2"/>
  <c r="C165" i="2"/>
  <c r="B165" i="2"/>
  <c r="A165" i="2"/>
  <c r="F164" i="2"/>
  <c r="E164" i="2"/>
  <c r="D164" i="2"/>
  <c r="C164" i="2"/>
  <c r="B164" i="2"/>
  <c r="A164" i="2"/>
  <c r="F163" i="2"/>
  <c r="E163" i="2"/>
  <c r="D163" i="2"/>
  <c r="C163" i="2"/>
  <c r="B163" i="2"/>
  <c r="A163" i="2"/>
  <c r="F162" i="2"/>
  <c r="E162" i="2"/>
  <c r="D162" i="2"/>
  <c r="C162" i="2"/>
  <c r="B162" i="2"/>
  <c r="A162" i="2"/>
  <c r="F161" i="2"/>
  <c r="E161" i="2"/>
  <c r="D161" i="2"/>
  <c r="C161" i="2"/>
  <c r="B161" i="2"/>
  <c r="A161" i="2"/>
  <c r="F160" i="2"/>
  <c r="E160" i="2"/>
  <c r="D160" i="2"/>
  <c r="C160" i="2"/>
  <c r="B160" i="2"/>
  <c r="A160" i="2"/>
  <c r="F159" i="2"/>
  <c r="E159" i="2"/>
  <c r="D159" i="2"/>
  <c r="C159" i="2"/>
  <c r="B159" i="2"/>
  <c r="A159" i="2"/>
  <c r="F158" i="2"/>
  <c r="E158" i="2"/>
  <c r="D158" i="2"/>
  <c r="C158" i="2"/>
  <c r="B158" i="2"/>
  <c r="A158" i="2"/>
  <c r="F157" i="2"/>
  <c r="E157" i="2"/>
  <c r="D157" i="2"/>
  <c r="C157" i="2"/>
  <c r="B157" i="2"/>
  <c r="A157" i="2"/>
  <c r="F156" i="2"/>
  <c r="E156" i="2"/>
  <c r="D156" i="2"/>
  <c r="C156" i="2"/>
  <c r="B156" i="2"/>
  <c r="A156" i="2"/>
  <c r="F155" i="2"/>
  <c r="E155" i="2"/>
  <c r="D155" i="2"/>
  <c r="C155" i="2"/>
  <c r="B155" i="2"/>
  <c r="A155" i="2"/>
  <c r="F154" i="2"/>
  <c r="E154" i="2"/>
  <c r="D154" i="2"/>
  <c r="C154" i="2"/>
  <c r="B154" i="2"/>
  <c r="A154" i="2"/>
  <c r="F153" i="2"/>
  <c r="E153" i="2"/>
  <c r="D153" i="2"/>
  <c r="C153" i="2"/>
  <c r="B153" i="2"/>
  <c r="A153" i="2"/>
  <c r="F152" i="2"/>
  <c r="E152" i="2"/>
  <c r="D152" i="2"/>
  <c r="C152" i="2"/>
  <c r="B152" i="2"/>
  <c r="A152" i="2"/>
  <c r="F151" i="2"/>
  <c r="E151" i="2"/>
  <c r="D151" i="2"/>
  <c r="C151" i="2"/>
  <c r="B151" i="2"/>
  <c r="A151" i="2"/>
  <c r="F150" i="2"/>
  <c r="E150" i="2"/>
  <c r="D150" i="2"/>
  <c r="C150" i="2"/>
  <c r="B150" i="2"/>
  <c r="A150" i="2"/>
  <c r="F149" i="2"/>
  <c r="E149" i="2"/>
  <c r="D149" i="2"/>
  <c r="C149" i="2"/>
  <c r="B149" i="2"/>
  <c r="A149" i="2"/>
  <c r="F148" i="2"/>
  <c r="E148" i="2"/>
  <c r="D148" i="2"/>
  <c r="C148" i="2"/>
  <c r="B148" i="2"/>
  <c r="A148" i="2"/>
  <c r="F147" i="2"/>
  <c r="E147" i="2"/>
  <c r="D147" i="2"/>
  <c r="C147" i="2"/>
  <c r="B147" i="2"/>
  <c r="A147" i="2"/>
  <c r="F146" i="2"/>
  <c r="E146" i="2"/>
  <c r="D146" i="2"/>
  <c r="C146" i="2"/>
  <c r="B146" i="2"/>
  <c r="A146" i="2"/>
  <c r="F145" i="2"/>
  <c r="E145" i="2"/>
  <c r="D145" i="2"/>
  <c r="C145" i="2"/>
  <c r="B145" i="2"/>
  <c r="A145" i="2"/>
  <c r="F144" i="2"/>
  <c r="E144" i="2"/>
  <c r="D144" i="2"/>
  <c r="C144" i="2"/>
  <c r="B144" i="2"/>
  <c r="A144" i="2"/>
  <c r="F143" i="2"/>
  <c r="E143" i="2"/>
  <c r="D143" i="2"/>
  <c r="C143" i="2"/>
  <c r="B143" i="2"/>
  <c r="A143" i="2"/>
  <c r="F142" i="2"/>
  <c r="E142" i="2"/>
  <c r="D142" i="2"/>
  <c r="C142" i="2"/>
  <c r="B142" i="2"/>
  <c r="A142" i="2"/>
  <c r="F141" i="2"/>
  <c r="E141" i="2"/>
  <c r="D141" i="2"/>
  <c r="C141" i="2"/>
  <c r="B141" i="2"/>
  <c r="A141" i="2"/>
  <c r="F140" i="2"/>
  <c r="E140" i="2"/>
  <c r="D140" i="2"/>
  <c r="C140" i="2"/>
  <c r="B140" i="2"/>
  <c r="A140" i="2"/>
  <c r="F139" i="2"/>
  <c r="E139" i="2"/>
  <c r="D139" i="2"/>
  <c r="C139" i="2"/>
  <c r="B139" i="2"/>
  <c r="A139" i="2"/>
  <c r="F138" i="2"/>
  <c r="E138" i="2"/>
  <c r="D138" i="2"/>
  <c r="C138" i="2"/>
  <c r="B138" i="2"/>
  <c r="A138" i="2"/>
  <c r="F137" i="2"/>
  <c r="E137" i="2"/>
  <c r="D137" i="2"/>
  <c r="C137" i="2"/>
  <c r="B137" i="2"/>
  <c r="A137" i="2"/>
  <c r="F136" i="2"/>
  <c r="E136" i="2"/>
  <c r="D136" i="2"/>
  <c r="C136" i="2"/>
  <c r="B136" i="2"/>
  <c r="A136" i="2"/>
  <c r="F135" i="2"/>
  <c r="E135" i="2"/>
  <c r="D135" i="2"/>
  <c r="C135" i="2"/>
  <c r="B135" i="2"/>
  <c r="A135" i="2"/>
  <c r="F134" i="2"/>
  <c r="E134" i="2"/>
  <c r="D134" i="2"/>
  <c r="C134" i="2"/>
  <c r="B134" i="2"/>
  <c r="A134" i="2"/>
  <c r="F133" i="2"/>
  <c r="E133" i="2"/>
  <c r="D133" i="2"/>
  <c r="C133" i="2"/>
  <c r="B133" i="2"/>
  <c r="A133" i="2"/>
  <c r="F132" i="2"/>
  <c r="E132" i="2"/>
  <c r="D132" i="2"/>
  <c r="C132" i="2"/>
  <c r="B132" i="2"/>
  <c r="A132" i="2"/>
  <c r="F131" i="2"/>
  <c r="E131" i="2"/>
  <c r="D131" i="2"/>
  <c r="C131" i="2"/>
  <c r="B131" i="2"/>
  <c r="A131" i="2"/>
  <c r="F130" i="2"/>
  <c r="E130" i="2"/>
  <c r="D130" i="2"/>
  <c r="C130" i="2"/>
  <c r="B130" i="2"/>
  <c r="A130" i="2"/>
  <c r="F129" i="2"/>
  <c r="E129" i="2"/>
  <c r="D129" i="2"/>
  <c r="C129" i="2"/>
  <c r="B129" i="2"/>
  <c r="A129" i="2"/>
  <c r="F128" i="2"/>
  <c r="E128" i="2"/>
  <c r="D128" i="2"/>
  <c r="C128" i="2"/>
  <c r="B128" i="2"/>
  <c r="A128" i="2"/>
  <c r="F127" i="2"/>
  <c r="E127" i="2"/>
  <c r="D127" i="2"/>
  <c r="C127" i="2"/>
  <c r="B127" i="2"/>
  <c r="A127" i="2"/>
  <c r="F126" i="2"/>
  <c r="E126" i="2"/>
  <c r="D126" i="2"/>
  <c r="C126" i="2"/>
  <c r="B126" i="2"/>
  <c r="A126" i="2"/>
  <c r="F125" i="2"/>
  <c r="E125" i="2"/>
  <c r="D125" i="2"/>
  <c r="C125" i="2"/>
  <c r="B125" i="2"/>
  <c r="A125" i="2"/>
  <c r="F124" i="2"/>
  <c r="E124" i="2"/>
  <c r="D124" i="2"/>
  <c r="C124" i="2"/>
  <c r="B124" i="2"/>
  <c r="A124" i="2"/>
  <c r="F123" i="2"/>
  <c r="E123" i="2"/>
  <c r="D123" i="2"/>
  <c r="C123" i="2"/>
  <c r="B123" i="2"/>
  <c r="A123" i="2"/>
  <c r="F122" i="2"/>
  <c r="E122" i="2"/>
  <c r="D122" i="2"/>
  <c r="C122" i="2"/>
  <c r="B122" i="2"/>
  <c r="A122" i="2"/>
  <c r="F121" i="2"/>
  <c r="E121" i="2"/>
  <c r="D121" i="2"/>
  <c r="C121" i="2"/>
  <c r="B121" i="2"/>
  <c r="A121" i="2"/>
  <c r="F120" i="2"/>
  <c r="E120" i="2"/>
  <c r="D120" i="2"/>
  <c r="C120" i="2"/>
  <c r="B120" i="2"/>
  <c r="A120" i="2"/>
  <c r="F119" i="2"/>
  <c r="E119" i="2"/>
  <c r="D119" i="2"/>
  <c r="C119" i="2"/>
  <c r="B119" i="2"/>
  <c r="A119" i="2"/>
  <c r="F118" i="2"/>
  <c r="E118" i="2"/>
  <c r="D118" i="2"/>
  <c r="C118" i="2"/>
  <c r="B118" i="2"/>
  <c r="A118" i="2"/>
  <c r="F117" i="2"/>
  <c r="E117" i="2"/>
  <c r="D117" i="2"/>
  <c r="C117" i="2"/>
  <c r="B117" i="2"/>
  <c r="A117" i="2"/>
  <c r="F116" i="2"/>
  <c r="E116" i="2"/>
  <c r="D116" i="2"/>
  <c r="C116" i="2"/>
  <c r="B116" i="2"/>
  <c r="A116" i="2"/>
  <c r="F115" i="2"/>
  <c r="E115" i="2"/>
  <c r="D115" i="2"/>
  <c r="C115" i="2"/>
  <c r="B115" i="2"/>
  <c r="A115" i="2"/>
  <c r="F114" i="2"/>
  <c r="E114" i="2"/>
  <c r="D114" i="2"/>
  <c r="C114" i="2"/>
  <c r="B114" i="2"/>
  <c r="A114" i="2"/>
  <c r="F113" i="2"/>
  <c r="E113" i="2"/>
  <c r="D113" i="2"/>
  <c r="C113" i="2"/>
  <c r="B113" i="2"/>
  <c r="A113" i="2"/>
  <c r="F112" i="2"/>
  <c r="E112" i="2"/>
  <c r="D112" i="2"/>
  <c r="C112" i="2"/>
  <c r="B112" i="2"/>
  <c r="A112" i="2"/>
  <c r="F111" i="2"/>
  <c r="E111" i="2"/>
  <c r="D111" i="2"/>
  <c r="C111" i="2"/>
  <c r="B111" i="2"/>
  <c r="A111" i="2"/>
  <c r="F110" i="2"/>
  <c r="E110" i="2"/>
  <c r="D110" i="2"/>
  <c r="C110" i="2"/>
  <c r="B110" i="2"/>
  <c r="A110" i="2"/>
  <c r="F109" i="2"/>
  <c r="E109" i="2"/>
  <c r="D109" i="2"/>
  <c r="C109" i="2"/>
  <c r="B109" i="2"/>
  <c r="A109" i="2"/>
  <c r="F108" i="2"/>
  <c r="E108" i="2"/>
  <c r="D108" i="2"/>
  <c r="C108" i="2"/>
  <c r="B108" i="2"/>
  <c r="A108" i="2"/>
  <c r="F107" i="2"/>
  <c r="E107" i="2"/>
  <c r="D107" i="2"/>
  <c r="C107" i="2"/>
  <c r="B107" i="2"/>
  <c r="A107" i="2"/>
  <c r="F106" i="2"/>
  <c r="E106" i="2"/>
  <c r="D106" i="2"/>
  <c r="C106" i="2"/>
  <c r="B106" i="2"/>
  <c r="A106" i="2"/>
  <c r="F105" i="2"/>
  <c r="E105" i="2"/>
  <c r="D105" i="2"/>
  <c r="C105" i="2"/>
  <c r="B105" i="2"/>
  <c r="A105" i="2"/>
  <c r="F104" i="2"/>
  <c r="E104" i="2"/>
  <c r="D104" i="2"/>
  <c r="C104" i="2"/>
  <c r="B104" i="2"/>
  <c r="A104" i="2"/>
  <c r="F103" i="2"/>
  <c r="E103" i="2"/>
  <c r="D103" i="2"/>
  <c r="C103" i="2"/>
  <c r="B103" i="2"/>
  <c r="A103" i="2"/>
  <c r="F102" i="2"/>
  <c r="E102" i="2"/>
  <c r="D102" i="2"/>
  <c r="C102" i="2"/>
  <c r="B102" i="2"/>
  <c r="A102" i="2"/>
  <c r="F101" i="2"/>
  <c r="E101" i="2"/>
  <c r="D101" i="2"/>
  <c r="C101" i="2"/>
  <c r="B101" i="2"/>
  <c r="A101" i="2"/>
  <c r="F100" i="2"/>
  <c r="E100" i="2"/>
  <c r="D100" i="2"/>
  <c r="C100" i="2"/>
  <c r="B100" i="2"/>
  <c r="A100" i="2"/>
  <c r="F99" i="2"/>
  <c r="E99" i="2"/>
  <c r="D99" i="2"/>
  <c r="C99" i="2"/>
  <c r="B99" i="2"/>
  <c r="A99" i="2"/>
  <c r="F98" i="2"/>
  <c r="E98" i="2"/>
  <c r="D98" i="2"/>
  <c r="C98" i="2"/>
  <c r="B98" i="2"/>
  <c r="A98" i="2"/>
  <c r="F97" i="2"/>
  <c r="E97" i="2"/>
  <c r="D97" i="2"/>
  <c r="C97" i="2"/>
  <c r="B97" i="2"/>
  <c r="A97" i="2"/>
  <c r="F96" i="2"/>
  <c r="E96" i="2"/>
  <c r="D96" i="2"/>
  <c r="C96" i="2"/>
  <c r="B96" i="2"/>
  <c r="A96" i="2"/>
  <c r="F95" i="2"/>
  <c r="E95" i="2"/>
  <c r="D95" i="2"/>
  <c r="C95" i="2"/>
  <c r="B95" i="2"/>
  <c r="A95" i="2"/>
  <c r="F94" i="2"/>
  <c r="E94" i="2"/>
  <c r="D94" i="2"/>
  <c r="C94" i="2"/>
  <c r="B94" i="2"/>
  <c r="A94" i="2"/>
  <c r="F93" i="2"/>
  <c r="E93" i="2"/>
  <c r="D93" i="2"/>
  <c r="C93" i="2"/>
  <c r="B93" i="2"/>
  <c r="A93" i="2"/>
  <c r="F92" i="2"/>
  <c r="E92" i="2"/>
  <c r="D92" i="2"/>
  <c r="C92" i="2"/>
  <c r="B92" i="2"/>
  <c r="A92" i="2"/>
  <c r="F91" i="2"/>
  <c r="E91" i="2"/>
  <c r="D91" i="2"/>
  <c r="C91" i="2"/>
  <c r="B91" i="2"/>
  <c r="A91" i="2"/>
  <c r="F90" i="2"/>
  <c r="E90" i="2"/>
  <c r="D90" i="2"/>
  <c r="C90" i="2"/>
  <c r="B90" i="2"/>
  <c r="A90" i="2"/>
  <c r="F89" i="2"/>
  <c r="E89" i="2"/>
  <c r="D89" i="2"/>
  <c r="C89" i="2"/>
  <c r="B89" i="2"/>
  <c r="A89" i="2"/>
  <c r="F88" i="2"/>
  <c r="E88" i="2"/>
  <c r="D88" i="2"/>
  <c r="C88" i="2"/>
  <c r="B88" i="2"/>
  <c r="A88" i="2"/>
  <c r="F87" i="2"/>
  <c r="E87" i="2"/>
  <c r="D87" i="2"/>
  <c r="C87" i="2"/>
  <c r="B87" i="2"/>
  <c r="A87" i="2"/>
  <c r="F86" i="2"/>
  <c r="E86" i="2"/>
  <c r="D86" i="2"/>
  <c r="C86" i="2"/>
  <c r="B86" i="2"/>
  <c r="A86" i="2"/>
  <c r="F85" i="2"/>
  <c r="E85" i="2"/>
  <c r="D85" i="2"/>
  <c r="C85" i="2"/>
  <c r="B85" i="2"/>
  <c r="A85" i="2"/>
  <c r="F84" i="2"/>
  <c r="E84" i="2"/>
  <c r="D84" i="2"/>
  <c r="C84" i="2"/>
  <c r="B84" i="2"/>
  <c r="A84" i="2"/>
  <c r="F83" i="2"/>
  <c r="E83" i="2"/>
  <c r="D83" i="2"/>
  <c r="C83" i="2"/>
  <c r="B83" i="2"/>
  <c r="A83" i="2"/>
  <c r="F82" i="2"/>
  <c r="E82" i="2"/>
  <c r="D82" i="2"/>
  <c r="C82" i="2"/>
  <c r="B82" i="2"/>
  <c r="A82" i="2"/>
  <c r="F81" i="2"/>
  <c r="E81" i="2"/>
  <c r="D81" i="2"/>
  <c r="C81" i="2"/>
  <c r="B81" i="2"/>
  <c r="A81" i="2"/>
  <c r="F80" i="2"/>
  <c r="E80" i="2"/>
  <c r="D80" i="2"/>
  <c r="C80" i="2"/>
  <c r="B80" i="2"/>
  <c r="A80" i="2"/>
  <c r="F79" i="2"/>
  <c r="E79" i="2"/>
  <c r="D79" i="2"/>
  <c r="C79" i="2"/>
  <c r="B79" i="2"/>
  <c r="A79" i="2"/>
  <c r="F78" i="2"/>
  <c r="E78" i="2"/>
  <c r="D78" i="2"/>
  <c r="C78" i="2"/>
  <c r="B78" i="2"/>
  <c r="A78" i="2"/>
  <c r="F77" i="2"/>
  <c r="E77" i="2"/>
  <c r="D77" i="2"/>
  <c r="C77" i="2"/>
  <c r="B77" i="2"/>
  <c r="A77" i="2"/>
  <c r="F76" i="2"/>
  <c r="E76" i="2"/>
  <c r="D76" i="2"/>
  <c r="C76" i="2"/>
  <c r="B76" i="2"/>
  <c r="A76" i="2"/>
  <c r="F75" i="2"/>
  <c r="E75" i="2"/>
  <c r="D75" i="2"/>
  <c r="C75" i="2"/>
  <c r="B75" i="2"/>
  <c r="A75" i="2"/>
  <c r="F74" i="2"/>
  <c r="E74" i="2"/>
  <c r="D74" i="2"/>
  <c r="C74" i="2"/>
  <c r="B74" i="2"/>
  <c r="A74" i="2"/>
  <c r="F73" i="2"/>
  <c r="E73" i="2"/>
  <c r="D73" i="2"/>
  <c r="C73" i="2"/>
  <c r="B73" i="2"/>
  <c r="A73" i="2"/>
  <c r="F72" i="2"/>
  <c r="E72" i="2"/>
  <c r="D72" i="2"/>
  <c r="C72" i="2"/>
  <c r="B72" i="2"/>
  <c r="A72" i="2"/>
  <c r="F71" i="2"/>
  <c r="E71" i="2"/>
  <c r="D71" i="2"/>
  <c r="C71" i="2"/>
  <c r="B71" i="2"/>
  <c r="A71" i="2"/>
  <c r="F70" i="2"/>
  <c r="E70" i="2"/>
  <c r="D70" i="2"/>
  <c r="C70" i="2"/>
  <c r="B70" i="2"/>
  <c r="A70" i="2"/>
  <c r="F69" i="2"/>
  <c r="E69" i="2"/>
  <c r="D69" i="2"/>
  <c r="C69" i="2"/>
  <c r="B69" i="2"/>
  <c r="A69" i="2"/>
  <c r="F68" i="2"/>
  <c r="E68" i="2"/>
  <c r="D68" i="2"/>
  <c r="C68" i="2"/>
  <c r="B68" i="2"/>
  <c r="A68" i="2"/>
  <c r="F67" i="2"/>
  <c r="E67" i="2"/>
  <c r="D67" i="2"/>
  <c r="C67" i="2"/>
  <c r="B67" i="2"/>
  <c r="A67" i="2"/>
  <c r="F66" i="2"/>
  <c r="E66" i="2"/>
  <c r="D66" i="2"/>
  <c r="C66" i="2"/>
  <c r="B66" i="2"/>
  <c r="A66" i="2"/>
  <c r="F65" i="2"/>
  <c r="E65" i="2"/>
  <c r="D65" i="2"/>
  <c r="C65" i="2"/>
  <c r="B65" i="2"/>
  <c r="A65" i="2"/>
  <c r="F64" i="2"/>
  <c r="E64" i="2"/>
  <c r="D64" i="2"/>
  <c r="C64" i="2"/>
  <c r="B64" i="2"/>
  <c r="A64" i="2"/>
  <c r="F63" i="2"/>
  <c r="E63" i="2"/>
  <c r="D63" i="2"/>
  <c r="C63" i="2"/>
  <c r="B63" i="2"/>
  <c r="A63" i="2"/>
  <c r="F62" i="2"/>
  <c r="E62" i="2"/>
  <c r="D62" i="2"/>
  <c r="C62" i="2"/>
  <c r="B62" i="2"/>
  <c r="A62" i="2"/>
  <c r="F61" i="2"/>
  <c r="E61" i="2"/>
  <c r="D61" i="2"/>
  <c r="C61" i="2"/>
  <c r="B61" i="2"/>
  <c r="A61" i="2"/>
  <c r="F60" i="2"/>
  <c r="E60" i="2"/>
  <c r="D60" i="2"/>
  <c r="C60" i="2"/>
  <c r="B60" i="2"/>
  <c r="A60" i="2"/>
  <c r="F59" i="2"/>
  <c r="E59" i="2"/>
  <c r="D59" i="2"/>
  <c r="C59" i="2"/>
  <c r="B59" i="2"/>
  <c r="A59" i="2"/>
  <c r="F58" i="2"/>
  <c r="E58" i="2"/>
  <c r="D58" i="2"/>
  <c r="C58" i="2"/>
  <c r="B58" i="2"/>
  <c r="A58" i="2"/>
  <c r="F57" i="2"/>
  <c r="E57" i="2"/>
  <c r="D57" i="2"/>
  <c r="C57" i="2"/>
  <c r="B57" i="2"/>
  <c r="A57" i="2"/>
  <c r="F56" i="2"/>
  <c r="E56" i="2"/>
  <c r="D56" i="2"/>
  <c r="C56" i="2"/>
  <c r="B56" i="2"/>
  <c r="A56" i="2"/>
  <c r="F55" i="2"/>
  <c r="E55" i="2"/>
  <c r="D55" i="2"/>
  <c r="C55" i="2"/>
  <c r="B55" i="2"/>
  <c r="A55" i="2"/>
  <c r="F54" i="2"/>
  <c r="E54" i="2"/>
  <c r="D54" i="2"/>
  <c r="C54" i="2"/>
  <c r="B54" i="2"/>
  <c r="A54" i="2"/>
  <c r="F53" i="2"/>
  <c r="E53" i="2"/>
  <c r="D53" i="2"/>
  <c r="C53" i="2"/>
  <c r="B53" i="2"/>
  <c r="A53" i="2"/>
  <c r="F52" i="2"/>
  <c r="E52" i="2"/>
  <c r="D52" i="2"/>
  <c r="C52" i="2"/>
  <c r="B52" i="2"/>
  <c r="A52" i="2"/>
  <c r="F51" i="2"/>
  <c r="E51" i="2"/>
  <c r="D51" i="2"/>
  <c r="C51" i="2"/>
  <c r="B51" i="2"/>
  <c r="A51" i="2"/>
  <c r="F50" i="2"/>
  <c r="E50" i="2"/>
  <c r="D50" i="2"/>
  <c r="C50" i="2"/>
  <c r="B50" i="2"/>
  <c r="A50" i="2"/>
  <c r="F49" i="2"/>
  <c r="E49" i="2"/>
  <c r="D49" i="2"/>
  <c r="C49" i="2"/>
  <c r="B49" i="2"/>
  <c r="A49" i="2"/>
  <c r="F48" i="2"/>
  <c r="E48" i="2"/>
  <c r="D48" i="2"/>
  <c r="C48" i="2"/>
  <c r="B48" i="2"/>
  <c r="A48" i="2"/>
  <c r="F47" i="2"/>
  <c r="E47" i="2"/>
  <c r="D47" i="2"/>
  <c r="C47" i="2"/>
  <c r="B47" i="2"/>
  <c r="A47" i="2"/>
  <c r="F46" i="2"/>
  <c r="E46" i="2"/>
  <c r="D46" i="2"/>
  <c r="C46" i="2"/>
  <c r="B46" i="2"/>
  <c r="A46" i="2"/>
  <c r="F45" i="2"/>
  <c r="E45" i="2"/>
  <c r="D45" i="2"/>
  <c r="C45" i="2"/>
  <c r="B45" i="2"/>
  <c r="A45" i="2"/>
  <c r="F44" i="2"/>
  <c r="E44" i="2"/>
  <c r="D44" i="2"/>
  <c r="C44" i="2"/>
  <c r="B44" i="2"/>
  <c r="A44" i="2"/>
  <c r="F43" i="2"/>
  <c r="E43" i="2"/>
  <c r="D43" i="2"/>
  <c r="C43" i="2"/>
  <c r="B43" i="2"/>
  <c r="A43" i="2"/>
  <c r="F42" i="2"/>
  <c r="E42" i="2"/>
  <c r="D42" i="2"/>
  <c r="C42" i="2"/>
  <c r="B42" i="2"/>
  <c r="A42" i="2"/>
  <c r="F41" i="2"/>
  <c r="E41" i="2"/>
  <c r="D41" i="2"/>
  <c r="C41" i="2"/>
  <c r="B41" i="2"/>
  <c r="A41" i="2"/>
  <c r="F40" i="2"/>
  <c r="E40" i="2"/>
  <c r="D40" i="2"/>
  <c r="C40" i="2"/>
  <c r="B40" i="2"/>
  <c r="A40" i="2"/>
  <c r="F39" i="2"/>
  <c r="E39" i="2"/>
  <c r="D39" i="2"/>
  <c r="C39" i="2"/>
  <c r="B39" i="2"/>
  <c r="A39" i="2"/>
  <c r="F38" i="2"/>
  <c r="E38" i="2"/>
  <c r="D38" i="2"/>
  <c r="C38" i="2"/>
  <c r="B38" i="2"/>
  <c r="A38" i="2"/>
  <c r="F37" i="2"/>
  <c r="E37" i="2"/>
  <c r="D37" i="2"/>
  <c r="C37" i="2"/>
  <c r="B37" i="2"/>
  <c r="A37" i="2"/>
  <c r="F36" i="2"/>
  <c r="E36" i="2"/>
  <c r="D36" i="2"/>
  <c r="C36" i="2"/>
  <c r="B36" i="2"/>
  <c r="A36" i="2"/>
  <c r="F35" i="2"/>
  <c r="E35" i="2"/>
  <c r="D35" i="2"/>
  <c r="C35" i="2"/>
  <c r="B35" i="2"/>
  <c r="A35" i="2"/>
  <c r="F34" i="2"/>
  <c r="E34" i="2"/>
  <c r="D34" i="2"/>
  <c r="C34" i="2"/>
  <c r="B34" i="2"/>
  <c r="A34" i="2"/>
  <c r="F33" i="2"/>
  <c r="E33" i="2"/>
  <c r="D33" i="2"/>
  <c r="C33" i="2"/>
  <c r="B33" i="2"/>
  <c r="A33" i="2"/>
  <c r="F32" i="2"/>
  <c r="E32" i="2"/>
  <c r="D32" i="2"/>
  <c r="C32" i="2"/>
  <c r="B32" i="2"/>
  <c r="A32" i="2"/>
  <c r="F31" i="2"/>
  <c r="E31" i="2"/>
  <c r="D31" i="2"/>
  <c r="C31" i="2"/>
  <c r="B31" i="2"/>
  <c r="A31" i="2"/>
  <c r="F30" i="2"/>
  <c r="E30" i="2"/>
  <c r="D30" i="2"/>
  <c r="C30" i="2"/>
  <c r="B30" i="2"/>
  <c r="A30" i="2"/>
  <c r="F29" i="2"/>
  <c r="E29" i="2"/>
  <c r="D29" i="2"/>
  <c r="C29" i="2"/>
  <c r="B29" i="2"/>
  <c r="A29" i="2"/>
  <c r="F28" i="2"/>
  <c r="E28" i="2"/>
  <c r="D28" i="2"/>
  <c r="C28" i="2"/>
  <c r="B28" i="2"/>
  <c r="A28" i="2"/>
  <c r="F27" i="2"/>
  <c r="E27" i="2"/>
  <c r="D27" i="2"/>
  <c r="C27" i="2"/>
  <c r="B27" i="2"/>
  <c r="A27" i="2"/>
  <c r="F26" i="2"/>
  <c r="E26" i="2"/>
  <c r="D26" i="2"/>
  <c r="C26" i="2"/>
  <c r="B26" i="2"/>
  <c r="A26" i="2"/>
  <c r="F25" i="2"/>
  <c r="E25" i="2"/>
  <c r="D25" i="2"/>
  <c r="C25" i="2"/>
  <c r="B25" i="2"/>
  <c r="A25" i="2"/>
  <c r="F24" i="2"/>
  <c r="E24" i="2"/>
  <c r="D24" i="2"/>
  <c r="C24" i="2"/>
  <c r="B24" i="2"/>
  <c r="A24" i="2"/>
  <c r="F23" i="2"/>
  <c r="E23" i="2"/>
  <c r="D23" i="2"/>
  <c r="C23" i="2"/>
  <c r="B23" i="2"/>
  <c r="A23" i="2"/>
  <c r="F22" i="2"/>
  <c r="E22" i="2"/>
  <c r="D22" i="2"/>
  <c r="C22" i="2"/>
  <c r="B22" i="2"/>
  <c r="A22" i="2"/>
  <c r="F21" i="2"/>
  <c r="E21" i="2"/>
  <c r="D21" i="2"/>
  <c r="C21" i="2"/>
  <c r="B21" i="2"/>
  <c r="A21" i="2"/>
  <c r="F20" i="2"/>
  <c r="E20" i="2"/>
  <c r="D20" i="2"/>
  <c r="C20" i="2"/>
  <c r="B20" i="2"/>
  <c r="A20" i="2"/>
  <c r="F19" i="2"/>
  <c r="E19" i="2"/>
  <c r="D19" i="2"/>
  <c r="C19" i="2"/>
  <c r="B19" i="2"/>
  <c r="A19" i="2"/>
  <c r="F18" i="2"/>
  <c r="E18" i="2"/>
  <c r="D18" i="2"/>
  <c r="C18" i="2"/>
  <c r="B18" i="2"/>
  <c r="A18" i="2"/>
  <c r="F17" i="2"/>
  <c r="E17" i="2"/>
  <c r="D17" i="2"/>
  <c r="C17" i="2"/>
  <c r="B17" i="2"/>
  <c r="A17" i="2"/>
  <c r="F16" i="2"/>
  <c r="E16" i="2"/>
  <c r="D16" i="2"/>
  <c r="C16" i="2"/>
  <c r="B16" i="2"/>
  <c r="A16" i="2"/>
  <c r="F15" i="2"/>
  <c r="E15" i="2"/>
  <c r="D15" i="2"/>
  <c r="C15" i="2"/>
  <c r="B15" i="2"/>
  <c r="A15" i="2"/>
  <c r="F14" i="2"/>
  <c r="E14" i="2"/>
  <c r="D14" i="2"/>
  <c r="C14" i="2"/>
  <c r="B14" i="2"/>
  <c r="A14" i="2"/>
  <c r="F13" i="2"/>
  <c r="E13" i="2"/>
  <c r="D13" i="2"/>
  <c r="C13" i="2"/>
  <c r="B13" i="2"/>
  <c r="A13" i="2"/>
  <c r="F12" i="2"/>
  <c r="E12" i="2"/>
  <c r="D12" i="2"/>
  <c r="C12" i="2"/>
  <c r="B12" i="2"/>
  <c r="A12" i="2"/>
  <c r="F11" i="2"/>
  <c r="E11" i="2"/>
  <c r="D11" i="2"/>
  <c r="C11" i="2"/>
  <c r="B11" i="2"/>
  <c r="A11" i="2"/>
  <c r="F10" i="2"/>
  <c r="E10" i="2"/>
  <c r="D10" i="2"/>
  <c r="C10" i="2"/>
  <c r="B10" i="2"/>
  <c r="A10" i="2"/>
  <c r="F9" i="2"/>
  <c r="E9" i="2"/>
  <c r="D9" i="2"/>
  <c r="C9" i="2"/>
  <c r="B9" i="2"/>
  <c r="A9" i="2"/>
  <c r="F8" i="2"/>
  <c r="E8" i="2"/>
  <c r="D8" i="2"/>
  <c r="C8" i="2"/>
  <c r="B8" i="2"/>
  <c r="A8" i="2"/>
  <c r="F7" i="2"/>
  <c r="E7" i="2"/>
  <c r="D7" i="2"/>
  <c r="C7" i="2"/>
  <c r="B7" i="2"/>
  <c r="A7" i="2"/>
  <c r="F6" i="2"/>
  <c r="E6" i="2"/>
  <c r="D6" i="2"/>
  <c r="C6" i="2"/>
  <c r="B6" i="2"/>
  <c r="A6" i="2"/>
  <c r="F5" i="2"/>
  <c r="E5" i="2"/>
  <c r="D5" i="2"/>
  <c r="C5" i="2"/>
  <c r="B5" i="2"/>
  <c r="A5" i="2"/>
  <c r="F4" i="2"/>
  <c r="E4" i="2"/>
  <c r="D4" i="2"/>
  <c r="C4" i="2"/>
  <c r="B4" i="2"/>
  <c r="A4" i="2"/>
  <c r="F3" i="2"/>
  <c r="E3" i="2"/>
  <c r="D3" i="2"/>
  <c r="C3" i="2"/>
  <c r="B3" i="2"/>
  <c r="A3" i="2"/>
  <c r="B2" i="2"/>
  <c r="A2" i="2"/>
  <c r="F2" i="2"/>
  <c r="F1" i="2"/>
  <c r="E2" i="2"/>
  <c r="E1" i="2"/>
  <c r="D2" i="2"/>
  <c r="D1" i="2"/>
  <c r="C2" i="2"/>
  <c r="C1" i="2"/>
  <c r="B1" i="2"/>
</calcChain>
</file>

<file path=xl/sharedStrings.xml><?xml version="1.0" encoding="utf-8"?>
<sst xmlns="http://schemas.openxmlformats.org/spreadsheetml/2006/main" count="38" uniqueCount="26">
  <si>
    <t>sample_id</t>
  </si>
  <si>
    <t>sample_name</t>
  </si>
  <si>
    <t>No more than 1000 samples can be entered in this worksheet.  If you need to submit metadata for &gt;1000 samples, please contact CMI directly.</t>
  </si>
  <si>
    <t>empo_2</t>
  </si>
  <si>
    <t>empo_3</t>
  </si>
  <si>
    <t>env_package</t>
  </si>
  <si>
    <t>sample_type</t>
  </si>
  <si>
    <t>is_absent</t>
  </si>
  <si>
    <t>is_valid_row</t>
  </si>
  <si>
    <t>row_in_metadata</t>
  </si>
  <si>
    <t>row_order_weight</t>
  </si>
  <si>
    <t>row_rank</t>
  </si>
  <si>
    <t>is_valid_col</t>
  </si>
  <si>
    <t>col_in_metadata</t>
  </si>
  <si>
    <t>col_order_weight</t>
  </si>
  <si>
    <t>col_rank</t>
  </si>
  <si>
    <t>field name</t>
  </si>
  <si>
    <t>field description</t>
  </si>
  <si>
    <t>The value must be a string and must be unique and the value must contain only alphanumeric characters and/or periods.</t>
  </si>
  <si>
    <t>The value must be a string and must equal "saline" or must equal "non-saline".</t>
  </si>
  <si>
    <t>The value must be a string and must equal "surface (non-saline)" or must equal "aerosol (non-saline)" or must equal "sediment (non-saline)" or must equal "surface (saline)" or must equal "aerosol (saline)" or must equal "sediment (saline)".</t>
  </si>
  <si>
    <t>The value must be a string and must equal "built environment". The default value is built environment.</t>
  </si>
  <si>
    <t>The value must be a string and must equal "not applicable" or the value must be a string and must equal "anaerobic digester content".</t>
  </si>
  <si>
    <t xml:space="preserve">empo_2:
  allowed:
  - saline
  - non-saline
  empty: false
  is_phi: false
  required: true
  type: string
empo_3:
  allowed:
  - surface (non-saline)
  - aerosol (non-saline)
  - sediment (non-saline)
  - surface (saline)
  - aerosol (saline)
  - sediment (saline)
  empty: false
  is_phi: false
  required: true
  type: string
env_package:
  allowed:
  - built environment
  default: built environment
  empty: false
  is_phi: false
  required: true
  type: string
sample_name:
  empty: false
  is_phi: false
  regex: ^[a-zA-Z0-9\.]+$
  required: true
  type: string
  unique: true
sample_type:
  anyof:
  - allowed:
    - not applicable
    type: string
  - allowed:
    - anaerobic digester content
    type: string
  empty: false
  is_phi: false
  required: true
</t>
  </si>
  <si>
    <t xml:space="preserve">0:
  categorical_values: "saline\r\nnon-saline"
  default_value: no_default
  field_name: empo_2
  field_type: categorical
1:
  categorical_values: "surface (non-saline)\r\naerosol (non-saline)\r\nsediment (non-saline)\r\
    \nsurface (saline)\r\naerosol (saline)\r\nsediment (saline)"
  default_value: no_default
  field_name: empo_3
  field_type: categorical
2:
  categorical_default_select: built environment
  categorical_values: built environment
  default_value: categorical_default
  field_name: env_package
  field_type: categorical
3:
  allowed_missing_vals[]:
  - ebi_not_applicable
  categorical_values: 'anaerobic digester content '
  default_value: no_default
  field_name: sample_type
  field_type: categorical
</t>
  </si>
  <si>
    <t>*How to use this workbook:*
1) Start on the 'Metadata' tab:a) Entering your sample names, either one by
one or via copy-paste. Note: Sample names may only contain alphanumeric
characters (A-Z,a-z,0-9) and the period character (.)b) As you enter each
sample name, fields (columns) with only one permitted value will
automatically be completed based on the information you supplied in the web
formc) Fill in the remaining information for each metadata field (column);
if you have provided categorical variables, and/or permitted null values,
cells will contain a dropdown list with the acceptable values to help with
correct entry.
i) If your input is incorrect, you will be alerted and your input will be
deleted so you can try again
ii) You may copy-paste information from another excel file or document to
complete the fields, but if you do the dropdown lists and built-in
error-correction support functions will be removed
d) for fields auto-populated by the online wizard, you can access the field
definitions on the Data Dictionary tab
2) Once you have completed entering your samples, go to the 'Validation'
tab which will display any errors detected based on the rules provided in
the web form.
a) You will see which cells need to be altered with a red "Fix" cell.
b) By selecting "Fix" in a cell, you will be brought to that incorrect cell
within the "Metadata" sheet as to change it.
c) Once there are no red "Fix" cells, your metadata will be considered
valid for uploading to Qiita.
i) Note: Qiita only accepts .tsv or .txt files, so if you only have a
single metadata file (single sample type), you should save the workbook and
then use "Save As..." to save the first sheet as a plain tab-separated
value file.
ii) If you have more than one metadata file (multiple sample types), then
use the online wizard to merge your files together before uploading. All
metadata fields not present for a sample will be described as 'not
applicable' for those samples.
*Troubleshooting:*
*I can't find the metadata field(s) I want.*
Return to the Metadata Wizard online form, and click on 'PACKAGE FIELDS'.
Then click the button Select File to upload your template. Collapse the
'PACKAGE FIELDS' section and click on the 'CUSTOM FIELDS' section. Enter
the custom field(s) you'd like to add in the text box and click 'Add
Field'. Complete the form to describe your new field(s). Submit the form
and download the new template.
*I can't find the categorical value I want/I want to add more options to my
metadata field.*
Return to the Metadata Wizard online form, and click on 'PACKAGE FIELDS'.
Then click the button Select File to upload your template. Collapse the
'PACKAGE FIELDS' section and click on the 'CUSTOM FIELDS' section. Select
the field where you'd like to enter the value and ensure the Categorical
Field Type is selected. Modify the parameters to add a new category or null
value to your field as appropriate. Submit the form and download the new
template.
*I can't enter the numeric value I want.*
Return to the Metadata Wizard online form, and click on 'PACKAGE FIELDS'.
Then click the button Select File to upload your template. Collapse the
'PACKAGE FIELDS' section and click on the 'CUSTOM FIELDS' section. Select
the field where you'd like to enter the value and ensure the Continuous
Field Type is selected. Modify the parameters to add a new category or null
value to your field as appropriate. Submit the form and download the new
template.
*I have protected health information that I do not want to display.*
Return to the Metadata Wizard online form, and click on 'PACKAGE FIELDS'.
Then click the button Select File to upload your template. Collapse the
'PACKAGE FIELDS' section and click on the 'CUSTOM FIELDS' section. Select
the field where you'd like to enter the value and ensure the EBI Null Value
'missing: restricted access' is selected. In the 'Default' section, select
the option 'Allowed Missing Default' and ensure 'missing: restricted
access' is selected. Submit the form and download the new template.
This file was created by the Metadata Wizard v0.3 at 2018-01-17 21:37:56.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</si>
</sst>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color theme="1"/>
      <name val="Cambria"/>
      <family val="2"/>
    </font>
    <font>
      <b/>
      <sz val="11"/>
      <color theme="1"/>
      <name val="Cambria"/>
      <family val="2"/>
    </font>
    <font>
      <u/>
      <sz val="11"/>
      <color rgb="FF0000FF"/>
      <name val="Cambria"/>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49" fontId="1" fillId="0" borderId="0" xfId="0" applyNumberFormat="1" applyFont="1" applyProtection="1">
      <protection locked="0"/>
    </xf>
    <xf numFmtId="0" fontId="2" fillId="0" borderId="0" xfId="0" applyFont="1"/>
    <xf numFmtId="0" fontId="1" fillId="0" borderId="0" xfId="0" applyFont="1" applyAlignment="1">
      <alignment horizontal="center"/>
    </xf>
    <xf numFmtId="0" fontId="3" fillId="0" borderId="0" xfId="0" applyFont="1"/>
    <xf numFmtId="0" fontId="0" fillId="0" borderId="0" xfId="0" applyAlignment="1">
      <alignment horizontal="left" vertical="top" wrapText="1"/>
    </xf>
    <xf numFmtId="0" fontId="0" fillId="0" borderId="0" xfId="0" applyAlignment="1">
      <alignment wrapText="1"/>
    </xf>
  </cellXfs>
  <cellStyles count="1">
    <cellStyle name="Normal" xfId="0" builtinId="0"/>
  </cellStyles>
  <dxfs count="2">
    <dxf>
      <font>
        <u/>
        <color rgb="FF9C0006"/>
      </font>
      <fill>
        <patternFill>
          <bgColor rgb="FFFFC7CE"/>
        </patternFill>
      </fill>
    </dxf>
    <dxf>
      <font>
        <color rgb="FFC6EFCE"/>
      </font>
      <fill>
        <patternFill>
          <bgColor rgb="FFC6EF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2"/>
  <sheetViews>
    <sheetView workbookViewId="0">
      <pane xSplit="2" ySplit="1" topLeftCell="C2" activePane="bottomRight" state="frozen"/>
      <selection pane="topRight" activeCell="C1" sqref="C1"/>
      <selection pane="bottomLeft" activeCell="A2" sqref="A2"/>
      <selection pane="bottomRight"/>
    </sheetView>
  </sheetViews>
  <sheetFormatPr baseColWidth="10" defaultColWidth="8.83203125" defaultRowHeight="15" zeroHeight="1" x14ac:dyDescent="0.2"/>
  <cols>
    <col min="1" max="1" width="0" hidden="1" customWidth="1"/>
    <col min="2" max="6" width="9.1640625" style="1"/>
  </cols>
  <sheetData>
    <row r="1" spans="1:6" x14ac:dyDescent="0.2">
      <c r="A1" s="2" t="s">
        <v>0</v>
      </c>
      <c r="B1" s="2" t="s">
        <v>1</v>
      </c>
      <c r="C1" s="2" t="s">
        <v>3</v>
      </c>
      <c r="D1" s="2" t="s">
        <v>4</v>
      </c>
      <c r="E1" s="2" t="s">
        <v>5</v>
      </c>
      <c r="F1" s="2" t="s">
        <v>6</v>
      </c>
    </row>
    <row r="2" spans="1:6" x14ac:dyDescent="0.2">
      <c r="A2" t="str">
        <f>IF(COUNTBLANK(B2:F2)&lt;&gt;COLUMNS(B2:F2),1,"")</f>
        <v/>
      </c>
      <c r="E2" s="1" t="str">
        <f t="shared" ref="E2:E65" si="0">IF(B2="", "", "built environment")</f>
        <v/>
      </c>
    </row>
    <row r="3" spans="1:6" x14ac:dyDescent="0.2">
      <c r="A3" t="str">
        <f>IF(COUNTBLANK(B3:F3)&lt;&gt;COLUMNS(B3:F3),2,"")</f>
        <v/>
      </c>
      <c r="E3" s="1" t="str">
        <f t="shared" si="0"/>
        <v/>
      </c>
    </row>
    <row r="4" spans="1:6" x14ac:dyDescent="0.2">
      <c r="A4" t="str">
        <f>IF(COUNTBLANK(B4:F4)&lt;&gt;COLUMNS(B4:F4),3,"")</f>
        <v/>
      </c>
      <c r="E4" s="1" t="str">
        <f t="shared" si="0"/>
        <v/>
      </c>
    </row>
    <row r="5" spans="1:6" x14ac:dyDescent="0.2">
      <c r="A5" t="str">
        <f>IF(COUNTBLANK(B5:F5)&lt;&gt;COLUMNS(B5:F5),4,"")</f>
        <v/>
      </c>
      <c r="E5" s="1" t="str">
        <f t="shared" si="0"/>
        <v/>
      </c>
    </row>
    <row r="6" spans="1:6" x14ac:dyDescent="0.2">
      <c r="A6" t="str">
        <f>IF(COUNTBLANK(B6:F6)&lt;&gt;COLUMNS(B6:F6),5,"")</f>
        <v/>
      </c>
      <c r="E6" s="1" t="str">
        <f t="shared" si="0"/>
        <v/>
      </c>
    </row>
    <row r="7" spans="1:6" x14ac:dyDescent="0.2">
      <c r="A7" t="str">
        <f>IF(COUNTBLANK(B7:F7)&lt;&gt;COLUMNS(B7:F7),6,"")</f>
        <v/>
      </c>
      <c r="E7" s="1" t="str">
        <f t="shared" si="0"/>
        <v/>
      </c>
    </row>
    <row r="8" spans="1:6" x14ac:dyDescent="0.2">
      <c r="A8" t="str">
        <f>IF(COUNTBLANK(B8:F8)&lt;&gt;COLUMNS(B8:F8),7,"")</f>
        <v/>
      </c>
      <c r="E8" s="1" t="str">
        <f t="shared" si="0"/>
        <v/>
      </c>
    </row>
    <row r="9" spans="1:6" x14ac:dyDescent="0.2">
      <c r="A9" t="str">
        <f>IF(COUNTBLANK(B9:F9)&lt;&gt;COLUMNS(B9:F9),8,"")</f>
        <v/>
      </c>
      <c r="E9" s="1" t="str">
        <f t="shared" si="0"/>
        <v/>
      </c>
    </row>
    <row r="10" spans="1:6" x14ac:dyDescent="0.2">
      <c r="A10" t="str">
        <f>IF(COUNTBLANK(B10:F10)&lt;&gt;COLUMNS(B10:F10),9,"")</f>
        <v/>
      </c>
      <c r="E10" s="1" t="str">
        <f t="shared" si="0"/>
        <v/>
      </c>
    </row>
    <row r="11" spans="1:6" x14ac:dyDescent="0.2">
      <c r="A11" t="str">
        <f>IF(COUNTBLANK(B11:F11)&lt;&gt;COLUMNS(B11:F11),10,"")</f>
        <v/>
      </c>
      <c r="E11" s="1" t="str">
        <f t="shared" si="0"/>
        <v/>
      </c>
    </row>
    <row r="12" spans="1:6" x14ac:dyDescent="0.2">
      <c r="A12" t="str">
        <f>IF(COUNTBLANK(B12:F12)&lt;&gt;COLUMNS(B12:F12),11,"")</f>
        <v/>
      </c>
      <c r="E12" s="1" t="str">
        <f t="shared" si="0"/>
        <v/>
      </c>
    </row>
    <row r="13" spans="1:6" x14ac:dyDescent="0.2">
      <c r="A13" t="str">
        <f>IF(COUNTBLANK(B13:F13)&lt;&gt;COLUMNS(B13:F13),12,"")</f>
        <v/>
      </c>
      <c r="E13" s="1" t="str">
        <f t="shared" si="0"/>
        <v/>
      </c>
    </row>
    <row r="14" spans="1:6" x14ac:dyDescent="0.2">
      <c r="A14" t="str">
        <f>IF(COUNTBLANK(B14:F14)&lt;&gt;COLUMNS(B14:F14),13,"")</f>
        <v/>
      </c>
      <c r="E14" s="1" t="str">
        <f t="shared" si="0"/>
        <v/>
      </c>
    </row>
    <row r="15" spans="1:6" x14ac:dyDescent="0.2">
      <c r="A15" t="str">
        <f>IF(COUNTBLANK(B15:F15)&lt;&gt;COLUMNS(B15:F15),14,"")</f>
        <v/>
      </c>
      <c r="E15" s="1" t="str">
        <f t="shared" si="0"/>
        <v/>
      </c>
    </row>
    <row r="16" spans="1:6" x14ac:dyDescent="0.2">
      <c r="A16" t="str">
        <f>IF(COUNTBLANK(B16:F16)&lt;&gt;COLUMNS(B16:F16),15,"")</f>
        <v/>
      </c>
      <c r="E16" s="1" t="str">
        <f t="shared" si="0"/>
        <v/>
      </c>
    </row>
    <row r="17" spans="1:5" x14ac:dyDescent="0.2">
      <c r="A17" t="str">
        <f>IF(COUNTBLANK(B17:F17)&lt;&gt;COLUMNS(B17:F17),16,"")</f>
        <v/>
      </c>
      <c r="E17" s="1" t="str">
        <f t="shared" si="0"/>
        <v/>
      </c>
    </row>
    <row r="18" spans="1:5" x14ac:dyDescent="0.2">
      <c r="A18" t="str">
        <f>IF(COUNTBLANK(B18:F18)&lt;&gt;COLUMNS(B18:F18),17,"")</f>
        <v/>
      </c>
      <c r="E18" s="1" t="str">
        <f t="shared" si="0"/>
        <v/>
      </c>
    </row>
    <row r="19" spans="1:5" x14ac:dyDescent="0.2">
      <c r="A19" t="str">
        <f>IF(COUNTBLANK(B19:F19)&lt;&gt;COLUMNS(B19:F19),18,"")</f>
        <v/>
      </c>
      <c r="E19" s="1" t="str">
        <f t="shared" si="0"/>
        <v/>
      </c>
    </row>
    <row r="20" spans="1:5" x14ac:dyDescent="0.2">
      <c r="A20" t="str">
        <f>IF(COUNTBLANK(B20:F20)&lt;&gt;COLUMNS(B20:F20),19,"")</f>
        <v/>
      </c>
      <c r="E20" s="1" t="str">
        <f t="shared" si="0"/>
        <v/>
      </c>
    </row>
    <row r="21" spans="1:5" x14ac:dyDescent="0.2">
      <c r="A21" t="str">
        <f>IF(COUNTBLANK(B21:F21)&lt;&gt;COLUMNS(B21:F21),20,"")</f>
        <v/>
      </c>
      <c r="E21" s="1" t="str">
        <f t="shared" si="0"/>
        <v/>
      </c>
    </row>
    <row r="22" spans="1:5" x14ac:dyDescent="0.2">
      <c r="A22" t="str">
        <f>IF(COUNTBLANK(B22:F22)&lt;&gt;COLUMNS(B22:F22),21,"")</f>
        <v/>
      </c>
      <c r="E22" s="1" t="str">
        <f t="shared" si="0"/>
        <v/>
      </c>
    </row>
    <row r="23" spans="1:5" x14ac:dyDescent="0.2">
      <c r="A23" t="str">
        <f>IF(COUNTBLANK(B23:F23)&lt;&gt;COLUMNS(B23:F23),22,"")</f>
        <v/>
      </c>
      <c r="E23" s="1" t="str">
        <f t="shared" si="0"/>
        <v/>
      </c>
    </row>
    <row r="24" spans="1:5" x14ac:dyDescent="0.2">
      <c r="A24" t="str">
        <f>IF(COUNTBLANK(B24:F24)&lt;&gt;COLUMNS(B24:F24),23,"")</f>
        <v/>
      </c>
      <c r="E24" s="1" t="str">
        <f t="shared" si="0"/>
        <v/>
      </c>
    </row>
    <row r="25" spans="1:5" x14ac:dyDescent="0.2">
      <c r="A25" t="str">
        <f>IF(COUNTBLANK(B25:F25)&lt;&gt;COLUMNS(B25:F25),24,"")</f>
        <v/>
      </c>
      <c r="E25" s="1" t="str">
        <f t="shared" si="0"/>
        <v/>
      </c>
    </row>
    <row r="26" spans="1:5" x14ac:dyDescent="0.2">
      <c r="A26" t="str">
        <f>IF(COUNTBLANK(B26:F26)&lt;&gt;COLUMNS(B26:F26),25,"")</f>
        <v/>
      </c>
      <c r="E26" s="1" t="str">
        <f t="shared" si="0"/>
        <v/>
      </c>
    </row>
    <row r="27" spans="1:5" x14ac:dyDescent="0.2">
      <c r="A27" t="str">
        <f>IF(COUNTBLANK(B27:F27)&lt;&gt;COLUMNS(B27:F27),26,"")</f>
        <v/>
      </c>
      <c r="E27" s="1" t="str">
        <f t="shared" si="0"/>
        <v/>
      </c>
    </row>
    <row r="28" spans="1:5" x14ac:dyDescent="0.2">
      <c r="A28" t="str">
        <f>IF(COUNTBLANK(B28:F28)&lt;&gt;COLUMNS(B28:F28),27,"")</f>
        <v/>
      </c>
      <c r="E28" s="1" t="str">
        <f t="shared" si="0"/>
        <v/>
      </c>
    </row>
    <row r="29" spans="1:5" x14ac:dyDescent="0.2">
      <c r="A29" t="str">
        <f>IF(COUNTBLANK(B29:F29)&lt;&gt;COLUMNS(B29:F29),28,"")</f>
        <v/>
      </c>
      <c r="E29" s="1" t="str">
        <f t="shared" si="0"/>
        <v/>
      </c>
    </row>
    <row r="30" spans="1:5" x14ac:dyDescent="0.2">
      <c r="A30" t="str">
        <f>IF(COUNTBLANK(B30:F30)&lt;&gt;COLUMNS(B30:F30),29,"")</f>
        <v/>
      </c>
      <c r="E30" s="1" t="str">
        <f t="shared" si="0"/>
        <v/>
      </c>
    </row>
    <row r="31" spans="1:5" x14ac:dyDescent="0.2">
      <c r="A31" t="str">
        <f>IF(COUNTBLANK(B31:F31)&lt;&gt;COLUMNS(B31:F31),30,"")</f>
        <v/>
      </c>
      <c r="E31" s="1" t="str">
        <f t="shared" si="0"/>
        <v/>
      </c>
    </row>
    <row r="32" spans="1:5" x14ac:dyDescent="0.2">
      <c r="A32" t="str">
        <f>IF(COUNTBLANK(B32:F32)&lt;&gt;COLUMNS(B32:F32),31,"")</f>
        <v/>
      </c>
      <c r="E32" s="1" t="str">
        <f t="shared" si="0"/>
        <v/>
      </c>
    </row>
    <row r="33" spans="1:5" x14ac:dyDescent="0.2">
      <c r="A33" t="str">
        <f>IF(COUNTBLANK(B33:F33)&lt;&gt;COLUMNS(B33:F33),32,"")</f>
        <v/>
      </c>
      <c r="E33" s="1" t="str">
        <f t="shared" si="0"/>
        <v/>
      </c>
    </row>
    <row r="34" spans="1:5" x14ac:dyDescent="0.2">
      <c r="A34" t="str">
        <f>IF(COUNTBLANK(B34:F34)&lt;&gt;COLUMNS(B34:F34),33,"")</f>
        <v/>
      </c>
      <c r="E34" s="1" t="str">
        <f t="shared" si="0"/>
        <v/>
      </c>
    </row>
    <row r="35" spans="1:5" x14ac:dyDescent="0.2">
      <c r="A35" t="str">
        <f>IF(COUNTBLANK(B35:F35)&lt;&gt;COLUMNS(B35:F35),34,"")</f>
        <v/>
      </c>
      <c r="E35" s="1" t="str">
        <f t="shared" si="0"/>
        <v/>
      </c>
    </row>
    <row r="36" spans="1:5" x14ac:dyDescent="0.2">
      <c r="A36" t="str">
        <f>IF(COUNTBLANK(B36:F36)&lt;&gt;COLUMNS(B36:F36),35,"")</f>
        <v/>
      </c>
      <c r="E36" s="1" t="str">
        <f t="shared" si="0"/>
        <v/>
      </c>
    </row>
    <row r="37" spans="1:5" x14ac:dyDescent="0.2">
      <c r="A37" t="str">
        <f>IF(COUNTBLANK(B37:F37)&lt;&gt;COLUMNS(B37:F37),36,"")</f>
        <v/>
      </c>
      <c r="E37" s="1" t="str">
        <f t="shared" si="0"/>
        <v/>
      </c>
    </row>
    <row r="38" spans="1:5" x14ac:dyDescent="0.2">
      <c r="A38" t="str">
        <f>IF(COUNTBLANK(B38:F38)&lt;&gt;COLUMNS(B38:F38),37,"")</f>
        <v/>
      </c>
      <c r="E38" s="1" t="str">
        <f t="shared" si="0"/>
        <v/>
      </c>
    </row>
    <row r="39" spans="1:5" x14ac:dyDescent="0.2">
      <c r="A39" t="str">
        <f>IF(COUNTBLANK(B39:F39)&lt;&gt;COLUMNS(B39:F39),38,"")</f>
        <v/>
      </c>
      <c r="E39" s="1" t="str">
        <f t="shared" si="0"/>
        <v/>
      </c>
    </row>
    <row r="40" spans="1:5" x14ac:dyDescent="0.2">
      <c r="A40" t="str">
        <f>IF(COUNTBLANK(B40:F40)&lt;&gt;COLUMNS(B40:F40),39,"")</f>
        <v/>
      </c>
      <c r="E40" s="1" t="str">
        <f t="shared" si="0"/>
        <v/>
      </c>
    </row>
    <row r="41" spans="1:5" x14ac:dyDescent="0.2">
      <c r="A41" t="str">
        <f>IF(COUNTBLANK(B41:F41)&lt;&gt;COLUMNS(B41:F41),40,"")</f>
        <v/>
      </c>
      <c r="E41" s="1" t="str">
        <f t="shared" si="0"/>
        <v/>
      </c>
    </row>
    <row r="42" spans="1:5" x14ac:dyDescent="0.2">
      <c r="A42" t="str">
        <f>IF(COUNTBLANK(B42:F42)&lt;&gt;COLUMNS(B42:F42),41,"")</f>
        <v/>
      </c>
      <c r="E42" s="1" t="str">
        <f t="shared" si="0"/>
        <v/>
      </c>
    </row>
    <row r="43" spans="1:5" x14ac:dyDescent="0.2">
      <c r="A43" t="str">
        <f>IF(COUNTBLANK(B43:F43)&lt;&gt;COLUMNS(B43:F43),42,"")</f>
        <v/>
      </c>
      <c r="E43" s="1" t="str">
        <f t="shared" si="0"/>
        <v/>
      </c>
    </row>
    <row r="44" spans="1:5" x14ac:dyDescent="0.2">
      <c r="A44" t="str">
        <f>IF(COUNTBLANK(B44:F44)&lt;&gt;COLUMNS(B44:F44),43,"")</f>
        <v/>
      </c>
      <c r="E44" s="1" t="str">
        <f t="shared" si="0"/>
        <v/>
      </c>
    </row>
    <row r="45" spans="1:5" x14ac:dyDescent="0.2">
      <c r="A45" t="str">
        <f>IF(COUNTBLANK(B45:F45)&lt;&gt;COLUMNS(B45:F45),44,"")</f>
        <v/>
      </c>
      <c r="E45" s="1" t="str">
        <f t="shared" si="0"/>
        <v/>
      </c>
    </row>
    <row r="46" spans="1:5" x14ac:dyDescent="0.2">
      <c r="A46" t="str">
        <f>IF(COUNTBLANK(B46:F46)&lt;&gt;COLUMNS(B46:F46),45,"")</f>
        <v/>
      </c>
      <c r="E46" s="1" t="str">
        <f t="shared" si="0"/>
        <v/>
      </c>
    </row>
    <row r="47" spans="1:5" x14ac:dyDescent="0.2">
      <c r="A47" t="str">
        <f>IF(COUNTBLANK(B47:F47)&lt;&gt;COLUMNS(B47:F47),46,"")</f>
        <v/>
      </c>
      <c r="E47" s="1" t="str">
        <f t="shared" si="0"/>
        <v/>
      </c>
    </row>
    <row r="48" spans="1:5" x14ac:dyDescent="0.2">
      <c r="A48" t="str">
        <f>IF(COUNTBLANK(B48:F48)&lt;&gt;COLUMNS(B48:F48),47,"")</f>
        <v/>
      </c>
      <c r="E48" s="1" t="str">
        <f t="shared" si="0"/>
        <v/>
      </c>
    </row>
    <row r="49" spans="1:5" x14ac:dyDescent="0.2">
      <c r="A49" t="str">
        <f>IF(COUNTBLANK(B49:F49)&lt;&gt;COLUMNS(B49:F49),48,"")</f>
        <v/>
      </c>
      <c r="E49" s="1" t="str">
        <f t="shared" si="0"/>
        <v/>
      </c>
    </row>
    <row r="50" spans="1:5" x14ac:dyDescent="0.2">
      <c r="A50" t="str">
        <f>IF(COUNTBLANK(B50:F50)&lt;&gt;COLUMNS(B50:F50),49,"")</f>
        <v/>
      </c>
      <c r="E50" s="1" t="str">
        <f t="shared" si="0"/>
        <v/>
      </c>
    </row>
    <row r="51" spans="1:5" x14ac:dyDescent="0.2">
      <c r="A51" t="str">
        <f>IF(COUNTBLANK(B51:F51)&lt;&gt;COLUMNS(B51:F51),50,"")</f>
        <v/>
      </c>
      <c r="E51" s="1" t="str">
        <f t="shared" si="0"/>
        <v/>
      </c>
    </row>
    <row r="52" spans="1:5" x14ac:dyDescent="0.2">
      <c r="A52" t="str">
        <f>IF(COUNTBLANK(B52:F52)&lt;&gt;COLUMNS(B52:F52),51,"")</f>
        <v/>
      </c>
      <c r="E52" s="1" t="str">
        <f t="shared" si="0"/>
        <v/>
      </c>
    </row>
    <row r="53" spans="1:5" x14ac:dyDescent="0.2">
      <c r="A53" t="str">
        <f>IF(COUNTBLANK(B53:F53)&lt;&gt;COLUMNS(B53:F53),52,"")</f>
        <v/>
      </c>
      <c r="E53" s="1" t="str">
        <f t="shared" si="0"/>
        <v/>
      </c>
    </row>
    <row r="54" spans="1:5" x14ac:dyDescent="0.2">
      <c r="A54" t="str">
        <f>IF(COUNTBLANK(B54:F54)&lt;&gt;COLUMNS(B54:F54),53,"")</f>
        <v/>
      </c>
      <c r="E54" s="1" t="str">
        <f t="shared" si="0"/>
        <v/>
      </c>
    </row>
    <row r="55" spans="1:5" x14ac:dyDescent="0.2">
      <c r="A55" t="str">
        <f>IF(COUNTBLANK(B55:F55)&lt;&gt;COLUMNS(B55:F55),54,"")</f>
        <v/>
      </c>
      <c r="E55" s="1" t="str">
        <f t="shared" si="0"/>
        <v/>
      </c>
    </row>
    <row r="56" spans="1:5" x14ac:dyDescent="0.2">
      <c r="A56" t="str">
        <f>IF(COUNTBLANK(B56:F56)&lt;&gt;COLUMNS(B56:F56),55,"")</f>
        <v/>
      </c>
      <c r="E56" s="1" t="str">
        <f t="shared" si="0"/>
        <v/>
      </c>
    </row>
    <row r="57" spans="1:5" x14ac:dyDescent="0.2">
      <c r="A57" t="str">
        <f>IF(COUNTBLANK(B57:F57)&lt;&gt;COLUMNS(B57:F57),56,"")</f>
        <v/>
      </c>
      <c r="E57" s="1" t="str">
        <f t="shared" si="0"/>
        <v/>
      </c>
    </row>
    <row r="58" spans="1:5" x14ac:dyDescent="0.2">
      <c r="A58" t="str">
        <f>IF(COUNTBLANK(B58:F58)&lt;&gt;COLUMNS(B58:F58),57,"")</f>
        <v/>
      </c>
      <c r="E58" s="1" t="str">
        <f t="shared" si="0"/>
        <v/>
      </c>
    </row>
    <row r="59" spans="1:5" x14ac:dyDescent="0.2">
      <c r="A59" t="str">
        <f>IF(COUNTBLANK(B59:F59)&lt;&gt;COLUMNS(B59:F59),58,"")</f>
        <v/>
      </c>
      <c r="E59" s="1" t="str">
        <f t="shared" si="0"/>
        <v/>
      </c>
    </row>
    <row r="60" spans="1:5" x14ac:dyDescent="0.2">
      <c r="A60" t="str">
        <f>IF(COUNTBLANK(B60:F60)&lt;&gt;COLUMNS(B60:F60),59,"")</f>
        <v/>
      </c>
      <c r="E60" s="1" t="str">
        <f t="shared" si="0"/>
        <v/>
      </c>
    </row>
    <row r="61" spans="1:5" x14ac:dyDescent="0.2">
      <c r="A61" t="str">
        <f>IF(COUNTBLANK(B61:F61)&lt;&gt;COLUMNS(B61:F61),60,"")</f>
        <v/>
      </c>
      <c r="E61" s="1" t="str">
        <f t="shared" si="0"/>
        <v/>
      </c>
    </row>
    <row r="62" spans="1:5" x14ac:dyDescent="0.2">
      <c r="A62" t="str">
        <f>IF(COUNTBLANK(B62:F62)&lt;&gt;COLUMNS(B62:F62),61,"")</f>
        <v/>
      </c>
      <c r="E62" s="1" t="str">
        <f t="shared" si="0"/>
        <v/>
      </c>
    </row>
    <row r="63" spans="1:5" x14ac:dyDescent="0.2">
      <c r="A63" t="str">
        <f>IF(COUNTBLANK(B63:F63)&lt;&gt;COLUMNS(B63:F63),62,"")</f>
        <v/>
      </c>
      <c r="E63" s="1" t="str">
        <f t="shared" si="0"/>
        <v/>
      </c>
    </row>
    <row r="64" spans="1:5" x14ac:dyDescent="0.2">
      <c r="A64" t="str">
        <f>IF(COUNTBLANK(B64:F64)&lt;&gt;COLUMNS(B64:F64),63,"")</f>
        <v/>
      </c>
      <c r="E64" s="1" t="str">
        <f t="shared" si="0"/>
        <v/>
      </c>
    </row>
    <row r="65" spans="1:5" x14ac:dyDescent="0.2">
      <c r="A65" t="str">
        <f>IF(COUNTBLANK(B65:F65)&lt;&gt;COLUMNS(B65:F65),64,"")</f>
        <v/>
      </c>
      <c r="E65" s="1" t="str">
        <f t="shared" si="0"/>
        <v/>
      </c>
    </row>
    <row r="66" spans="1:5" x14ac:dyDescent="0.2">
      <c r="A66" t="str">
        <f>IF(COUNTBLANK(B66:F66)&lt;&gt;COLUMNS(B66:F66),65,"")</f>
        <v/>
      </c>
      <c r="E66" s="1" t="str">
        <f t="shared" ref="E66:E129" si="1">IF(B66="", "", "built environment")</f>
        <v/>
      </c>
    </row>
    <row r="67" spans="1:5" x14ac:dyDescent="0.2">
      <c r="A67" t="str">
        <f>IF(COUNTBLANK(B67:F67)&lt;&gt;COLUMNS(B67:F67),66,"")</f>
        <v/>
      </c>
      <c r="E67" s="1" t="str">
        <f t="shared" si="1"/>
        <v/>
      </c>
    </row>
    <row r="68" spans="1:5" x14ac:dyDescent="0.2">
      <c r="A68" t="str">
        <f>IF(COUNTBLANK(B68:F68)&lt;&gt;COLUMNS(B68:F68),67,"")</f>
        <v/>
      </c>
      <c r="E68" s="1" t="str">
        <f t="shared" si="1"/>
        <v/>
      </c>
    </row>
    <row r="69" spans="1:5" x14ac:dyDescent="0.2">
      <c r="A69" t="str">
        <f>IF(COUNTBLANK(B69:F69)&lt;&gt;COLUMNS(B69:F69),68,"")</f>
        <v/>
      </c>
      <c r="E69" s="1" t="str">
        <f t="shared" si="1"/>
        <v/>
      </c>
    </row>
    <row r="70" spans="1:5" x14ac:dyDescent="0.2">
      <c r="A70" t="str">
        <f>IF(COUNTBLANK(B70:F70)&lt;&gt;COLUMNS(B70:F70),69,"")</f>
        <v/>
      </c>
      <c r="E70" s="1" t="str">
        <f t="shared" si="1"/>
        <v/>
      </c>
    </row>
    <row r="71" spans="1:5" x14ac:dyDescent="0.2">
      <c r="A71" t="str">
        <f>IF(COUNTBLANK(B71:F71)&lt;&gt;COLUMNS(B71:F71),70,"")</f>
        <v/>
      </c>
      <c r="E71" s="1" t="str">
        <f t="shared" si="1"/>
        <v/>
      </c>
    </row>
    <row r="72" spans="1:5" x14ac:dyDescent="0.2">
      <c r="A72" t="str">
        <f>IF(COUNTBLANK(B72:F72)&lt;&gt;COLUMNS(B72:F72),71,"")</f>
        <v/>
      </c>
      <c r="E72" s="1" t="str">
        <f t="shared" si="1"/>
        <v/>
      </c>
    </row>
    <row r="73" spans="1:5" x14ac:dyDescent="0.2">
      <c r="A73" t="str">
        <f>IF(COUNTBLANK(B73:F73)&lt;&gt;COLUMNS(B73:F73),72,"")</f>
        <v/>
      </c>
      <c r="E73" s="1" t="str">
        <f t="shared" si="1"/>
        <v/>
      </c>
    </row>
    <row r="74" spans="1:5" x14ac:dyDescent="0.2">
      <c r="A74" t="str">
        <f>IF(COUNTBLANK(B74:F74)&lt;&gt;COLUMNS(B74:F74),73,"")</f>
        <v/>
      </c>
      <c r="E74" s="1" t="str">
        <f t="shared" si="1"/>
        <v/>
      </c>
    </row>
    <row r="75" spans="1:5" x14ac:dyDescent="0.2">
      <c r="A75" t="str">
        <f>IF(COUNTBLANK(B75:F75)&lt;&gt;COLUMNS(B75:F75),74,"")</f>
        <v/>
      </c>
      <c r="E75" s="1" t="str">
        <f t="shared" si="1"/>
        <v/>
      </c>
    </row>
    <row r="76" spans="1:5" x14ac:dyDescent="0.2">
      <c r="A76" t="str">
        <f>IF(COUNTBLANK(B76:F76)&lt;&gt;COLUMNS(B76:F76),75,"")</f>
        <v/>
      </c>
      <c r="E76" s="1" t="str">
        <f t="shared" si="1"/>
        <v/>
      </c>
    </row>
    <row r="77" spans="1:5" x14ac:dyDescent="0.2">
      <c r="A77" t="str">
        <f>IF(COUNTBLANK(B77:F77)&lt;&gt;COLUMNS(B77:F77),76,"")</f>
        <v/>
      </c>
      <c r="E77" s="1" t="str">
        <f t="shared" si="1"/>
        <v/>
      </c>
    </row>
    <row r="78" spans="1:5" x14ac:dyDescent="0.2">
      <c r="A78" t="str">
        <f>IF(COUNTBLANK(B78:F78)&lt;&gt;COLUMNS(B78:F78),77,"")</f>
        <v/>
      </c>
      <c r="E78" s="1" t="str">
        <f t="shared" si="1"/>
        <v/>
      </c>
    </row>
    <row r="79" spans="1:5" x14ac:dyDescent="0.2">
      <c r="A79" t="str">
        <f>IF(COUNTBLANK(B79:F79)&lt;&gt;COLUMNS(B79:F79),78,"")</f>
        <v/>
      </c>
      <c r="E79" s="1" t="str">
        <f t="shared" si="1"/>
        <v/>
      </c>
    </row>
    <row r="80" spans="1:5" x14ac:dyDescent="0.2">
      <c r="A80" t="str">
        <f>IF(COUNTBLANK(B80:F80)&lt;&gt;COLUMNS(B80:F80),79,"")</f>
        <v/>
      </c>
      <c r="E80" s="1" t="str">
        <f t="shared" si="1"/>
        <v/>
      </c>
    </row>
    <row r="81" spans="1:5" x14ac:dyDescent="0.2">
      <c r="A81" t="str">
        <f>IF(COUNTBLANK(B81:F81)&lt;&gt;COLUMNS(B81:F81),80,"")</f>
        <v/>
      </c>
      <c r="E81" s="1" t="str">
        <f t="shared" si="1"/>
        <v/>
      </c>
    </row>
    <row r="82" spans="1:5" x14ac:dyDescent="0.2">
      <c r="A82" t="str">
        <f>IF(COUNTBLANK(B82:F82)&lt;&gt;COLUMNS(B82:F82),81,"")</f>
        <v/>
      </c>
      <c r="E82" s="1" t="str">
        <f t="shared" si="1"/>
        <v/>
      </c>
    </row>
    <row r="83" spans="1:5" x14ac:dyDescent="0.2">
      <c r="A83" t="str">
        <f>IF(COUNTBLANK(B83:F83)&lt;&gt;COLUMNS(B83:F83),82,"")</f>
        <v/>
      </c>
      <c r="E83" s="1" t="str">
        <f t="shared" si="1"/>
        <v/>
      </c>
    </row>
    <row r="84" spans="1:5" x14ac:dyDescent="0.2">
      <c r="A84" t="str">
        <f>IF(COUNTBLANK(B84:F84)&lt;&gt;COLUMNS(B84:F84),83,"")</f>
        <v/>
      </c>
      <c r="E84" s="1" t="str">
        <f t="shared" si="1"/>
        <v/>
      </c>
    </row>
    <row r="85" spans="1:5" x14ac:dyDescent="0.2">
      <c r="A85" t="str">
        <f>IF(COUNTBLANK(B85:F85)&lt;&gt;COLUMNS(B85:F85),84,"")</f>
        <v/>
      </c>
      <c r="E85" s="1" t="str">
        <f t="shared" si="1"/>
        <v/>
      </c>
    </row>
    <row r="86" spans="1:5" x14ac:dyDescent="0.2">
      <c r="A86" t="str">
        <f>IF(COUNTBLANK(B86:F86)&lt;&gt;COLUMNS(B86:F86),85,"")</f>
        <v/>
      </c>
      <c r="E86" s="1" t="str">
        <f t="shared" si="1"/>
        <v/>
      </c>
    </row>
    <row r="87" spans="1:5" x14ac:dyDescent="0.2">
      <c r="A87" t="str">
        <f>IF(COUNTBLANK(B87:F87)&lt;&gt;COLUMNS(B87:F87),86,"")</f>
        <v/>
      </c>
      <c r="E87" s="1" t="str">
        <f t="shared" si="1"/>
        <v/>
      </c>
    </row>
    <row r="88" spans="1:5" x14ac:dyDescent="0.2">
      <c r="A88" t="str">
        <f>IF(COUNTBLANK(B88:F88)&lt;&gt;COLUMNS(B88:F88),87,"")</f>
        <v/>
      </c>
      <c r="E88" s="1" t="str">
        <f t="shared" si="1"/>
        <v/>
      </c>
    </row>
    <row r="89" spans="1:5" x14ac:dyDescent="0.2">
      <c r="A89" t="str">
        <f>IF(COUNTBLANK(B89:F89)&lt;&gt;COLUMNS(B89:F89),88,"")</f>
        <v/>
      </c>
      <c r="E89" s="1" t="str">
        <f t="shared" si="1"/>
        <v/>
      </c>
    </row>
    <row r="90" spans="1:5" x14ac:dyDescent="0.2">
      <c r="A90" t="str">
        <f>IF(COUNTBLANK(B90:F90)&lt;&gt;COLUMNS(B90:F90),89,"")</f>
        <v/>
      </c>
      <c r="E90" s="1" t="str">
        <f t="shared" si="1"/>
        <v/>
      </c>
    </row>
    <row r="91" spans="1:5" x14ac:dyDescent="0.2">
      <c r="A91" t="str">
        <f>IF(COUNTBLANK(B91:F91)&lt;&gt;COLUMNS(B91:F91),90,"")</f>
        <v/>
      </c>
      <c r="E91" s="1" t="str">
        <f t="shared" si="1"/>
        <v/>
      </c>
    </row>
    <row r="92" spans="1:5" x14ac:dyDescent="0.2">
      <c r="A92" t="str">
        <f>IF(COUNTBLANK(B92:F92)&lt;&gt;COLUMNS(B92:F92),91,"")</f>
        <v/>
      </c>
      <c r="E92" s="1" t="str">
        <f t="shared" si="1"/>
        <v/>
      </c>
    </row>
    <row r="93" spans="1:5" x14ac:dyDescent="0.2">
      <c r="A93" t="str">
        <f>IF(COUNTBLANK(B93:F93)&lt;&gt;COLUMNS(B93:F93),92,"")</f>
        <v/>
      </c>
      <c r="E93" s="1" t="str">
        <f t="shared" si="1"/>
        <v/>
      </c>
    </row>
    <row r="94" spans="1:5" x14ac:dyDescent="0.2">
      <c r="A94" t="str">
        <f>IF(COUNTBLANK(B94:F94)&lt;&gt;COLUMNS(B94:F94),93,"")</f>
        <v/>
      </c>
      <c r="E94" s="1" t="str">
        <f t="shared" si="1"/>
        <v/>
      </c>
    </row>
    <row r="95" spans="1:5" x14ac:dyDescent="0.2">
      <c r="A95" t="str">
        <f>IF(COUNTBLANK(B95:F95)&lt;&gt;COLUMNS(B95:F95),94,"")</f>
        <v/>
      </c>
      <c r="E95" s="1" t="str">
        <f t="shared" si="1"/>
        <v/>
      </c>
    </row>
    <row r="96" spans="1:5" x14ac:dyDescent="0.2">
      <c r="A96" t="str">
        <f>IF(COUNTBLANK(B96:F96)&lt;&gt;COLUMNS(B96:F96),95,"")</f>
        <v/>
      </c>
      <c r="E96" s="1" t="str">
        <f t="shared" si="1"/>
        <v/>
      </c>
    </row>
    <row r="97" spans="1:5" x14ac:dyDescent="0.2">
      <c r="A97" t="str">
        <f>IF(COUNTBLANK(B97:F97)&lt;&gt;COLUMNS(B97:F97),96,"")</f>
        <v/>
      </c>
      <c r="E97" s="1" t="str">
        <f t="shared" si="1"/>
        <v/>
      </c>
    </row>
    <row r="98" spans="1:5" x14ac:dyDescent="0.2">
      <c r="A98" t="str">
        <f>IF(COUNTBLANK(B98:F98)&lt;&gt;COLUMNS(B98:F98),97,"")</f>
        <v/>
      </c>
      <c r="E98" s="1" t="str">
        <f t="shared" si="1"/>
        <v/>
      </c>
    </row>
    <row r="99" spans="1:5" x14ac:dyDescent="0.2">
      <c r="A99" t="str">
        <f>IF(COUNTBLANK(B99:F99)&lt;&gt;COLUMNS(B99:F99),98,"")</f>
        <v/>
      </c>
      <c r="E99" s="1" t="str">
        <f t="shared" si="1"/>
        <v/>
      </c>
    </row>
    <row r="100" spans="1:5" x14ac:dyDescent="0.2">
      <c r="A100" t="str">
        <f>IF(COUNTBLANK(B100:F100)&lt;&gt;COLUMNS(B100:F100),99,"")</f>
        <v/>
      </c>
      <c r="E100" s="1" t="str">
        <f t="shared" si="1"/>
        <v/>
      </c>
    </row>
    <row r="101" spans="1:5" x14ac:dyDescent="0.2">
      <c r="A101" t="str">
        <f>IF(COUNTBLANK(B101:F101)&lt;&gt;COLUMNS(B101:F101),100,"")</f>
        <v/>
      </c>
      <c r="E101" s="1" t="str">
        <f t="shared" si="1"/>
        <v/>
      </c>
    </row>
    <row r="102" spans="1:5" x14ac:dyDescent="0.2">
      <c r="A102" t="str">
        <f>IF(COUNTBLANK(B102:F102)&lt;&gt;COLUMNS(B102:F102),101,"")</f>
        <v/>
      </c>
      <c r="E102" s="1" t="str">
        <f t="shared" si="1"/>
        <v/>
      </c>
    </row>
    <row r="103" spans="1:5" x14ac:dyDescent="0.2">
      <c r="A103" t="str">
        <f>IF(COUNTBLANK(B103:F103)&lt;&gt;COLUMNS(B103:F103),102,"")</f>
        <v/>
      </c>
      <c r="E103" s="1" t="str">
        <f t="shared" si="1"/>
        <v/>
      </c>
    </row>
    <row r="104" spans="1:5" x14ac:dyDescent="0.2">
      <c r="A104" t="str">
        <f>IF(COUNTBLANK(B104:F104)&lt;&gt;COLUMNS(B104:F104),103,"")</f>
        <v/>
      </c>
      <c r="E104" s="1" t="str">
        <f t="shared" si="1"/>
        <v/>
      </c>
    </row>
    <row r="105" spans="1:5" x14ac:dyDescent="0.2">
      <c r="A105" t="str">
        <f>IF(COUNTBLANK(B105:F105)&lt;&gt;COLUMNS(B105:F105),104,"")</f>
        <v/>
      </c>
      <c r="E105" s="1" t="str">
        <f t="shared" si="1"/>
        <v/>
      </c>
    </row>
    <row r="106" spans="1:5" x14ac:dyDescent="0.2">
      <c r="A106" t="str">
        <f>IF(COUNTBLANK(B106:F106)&lt;&gt;COLUMNS(B106:F106),105,"")</f>
        <v/>
      </c>
      <c r="E106" s="1" t="str">
        <f t="shared" si="1"/>
        <v/>
      </c>
    </row>
    <row r="107" spans="1:5" x14ac:dyDescent="0.2">
      <c r="A107" t="str">
        <f>IF(COUNTBLANK(B107:F107)&lt;&gt;COLUMNS(B107:F107),106,"")</f>
        <v/>
      </c>
      <c r="E107" s="1" t="str">
        <f t="shared" si="1"/>
        <v/>
      </c>
    </row>
    <row r="108" spans="1:5" x14ac:dyDescent="0.2">
      <c r="A108" t="str">
        <f>IF(COUNTBLANK(B108:F108)&lt;&gt;COLUMNS(B108:F108),107,"")</f>
        <v/>
      </c>
      <c r="E108" s="1" t="str">
        <f t="shared" si="1"/>
        <v/>
      </c>
    </row>
    <row r="109" spans="1:5" x14ac:dyDescent="0.2">
      <c r="A109" t="str">
        <f>IF(COUNTBLANK(B109:F109)&lt;&gt;COLUMNS(B109:F109),108,"")</f>
        <v/>
      </c>
      <c r="E109" s="1" t="str">
        <f t="shared" si="1"/>
        <v/>
      </c>
    </row>
    <row r="110" spans="1:5" x14ac:dyDescent="0.2">
      <c r="A110" t="str">
        <f>IF(COUNTBLANK(B110:F110)&lt;&gt;COLUMNS(B110:F110),109,"")</f>
        <v/>
      </c>
      <c r="E110" s="1" t="str">
        <f t="shared" si="1"/>
        <v/>
      </c>
    </row>
    <row r="111" spans="1:5" x14ac:dyDescent="0.2">
      <c r="A111" t="str">
        <f>IF(COUNTBLANK(B111:F111)&lt;&gt;COLUMNS(B111:F111),110,"")</f>
        <v/>
      </c>
      <c r="E111" s="1" t="str">
        <f t="shared" si="1"/>
        <v/>
      </c>
    </row>
    <row r="112" spans="1:5" x14ac:dyDescent="0.2">
      <c r="A112" t="str">
        <f>IF(COUNTBLANK(B112:F112)&lt;&gt;COLUMNS(B112:F112),111,"")</f>
        <v/>
      </c>
      <c r="E112" s="1" t="str">
        <f t="shared" si="1"/>
        <v/>
      </c>
    </row>
    <row r="113" spans="1:5" x14ac:dyDescent="0.2">
      <c r="A113" t="str">
        <f>IF(COUNTBLANK(B113:F113)&lt;&gt;COLUMNS(B113:F113),112,"")</f>
        <v/>
      </c>
      <c r="E113" s="1" t="str">
        <f t="shared" si="1"/>
        <v/>
      </c>
    </row>
    <row r="114" spans="1:5" x14ac:dyDescent="0.2">
      <c r="A114" t="str">
        <f>IF(COUNTBLANK(B114:F114)&lt;&gt;COLUMNS(B114:F114),113,"")</f>
        <v/>
      </c>
      <c r="E114" s="1" t="str">
        <f t="shared" si="1"/>
        <v/>
      </c>
    </row>
    <row r="115" spans="1:5" x14ac:dyDescent="0.2">
      <c r="A115" t="str">
        <f>IF(COUNTBLANK(B115:F115)&lt;&gt;COLUMNS(B115:F115),114,"")</f>
        <v/>
      </c>
      <c r="E115" s="1" t="str">
        <f t="shared" si="1"/>
        <v/>
      </c>
    </row>
    <row r="116" spans="1:5" x14ac:dyDescent="0.2">
      <c r="A116" t="str">
        <f>IF(COUNTBLANK(B116:F116)&lt;&gt;COLUMNS(B116:F116),115,"")</f>
        <v/>
      </c>
      <c r="E116" s="1" t="str">
        <f t="shared" si="1"/>
        <v/>
      </c>
    </row>
    <row r="117" spans="1:5" x14ac:dyDescent="0.2">
      <c r="A117" t="str">
        <f>IF(COUNTBLANK(B117:F117)&lt;&gt;COLUMNS(B117:F117),116,"")</f>
        <v/>
      </c>
      <c r="E117" s="1" t="str">
        <f t="shared" si="1"/>
        <v/>
      </c>
    </row>
    <row r="118" spans="1:5" x14ac:dyDescent="0.2">
      <c r="A118" t="str">
        <f>IF(COUNTBLANK(B118:F118)&lt;&gt;COLUMNS(B118:F118),117,"")</f>
        <v/>
      </c>
      <c r="E118" s="1" t="str">
        <f t="shared" si="1"/>
        <v/>
      </c>
    </row>
    <row r="119" spans="1:5" x14ac:dyDescent="0.2">
      <c r="A119" t="str">
        <f>IF(COUNTBLANK(B119:F119)&lt;&gt;COLUMNS(B119:F119),118,"")</f>
        <v/>
      </c>
      <c r="E119" s="1" t="str">
        <f t="shared" si="1"/>
        <v/>
      </c>
    </row>
    <row r="120" spans="1:5" x14ac:dyDescent="0.2">
      <c r="A120" t="str">
        <f>IF(COUNTBLANK(B120:F120)&lt;&gt;COLUMNS(B120:F120),119,"")</f>
        <v/>
      </c>
      <c r="E120" s="1" t="str">
        <f t="shared" si="1"/>
        <v/>
      </c>
    </row>
    <row r="121" spans="1:5" x14ac:dyDescent="0.2">
      <c r="A121" t="str">
        <f>IF(COUNTBLANK(B121:F121)&lt;&gt;COLUMNS(B121:F121),120,"")</f>
        <v/>
      </c>
      <c r="E121" s="1" t="str">
        <f t="shared" si="1"/>
        <v/>
      </c>
    </row>
    <row r="122" spans="1:5" x14ac:dyDescent="0.2">
      <c r="A122" t="str">
        <f>IF(COUNTBLANK(B122:F122)&lt;&gt;COLUMNS(B122:F122),121,"")</f>
        <v/>
      </c>
      <c r="E122" s="1" t="str">
        <f t="shared" si="1"/>
        <v/>
      </c>
    </row>
    <row r="123" spans="1:5" x14ac:dyDescent="0.2">
      <c r="A123" t="str">
        <f>IF(COUNTBLANK(B123:F123)&lt;&gt;COLUMNS(B123:F123),122,"")</f>
        <v/>
      </c>
      <c r="E123" s="1" t="str">
        <f t="shared" si="1"/>
        <v/>
      </c>
    </row>
    <row r="124" spans="1:5" x14ac:dyDescent="0.2">
      <c r="A124" t="str">
        <f>IF(COUNTBLANK(B124:F124)&lt;&gt;COLUMNS(B124:F124),123,"")</f>
        <v/>
      </c>
      <c r="E124" s="1" t="str">
        <f t="shared" si="1"/>
        <v/>
      </c>
    </row>
    <row r="125" spans="1:5" x14ac:dyDescent="0.2">
      <c r="A125" t="str">
        <f>IF(COUNTBLANK(B125:F125)&lt;&gt;COLUMNS(B125:F125),124,"")</f>
        <v/>
      </c>
      <c r="E125" s="1" t="str">
        <f t="shared" si="1"/>
        <v/>
      </c>
    </row>
    <row r="126" spans="1:5" x14ac:dyDescent="0.2">
      <c r="A126" t="str">
        <f>IF(COUNTBLANK(B126:F126)&lt;&gt;COLUMNS(B126:F126),125,"")</f>
        <v/>
      </c>
      <c r="E126" s="1" t="str">
        <f t="shared" si="1"/>
        <v/>
      </c>
    </row>
    <row r="127" spans="1:5" x14ac:dyDescent="0.2">
      <c r="A127" t="str">
        <f>IF(COUNTBLANK(B127:F127)&lt;&gt;COLUMNS(B127:F127),126,"")</f>
        <v/>
      </c>
      <c r="E127" s="1" t="str">
        <f t="shared" si="1"/>
        <v/>
      </c>
    </row>
    <row r="128" spans="1:5" x14ac:dyDescent="0.2">
      <c r="A128" t="str">
        <f>IF(COUNTBLANK(B128:F128)&lt;&gt;COLUMNS(B128:F128),127,"")</f>
        <v/>
      </c>
      <c r="E128" s="1" t="str">
        <f t="shared" si="1"/>
        <v/>
      </c>
    </row>
    <row r="129" spans="1:5" x14ac:dyDescent="0.2">
      <c r="A129" t="str">
        <f>IF(COUNTBLANK(B129:F129)&lt;&gt;COLUMNS(B129:F129),128,"")</f>
        <v/>
      </c>
      <c r="E129" s="1" t="str">
        <f t="shared" si="1"/>
        <v/>
      </c>
    </row>
    <row r="130" spans="1:5" x14ac:dyDescent="0.2">
      <c r="A130" t="str">
        <f>IF(COUNTBLANK(B130:F130)&lt;&gt;COLUMNS(B130:F130),129,"")</f>
        <v/>
      </c>
      <c r="E130" s="1" t="str">
        <f t="shared" ref="E130:E193" si="2">IF(B130="", "", "built environment")</f>
        <v/>
      </c>
    </row>
    <row r="131" spans="1:5" x14ac:dyDescent="0.2">
      <c r="A131" t="str">
        <f>IF(COUNTBLANK(B131:F131)&lt;&gt;COLUMNS(B131:F131),130,"")</f>
        <v/>
      </c>
      <c r="E131" s="1" t="str">
        <f t="shared" si="2"/>
        <v/>
      </c>
    </row>
    <row r="132" spans="1:5" x14ac:dyDescent="0.2">
      <c r="A132" t="str">
        <f>IF(COUNTBLANK(B132:F132)&lt;&gt;COLUMNS(B132:F132),131,"")</f>
        <v/>
      </c>
      <c r="E132" s="1" t="str">
        <f t="shared" si="2"/>
        <v/>
      </c>
    </row>
    <row r="133" spans="1:5" x14ac:dyDescent="0.2">
      <c r="A133" t="str">
        <f>IF(COUNTBLANK(B133:F133)&lt;&gt;COLUMNS(B133:F133),132,"")</f>
        <v/>
      </c>
      <c r="E133" s="1" t="str">
        <f t="shared" si="2"/>
        <v/>
      </c>
    </row>
    <row r="134" spans="1:5" x14ac:dyDescent="0.2">
      <c r="A134" t="str">
        <f>IF(COUNTBLANK(B134:F134)&lt;&gt;COLUMNS(B134:F134),133,"")</f>
        <v/>
      </c>
      <c r="E134" s="1" t="str">
        <f t="shared" si="2"/>
        <v/>
      </c>
    </row>
    <row r="135" spans="1:5" x14ac:dyDescent="0.2">
      <c r="A135" t="str">
        <f>IF(COUNTBLANK(B135:F135)&lt;&gt;COLUMNS(B135:F135),134,"")</f>
        <v/>
      </c>
      <c r="E135" s="1" t="str">
        <f t="shared" si="2"/>
        <v/>
      </c>
    </row>
    <row r="136" spans="1:5" x14ac:dyDescent="0.2">
      <c r="A136" t="str">
        <f>IF(COUNTBLANK(B136:F136)&lt;&gt;COLUMNS(B136:F136),135,"")</f>
        <v/>
      </c>
      <c r="E136" s="1" t="str">
        <f t="shared" si="2"/>
        <v/>
      </c>
    </row>
    <row r="137" spans="1:5" x14ac:dyDescent="0.2">
      <c r="A137" t="str">
        <f>IF(COUNTBLANK(B137:F137)&lt;&gt;COLUMNS(B137:F137),136,"")</f>
        <v/>
      </c>
      <c r="E137" s="1" t="str">
        <f t="shared" si="2"/>
        <v/>
      </c>
    </row>
    <row r="138" spans="1:5" x14ac:dyDescent="0.2">
      <c r="A138" t="str">
        <f>IF(COUNTBLANK(B138:F138)&lt;&gt;COLUMNS(B138:F138),137,"")</f>
        <v/>
      </c>
      <c r="E138" s="1" t="str">
        <f t="shared" si="2"/>
        <v/>
      </c>
    </row>
    <row r="139" spans="1:5" x14ac:dyDescent="0.2">
      <c r="A139" t="str">
        <f>IF(COUNTBLANK(B139:F139)&lt;&gt;COLUMNS(B139:F139),138,"")</f>
        <v/>
      </c>
      <c r="E139" s="1" t="str">
        <f t="shared" si="2"/>
        <v/>
      </c>
    </row>
    <row r="140" spans="1:5" x14ac:dyDescent="0.2">
      <c r="A140" t="str">
        <f>IF(COUNTBLANK(B140:F140)&lt;&gt;COLUMNS(B140:F140),139,"")</f>
        <v/>
      </c>
      <c r="E140" s="1" t="str">
        <f t="shared" si="2"/>
        <v/>
      </c>
    </row>
    <row r="141" spans="1:5" x14ac:dyDescent="0.2">
      <c r="A141" t="str">
        <f>IF(COUNTBLANK(B141:F141)&lt;&gt;COLUMNS(B141:F141),140,"")</f>
        <v/>
      </c>
      <c r="E141" s="1" t="str">
        <f t="shared" si="2"/>
        <v/>
      </c>
    </row>
    <row r="142" spans="1:5" x14ac:dyDescent="0.2">
      <c r="A142" t="str">
        <f>IF(COUNTBLANK(B142:F142)&lt;&gt;COLUMNS(B142:F142),141,"")</f>
        <v/>
      </c>
      <c r="E142" s="1" t="str">
        <f t="shared" si="2"/>
        <v/>
      </c>
    </row>
    <row r="143" spans="1:5" x14ac:dyDescent="0.2">
      <c r="A143" t="str">
        <f>IF(COUNTBLANK(B143:F143)&lt;&gt;COLUMNS(B143:F143),142,"")</f>
        <v/>
      </c>
      <c r="E143" s="1" t="str">
        <f t="shared" si="2"/>
        <v/>
      </c>
    </row>
    <row r="144" spans="1:5" x14ac:dyDescent="0.2">
      <c r="A144" t="str">
        <f>IF(COUNTBLANK(B144:F144)&lt;&gt;COLUMNS(B144:F144),143,"")</f>
        <v/>
      </c>
      <c r="E144" s="1" t="str">
        <f t="shared" si="2"/>
        <v/>
      </c>
    </row>
    <row r="145" spans="1:5" x14ac:dyDescent="0.2">
      <c r="A145" t="str">
        <f>IF(COUNTBLANK(B145:F145)&lt;&gt;COLUMNS(B145:F145),144,"")</f>
        <v/>
      </c>
      <c r="E145" s="1" t="str">
        <f t="shared" si="2"/>
        <v/>
      </c>
    </row>
    <row r="146" spans="1:5" x14ac:dyDescent="0.2">
      <c r="A146" t="str">
        <f>IF(COUNTBLANK(B146:F146)&lt;&gt;COLUMNS(B146:F146),145,"")</f>
        <v/>
      </c>
      <c r="E146" s="1" t="str">
        <f t="shared" si="2"/>
        <v/>
      </c>
    </row>
    <row r="147" spans="1:5" x14ac:dyDescent="0.2">
      <c r="A147" t="str">
        <f>IF(COUNTBLANK(B147:F147)&lt;&gt;COLUMNS(B147:F147),146,"")</f>
        <v/>
      </c>
      <c r="E147" s="1" t="str">
        <f t="shared" si="2"/>
        <v/>
      </c>
    </row>
    <row r="148" spans="1:5" x14ac:dyDescent="0.2">
      <c r="A148" t="str">
        <f>IF(COUNTBLANK(B148:F148)&lt;&gt;COLUMNS(B148:F148),147,"")</f>
        <v/>
      </c>
      <c r="E148" s="1" t="str">
        <f t="shared" si="2"/>
        <v/>
      </c>
    </row>
    <row r="149" spans="1:5" x14ac:dyDescent="0.2">
      <c r="A149" t="str">
        <f>IF(COUNTBLANK(B149:F149)&lt;&gt;COLUMNS(B149:F149),148,"")</f>
        <v/>
      </c>
      <c r="E149" s="1" t="str">
        <f t="shared" si="2"/>
        <v/>
      </c>
    </row>
    <row r="150" spans="1:5" x14ac:dyDescent="0.2">
      <c r="A150" t="str">
        <f>IF(COUNTBLANK(B150:F150)&lt;&gt;COLUMNS(B150:F150),149,"")</f>
        <v/>
      </c>
      <c r="E150" s="1" t="str">
        <f t="shared" si="2"/>
        <v/>
      </c>
    </row>
    <row r="151" spans="1:5" x14ac:dyDescent="0.2">
      <c r="A151" t="str">
        <f>IF(COUNTBLANK(B151:F151)&lt;&gt;COLUMNS(B151:F151),150,"")</f>
        <v/>
      </c>
      <c r="E151" s="1" t="str">
        <f t="shared" si="2"/>
        <v/>
      </c>
    </row>
    <row r="152" spans="1:5" x14ac:dyDescent="0.2">
      <c r="A152" t="str">
        <f>IF(COUNTBLANK(B152:F152)&lt;&gt;COLUMNS(B152:F152),151,"")</f>
        <v/>
      </c>
      <c r="E152" s="1" t="str">
        <f t="shared" si="2"/>
        <v/>
      </c>
    </row>
    <row r="153" spans="1:5" x14ac:dyDescent="0.2">
      <c r="A153" t="str">
        <f>IF(COUNTBLANK(B153:F153)&lt;&gt;COLUMNS(B153:F153),152,"")</f>
        <v/>
      </c>
      <c r="E153" s="1" t="str">
        <f t="shared" si="2"/>
        <v/>
      </c>
    </row>
    <row r="154" spans="1:5" x14ac:dyDescent="0.2">
      <c r="A154" t="str">
        <f>IF(COUNTBLANK(B154:F154)&lt;&gt;COLUMNS(B154:F154),153,"")</f>
        <v/>
      </c>
      <c r="E154" s="1" t="str">
        <f t="shared" si="2"/>
        <v/>
      </c>
    </row>
    <row r="155" spans="1:5" x14ac:dyDescent="0.2">
      <c r="A155" t="str">
        <f>IF(COUNTBLANK(B155:F155)&lt;&gt;COLUMNS(B155:F155),154,"")</f>
        <v/>
      </c>
      <c r="E155" s="1" t="str">
        <f t="shared" si="2"/>
        <v/>
      </c>
    </row>
    <row r="156" spans="1:5" x14ac:dyDescent="0.2">
      <c r="A156" t="str">
        <f>IF(COUNTBLANK(B156:F156)&lt;&gt;COLUMNS(B156:F156),155,"")</f>
        <v/>
      </c>
      <c r="E156" s="1" t="str">
        <f t="shared" si="2"/>
        <v/>
      </c>
    </row>
    <row r="157" spans="1:5" x14ac:dyDescent="0.2">
      <c r="A157" t="str">
        <f>IF(COUNTBLANK(B157:F157)&lt;&gt;COLUMNS(B157:F157),156,"")</f>
        <v/>
      </c>
      <c r="E157" s="1" t="str">
        <f t="shared" si="2"/>
        <v/>
      </c>
    </row>
    <row r="158" spans="1:5" x14ac:dyDescent="0.2">
      <c r="A158" t="str">
        <f>IF(COUNTBLANK(B158:F158)&lt;&gt;COLUMNS(B158:F158),157,"")</f>
        <v/>
      </c>
      <c r="E158" s="1" t="str">
        <f t="shared" si="2"/>
        <v/>
      </c>
    </row>
    <row r="159" spans="1:5" x14ac:dyDescent="0.2">
      <c r="A159" t="str">
        <f>IF(COUNTBLANK(B159:F159)&lt;&gt;COLUMNS(B159:F159),158,"")</f>
        <v/>
      </c>
      <c r="E159" s="1" t="str">
        <f t="shared" si="2"/>
        <v/>
      </c>
    </row>
    <row r="160" spans="1:5" x14ac:dyDescent="0.2">
      <c r="A160" t="str">
        <f>IF(COUNTBLANK(B160:F160)&lt;&gt;COLUMNS(B160:F160),159,"")</f>
        <v/>
      </c>
      <c r="E160" s="1" t="str">
        <f t="shared" si="2"/>
        <v/>
      </c>
    </row>
    <row r="161" spans="1:5" x14ac:dyDescent="0.2">
      <c r="A161" t="str">
        <f>IF(COUNTBLANK(B161:F161)&lt;&gt;COLUMNS(B161:F161),160,"")</f>
        <v/>
      </c>
      <c r="E161" s="1" t="str">
        <f t="shared" si="2"/>
        <v/>
      </c>
    </row>
    <row r="162" spans="1:5" x14ac:dyDescent="0.2">
      <c r="A162" t="str">
        <f>IF(COUNTBLANK(B162:F162)&lt;&gt;COLUMNS(B162:F162),161,"")</f>
        <v/>
      </c>
      <c r="E162" s="1" t="str">
        <f t="shared" si="2"/>
        <v/>
      </c>
    </row>
    <row r="163" spans="1:5" x14ac:dyDescent="0.2">
      <c r="A163" t="str">
        <f>IF(COUNTBLANK(B163:F163)&lt;&gt;COLUMNS(B163:F163),162,"")</f>
        <v/>
      </c>
      <c r="E163" s="1" t="str">
        <f t="shared" si="2"/>
        <v/>
      </c>
    </row>
    <row r="164" spans="1:5" x14ac:dyDescent="0.2">
      <c r="A164" t="str">
        <f>IF(COUNTBLANK(B164:F164)&lt;&gt;COLUMNS(B164:F164),163,"")</f>
        <v/>
      </c>
      <c r="E164" s="1" t="str">
        <f t="shared" si="2"/>
        <v/>
      </c>
    </row>
    <row r="165" spans="1:5" x14ac:dyDescent="0.2">
      <c r="A165" t="str">
        <f>IF(COUNTBLANK(B165:F165)&lt;&gt;COLUMNS(B165:F165),164,"")</f>
        <v/>
      </c>
      <c r="E165" s="1" t="str">
        <f t="shared" si="2"/>
        <v/>
      </c>
    </row>
    <row r="166" spans="1:5" x14ac:dyDescent="0.2">
      <c r="A166" t="str">
        <f>IF(COUNTBLANK(B166:F166)&lt;&gt;COLUMNS(B166:F166),165,"")</f>
        <v/>
      </c>
      <c r="E166" s="1" t="str">
        <f t="shared" si="2"/>
        <v/>
      </c>
    </row>
    <row r="167" spans="1:5" x14ac:dyDescent="0.2">
      <c r="A167" t="str">
        <f>IF(COUNTBLANK(B167:F167)&lt;&gt;COLUMNS(B167:F167),166,"")</f>
        <v/>
      </c>
      <c r="E167" s="1" t="str">
        <f t="shared" si="2"/>
        <v/>
      </c>
    </row>
    <row r="168" spans="1:5" x14ac:dyDescent="0.2">
      <c r="A168" t="str">
        <f>IF(COUNTBLANK(B168:F168)&lt;&gt;COLUMNS(B168:F168),167,"")</f>
        <v/>
      </c>
      <c r="E168" s="1" t="str">
        <f t="shared" si="2"/>
        <v/>
      </c>
    </row>
    <row r="169" spans="1:5" x14ac:dyDescent="0.2">
      <c r="A169" t="str">
        <f>IF(COUNTBLANK(B169:F169)&lt;&gt;COLUMNS(B169:F169),168,"")</f>
        <v/>
      </c>
      <c r="E169" s="1" t="str">
        <f t="shared" si="2"/>
        <v/>
      </c>
    </row>
    <row r="170" spans="1:5" x14ac:dyDescent="0.2">
      <c r="A170" t="str">
        <f>IF(COUNTBLANK(B170:F170)&lt;&gt;COLUMNS(B170:F170),169,"")</f>
        <v/>
      </c>
      <c r="E170" s="1" t="str">
        <f t="shared" si="2"/>
        <v/>
      </c>
    </row>
    <row r="171" spans="1:5" x14ac:dyDescent="0.2">
      <c r="A171" t="str">
        <f>IF(COUNTBLANK(B171:F171)&lt;&gt;COLUMNS(B171:F171),170,"")</f>
        <v/>
      </c>
      <c r="E171" s="1" t="str">
        <f t="shared" si="2"/>
        <v/>
      </c>
    </row>
    <row r="172" spans="1:5" x14ac:dyDescent="0.2">
      <c r="A172" t="str">
        <f>IF(COUNTBLANK(B172:F172)&lt;&gt;COLUMNS(B172:F172),171,"")</f>
        <v/>
      </c>
      <c r="E172" s="1" t="str">
        <f t="shared" si="2"/>
        <v/>
      </c>
    </row>
    <row r="173" spans="1:5" x14ac:dyDescent="0.2">
      <c r="A173" t="str">
        <f>IF(COUNTBLANK(B173:F173)&lt;&gt;COLUMNS(B173:F173),172,"")</f>
        <v/>
      </c>
      <c r="E173" s="1" t="str">
        <f t="shared" si="2"/>
        <v/>
      </c>
    </row>
    <row r="174" spans="1:5" x14ac:dyDescent="0.2">
      <c r="A174" t="str">
        <f>IF(COUNTBLANK(B174:F174)&lt;&gt;COLUMNS(B174:F174),173,"")</f>
        <v/>
      </c>
      <c r="E174" s="1" t="str">
        <f t="shared" si="2"/>
        <v/>
      </c>
    </row>
    <row r="175" spans="1:5" x14ac:dyDescent="0.2">
      <c r="A175" t="str">
        <f>IF(COUNTBLANK(B175:F175)&lt;&gt;COLUMNS(B175:F175),174,"")</f>
        <v/>
      </c>
      <c r="E175" s="1" t="str">
        <f t="shared" si="2"/>
        <v/>
      </c>
    </row>
    <row r="176" spans="1:5" x14ac:dyDescent="0.2">
      <c r="A176" t="str">
        <f>IF(COUNTBLANK(B176:F176)&lt;&gt;COLUMNS(B176:F176),175,"")</f>
        <v/>
      </c>
      <c r="E176" s="1" t="str">
        <f t="shared" si="2"/>
        <v/>
      </c>
    </row>
    <row r="177" spans="1:5" x14ac:dyDescent="0.2">
      <c r="A177" t="str">
        <f>IF(COUNTBLANK(B177:F177)&lt;&gt;COLUMNS(B177:F177),176,"")</f>
        <v/>
      </c>
      <c r="E177" s="1" t="str">
        <f t="shared" si="2"/>
        <v/>
      </c>
    </row>
    <row r="178" spans="1:5" x14ac:dyDescent="0.2">
      <c r="A178" t="str">
        <f>IF(COUNTBLANK(B178:F178)&lt;&gt;COLUMNS(B178:F178),177,"")</f>
        <v/>
      </c>
      <c r="E178" s="1" t="str">
        <f t="shared" si="2"/>
        <v/>
      </c>
    </row>
    <row r="179" spans="1:5" x14ac:dyDescent="0.2">
      <c r="A179" t="str">
        <f>IF(COUNTBLANK(B179:F179)&lt;&gt;COLUMNS(B179:F179),178,"")</f>
        <v/>
      </c>
      <c r="E179" s="1" t="str">
        <f t="shared" si="2"/>
        <v/>
      </c>
    </row>
    <row r="180" spans="1:5" x14ac:dyDescent="0.2">
      <c r="A180" t="str">
        <f>IF(COUNTBLANK(B180:F180)&lt;&gt;COLUMNS(B180:F180),179,"")</f>
        <v/>
      </c>
      <c r="E180" s="1" t="str">
        <f t="shared" si="2"/>
        <v/>
      </c>
    </row>
    <row r="181" spans="1:5" x14ac:dyDescent="0.2">
      <c r="A181" t="str">
        <f>IF(COUNTBLANK(B181:F181)&lt;&gt;COLUMNS(B181:F181),180,"")</f>
        <v/>
      </c>
      <c r="E181" s="1" t="str">
        <f t="shared" si="2"/>
        <v/>
      </c>
    </row>
    <row r="182" spans="1:5" x14ac:dyDescent="0.2">
      <c r="A182" t="str">
        <f>IF(COUNTBLANK(B182:F182)&lt;&gt;COLUMNS(B182:F182),181,"")</f>
        <v/>
      </c>
      <c r="E182" s="1" t="str">
        <f t="shared" si="2"/>
        <v/>
      </c>
    </row>
    <row r="183" spans="1:5" x14ac:dyDescent="0.2">
      <c r="A183" t="str">
        <f>IF(COUNTBLANK(B183:F183)&lt;&gt;COLUMNS(B183:F183),182,"")</f>
        <v/>
      </c>
      <c r="E183" s="1" t="str">
        <f t="shared" si="2"/>
        <v/>
      </c>
    </row>
    <row r="184" spans="1:5" x14ac:dyDescent="0.2">
      <c r="A184" t="str">
        <f>IF(COUNTBLANK(B184:F184)&lt;&gt;COLUMNS(B184:F184),183,"")</f>
        <v/>
      </c>
      <c r="E184" s="1" t="str">
        <f t="shared" si="2"/>
        <v/>
      </c>
    </row>
    <row r="185" spans="1:5" x14ac:dyDescent="0.2">
      <c r="A185" t="str">
        <f>IF(COUNTBLANK(B185:F185)&lt;&gt;COLUMNS(B185:F185),184,"")</f>
        <v/>
      </c>
      <c r="E185" s="1" t="str">
        <f t="shared" si="2"/>
        <v/>
      </c>
    </row>
    <row r="186" spans="1:5" x14ac:dyDescent="0.2">
      <c r="A186" t="str">
        <f>IF(COUNTBLANK(B186:F186)&lt;&gt;COLUMNS(B186:F186),185,"")</f>
        <v/>
      </c>
      <c r="E186" s="1" t="str">
        <f t="shared" si="2"/>
        <v/>
      </c>
    </row>
    <row r="187" spans="1:5" x14ac:dyDescent="0.2">
      <c r="A187" t="str">
        <f>IF(COUNTBLANK(B187:F187)&lt;&gt;COLUMNS(B187:F187),186,"")</f>
        <v/>
      </c>
      <c r="E187" s="1" t="str">
        <f t="shared" si="2"/>
        <v/>
      </c>
    </row>
    <row r="188" spans="1:5" x14ac:dyDescent="0.2">
      <c r="A188" t="str">
        <f>IF(COUNTBLANK(B188:F188)&lt;&gt;COLUMNS(B188:F188),187,"")</f>
        <v/>
      </c>
      <c r="E188" s="1" t="str">
        <f t="shared" si="2"/>
        <v/>
      </c>
    </row>
    <row r="189" spans="1:5" x14ac:dyDescent="0.2">
      <c r="A189" t="str">
        <f>IF(COUNTBLANK(B189:F189)&lt;&gt;COLUMNS(B189:F189),188,"")</f>
        <v/>
      </c>
      <c r="E189" s="1" t="str">
        <f t="shared" si="2"/>
        <v/>
      </c>
    </row>
    <row r="190" spans="1:5" x14ac:dyDescent="0.2">
      <c r="A190" t="str">
        <f>IF(COUNTBLANK(B190:F190)&lt;&gt;COLUMNS(B190:F190),189,"")</f>
        <v/>
      </c>
      <c r="E190" s="1" t="str">
        <f t="shared" si="2"/>
        <v/>
      </c>
    </row>
    <row r="191" spans="1:5" x14ac:dyDescent="0.2">
      <c r="A191" t="str">
        <f>IF(COUNTBLANK(B191:F191)&lt;&gt;COLUMNS(B191:F191),190,"")</f>
        <v/>
      </c>
      <c r="E191" s="1" t="str">
        <f t="shared" si="2"/>
        <v/>
      </c>
    </row>
    <row r="192" spans="1:5" x14ac:dyDescent="0.2">
      <c r="A192" t="str">
        <f>IF(COUNTBLANK(B192:F192)&lt;&gt;COLUMNS(B192:F192),191,"")</f>
        <v/>
      </c>
      <c r="E192" s="1" t="str">
        <f t="shared" si="2"/>
        <v/>
      </c>
    </row>
    <row r="193" spans="1:5" x14ac:dyDescent="0.2">
      <c r="A193" t="str">
        <f>IF(COUNTBLANK(B193:F193)&lt;&gt;COLUMNS(B193:F193),192,"")</f>
        <v/>
      </c>
      <c r="E193" s="1" t="str">
        <f t="shared" si="2"/>
        <v/>
      </c>
    </row>
    <row r="194" spans="1:5" x14ac:dyDescent="0.2">
      <c r="A194" t="str">
        <f>IF(COUNTBLANK(B194:F194)&lt;&gt;COLUMNS(B194:F194),193,"")</f>
        <v/>
      </c>
      <c r="E194" s="1" t="str">
        <f t="shared" ref="E194:E257" si="3">IF(B194="", "", "built environment")</f>
        <v/>
      </c>
    </row>
    <row r="195" spans="1:5" x14ac:dyDescent="0.2">
      <c r="A195" t="str">
        <f>IF(COUNTBLANK(B195:F195)&lt;&gt;COLUMNS(B195:F195),194,"")</f>
        <v/>
      </c>
      <c r="E195" s="1" t="str">
        <f t="shared" si="3"/>
        <v/>
      </c>
    </row>
    <row r="196" spans="1:5" x14ac:dyDescent="0.2">
      <c r="A196" t="str">
        <f>IF(COUNTBLANK(B196:F196)&lt;&gt;COLUMNS(B196:F196),195,"")</f>
        <v/>
      </c>
      <c r="E196" s="1" t="str">
        <f t="shared" si="3"/>
        <v/>
      </c>
    </row>
    <row r="197" spans="1:5" x14ac:dyDescent="0.2">
      <c r="A197" t="str">
        <f>IF(COUNTBLANK(B197:F197)&lt;&gt;COLUMNS(B197:F197),196,"")</f>
        <v/>
      </c>
      <c r="E197" s="1" t="str">
        <f t="shared" si="3"/>
        <v/>
      </c>
    </row>
    <row r="198" spans="1:5" x14ac:dyDescent="0.2">
      <c r="A198" t="str">
        <f>IF(COUNTBLANK(B198:F198)&lt;&gt;COLUMNS(B198:F198),197,"")</f>
        <v/>
      </c>
      <c r="E198" s="1" t="str">
        <f t="shared" si="3"/>
        <v/>
      </c>
    </row>
    <row r="199" spans="1:5" x14ac:dyDescent="0.2">
      <c r="A199" t="str">
        <f>IF(COUNTBLANK(B199:F199)&lt;&gt;COLUMNS(B199:F199),198,"")</f>
        <v/>
      </c>
      <c r="E199" s="1" t="str">
        <f t="shared" si="3"/>
        <v/>
      </c>
    </row>
    <row r="200" spans="1:5" x14ac:dyDescent="0.2">
      <c r="A200" t="str">
        <f>IF(COUNTBLANK(B200:F200)&lt;&gt;COLUMNS(B200:F200),199,"")</f>
        <v/>
      </c>
      <c r="E200" s="1" t="str">
        <f t="shared" si="3"/>
        <v/>
      </c>
    </row>
    <row r="201" spans="1:5" x14ac:dyDescent="0.2">
      <c r="A201" t="str">
        <f>IF(COUNTBLANK(B201:F201)&lt;&gt;COLUMNS(B201:F201),200,"")</f>
        <v/>
      </c>
      <c r="E201" s="1" t="str">
        <f t="shared" si="3"/>
        <v/>
      </c>
    </row>
    <row r="202" spans="1:5" x14ac:dyDescent="0.2">
      <c r="A202" t="str">
        <f>IF(COUNTBLANK(B202:F202)&lt;&gt;COLUMNS(B202:F202),201,"")</f>
        <v/>
      </c>
      <c r="E202" s="1" t="str">
        <f t="shared" si="3"/>
        <v/>
      </c>
    </row>
    <row r="203" spans="1:5" x14ac:dyDescent="0.2">
      <c r="A203" t="str">
        <f>IF(COUNTBLANK(B203:F203)&lt;&gt;COLUMNS(B203:F203),202,"")</f>
        <v/>
      </c>
      <c r="E203" s="1" t="str">
        <f t="shared" si="3"/>
        <v/>
      </c>
    </row>
    <row r="204" spans="1:5" x14ac:dyDescent="0.2">
      <c r="A204" t="str">
        <f>IF(COUNTBLANK(B204:F204)&lt;&gt;COLUMNS(B204:F204),203,"")</f>
        <v/>
      </c>
      <c r="E204" s="1" t="str">
        <f t="shared" si="3"/>
        <v/>
      </c>
    </row>
    <row r="205" spans="1:5" x14ac:dyDescent="0.2">
      <c r="A205" t="str">
        <f>IF(COUNTBLANK(B205:F205)&lt;&gt;COLUMNS(B205:F205),204,"")</f>
        <v/>
      </c>
      <c r="E205" s="1" t="str">
        <f t="shared" si="3"/>
        <v/>
      </c>
    </row>
    <row r="206" spans="1:5" x14ac:dyDescent="0.2">
      <c r="A206" t="str">
        <f>IF(COUNTBLANK(B206:F206)&lt;&gt;COLUMNS(B206:F206),205,"")</f>
        <v/>
      </c>
      <c r="E206" s="1" t="str">
        <f t="shared" si="3"/>
        <v/>
      </c>
    </row>
    <row r="207" spans="1:5" x14ac:dyDescent="0.2">
      <c r="A207" t="str">
        <f>IF(COUNTBLANK(B207:F207)&lt;&gt;COLUMNS(B207:F207),206,"")</f>
        <v/>
      </c>
      <c r="E207" s="1" t="str">
        <f t="shared" si="3"/>
        <v/>
      </c>
    </row>
    <row r="208" spans="1:5" x14ac:dyDescent="0.2">
      <c r="A208" t="str">
        <f>IF(COUNTBLANK(B208:F208)&lt;&gt;COLUMNS(B208:F208),207,"")</f>
        <v/>
      </c>
      <c r="E208" s="1" t="str">
        <f t="shared" si="3"/>
        <v/>
      </c>
    </row>
    <row r="209" spans="1:5" x14ac:dyDescent="0.2">
      <c r="A209" t="str">
        <f>IF(COUNTBLANK(B209:F209)&lt;&gt;COLUMNS(B209:F209),208,"")</f>
        <v/>
      </c>
      <c r="E209" s="1" t="str">
        <f t="shared" si="3"/>
        <v/>
      </c>
    </row>
    <row r="210" spans="1:5" x14ac:dyDescent="0.2">
      <c r="A210" t="str">
        <f>IF(COUNTBLANK(B210:F210)&lt;&gt;COLUMNS(B210:F210),209,"")</f>
        <v/>
      </c>
      <c r="E210" s="1" t="str">
        <f t="shared" si="3"/>
        <v/>
      </c>
    </row>
    <row r="211" spans="1:5" x14ac:dyDescent="0.2">
      <c r="A211" t="str">
        <f>IF(COUNTBLANK(B211:F211)&lt;&gt;COLUMNS(B211:F211),210,"")</f>
        <v/>
      </c>
      <c r="E211" s="1" t="str">
        <f t="shared" si="3"/>
        <v/>
      </c>
    </row>
    <row r="212" spans="1:5" x14ac:dyDescent="0.2">
      <c r="A212" t="str">
        <f>IF(COUNTBLANK(B212:F212)&lt;&gt;COLUMNS(B212:F212),211,"")</f>
        <v/>
      </c>
      <c r="E212" s="1" t="str">
        <f t="shared" si="3"/>
        <v/>
      </c>
    </row>
    <row r="213" spans="1:5" x14ac:dyDescent="0.2">
      <c r="A213" t="str">
        <f>IF(COUNTBLANK(B213:F213)&lt;&gt;COLUMNS(B213:F213),212,"")</f>
        <v/>
      </c>
      <c r="E213" s="1" t="str">
        <f t="shared" si="3"/>
        <v/>
      </c>
    </row>
    <row r="214" spans="1:5" x14ac:dyDescent="0.2">
      <c r="A214" t="str">
        <f>IF(COUNTBLANK(B214:F214)&lt;&gt;COLUMNS(B214:F214),213,"")</f>
        <v/>
      </c>
      <c r="E214" s="1" t="str">
        <f t="shared" si="3"/>
        <v/>
      </c>
    </row>
    <row r="215" spans="1:5" x14ac:dyDescent="0.2">
      <c r="A215" t="str">
        <f>IF(COUNTBLANK(B215:F215)&lt;&gt;COLUMNS(B215:F215),214,"")</f>
        <v/>
      </c>
      <c r="E215" s="1" t="str">
        <f t="shared" si="3"/>
        <v/>
      </c>
    </row>
    <row r="216" spans="1:5" x14ac:dyDescent="0.2">
      <c r="A216" t="str">
        <f>IF(COUNTBLANK(B216:F216)&lt;&gt;COLUMNS(B216:F216),215,"")</f>
        <v/>
      </c>
      <c r="E216" s="1" t="str">
        <f t="shared" si="3"/>
        <v/>
      </c>
    </row>
    <row r="217" spans="1:5" x14ac:dyDescent="0.2">
      <c r="A217" t="str">
        <f>IF(COUNTBLANK(B217:F217)&lt;&gt;COLUMNS(B217:F217),216,"")</f>
        <v/>
      </c>
      <c r="E217" s="1" t="str">
        <f t="shared" si="3"/>
        <v/>
      </c>
    </row>
    <row r="218" spans="1:5" x14ac:dyDescent="0.2">
      <c r="A218" t="str">
        <f>IF(COUNTBLANK(B218:F218)&lt;&gt;COLUMNS(B218:F218),217,"")</f>
        <v/>
      </c>
      <c r="E218" s="1" t="str">
        <f t="shared" si="3"/>
        <v/>
      </c>
    </row>
    <row r="219" spans="1:5" x14ac:dyDescent="0.2">
      <c r="A219" t="str">
        <f>IF(COUNTBLANK(B219:F219)&lt;&gt;COLUMNS(B219:F219),218,"")</f>
        <v/>
      </c>
      <c r="E219" s="1" t="str">
        <f t="shared" si="3"/>
        <v/>
      </c>
    </row>
    <row r="220" spans="1:5" x14ac:dyDescent="0.2">
      <c r="A220" t="str">
        <f>IF(COUNTBLANK(B220:F220)&lt;&gt;COLUMNS(B220:F220),219,"")</f>
        <v/>
      </c>
      <c r="E220" s="1" t="str">
        <f t="shared" si="3"/>
        <v/>
      </c>
    </row>
    <row r="221" spans="1:5" x14ac:dyDescent="0.2">
      <c r="A221" t="str">
        <f>IF(COUNTBLANK(B221:F221)&lt;&gt;COLUMNS(B221:F221),220,"")</f>
        <v/>
      </c>
      <c r="E221" s="1" t="str">
        <f t="shared" si="3"/>
        <v/>
      </c>
    </row>
    <row r="222" spans="1:5" x14ac:dyDescent="0.2">
      <c r="A222" t="str">
        <f>IF(COUNTBLANK(B222:F222)&lt;&gt;COLUMNS(B222:F222),221,"")</f>
        <v/>
      </c>
      <c r="E222" s="1" t="str">
        <f t="shared" si="3"/>
        <v/>
      </c>
    </row>
    <row r="223" spans="1:5" x14ac:dyDescent="0.2">
      <c r="A223" t="str">
        <f>IF(COUNTBLANK(B223:F223)&lt;&gt;COLUMNS(B223:F223),222,"")</f>
        <v/>
      </c>
      <c r="E223" s="1" t="str">
        <f t="shared" si="3"/>
        <v/>
      </c>
    </row>
    <row r="224" spans="1:5" x14ac:dyDescent="0.2">
      <c r="A224" t="str">
        <f>IF(COUNTBLANK(B224:F224)&lt;&gt;COLUMNS(B224:F224),223,"")</f>
        <v/>
      </c>
      <c r="E224" s="1" t="str">
        <f t="shared" si="3"/>
        <v/>
      </c>
    </row>
    <row r="225" spans="1:5" x14ac:dyDescent="0.2">
      <c r="A225" t="str">
        <f>IF(COUNTBLANK(B225:F225)&lt;&gt;COLUMNS(B225:F225),224,"")</f>
        <v/>
      </c>
      <c r="E225" s="1" t="str">
        <f t="shared" si="3"/>
        <v/>
      </c>
    </row>
    <row r="226" spans="1:5" x14ac:dyDescent="0.2">
      <c r="A226" t="str">
        <f>IF(COUNTBLANK(B226:F226)&lt;&gt;COLUMNS(B226:F226),225,"")</f>
        <v/>
      </c>
      <c r="E226" s="1" t="str">
        <f t="shared" si="3"/>
        <v/>
      </c>
    </row>
    <row r="227" spans="1:5" x14ac:dyDescent="0.2">
      <c r="A227" t="str">
        <f>IF(COUNTBLANK(B227:F227)&lt;&gt;COLUMNS(B227:F227),226,"")</f>
        <v/>
      </c>
      <c r="E227" s="1" t="str">
        <f t="shared" si="3"/>
        <v/>
      </c>
    </row>
    <row r="228" spans="1:5" x14ac:dyDescent="0.2">
      <c r="A228" t="str">
        <f>IF(COUNTBLANK(B228:F228)&lt;&gt;COLUMNS(B228:F228),227,"")</f>
        <v/>
      </c>
      <c r="E228" s="1" t="str">
        <f t="shared" si="3"/>
        <v/>
      </c>
    </row>
    <row r="229" spans="1:5" x14ac:dyDescent="0.2">
      <c r="A229" t="str">
        <f>IF(COUNTBLANK(B229:F229)&lt;&gt;COLUMNS(B229:F229),228,"")</f>
        <v/>
      </c>
      <c r="E229" s="1" t="str">
        <f t="shared" si="3"/>
        <v/>
      </c>
    </row>
    <row r="230" spans="1:5" x14ac:dyDescent="0.2">
      <c r="A230" t="str">
        <f>IF(COUNTBLANK(B230:F230)&lt;&gt;COLUMNS(B230:F230),229,"")</f>
        <v/>
      </c>
      <c r="E230" s="1" t="str">
        <f t="shared" si="3"/>
        <v/>
      </c>
    </row>
    <row r="231" spans="1:5" x14ac:dyDescent="0.2">
      <c r="A231" t="str">
        <f>IF(COUNTBLANK(B231:F231)&lt;&gt;COLUMNS(B231:F231),230,"")</f>
        <v/>
      </c>
      <c r="E231" s="1" t="str">
        <f t="shared" si="3"/>
        <v/>
      </c>
    </row>
    <row r="232" spans="1:5" x14ac:dyDescent="0.2">
      <c r="A232" t="str">
        <f>IF(COUNTBLANK(B232:F232)&lt;&gt;COLUMNS(B232:F232),231,"")</f>
        <v/>
      </c>
      <c r="E232" s="1" t="str">
        <f t="shared" si="3"/>
        <v/>
      </c>
    </row>
    <row r="233" spans="1:5" x14ac:dyDescent="0.2">
      <c r="A233" t="str">
        <f>IF(COUNTBLANK(B233:F233)&lt;&gt;COLUMNS(B233:F233),232,"")</f>
        <v/>
      </c>
      <c r="E233" s="1" t="str">
        <f t="shared" si="3"/>
        <v/>
      </c>
    </row>
    <row r="234" spans="1:5" x14ac:dyDescent="0.2">
      <c r="A234" t="str">
        <f>IF(COUNTBLANK(B234:F234)&lt;&gt;COLUMNS(B234:F234),233,"")</f>
        <v/>
      </c>
      <c r="E234" s="1" t="str">
        <f t="shared" si="3"/>
        <v/>
      </c>
    </row>
    <row r="235" spans="1:5" x14ac:dyDescent="0.2">
      <c r="A235" t="str">
        <f>IF(COUNTBLANK(B235:F235)&lt;&gt;COLUMNS(B235:F235),234,"")</f>
        <v/>
      </c>
      <c r="E235" s="1" t="str">
        <f t="shared" si="3"/>
        <v/>
      </c>
    </row>
    <row r="236" spans="1:5" x14ac:dyDescent="0.2">
      <c r="A236" t="str">
        <f>IF(COUNTBLANK(B236:F236)&lt;&gt;COLUMNS(B236:F236),235,"")</f>
        <v/>
      </c>
      <c r="E236" s="1" t="str">
        <f t="shared" si="3"/>
        <v/>
      </c>
    </row>
    <row r="237" spans="1:5" x14ac:dyDescent="0.2">
      <c r="A237" t="str">
        <f>IF(COUNTBLANK(B237:F237)&lt;&gt;COLUMNS(B237:F237),236,"")</f>
        <v/>
      </c>
      <c r="E237" s="1" t="str">
        <f t="shared" si="3"/>
        <v/>
      </c>
    </row>
    <row r="238" spans="1:5" x14ac:dyDescent="0.2">
      <c r="A238" t="str">
        <f>IF(COUNTBLANK(B238:F238)&lt;&gt;COLUMNS(B238:F238),237,"")</f>
        <v/>
      </c>
      <c r="E238" s="1" t="str">
        <f t="shared" si="3"/>
        <v/>
      </c>
    </row>
    <row r="239" spans="1:5" x14ac:dyDescent="0.2">
      <c r="A239" t="str">
        <f>IF(COUNTBLANK(B239:F239)&lt;&gt;COLUMNS(B239:F239),238,"")</f>
        <v/>
      </c>
      <c r="E239" s="1" t="str">
        <f t="shared" si="3"/>
        <v/>
      </c>
    </row>
    <row r="240" spans="1:5" x14ac:dyDescent="0.2">
      <c r="A240" t="str">
        <f>IF(COUNTBLANK(B240:F240)&lt;&gt;COLUMNS(B240:F240),239,"")</f>
        <v/>
      </c>
      <c r="E240" s="1" t="str">
        <f t="shared" si="3"/>
        <v/>
      </c>
    </row>
    <row r="241" spans="1:5" x14ac:dyDescent="0.2">
      <c r="A241" t="str">
        <f>IF(COUNTBLANK(B241:F241)&lt;&gt;COLUMNS(B241:F241),240,"")</f>
        <v/>
      </c>
      <c r="E241" s="1" t="str">
        <f t="shared" si="3"/>
        <v/>
      </c>
    </row>
    <row r="242" spans="1:5" x14ac:dyDescent="0.2">
      <c r="A242" t="str">
        <f>IF(COUNTBLANK(B242:F242)&lt;&gt;COLUMNS(B242:F242),241,"")</f>
        <v/>
      </c>
      <c r="E242" s="1" t="str">
        <f t="shared" si="3"/>
        <v/>
      </c>
    </row>
    <row r="243" spans="1:5" x14ac:dyDescent="0.2">
      <c r="A243" t="str">
        <f>IF(COUNTBLANK(B243:F243)&lt;&gt;COLUMNS(B243:F243),242,"")</f>
        <v/>
      </c>
      <c r="E243" s="1" t="str">
        <f t="shared" si="3"/>
        <v/>
      </c>
    </row>
    <row r="244" spans="1:5" x14ac:dyDescent="0.2">
      <c r="A244" t="str">
        <f>IF(COUNTBLANK(B244:F244)&lt;&gt;COLUMNS(B244:F244),243,"")</f>
        <v/>
      </c>
      <c r="E244" s="1" t="str">
        <f t="shared" si="3"/>
        <v/>
      </c>
    </row>
    <row r="245" spans="1:5" x14ac:dyDescent="0.2">
      <c r="A245" t="str">
        <f>IF(COUNTBLANK(B245:F245)&lt;&gt;COLUMNS(B245:F245),244,"")</f>
        <v/>
      </c>
      <c r="E245" s="1" t="str">
        <f t="shared" si="3"/>
        <v/>
      </c>
    </row>
    <row r="246" spans="1:5" x14ac:dyDescent="0.2">
      <c r="A246" t="str">
        <f>IF(COUNTBLANK(B246:F246)&lt;&gt;COLUMNS(B246:F246),245,"")</f>
        <v/>
      </c>
      <c r="E246" s="1" t="str">
        <f t="shared" si="3"/>
        <v/>
      </c>
    </row>
    <row r="247" spans="1:5" x14ac:dyDescent="0.2">
      <c r="A247" t="str">
        <f>IF(COUNTBLANK(B247:F247)&lt;&gt;COLUMNS(B247:F247),246,"")</f>
        <v/>
      </c>
      <c r="E247" s="1" t="str">
        <f t="shared" si="3"/>
        <v/>
      </c>
    </row>
    <row r="248" spans="1:5" x14ac:dyDescent="0.2">
      <c r="A248" t="str">
        <f>IF(COUNTBLANK(B248:F248)&lt;&gt;COLUMNS(B248:F248),247,"")</f>
        <v/>
      </c>
      <c r="E248" s="1" t="str">
        <f t="shared" si="3"/>
        <v/>
      </c>
    </row>
    <row r="249" spans="1:5" x14ac:dyDescent="0.2">
      <c r="A249" t="str">
        <f>IF(COUNTBLANK(B249:F249)&lt;&gt;COLUMNS(B249:F249),248,"")</f>
        <v/>
      </c>
      <c r="E249" s="1" t="str">
        <f t="shared" si="3"/>
        <v/>
      </c>
    </row>
    <row r="250" spans="1:5" x14ac:dyDescent="0.2">
      <c r="A250" t="str">
        <f>IF(COUNTBLANK(B250:F250)&lt;&gt;COLUMNS(B250:F250),249,"")</f>
        <v/>
      </c>
      <c r="E250" s="1" t="str">
        <f t="shared" si="3"/>
        <v/>
      </c>
    </row>
    <row r="251" spans="1:5" x14ac:dyDescent="0.2">
      <c r="A251" t="str">
        <f>IF(COUNTBLANK(B251:F251)&lt;&gt;COLUMNS(B251:F251),250,"")</f>
        <v/>
      </c>
      <c r="E251" s="1" t="str">
        <f t="shared" si="3"/>
        <v/>
      </c>
    </row>
    <row r="252" spans="1:5" x14ac:dyDescent="0.2">
      <c r="A252" t="str">
        <f>IF(COUNTBLANK(B252:F252)&lt;&gt;COLUMNS(B252:F252),251,"")</f>
        <v/>
      </c>
      <c r="E252" s="1" t="str">
        <f t="shared" si="3"/>
        <v/>
      </c>
    </row>
    <row r="253" spans="1:5" x14ac:dyDescent="0.2">
      <c r="A253" t="str">
        <f>IF(COUNTBLANK(B253:F253)&lt;&gt;COLUMNS(B253:F253),252,"")</f>
        <v/>
      </c>
      <c r="E253" s="1" t="str">
        <f t="shared" si="3"/>
        <v/>
      </c>
    </row>
    <row r="254" spans="1:5" x14ac:dyDescent="0.2">
      <c r="A254" t="str">
        <f>IF(COUNTBLANK(B254:F254)&lt;&gt;COLUMNS(B254:F254),253,"")</f>
        <v/>
      </c>
      <c r="E254" s="1" t="str">
        <f t="shared" si="3"/>
        <v/>
      </c>
    </row>
    <row r="255" spans="1:5" x14ac:dyDescent="0.2">
      <c r="A255" t="str">
        <f>IF(COUNTBLANK(B255:F255)&lt;&gt;COLUMNS(B255:F255),254,"")</f>
        <v/>
      </c>
      <c r="E255" s="1" t="str">
        <f t="shared" si="3"/>
        <v/>
      </c>
    </row>
    <row r="256" spans="1:5" x14ac:dyDescent="0.2">
      <c r="A256" t="str">
        <f>IF(COUNTBLANK(B256:F256)&lt;&gt;COLUMNS(B256:F256),255,"")</f>
        <v/>
      </c>
      <c r="E256" s="1" t="str">
        <f t="shared" si="3"/>
        <v/>
      </c>
    </row>
    <row r="257" spans="1:5" x14ac:dyDescent="0.2">
      <c r="A257" t="str">
        <f>IF(COUNTBLANK(B257:F257)&lt;&gt;COLUMNS(B257:F257),256,"")</f>
        <v/>
      </c>
      <c r="E257" s="1" t="str">
        <f t="shared" si="3"/>
        <v/>
      </c>
    </row>
    <row r="258" spans="1:5" x14ac:dyDescent="0.2">
      <c r="A258" t="str">
        <f>IF(COUNTBLANK(B258:F258)&lt;&gt;COLUMNS(B258:F258),257,"")</f>
        <v/>
      </c>
      <c r="E258" s="1" t="str">
        <f t="shared" ref="E258:E321" si="4">IF(B258="", "", "built environment")</f>
        <v/>
      </c>
    </row>
    <row r="259" spans="1:5" x14ac:dyDescent="0.2">
      <c r="A259" t="str">
        <f>IF(COUNTBLANK(B259:F259)&lt;&gt;COLUMNS(B259:F259),258,"")</f>
        <v/>
      </c>
      <c r="E259" s="1" t="str">
        <f t="shared" si="4"/>
        <v/>
      </c>
    </row>
    <row r="260" spans="1:5" x14ac:dyDescent="0.2">
      <c r="A260" t="str">
        <f>IF(COUNTBLANK(B260:F260)&lt;&gt;COLUMNS(B260:F260),259,"")</f>
        <v/>
      </c>
      <c r="E260" s="1" t="str">
        <f t="shared" si="4"/>
        <v/>
      </c>
    </row>
    <row r="261" spans="1:5" x14ac:dyDescent="0.2">
      <c r="A261" t="str">
        <f>IF(COUNTBLANK(B261:F261)&lt;&gt;COLUMNS(B261:F261),260,"")</f>
        <v/>
      </c>
      <c r="E261" s="1" t="str">
        <f t="shared" si="4"/>
        <v/>
      </c>
    </row>
    <row r="262" spans="1:5" x14ac:dyDescent="0.2">
      <c r="A262" t="str">
        <f>IF(COUNTBLANK(B262:F262)&lt;&gt;COLUMNS(B262:F262),261,"")</f>
        <v/>
      </c>
      <c r="E262" s="1" t="str">
        <f t="shared" si="4"/>
        <v/>
      </c>
    </row>
    <row r="263" spans="1:5" x14ac:dyDescent="0.2">
      <c r="A263" t="str">
        <f>IF(COUNTBLANK(B263:F263)&lt;&gt;COLUMNS(B263:F263),262,"")</f>
        <v/>
      </c>
      <c r="E263" s="1" t="str">
        <f t="shared" si="4"/>
        <v/>
      </c>
    </row>
    <row r="264" spans="1:5" x14ac:dyDescent="0.2">
      <c r="A264" t="str">
        <f>IF(COUNTBLANK(B264:F264)&lt;&gt;COLUMNS(B264:F264),263,"")</f>
        <v/>
      </c>
      <c r="E264" s="1" t="str">
        <f t="shared" si="4"/>
        <v/>
      </c>
    </row>
    <row r="265" spans="1:5" x14ac:dyDescent="0.2">
      <c r="A265" t="str">
        <f>IF(COUNTBLANK(B265:F265)&lt;&gt;COLUMNS(B265:F265),264,"")</f>
        <v/>
      </c>
      <c r="E265" s="1" t="str">
        <f t="shared" si="4"/>
        <v/>
      </c>
    </row>
    <row r="266" spans="1:5" x14ac:dyDescent="0.2">
      <c r="A266" t="str">
        <f>IF(COUNTBLANK(B266:F266)&lt;&gt;COLUMNS(B266:F266),265,"")</f>
        <v/>
      </c>
      <c r="E266" s="1" t="str">
        <f t="shared" si="4"/>
        <v/>
      </c>
    </row>
    <row r="267" spans="1:5" x14ac:dyDescent="0.2">
      <c r="A267" t="str">
        <f>IF(COUNTBLANK(B267:F267)&lt;&gt;COLUMNS(B267:F267),266,"")</f>
        <v/>
      </c>
      <c r="E267" s="1" t="str">
        <f t="shared" si="4"/>
        <v/>
      </c>
    </row>
    <row r="268" spans="1:5" x14ac:dyDescent="0.2">
      <c r="A268" t="str">
        <f>IF(COUNTBLANK(B268:F268)&lt;&gt;COLUMNS(B268:F268),267,"")</f>
        <v/>
      </c>
      <c r="E268" s="1" t="str">
        <f t="shared" si="4"/>
        <v/>
      </c>
    </row>
    <row r="269" spans="1:5" x14ac:dyDescent="0.2">
      <c r="A269" t="str">
        <f>IF(COUNTBLANK(B269:F269)&lt;&gt;COLUMNS(B269:F269),268,"")</f>
        <v/>
      </c>
      <c r="E269" s="1" t="str">
        <f t="shared" si="4"/>
        <v/>
      </c>
    </row>
    <row r="270" spans="1:5" x14ac:dyDescent="0.2">
      <c r="A270" t="str">
        <f>IF(COUNTBLANK(B270:F270)&lt;&gt;COLUMNS(B270:F270),269,"")</f>
        <v/>
      </c>
      <c r="E270" s="1" t="str">
        <f t="shared" si="4"/>
        <v/>
      </c>
    </row>
    <row r="271" spans="1:5" x14ac:dyDescent="0.2">
      <c r="A271" t="str">
        <f>IF(COUNTBLANK(B271:F271)&lt;&gt;COLUMNS(B271:F271),270,"")</f>
        <v/>
      </c>
      <c r="E271" s="1" t="str">
        <f t="shared" si="4"/>
        <v/>
      </c>
    </row>
    <row r="272" spans="1:5" x14ac:dyDescent="0.2">
      <c r="A272" t="str">
        <f>IF(COUNTBLANK(B272:F272)&lt;&gt;COLUMNS(B272:F272),271,"")</f>
        <v/>
      </c>
      <c r="E272" s="1" t="str">
        <f t="shared" si="4"/>
        <v/>
      </c>
    </row>
    <row r="273" spans="1:5" x14ac:dyDescent="0.2">
      <c r="A273" t="str">
        <f>IF(COUNTBLANK(B273:F273)&lt;&gt;COLUMNS(B273:F273),272,"")</f>
        <v/>
      </c>
      <c r="E273" s="1" t="str">
        <f t="shared" si="4"/>
        <v/>
      </c>
    </row>
    <row r="274" spans="1:5" x14ac:dyDescent="0.2">
      <c r="A274" t="str">
        <f>IF(COUNTBLANK(B274:F274)&lt;&gt;COLUMNS(B274:F274),273,"")</f>
        <v/>
      </c>
      <c r="E274" s="1" t="str">
        <f t="shared" si="4"/>
        <v/>
      </c>
    </row>
    <row r="275" spans="1:5" x14ac:dyDescent="0.2">
      <c r="A275" t="str">
        <f>IF(COUNTBLANK(B275:F275)&lt;&gt;COLUMNS(B275:F275),274,"")</f>
        <v/>
      </c>
      <c r="E275" s="1" t="str">
        <f t="shared" si="4"/>
        <v/>
      </c>
    </row>
    <row r="276" spans="1:5" x14ac:dyDescent="0.2">
      <c r="A276" t="str">
        <f>IF(COUNTBLANK(B276:F276)&lt;&gt;COLUMNS(B276:F276),275,"")</f>
        <v/>
      </c>
      <c r="E276" s="1" t="str">
        <f t="shared" si="4"/>
        <v/>
      </c>
    </row>
    <row r="277" spans="1:5" x14ac:dyDescent="0.2">
      <c r="A277" t="str">
        <f>IF(COUNTBLANK(B277:F277)&lt;&gt;COLUMNS(B277:F277),276,"")</f>
        <v/>
      </c>
      <c r="E277" s="1" t="str">
        <f t="shared" si="4"/>
        <v/>
      </c>
    </row>
    <row r="278" spans="1:5" x14ac:dyDescent="0.2">
      <c r="A278" t="str">
        <f>IF(COUNTBLANK(B278:F278)&lt;&gt;COLUMNS(B278:F278),277,"")</f>
        <v/>
      </c>
      <c r="E278" s="1" t="str">
        <f t="shared" si="4"/>
        <v/>
      </c>
    </row>
    <row r="279" spans="1:5" x14ac:dyDescent="0.2">
      <c r="A279" t="str">
        <f>IF(COUNTBLANK(B279:F279)&lt;&gt;COLUMNS(B279:F279),278,"")</f>
        <v/>
      </c>
      <c r="E279" s="1" t="str">
        <f t="shared" si="4"/>
        <v/>
      </c>
    </row>
    <row r="280" spans="1:5" x14ac:dyDescent="0.2">
      <c r="A280" t="str">
        <f>IF(COUNTBLANK(B280:F280)&lt;&gt;COLUMNS(B280:F280),279,"")</f>
        <v/>
      </c>
      <c r="E280" s="1" t="str">
        <f t="shared" si="4"/>
        <v/>
      </c>
    </row>
    <row r="281" spans="1:5" x14ac:dyDescent="0.2">
      <c r="A281" t="str">
        <f>IF(COUNTBLANK(B281:F281)&lt;&gt;COLUMNS(B281:F281),280,"")</f>
        <v/>
      </c>
      <c r="E281" s="1" t="str">
        <f t="shared" si="4"/>
        <v/>
      </c>
    </row>
    <row r="282" spans="1:5" x14ac:dyDescent="0.2">
      <c r="A282" t="str">
        <f>IF(COUNTBLANK(B282:F282)&lt;&gt;COLUMNS(B282:F282),281,"")</f>
        <v/>
      </c>
      <c r="E282" s="1" t="str">
        <f t="shared" si="4"/>
        <v/>
      </c>
    </row>
    <row r="283" spans="1:5" x14ac:dyDescent="0.2">
      <c r="A283" t="str">
        <f>IF(COUNTBLANK(B283:F283)&lt;&gt;COLUMNS(B283:F283),282,"")</f>
        <v/>
      </c>
      <c r="E283" s="1" t="str">
        <f t="shared" si="4"/>
        <v/>
      </c>
    </row>
    <row r="284" spans="1:5" x14ac:dyDescent="0.2">
      <c r="A284" t="str">
        <f>IF(COUNTBLANK(B284:F284)&lt;&gt;COLUMNS(B284:F284),283,"")</f>
        <v/>
      </c>
      <c r="E284" s="1" t="str">
        <f t="shared" si="4"/>
        <v/>
      </c>
    </row>
    <row r="285" spans="1:5" x14ac:dyDescent="0.2">
      <c r="A285" t="str">
        <f>IF(COUNTBLANK(B285:F285)&lt;&gt;COLUMNS(B285:F285),284,"")</f>
        <v/>
      </c>
      <c r="E285" s="1" t="str">
        <f t="shared" si="4"/>
        <v/>
      </c>
    </row>
    <row r="286" spans="1:5" x14ac:dyDescent="0.2">
      <c r="A286" t="str">
        <f>IF(COUNTBLANK(B286:F286)&lt;&gt;COLUMNS(B286:F286),285,"")</f>
        <v/>
      </c>
      <c r="E286" s="1" t="str">
        <f t="shared" si="4"/>
        <v/>
      </c>
    </row>
    <row r="287" spans="1:5" x14ac:dyDescent="0.2">
      <c r="A287" t="str">
        <f>IF(COUNTBLANK(B287:F287)&lt;&gt;COLUMNS(B287:F287),286,"")</f>
        <v/>
      </c>
      <c r="E287" s="1" t="str">
        <f t="shared" si="4"/>
        <v/>
      </c>
    </row>
    <row r="288" spans="1:5" x14ac:dyDescent="0.2">
      <c r="A288" t="str">
        <f>IF(COUNTBLANK(B288:F288)&lt;&gt;COLUMNS(B288:F288),287,"")</f>
        <v/>
      </c>
      <c r="E288" s="1" t="str">
        <f t="shared" si="4"/>
        <v/>
      </c>
    </row>
    <row r="289" spans="1:5" x14ac:dyDescent="0.2">
      <c r="A289" t="str">
        <f>IF(COUNTBLANK(B289:F289)&lt;&gt;COLUMNS(B289:F289),288,"")</f>
        <v/>
      </c>
      <c r="E289" s="1" t="str">
        <f t="shared" si="4"/>
        <v/>
      </c>
    </row>
    <row r="290" spans="1:5" x14ac:dyDescent="0.2">
      <c r="A290" t="str">
        <f>IF(COUNTBLANK(B290:F290)&lt;&gt;COLUMNS(B290:F290),289,"")</f>
        <v/>
      </c>
      <c r="E290" s="1" t="str">
        <f t="shared" si="4"/>
        <v/>
      </c>
    </row>
    <row r="291" spans="1:5" x14ac:dyDescent="0.2">
      <c r="A291" t="str">
        <f>IF(COUNTBLANK(B291:F291)&lt;&gt;COLUMNS(B291:F291),290,"")</f>
        <v/>
      </c>
      <c r="E291" s="1" t="str">
        <f t="shared" si="4"/>
        <v/>
      </c>
    </row>
    <row r="292" spans="1:5" x14ac:dyDescent="0.2">
      <c r="A292" t="str">
        <f>IF(COUNTBLANK(B292:F292)&lt;&gt;COLUMNS(B292:F292),291,"")</f>
        <v/>
      </c>
      <c r="E292" s="1" t="str">
        <f t="shared" si="4"/>
        <v/>
      </c>
    </row>
    <row r="293" spans="1:5" x14ac:dyDescent="0.2">
      <c r="A293" t="str">
        <f>IF(COUNTBLANK(B293:F293)&lt;&gt;COLUMNS(B293:F293),292,"")</f>
        <v/>
      </c>
      <c r="E293" s="1" t="str">
        <f t="shared" si="4"/>
        <v/>
      </c>
    </row>
    <row r="294" spans="1:5" x14ac:dyDescent="0.2">
      <c r="A294" t="str">
        <f>IF(COUNTBLANK(B294:F294)&lt;&gt;COLUMNS(B294:F294),293,"")</f>
        <v/>
      </c>
      <c r="E294" s="1" t="str">
        <f t="shared" si="4"/>
        <v/>
      </c>
    </row>
    <row r="295" spans="1:5" x14ac:dyDescent="0.2">
      <c r="A295" t="str">
        <f>IF(COUNTBLANK(B295:F295)&lt;&gt;COLUMNS(B295:F295),294,"")</f>
        <v/>
      </c>
      <c r="E295" s="1" t="str">
        <f t="shared" si="4"/>
        <v/>
      </c>
    </row>
    <row r="296" spans="1:5" x14ac:dyDescent="0.2">
      <c r="A296" t="str">
        <f>IF(COUNTBLANK(B296:F296)&lt;&gt;COLUMNS(B296:F296),295,"")</f>
        <v/>
      </c>
      <c r="E296" s="1" t="str">
        <f t="shared" si="4"/>
        <v/>
      </c>
    </row>
    <row r="297" spans="1:5" x14ac:dyDescent="0.2">
      <c r="A297" t="str">
        <f>IF(COUNTBLANK(B297:F297)&lt;&gt;COLUMNS(B297:F297),296,"")</f>
        <v/>
      </c>
      <c r="E297" s="1" t="str">
        <f t="shared" si="4"/>
        <v/>
      </c>
    </row>
    <row r="298" spans="1:5" x14ac:dyDescent="0.2">
      <c r="A298" t="str">
        <f>IF(COUNTBLANK(B298:F298)&lt;&gt;COLUMNS(B298:F298),297,"")</f>
        <v/>
      </c>
      <c r="E298" s="1" t="str">
        <f t="shared" si="4"/>
        <v/>
      </c>
    </row>
    <row r="299" spans="1:5" x14ac:dyDescent="0.2">
      <c r="A299" t="str">
        <f>IF(COUNTBLANK(B299:F299)&lt;&gt;COLUMNS(B299:F299),298,"")</f>
        <v/>
      </c>
      <c r="E299" s="1" t="str">
        <f t="shared" si="4"/>
        <v/>
      </c>
    </row>
    <row r="300" spans="1:5" x14ac:dyDescent="0.2">
      <c r="A300" t="str">
        <f>IF(COUNTBLANK(B300:F300)&lt;&gt;COLUMNS(B300:F300),299,"")</f>
        <v/>
      </c>
      <c r="E300" s="1" t="str">
        <f t="shared" si="4"/>
        <v/>
      </c>
    </row>
    <row r="301" spans="1:5" x14ac:dyDescent="0.2">
      <c r="A301" t="str">
        <f>IF(COUNTBLANK(B301:F301)&lt;&gt;COLUMNS(B301:F301),300,"")</f>
        <v/>
      </c>
      <c r="E301" s="1" t="str">
        <f t="shared" si="4"/>
        <v/>
      </c>
    </row>
    <row r="302" spans="1:5" x14ac:dyDescent="0.2">
      <c r="A302" t="str">
        <f>IF(COUNTBLANK(B302:F302)&lt;&gt;COLUMNS(B302:F302),301,"")</f>
        <v/>
      </c>
      <c r="E302" s="1" t="str">
        <f t="shared" si="4"/>
        <v/>
      </c>
    </row>
    <row r="303" spans="1:5" x14ac:dyDescent="0.2">
      <c r="A303" t="str">
        <f>IF(COUNTBLANK(B303:F303)&lt;&gt;COLUMNS(B303:F303),302,"")</f>
        <v/>
      </c>
      <c r="E303" s="1" t="str">
        <f t="shared" si="4"/>
        <v/>
      </c>
    </row>
    <row r="304" spans="1:5" x14ac:dyDescent="0.2">
      <c r="A304" t="str">
        <f>IF(COUNTBLANK(B304:F304)&lt;&gt;COLUMNS(B304:F304),303,"")</f>
        <v/>
      </c>
      <c r="E304" s="1" t="str">
        <f t="shared" si="4"/>
        <v/>
      </c>
    </row>
    <row r="305" spans="1:5" x14ac:dyDescent="0.2">
      <c r="A305" t="str">
        <f>IF(COUNTBLANK(B305:F305)&lt;&gt;COLUMNS(B305:F305),304,"")</f>
        <v/>
      </c>
      <c r="E305" s="1" t="str">
        <f t="shared" si="4"/>
        <v/>
      </c>
    </row>
    <row r="306" spans="1:5" x14ac:dyDescent="0.2">
      <c r="A306" t="str">
        <f>IF(COUNTBLANK(B306:F306)&lt;&gt;COLUMNS(B306:F306),305,"")</f>
        <v/>
      </c>
      <c r="E306" s="1" t="str">
        <f t="shared" si="4"/>
        <v/>
      </c>
    </row>
    <row r="307" spans="1:5" x14ac:dyDescent="0.2">
      <c r="A307" t="str">
        <f>IF(COUNTBLANK(B307:F307)&lt;&gt;COLUMNS(B307:F307),306,"")</f>
        <v/>
      </c>
      <c r="E307" s="1" t="str">
        <f t="shared" si="4"/>
        <v/>
      </c>
    </row>
    <row r="308" spans="1:5" x14ac:dyDescent="0.2">
      <c r="A308" t="str">
        <f>IF(COUNTBLANK(B308:F308)&lt;&gt;COLUMNS(B308:F308),307,"")</f>
        <v/>
      </c>
      <c r="E308" s="1" t="str">
        <f t="shared" si="4"/>
        <v/>
      </c>
    </row>
    <row r="309" spans="1:5" x14ac:dyDescent="0.2">
      <c r="A309" t="str">
        <f>IF(COUNTBLANK(B309:F309)&lt;&gt;COLUMNS(B309:F309),308,"")</f>
        <v/>
      </c>
      <c r="E309" s="1" t="str">
        <f t="shared" si="4"/>
        <v/>
      </c>
    </row>
    <row r="310" spans="1:5" x14ac:dyDescent="0.2">
      <c r="A310" t="str">
        <f>IF(COUNTBLANK(B310:F310)&lt;&gt;COLUMNS(B310:F310),309,"")</f>
        <v/>
      </c>
      <c r="E310" s="1" t="str">
        <f t="shared" si="4"/>
        <v/>
      </c>
    </row>
    <row r="311" spans="1:5" x14ac:dyDescent="0.2">
      <c r="A311" t="str">
        <f>IF(COUNTBLANK(B311:F311)&lt;&gt;COLUMNS(B311:F311),310,"")</f>
        <v/>
      </c>
      <c r="E311" s="1" t="str">
        <f t="shared" si="4"/>
        <v/>
      </c>
    </row>
    <row r="312" spans="1:5" x14ac:dyDescent="0.2">
      <c r="A312" t="str">
        <f>IF(COUNTBLANK(B312:F312)&lt;&gt;COLUMNS(B312:F312),311,"")</f>
        <v/>
      </c>
      <c r="E312" s="1" t="str">
        <f t="shared" si="4"/>
        <v/>
      </c>
    </row>
    <row r="313" spans="1:5" x14ac:dyDescent="0.2">
      <c r="A313" t="str">
        <f>IF(COUNTBLANK(B313:F313)&lt;&gt;COLUMNS(B313:F313),312,"")</f>
        <v/>
      </c>
      <c r="E313" s="1" t="str">
        <f t="shared" si="4"/>
        <v/>
      </c>
    </row>
    <row r="314" spans="1:5" x14ac:dyDescent="0.2">
      <c r="A314" t="str">
        <f>IF(COUNTBLANK(B314:F314)&lt;&gt;COLUMNS(B314:F314),313,"")</f>
        <v/>
      </c>
      <c r="E314" s="1" t="str">
        <f t="shared" si="4"/>
        <v/>
      </c>
    </row>
    <row r="315" spans="1:5" x14ac:dyDescent="0.2">
      <c r="A315" t="str">
        <f>IF(COUNTBLANK(B315:F315)&lt;&gt;COLUMNS(B315:F315),314,"")</f>
        <v/>
      </c>
      <c r="E315" s="1" t="str">
        <f t="shared" si="4"/>
        <v/>
      </c>
    </row>
    <row r="316" spans="1:5" x14ac:dyDescent="0.2">
      <c r="A316" t="str">
        <f>IF(COUNTBLANK(B316:F316)&lt;&gt;COLUMNS(B316:F316),315,"")</f>
        <v/>
      </c>
      <c r="E316" s="1" t="str">
        <f t="shared" si="4"/>
        <v/>
      </c>
    </row>
    <row r="317" spans="1:5" x14ac:dyDescent="0.2">
      <c r="A317" t="str">
        <f>IF(COUNTBLANK(B317:F317)&lt;&gt;COLUMNS(B317:F317),316,"")</f>
        <v/>
      </c>
      <c r="E317" s="1" t="str">
        <f t="shared" si="4"/>
        <v/>
      </c>
    </row>
    <row r="318" spans="1:5" x14ac:dyDescent="0.2">
      <c r="A318" t="str">
        <f>IF(COUNTBLANK(B318:F318)&lt;&gt;COLUMNS(B318:F318),317,"")</f>
        <v/>
      </c>
      <c r="E318" s="1" t="str">
        <f t="shared" si="4"/>
        <v/>
      </c>
    </row>
    <row r="319" spans="1:5" x14ac:dyDescent="0.2">
      <c r="A319" t="str">
        <f>IF(COUNTBLANK(B319:F319)&lt;&gt;COLUMNS(B319:F319),318,"")</f>
        <v/>
      </c>
      <c r="E319" s="1" t="str">
        <f t="shared" si="4"/>
        <v/>
      </c>
    </row>
    <row r="320" spans="1:5" x14ac:dyDescent="0.2">
      <c r="A320" t="str">
        <f>IF(COUNTBLANK(B320:F320)&lt;&gt;COLUMNS(B320:F320),319,"")</f>
        <v/>
      </c>
      <c r="E320" s="1" t="str">
        <f t="shared" si="4"/>
        <v/>
      </c>
    </row>
    <row r="321" spans="1:5" x14ac:dyDescent="0.2">
      <c r="A321" t="str">
        <f>IF(COUNTBLANK(B321:F321)&lt;&gt;COLUMNS(B321:F321),320,"")</f>
        <v/>
      </c>
      <c r="E321" s="1" t="str">
        <f t="shared" si="4"/>
        <v/>
      </c>
    </row>
    <row r="322" spans="1:5" x14ac:dyDescent="0.2">
      <c r="A322" t="str">
        <f>IF(COUNTBLANK(B322:F322)&lt;&gt;COLUMNS(B322:F322),321,"")</f>
        <v/>
      </c>
      <c r="E322" s="1" t="str">
        <f t="shared" ref="E322:E385" si="5">IF(B322="", "", "built environment")</f>
        <v/>
      </c>
    </row>
    <row r="323" spans="1:5" x14ac:dyDescent="0.2">
      <c r="A323" t="str">
        <f>IF(COUNTBLANK(B323:F323)&lt;&gt;COLUMNS(B323:F323),322,"")</f>
        <v/>
      </c>
      <c r="E323" s="1" t="str">
        <f t="shared" si="5"/>
        <v/>
      </c>
    </row>
    <row r="324" spans="1:5" x14ac:dyDescent="0.2">
      <c r="A324" t="str">
        <f>IF(COUNTBLANK(B324:F324)&lt;&gt;COLUMNS(B324:F324),323,"")</f>
        <v/>
      </c>
      <c r="E324" s="1" t="str">
        <f t="shared" si="5"/>
        <v/>
      </c>
    </row>
    <row r="325" spans="1:5" x14ac:dyDescent="0.2">
      <c r="A325" t="str">
        <f>IF(COUNTBLANK(B325:F325)&lt;&gt;COLUMNS(B325:F325),324,"")</f>
        <v/>
      </c>
      <c r="E325" s="1" t="str">
        <f t="shared" si="5"/>
        <v/>
      </c>
    </row>
    <row r="326" spans="1:5" x14ac:dyDescent="0.2">
      <c r="A326" t="str">
        <f>IF(COUNTBLANK(B326:F326)&lt;&gt;COLUMNS(B326:F326),325,"")</f>
        <v/>
      </c>
      <c r="E326" s="1" t="str">
        <f t="shared" si="5"/>
        <v/>
      </c>
    </row>
    <row r="327" spans="1:5" x14ac:dyDescent="0.2">
      <c r="A327" t="str">
        <f>IF(COUNTBLANK(B327:F327)&lt;&gt;COLUMNS(B327:F327),326,"")</f>
        <v/>
      </c>
      <c r="E327" s="1" t="str">
        <f t="shared" si="5"/>
        <v/>
      </c>
    </row>
    <row r="328" spans="1:5" x14ac:dyDescent="0.2">
      <c r="A328" t="str">
        <f>IF(COUNTBLANK(B328:F328)&lt;&gt;COLUMNS(B328:F328),327,"")</f>
        <v/>
      </c>
      <c r="E328" s="1" t="str">
        <f t="shared" si="5"/>
        <v/>
      </c>
    </row>
    <row r="329" spans="1:5" x14ac:dyDescent="0.2">
      <c r="A329" t="str">
        <f>IF(COUNTBLANK(B329:F329)&lt;&gt;COLUMNS(B329:F329),328,"")</f>
        <v/>
      </c>
      <c r="E329" s="1" t="str">
        <f t="shared" si="5"/>
        <v/>
      </c>
    </row>
    <row r="330" spans="1:5" x14ac:dyDescent="0.2">
      <c r="A330" t="str">
        <f>IF(COUNTBLANK(B330:F330)&lt;&gt;COLUMNS(B330:F330),329,"")</f>
        <v/>
      </c>
      <c r="E330" s="1" t="str">
        <f t="shared" si="5"/>
        <v/>
      </c>
    </row>
    <row r="331" spans="1:5" x14ac:dyDescent="0.2">
      <c r="A331" t="str">
        <f>IF(COUNTBLANK(B331:F331)&lt;&gt;COLUMNS(B331:F331),330,"")</f>
        <v/>
      </c>
      <c r="E331" s="1" t="str">
        <f t="shared" si="5"/>
        <v/>
      </c>
    </row>
    <row r="332" spans="1:5" x14ac:dyDescent="0.2">
      <c r="A332" t="str">
        <f>IF(COUNTBLANK(B332:F332)&lt;&gt;COLUMNS(B332:F332),331,"")</f>
        <v/>
      </c>
      <c r="E332" s="1" t="str">
        <f t="shared" si="5"/>
        <v/>
      </c>
    </row>
    <row r="333" spans="1:5" x14ac:dyDescent="0.2">
      <c r="A333" t="str">
        <f>IF(COUNTBLANK(B333:F333)&lt;&gt;COLUMNS(B333:F333),332,"")</f>
        <v/>
      </c>
      <c r="E333" s="1" t="str">
        <f t="shared" si="5"/>
        <v/>
      </c>
    </row>
    <row r="334" spans="1:5" x14ac:dyDescent="0.2">
      <c r="A334" t="str">
        <f>IF(COUNTBLANK(B334:F334)&lt;&gt;COLUMNS(B334:F334),333,"")</f>
        <v/>
      </c>
      <c r="E334" s="1" t="str">
        <f t="shared" si="5"/>
        <v/>
      </c>
    </row>
    <row r="335" spans="1:5" x14ac:dyDescent="0.2">
      <c r="A335" t="str">
        <f>IF(COUNTBLANK(B335:F335)&lt;&gt;COLUMNS(B335:F335),334,"")</f>
        <v/>
      </c>
      <c r="E335" s="1" t="str">
        <f t="shared" si="5"/>
        <v/>
      </c>
    </row>
    <row r="336" spans="1:5" x14ac:dyDescent="0.2">
      <c r="A336" t="str">
        <f>IF(COUNTBLANK(B336:F336)&lt;&gt;COLUMNS(B336:F336),335,"")</f>
        <v/>
      </c>
      <c r="E336" s="1" t="str">
        <f t="shared" si="5"/>
        <v/>
      </c>
    </row>
    <row r="337" spans="1:5" x14ac:dyDescent="0.2">
      <c r="A337" t="str">
        <f>IF(COUNTBLANK(B337:F337)&lt;&gt;COLUMNS(B337:F337),336,"")</f>
        <v/>
      </c>
      <c r="E337" s="1" t="str">
        <f t="shared" si="5"/>
        <v/>
      </c>
    </row>
    <row r="338" spans="1:5" x14ac:dyDescent="0.2">
      <c r="A338" t="str">
        <f>IF(COUNTBLANK(B338:F338)&lt;&gt;COLUMNS(B338:F338),337,"")</f>
        <v/>
      </c>
      <c r="E338" s="1" t="str">
        <f t="shared" si="5"/>
        <v/>
      </c>
    </row>
    <row r="339" spans="1:5" x14ac:dyDescent="0.2">
      <c r="A339" t="str">
        <f>IF(COUNTBLANK(B339:F339)&lt;&gt;COLUMNS(B339:F339),338,"")</f>
        <v/>
      </c>
      <c r="E339" s="1" t="str">
        <f t="shared" si="5"/>
        <v/>
      </c>
    </row>
    <row r="340" spans="1:5" x14ac:dyDescent="0.2">
      <c r="A340" t="str">
        <f>IF(COUNTBLANK(B340:F340)&lt;&gt;COLUMNS(B340:F340),339,"")</f>
        <v/>
      </c>
      <c r="E340" s="1" t="str">
        <f t="shared" si="5"/>
        <v/>
      </c>
    </row>
    <row r="341" spans="1:5" x14ac:dyDescent="0.2">
      <c r="A341" t="str">
        <f>IF(COUNTBLANK(B341:F341)&lt;&gt;COLUMNS(B341:F341),340,"")</f>
        <v/>
      </c>
      <c r="E341" s="1" t="str">
        <f t="shared" si="5"/>
        <v/>
      </c>
    </row>
    <row r="342" spans="1:5" x14ac:dyDescent="0.2">
      <c r="A342" t="str">
        <f>IF(COUNTBLANK(B342:F342)&lt;&gt;COLUMNS(B342:F342),341,"")</f>
        <v/>
      </c>
      <c r="E342" s="1" t="str">
        <f t="shared" si="5"/>
        <v/>
      </c>
    </row>
    <row r="343" spans="1:5" x14ac:dyDescent="0.2">
      <c r="A343" t="str">
        <f>IF(COUNTBLANK(B343:F343)&lt;&gt;COLUMNS(B343:F343),342,"")</f>
        <v/>
      </c>
      <c r="E343" s="1" t="str">
        <f t="shared" si="5"/>
        <v/>
      </c>
    </row>
    <row r="344" spans="1:5" x14ac:dyDescent="0.2">
      <c r="A344" t="str">
        <f>IF(COUNTBLANK(B344:F344)&lt;&gt;COLUMNS(B344:F344),343,"")</f>
        <v/>
      </c>
      <c r="E344" s="1" t="str">
        <f t="shared" si="5"/>
        <v/>
      </c>
    </row>
    <row r="345" spans="1:5" x14ac:dyDescent="0.2">
      <c r="A345" t="str">
        <f>IF(COUNTBLANK(B345:F345)&lt;&gt;COLUMNS(B345:F345),344,"")</f>
        <v/>
      </c>
      <c r="E345" s="1" t="str">
        <f t="shared" si="5"/>
        <v/>
      </c>
    </row>
    <row r="346" spans="1:5" x14ac:dyDescent="0.2">
      <c r="A346" t="str">
        <f>IF(COUNTBLANK(B346:F346)&lt;&gt;COLUMNS(B346:F346),345,"")</f>
        <v/>
      </c>
      <c r="E346" s="1" t="str">
        <f t="shared" si="5"/>
        <v/>
      </c>
    </row>
    <row r="347" spans="1:5" x14ac:dyDescent="0.2">
      <c r="A347" t="str">
        <f>IF(COUNTBLANK(B347:F347)&lt;&gt;COLUMNS(B347:F347),346,"")</f>
        <v/>
      </c>
      <c r="E347" s="1" t="str">
        <f t="shared" si="5"/>
        <v/>
      </c>
    </row>
    <row r="348" spans="1:5" x14ac:dyDescent="0.2">
      <c r="A348" t="str">
        <f>IF(COUNTBLANK(B348:F348)&lt;&gt;COLUMNS(B348:F348),347,"")</f>
        <v/>
      </c>
      <c r="E348" s="1" t="str">
        <f t="shared" si="5"/>
        <v/>
      </c>
    </row>
    <row r="349" spans="1:5" x14ac:dyDescent="0.2">
      <c r="A349" t="str">
        <f>IF(COUNTBLANK(B349:F349)&lt;&gt;COLUMNS(B349:F349),348,"")</f>
        <v/>
      </c>
      <c r="E349" s="1" t="str">
        <f t="shared" si="5"/>
        <v/>
      </c>
    </row>
    <row r="350" spans="1:5" x14ac:dyDescent="0.2">
      <c r="A350" t="str">
        <f>IF(COUNTBLANK(B350:F350)&lt;&gt;COLUMNS(B350:F350),349,"")</f>
        <v/>
      </c>
      <c r="E350" s="1" t="str">
        <f t="shared" si="5"/>
        <v/>
      </c>
    </row>
    <row r="351" spans="1:5" x14ac:dyDescent="0.2">
      <c r="A351" t="str">
        <f>IF(COUNTBLANK(B351:F351)&lt;&gt;COLUMNS(B351:F351),350,"")</f>
        <v/>
      </c>
      <c r="E351" s="1" t="str">
        <f t="shared" si="5"/>
        <v/>
      </c>
    </row>
    <row r="352" spans="1:5" x14ac:dyDescent="0.2">
      <c r="A352" t="str">
        <f>IF(COUNTBLANK(B352:F352)&lt;&gt;COLUMNS(B352:F352),351,"")</f>
        <v/>
      </c>
      <c r="E352" s="1" t="str">
        <f t="shared" si="5"/>
        <v/>
      </c>
    </row>
    <row r="353" spans="1:5" x14ac:dyDescent="0.2">
      <c r="A353" t="str">
        <f>IF(COUNTBLANK(B353:F353)&lt;&gt;COLUMNS(B353:F353),352,"")</f>
        <v/>
      </c>
      <c r="E353" s="1" t="str">
        <f t="shared" si="5"/>
        <v/>
      </c>
    </row>
    <row r="354" spans="1:5" x14ac:dyDescent="0.2">
      <c r="A354" t="str">
        <f>IF(COUNTBLANK(B354:F354)&lt;&gt;COLUMNS(B354:F354),353,"")</f>
        <v/>
      </c>
      <c r="E354" s="1" t="str">
        <f t="shared" si="5"/>
        <v/>
      </c>
    </row>
    <row r="355" spans="1:5" x14ac:dyDescent="0.2">
      <c r="A355" t="str">
        <f>IF(COUNTBLANK(B355:F355)&lt;&gt;COLUMNS(B355:F355),354,"")</f>
        <v/>
      </c>
      <c r="E355" s="1" t="str">
        <f t="shared" si="5"/>
        <v/>
      </c>
    </row>
    <row r="356" spans="1:5" x14ac:dyDescent="0.2">
      <c r="A356" t="str">
        <f>IF(COUNTBLANK(B356:F356)&lt;&gt;COLUMNS(B356:F356),355,"")</f>
        <v/>
      </c>
      <c r="E356" s="1" t="str">
        <f t="shared" si="5"/>
        <v/>
      </c>
    </row>
    <row r="357" spans="1:5" x14ac:dyDescent="0.2">
      <c r="A357" t="str">
        <f>IF(COUNTBLANK(B357:F357)&lt;&gt;COLUMNS(B357:F357),356,"")</f>
        <v/>
      </c>
      <c r="E357" s="1" t="str">
        <f t="shared" si="5"/>
        <v/>
      </c>
    </row>
    <row r="358" spans="1:5" x14ac:dyDescent="0.2">
      <c r="A358" t="str">
        <f>IF(COUNTBLANK(B358:F358)&lt;&gt;COLUMNS(B358:F358),357,"")</f>
        <v/>
      </c>
      <c r="E358" s="1" t="str">
        <f t="shared" si="5"/>
        <v/>
      </c>
    </row>
    <row r="359" spans="1:5" x14ac:dyDescent="0.2">
      <c r="A359" t="str">
        <f>IF(COUNTBLANK(B359:F359)&lt;&gt;COLUMNS(B359:F359),358,"")</f>
        <v/>
      </c>
      <c r="E359" s="1" t="str">
        <f t="shared" si="5"/>
        <v/>
      </c>
    </row>
    <row r="360" spans="1:5" x14ac:dyDescent="0.2">
      <c r="A360" t="str">
        <f>IF(COUNTBLANK(B360:F360)&lt;&gt;COLUMNS(B360:F360),359,"")</f>
        <v/>
      </c>
      <c r="E360" s="1" t="str">
        <f t="shared" si="5"/>
        <v/>
      </c>
    </row>
    <row r="361" spans="1:5" x14ac:dyDescent="0.2">
      <c r="A361" t="str">
        <f>IF(COUNTBLANK(B361:F361)&lt;&gt;COLUMNS(B361:F361),360,"")</f>
        <v/>
      </c>
      <c r="E361" s="1" t="str">
        <f t="shared" si="5"/>
        <v/>
      </c>
    </row>
    <row r="362" spans="1:5" x14ac:dyDescent="0.2">
      <c r="A362" t="str">
        <f>IF(COUNTBLANK(B362:F362)&lt;&gt;COLUMNS(B362:F362),361,"")</f>
        <v/>
      </c>
      <c r="E362" s="1" t="str">
        <f t="shared" si="5"/>
        <v/>
      </c>
    </row>
    <row r="363" spans="1:5" x14ac:dyDescent="0.2">
      <c r="A363" t="str">
        <f>IF(COUNTBLANK(B363:F363)&lt;&gt;COLUMNS(B363:F363),362,"")</f>
        <v/>
      </c>
      <c r="E363" s="1" t="str">
        <f t="shared" si="5"/>
        <v/>
      </c>
    </row>
    <row r="364" spans="1:5" x14ac:dyDescent="0.2">
      <c r="A364" t="str">
        <f>IF(COUNTBLANK(B364:F364)&lt;&gt;COLUMNS(B364:F364),363,"")</f>
        <v/>
      </c>
      <c r="E364" s="1" t="str">
        <f t="shared" si="5"/>
        <v/>
      </c>
    </row>
    <row r="365" spans="1:5" x14ac:dyDescent="0.2">
      <c r="A365" t="str">
        <f>IF(COUNTBLANK(B365:F365)&lt;&gt;COLUMNS(B365:F365),364,"")</f>
        <v/>
      </c>
      <c r="E365" s="1" t="str">
        <f t="shared" si="5"/>
        <v/>
      </c>
    </row>
    <row r="366" spans="1:5" x14ac:dyDescent="0.2">
      <c r="A366" t="str">
        <f>IF(COUNTBLANK(B366:F366)&lt;&gt;COLUMNS(B366:F366),365,"")</f>
        <v/>
      </c>
      <c r="E366" s="1" t="str">
        <f t="shared" si="5"/>
        <v/>
      </c>
    </row>
    <row r="367" spans="1:5" x14ac:dyDescent="0.2">
      <c r="A367" t="str">
        <f>IF(COUNTBLANK(B367:F367)&lt;&gt;COLUMNS(B367:F367),366,"")</f>
        <v/>
      </c>
      <c r="E367" s="1" t="str">
        <f t="shared" si="5"/>
        <v/>
      </c>
    </row>
    <row r="368" spans="1:5" x14ac:dyDescent="0.2">
      <c r="A368" t="str">
        <f>IF(COUNTBLANK(B368:F368)&lt;&gt;COLUMNS(B368:F368),367,"")</f>
        <v/>
      </c>
      <c r="E368" s="1" t="str">
        <f t="shared" si="5"/>
        <v/>
      </c>
    </row>
    <row r="369" spans="1:5" x14ac:dyDescent="0.2">
      <c r="A369" t="str">
        <f>IF(COUNTBLANK(B369:F369)&lt;&gt;COLUMNS(B369:F369),368,"")</f>
        <v/>
      </c>
      <c r="E369" s="1" t="str">
        <f t="shared" si="5"/>
        <v/>
      </c>
    </row>
    <row r="370" spans="1:5" x14ac:dyDescent="0.2">
      <c r="A370" t="str">
        <f>IF(COUNTBLANK(B370:F370)&lt;&gt;COLUMNS(B370:F370),369,"")</f>
        <v/>
      </c>
      <c r="E370" s="1" t="str">
        <f t="shared" si="5"/>
        <v/>
      </c>
    </row>
    <row r="371" spans="1:5" x14ac:dyDescent="0.2">
      <c r="A371" t="str">
        <f>IF(COUNTBLANK(B371:F371)&lt;&gt;COLUMNS(B371:F371),370,"")</f>
        <v/>
      </c>
      <c r="E371" s="1" t="str">
        <f t="shared" si="5"/>
        <v/>
      </c>
    </row>
    <row r="372" spans="1:5" x14ac:dyDescent="0.2">
      <c r="A372" t="str">
        <f>IF(COUNTBLANK(B372:F372)&lt;&gt;COLUMNS(B372:F372),371,"")</f>
        <v/>
      </c>
      <c r="E372" s="1" t="str">
        <f t="shared" si="5"/>
        <v/>
      </c>
    </row>
    <row r="373" spans="1:5" x14ac:dyDescent="0.2">
      <c r="A373" t="str">
        <f>IF(COUNTBLANK(B373:F373)&lt;&gt;COLUMNS(B373:F373),372,"")</f>
        <v/>
      </c>
      <c r="E373" s="1" t="str">
        <f t="shared" si="5"/>
        <v/>
      </c>
    </row>
    <row r="374" spans="1:5" x14ac:dyDescent="0.2">
      <c r="A374" t="str">
        <f>IF(COUNTBLANK(B374:F374)&lt;&gt;COLUMNS(B374:F374),373,"")</f>
        <v/>
      </c>
      <c r="E374" s="1" t="str">
        <f t="shared" si="5"/>
        <v/>
      </c>
    </row>
    <row r="375" spans="1:5" x14ac:dyDescent="0.2">
      <c r="A375" t="str">
        <f>IF(COUNTBLANK(B375:F375)&lt;&gt;COLUMNS(B375:F375),374,"")</f>
        <v/>
      </c>
      <c r="E375" s="1" t="str">
        <f t="shared" si="5"/>
        <v/>
      </c>
    </row>
    <row r="376" spans="1:5" x14ac:dyDescent="0.2">
      <c r="A376" t="str">
        <f>IF(COUNTBLANK(B376:F376)&lt;&gt;COLUMNS(B376:F376),375,"")</f>
        <v/>
      </c>
      <c r="E376" s="1" t="str">
        <f t="shared" si="5"/>
        <v/>
      </c>
    </row>
    <row r="377" spans="1:5" x14ac:dyDescent="0.2">
      <c r="A377" t="str">
        <f>IF(COUNTBLANK(B377:F377)&lt;&gt;COLUMNS(B377:F377),376,"")</f>
        <v/>
      </c>
      <c r="E377" s="1" t="str">
        <f t="shared" si="5"/>
        <v/>
      </c>
    </row>
    <row r="378" spans="1:5" x14ac:dyDescent="0.2">
      <c r="A378" t="str">
        <f>IF(COUNTBLANK(B378:F378)&lt;&gt;COLUMNS(B378:F378),377,"")</f>
        <v/>
      </c>
      <c r="E378" s="1" t="str">
        <f t="shared" si="5"/>
        <v/>
      </c>
    </row>
    <row r="379" spans="1:5" x14ac:dyDescent="0.2">
      <c r="A379" t="str">
        <f>IF(COUNTBLANK(B379:F379)&lt;&gt;COLUMNS(B379:F379),378,"")</f>
        <v/>
      </c>
      <c r="E379" s="1" t="str">
        <f t="shared" si="5"/>
        <v/>
      </c>
    </row>
    <row r="380" spans="1:5" x14ac:dyDescent="0.2">
      <c r="A380" t="str">
        <f>IF(COUNTBLANK(B380:F380)&lt;&gt;COLUMNS(B380:F380),379,"")</f>
        <v/>
      </c>
      <c r="E380" s="1" t="str">
        <f t="shared" si="5"/>
        <v/>
      </c>
    </row>
    <row r="381" spans="1:5" x14ac:dyDescent="0.2">
      <c r="A381" t="str">
        <f>IF(COUNTBLANK(B381:F381)&lt;&gt;COLUMNS(B381:F381),380,"")</f>
        <v/>
      </c>
      <c r="E381" s="1" t="str">
        <f t="shared" si="5"/>
        <v/>
      </c>
    </row>
    <row r="382" spans="1:5" x14ac:dyDescent="0.2">
      <c r="A382" t="str">
        <f>IF(COUNTBLANK(B382:F382)&lt;&gt;COLUMNS(B382:F382),381,"")</f>
        <v/>
      </c>
      <c r="E382" s="1" t="str">
        <f t="shared" si="5"/>
        <v/>
      </c>
    </row>
    <row r="383" spans="1:5" x14ac:dyDescent="0.2">
      <c r="A383" t="str">
        <f>IF(COUNTBLANK(B383:F383)&lt;&gt;COLUMNS(B383:F383),382,"")</f>
        <v/>
      </c>
      <c r="E383" s="1" t="str">
        <f t="shared" si="5"/>
        <v/>
      </c>
    </row>
    <row r="384" spans="1:5" x14ac:dyDescent="0.2">
      <c r="A384" t="str">
        <f>IF(COUNTBLANK(B384:F384)&lt;&gt;COLUMNS(B384:F384),383,"")</f>
        <v/>
      </c>
      <c r="E384" s="1" t="str">
        <f t="shared" si="5"/>
        <v/>
      </c>
    </row>
    <row r="385" spans="1:5" x14ac:dyDescent="0.2">
      <c r="A385" t="str">
        <f>IF(COUNTBLANK(B385:F385)&lt;&gt;COLUMNS(B385:F385),384,"")</f>
        <v/>
      </c>
      <c r="E385" s="1" t="str">
        <f t="shared" si="5"/>
        <v/>
      </c>
    </row>
    <row r="386" spans="1:5" x14ac:dyDescent="0.2">
      <c r="A386" t="str">
        <f>IF(COUNTBLANK(B386:F386)&lt;&gt;COLUMNS(B386:F386),385,"")</f>
        <v/>
      </c>
      <c r="E386" s="1" t="str">
        <f t="shared" ref="E386:E449" si="6">IF(B386="", "", "built environment")</f>
        <v/>
      </c>
    </row>
    <row r="387" spans="1:5" x14ac:dyDescent="0.2">
      <c r="A387" t="str">
        <f>IF(COUNTBLANK(B387:F387)&lt;&gt;COLUMNS(B387:F387),386,"")</f>
        <v/>
      </c>
      <c r="E387" s="1" t="str">
        <f t="shared" si="6"/>
        <v/>
      </c>
    </row>
    <row r="388" spans="1:5" x14ac:dyDescent="0.2">
      <c r="A388" t="str">
        <f>IF(COUNTBLANK(B388:F388)&lt;&gt;COLUMNS(B388:F388),387,"")</f>
        <v/>
      </c>
      <c r="E388" s="1" t="str">
        <f t="shared" si="6"/>
        <v/>
      </c>
    </row>
    <row r="389" spans="1:5" x14ac:dyDescent="0.2">
      <c r="A389" t="str">
        <f>IF(COUNTBLANK(B389:F389)&lt;&gt;COLUMNS(B389:F389),388,"")</f>
        <v/>
      </c>
      <c r="E389" s="1" t="str">
        <f t="shared" si="6"/>
        <v/>
      </c>
    </row>
    <row r="390" spans="1:5" x14ac:dyDescent="0.2">
      <c r="A390" t="str">
        <f>IF(COUNTBLANK(B390:F390)&lt;&gt;COLUMNS(B390:F390),389,"")</f>
        <v/>
      </c>
      <c r="E390" s="1" t="str">
        <f t="shared" si="6"/>
        <v/>
      </c>
    </row>
    <row r="391" spans="1:5" x14ac:dyDescent="0.2">
      <c r="A391" t="str">
        <f>IF(COUNTBLANK(B391:F391)&lt;&gt;COLUMNS(B391:F391),390,"")</f>
        <v/>
      </c>
      <c r="E391" s="1" t="str">
        <f t="shared" si="6"/>
        <v/>
      </c>
    </row>
    <row r="392" spans="1:5" x14ac:dyDescent="0.2">
      <c r="A392" t="str">
        <f>IF(COUNTBLANK(B392:F392)&lt;&gt;COLUMNS(B392:F392),391,"")</f>
        <v/>
      </c>
      <c r="E392" s="1" t="str">
        <f t="shared" si="6"/>
        <v/>
      </c>
    </row>
    <row r="393" spans="1:5" x14ac:dyDescent="0.2">
      <c r="A393" t="str">
        <f>IF(COUNTBLANK(B393:F393)&lt;&gt;COLUMNS(B393:F393),392,"")</f>
        <v/>
      </c>
      <c r="E393" s="1" t="str">
        <f t="shared" si="6"/>
        <v/>
      </c>
    </row>
    <row r="394" spans="1:5" x14ac:dyDescent="0.2">
      <c r="A394" t="str">
        <f>IF(COUNTBLANK(B394:F394)&lt;&gt;COLUMNS(B394:F394),393,"")</f>
        <v/>
      </c>
      <c r="E394" s="1" t="str">
        <f t="shared" si="6"/>
        <v/>
      </c>
    </row>
    <row r="395" spans="1:5" x14ac:dyDescent="0.2">
      <c r="A395" t="str">
        <f>IF(COUNTBLANK(B395:F395)&lt;&gt;COLUMNS(B395:F395),394,"")</f>
        <v/>
      </c>
      <c r="E395" s="1" t="str">
        <f t="shared" si="6"/>
        <v/>
      </c>
    </row>
    <row r="396" spans="1:5" x14ac:dyDescent="0.2">
      <c r="A396" t="str">
        <f>IF(COUNTBLANK(B396:F396)&lt;&gt;COLUMNS(B396:F396),395,"")</f>
        <v/>
      </c>
      <c r="E396" s="1" t="str">
        <f t="shared" si="6"/>
        <v/>
      </c>
    </row>
    <row r="397" spans="1:5" x14ac:dyDescent="0.2">
      <c r="A397" t="str">
        <f>IF(COUNTBLANK(B397:F397)&lt;&gt;COLUMNS(B397:F397),396,"")</f>
        <v/>
      </c>
      <c r="E397" s="1" t="str">
        <f t="shared" si="6"/>
        <v/>
      </c>
    </row>
    <row r="398" spans="1:5" x14ac:dyDescent="0.2">
      <c r="A398" t="str">
        <f>IF(COUNTBLANK(B398:F398)&lt;&gt;COLUMNS(B398:F398),397,"")</f>
        <v/>
      </c>
      <c r="E398" s="1" t="str">
        <f t="shared" si="6"/>
        <v/>
      </c>
    </row>
    <row r="399" spans="1:5" x14ac:dyDescent="0.2">
      <c r="A399" t="str">
        <f>IF(COUNTBLANK(B399:F399)&lt;&gt;COLUMNS(B399:F399),398,"")</f>
        <v/>
      </c>
      <c r="E399" s="1" t="str">
        <f t="shared" si="6"/>
        <v/>
      </c>
    </row>
    <row r="400" spans="1:5" x14ac:dyDescent="0.2">
      <c r="A400" t="str">
        <f>IF(COUNTBLANK(B400:F400)&lt;&gt;COLUMNS(B400:F400),399,"")</f>
        <v/>
      </c>
      <c r="E400" s="1" t="str">
        <f t="shared" si="6"/>
        <v/>
      </c>
    </row>
    <row r="401" spans="1:5" x14ac:dyDescent="0.2">
      <c r="A401" t="str">
        <f>IF(COUNTBLANK(B401:F401)&lt;&gt;COLUMNS(B401:F401),400,"")</f>
        <v/>
      </c>
      <c r="E401" s="1" t="str">
        <f t="shared" si="6"/>
        <v/>
      </c>
    </row>
    <row r="402" spans="1:5" x14ac:dyDescent="0.2">
      <c r="A402" t="str">
        <f>IF(COUNTBLANK(B402:F402)&lt;&gt;COLUMNS(B402:F402),401,"")</f>
        <v/>
      </c>
      <c r="E402" s="1" t="str">
        <f t="shared" si="6"/>
        <v/>
      </c>
    </row>
    <row r="403" spans="1:5" x14ac:dyDescent="0.2">
      <c r="A403" t="str">
        <f>IF(COUNTBLANK(B403:F403)&lt;&gt;COLUMNS(B403:F403),402,"")</f>
        <v/>
      </c>
      <c r="E403" s="1" t="str">
        <f t="shared" si="6"/>
        <v/>
      </c>
    </row>
    <row r="404" spans="1:5" x14ac:dyDescent="0.2">
      <c r="A404" t="str">
        <f>IF(COUNTBLANK(B404:F404)&lt;&gt;COLUMNS(B404:F404),403,"")</f>
        <v/>
      </c>
      <c r="E404" s="1" t="str">
        <f t="shared" si="6"/>
        <v/>
      </c>
    </row>
    <row r="405" spans="1:5" x14ac:dyDescent="0.2">
      <c r="A405" t="str">
        <f>IF(COUNTBLANK(B405:F405)&lt;&gt;COLUMNS(B405:F405),404,"")</f>
        <v/>
      </c>
      <c r="E405" s="1" t="str">
        <f t="shared" si="6"/>
        <v/>
      </c>
    </row>
    <row r="406" spans="1:5" x14ac:dyDescent="0.2">
      <c r="A406" t="str">
        <f>IF(COUNTBLANK(B406:F406)&lt;&gt;COLUMNS(B406:F406),405,"")</f>
        <v/>
      </c>
      <c r="E406" s="1" t="str">
        <f t="shared" si="6"/>
        <v/>
      </c>
    </row>
    <row r="407" spans="1:5" x14ac:dyDescent="0.2">
      <c r="A407" t="str">
        <f>IF(COUNTBLANK(B407:F407)&lt;&gt;COLUMNS(B407:F407),406,"")</f>
        <v/>
      </c>
      <c r="E407" s="1" t="str">
        <f t="shared" si="6"/>
        <v/>
      </c>
    </row>
    <row r="408" spans="1:5" x14ac:dyDescent="0.2">
      <c r="A408" t="str">
        <f>IF(COUNTBLANK(B408:F408)&lt;&gt;COLUMNS(B408:F408),407,"")</f>
        <v/>
      </c>
      <c r="E408" s="1" t="str">
        <f t="shared" si="6"/>
        <v/>
      </c>
    </row>
    <row r="409" spans="1:5" x14ac:dyDescent="0.2">
      <c r="A409" t="str">
        <f>IF(COUNTBLANK(B409:F409)&lt;&gt;COLUMNS(B409:F409),408,"")</f>
        <v/>
      </c>
      <c r="E409" s="1" t="str">
        <f t="shared" si="6"/>
        <v/>
      </c>
    </row>
    <row r="410" spans="1:5" x14ac:dyDescent="0.2">
      <c r="A410" t="str">
        <f>IF(COUNTBLANK(B410:F410)&lt;&gt;COLUMNS(B410:F410),409,"")</f>
        <v/>
      </c>
      <c r="E410" s="1" t="str">
        <f t="shared" si="6"/>
        <v/>
      </c>
    </row>
    <row r="411" spans="1:5" x14ac:dyDescent="0.2">
      <c r="A411" t="str">
        <f>IF(COUNTBLANK(B411:F411)&lt;&gt;COLUMNS(B411:F411),410,"")</f>
        <v/>
      </c>
      <c r="E411" s="1" t="str">
        <f t="shared" si="6"/>
        <v/>
      </c>
    </row>
    <row r="412" spans="1:5" x14ac:dyDescent="0.2">
      <c r="A412" t="str">
        <f>IF(COUNTBLANK(B412:F412)&lt;&gt;COLUMNS(B412:F412),411,"")</f>
        <v/>
      </c>
      <c r="E412" s="1" t="str">
        <f t="shared" si="6"/>
        <v/>
      </c>
    </row>
    <row r="413" spans="1:5" x14ac:dyDescent="0.2">
      <c r="A413" t="str">
        <f>IF(COUNTBLANK(B413:F413)&lt;&gt;COLUMNS(B413:F413),412,"")</f>
        <v/>
      </c>
      <c r="E413" s="1" t="str">
        <f t="shared" si="6"/>
        <v/>
      </c>
    </row>
    <row r="414" spans="1:5" x14ac:dyDescent="0.2">
      <c r="A414" t="str">
        <f>IF(COUNTBLANK(B414:F414)&lt;&gt;COLUMNS(B414:F414),413,"")</f>
        <v/>
      </c>
      <c r="E414" s="1" t="str">
        <f t="shared" si="6"/>
        <v/>
      </c>
    </row>
    <row r="415" spans="1:5" x14ac:dyDescent="0.2">
      <c r="A415" t="str">
        <f>IF(COUNTBLANK(B415:F415)&lt;&gt;COLUMNS(B415:F415),414,"")</f>
        <v/>
      </c>
      <c r="E415" s="1" t="str">
        <f t="shared" si="6"/>
        <v/>
      </c>
    </row>
    <row r="416" spans="1:5" x14ac:dyDescent="0.2">
      <c r="A416" t="str">
        <f>IF(COUNTBLANK(B416:F416)&lt;&gt;COLUMNS(B416:F416),415,"")</f>
        <v/>
      </c>
      <c r="E416" s="1" t="str">
        <f t="shared" si="6"/>
        <v/>
      </c>
    </row>
    <row r="417" spans="1:5" x14ac:dyDescent="0.2">
      <c r="A417" t="str">
        <f>IF(COUNTBLANK(B417:F417)&lt;&gt;COLUMNS(B417:F417),416,"")</f>
        <v/>
      </c>
      <c r="E417" s="1" t="str">
        <f t="shared" si="6"/>
        <v/>
      </c>
    </row>
    <row r="418" spans="1:5" x14ac:dyDescent="0.2">
      <c r="A418" t="str">
        <f>IF(COUNTBLANK(B418:F418)&lt;&gt;COLUMNS(B418:F418),417,"")</f>
        <v/>
      </c>
      <c r="E418" s="1" t="str">
        <f t="shared" si="6"/>
        <v/>
      </c>
    </row>
    <row r="419" spans="1:5" x14ac:dyDescent="0.2">
      <c r="A419" t="str">
        <f>IF(COUNTBLANK(B419:F419)&lt;&gt;COLUMNS(B419:F419),418,"")</f>
        <v/>
      </c>
      <c r="E419" s="1" t="str">
        <f t="shared" si="6"/>
        <v/>
      </c>
    </row>
    <row r="420" spans="1:5" x14ac:dyDescent="0.2">
      <c r="A420" t="str">
        <f>IF(COUNTBLANK(B420:F420)&lt;&gt;COLUMNS(B420:F420),419,"")</f>
        <v/>
      </c>
      <c r="E420" s="1" t="str">
        <f t="shared" si="6"/>
        <v/>
      </c>
    </row>
    <row r="421" spans="1:5" x14ac:dyDescent="0.2">
      <c r="A421" t="str">
        <f>IF(COUNTBLANK(B421:F421)&lt;&gt;COLUMNS(B421:F421),420,"")</f>
        <v/>
      </c>
      <c r="E421" s="1" t="str">
        <f t="shared" si="6"/>
        <v/>
      </c>
    </row>
    <row r="422" spans="1:5" x14ac:dyDescent="0.2">
      <c r="A422" t="str">
        <f>IF(COUNTBLANK(B422:F422)&lt;&gt;COLUMNS(B422:F422),421,"")</f>
        <v/>
      </c>
      <c r="E422" s="1" t="str">
        <f t="shared" si="6"/>
        <v/>
      </c>
    </row>
    <row r="423" spans="1:5" x14ac:dyDescent="0.2">
      <c r="A423" t="str">
        <f>IF(COUNTBLANK(B423:F423)&lt;&gt;COLUMNS(B423:F423),422,"")</f>
        <v/>
      </c>
      <c r="E423" s="1" t="str">
        <f t="shared" si="6"/>
        <v/>
      </c>
    </row>
    <row r="424" spans="1:5" x14ac:dyDescent="0.2">
      <c r="A424" t="str">
        <f>IF(COUNTBLANK(B424:F424)&lt;&gt;COLUMNS(B424:F424),423,"")</f>
        <v/>
      </c>
      <c r="E424" s="1" t="str">
        <f t="shared" si="6"/>
        <v/>
      </c>
    </row>
    <row r="425" spans="1:5" x14ac:dyDescent="0.2">
      <c r="A425" t="str">
        <f>IF(COUNTBLANK(B425:F425)&lt;&gt;COLUMNS(B425:F425),424,"")</f>
        <v/>
      </c>
      <c r="E425" s="1" t="str">
        <f t="shared" si="6"/>
        <v/>
      </c>
    </row>
    <row r="426" spans="1:5" x14ac:dyDescent="0.2">
      <c r="A426" t="str">
        <f>IF(COUNTBLANK(B426:F426)&lt;&gt;COLUMNS(B426:F426),425,"")</f>
        <v/>
      </c>
      <c r="E426" s="1" t="str">
        <f t="shared" si="6"/>
        <v/>
      </c>
    </row>
    <row r="427" spans="1:5" x14ac:dyDescent="0.2">
      <c r="A427" t="str">
        <f>IF(COUNTBLANK(B427:F427)&lt;&gt;COLUMNS(B427:F427),426,"")</f>
        <v/>
      </c>
      <c r="E427" s="1" t="str">
        <f t="shared" si="6"/>
        <v/>
      </c>
    </row>
    <row r="428" spans="1:5" x14ac:dyDescent="0.2">
      <c r="A428" t="str">
        <f>IF(COUNTBLANK(B428:F428)&lt;&gt;COLUMNS(B428:F428),427,"")</f>
        <v/>
      </c>
      <c r="E428" s="1" t="str">
        <f t="shared" si="6"/>
        <v/>
      </c>
    </row>
    <row r="429" spans="1:5" x14ac:dyDescent="0.2">
      <c r="A429" t="str">
        <f>IF(COUNTBLANK(B429:F429)&lt;&gt;COLUMNS(B429:F429),428,"")</f>
        <v/>
      </c>
      <c r="E429" s="1" t="str">
        <f t="shared" si="6"/>
        <v/>
      </c>
    </row>
    <row r="430" spans="1:5" x14ac:dyDescent="0.2">
      <c r="A430" t="str">
        <f>IF(COUNTBLANK(B430:F430)&lt;&gt;COLUMNS(B430:F430),429,"")</f>
        <v/>
      </c>
      <c r="E430" s="1" t="str">
        <f t="shared" si="6"/>
        <v/>
      </c>
    </row>
    <row r="431" spans="1:5" x14ac:dyDescent="0.2">
      <c r="A431" t="str">
        <f>IF(COUNTBLANK(B431:F431)&lt;&gt;COLUMNS(B431:F431),430,"")</f>
        <v/>
      </c>
      <c r="E431" s="1" t="str">
        <f t="shared" si="6"/>
        <v/>
      </c>
    </row>
    <row r="432" spans="1:5" x14ac:dyDescent="0.2">
      <c r="A432" t="str">
        <f>IF(COUNTBLANK(B432:F432)&lt;&gt;COLUMNS(B432:F432),431,"")</f>
        <v/>
      </c>
      <c r="E432" s="1" t="str">
        <f t="shared" si="6"/>
        <v/>
      </c>
    </row>
    <row r="433" spans="1:5" x14ac:dyDescent="0.2">
      <c r="A433" t="str">
        <f>IF(COUNTBLANK(B433:F433)&lt;&gt;COLUMNS(B433:F433),432,"")</f>
        <v/>
      </c>
      <c r="E433" s="1" t="str">
        <f t="shared" si="6"/>
        <v/>
      </c>
    </row>
    <row r="434" spans="1:5" x14ac:dyDescent="0.2">
      <c r="A434" t="str">
        <f>IF(COUNTBLANK(B434:F434)&lt;&gt;COLUMNS(B434:F434),433,"")</f>
        <v/>
      </c>
      <c r="E434" s="1" t="str">
        <f t="shared" si="6"/>
        <v/>
      </c>
    </row>
    <row r="435" spans="1:5" x14ac:dyDescent="0.2">
      <c r="A435" t="str">
        <f>IF(COUNTBLANK(B435:F435)&lt;&gt;COLUMNS(B435:F435),434,"")</f>
        <v/>
      </c>
      <c r="E435" s="1" t="str">
        <f t="shared" si="6"/>
        <v/>
      </c>
    </row>
    <row r="436" spans="1:5" x14ac:dyDescent="0.2">
      <c r="A436" t="str">
        <f>IF(COUNTBLANK(B436:F436)&lt;&gt;COLUMNS(B436:F436),435,"")</f>
        <v/>
      </c>
      <c r="E436" s="1" t="str">
        <f t="shared" si="6"/>
        <v/>
      </c>
    </row>
    <row r="437" spans="1:5" x14ac:dyDescent="0.2">
      <c r="A437" t="str">
        <f>IF(COUNTBLANK(B437:F437)&lt;&gt;COLUMNS(B437:F437),436,"")</f>
        <v/>
      </c>
      <c r="E437" s="1" t="str">
        <f t="shared" si="6"/>
        <v/>
      </c>
    </row>
    <row r="438" spans="1:5" x14ac:dyDescent="0.2">
      <c r="A438" t="str">
        <f>IF(COUNTBLANK(B438:F438)&lt;&gt;COLUMNS(B438:F438),437,"")</f>
        <v/>
      </c>
      <c r="E438" s="1" t="str">
        <f t="shared" si="6"/>
        <v/>
      </c>
    </row>
    <row r="439" spans="1:5" x14ac:dyDescent="0.2">
      <c r="A439" t="str">
        <f>IF(COUNTBLANK(B439:F439)&lt;&gt;COLUMNS(B439:F439),438,"")</f>
        <v/>
      </c>
      <c r="E439" s="1" t="str">
        <f t="shared" si="6"/>
        <v/>
      </c>
    </row>
    <row r="440" spans="1:5" x14ac:dyDescent="0.2">
      <c r="A440" t="str">
        <f>IF(COUNTBLANK(B440:F440)&lt;&gt;COLUMNS(B440:F440),439,"")</f>
        <v/>
      </c>
      <c r="E440" s="1" t="str">
        <f t="shared" si="6"/>
        <v/>
      </c>
    </row>
    <row r="441" spans="1:5" x14ac:dyDescent="0.2">
      <c r="A441" t="str">
        <f>IF(COUNTBLANK(B441:F441)&lt;&gt;COLUMNS(B441:F441),440,"")</f>
        <v/>
      </c>
      <c r="E441" s="1" t="str">
        <f t="shared" si="6"/>
        <v/>
      </c>
    </row>
    <row r="442" spans="1:5" x14ac:dyDescent="0.2">
      <c r="A442" t="str">
        <f>IF(COUNTBLANK(B442:F442)&lt;&gt;COLUMNS(B442:F442),441,"")</f>
        <v/>
      </c>
      <c r="E442" s="1" t="str">
        <f t="shared" si="6"/>
        <v/>
      </c>
    </row>
    <row r="443" spans="1:5" x14ac:dyDescent="0.2">
      <c r="A443" t="str">
        <f>IF(COUNTBLANK(B443:F443)&lt;&gt;COLUMNS(B443:F443),442,"")</f>
        <v/>
      </c>
      <c r="E443" s="1" t="str">
        <f t="shared" si="6"/>
        <v/>
      </c>
    </row>
    <row r="444" spans="1:5" x14ac:dyDescent="0.2">
      <c r="A444" t="str">
        <f>IF(COUNTBLANK(B444:F444)&lt;&gt;COLUMNS(B444:F444),443,"")</f>
        <v/>
      </c>
      <c r="E444" s="1" t="str">
        <f t="shared" si="6"/>
        <v/>
      </c>
    </row>
    <row r="445" spans="1:5" x14ac:dyDescent="0.2">
      <c r="A445" t="str">
        <f>IF(COUNTBLANK(B445:F445)&lt;&gt;COLUMNS(B445:F445),444,"")</f>
        <v/>
      </c>
      <c r="E445" s="1" t="str">
        <f t="shared" si="6"/>
        <v/>
      </c>
    </row>
    <row r="446" spans="1:5" x14ac:dyDescent="0.2">
      <c r="A446" t="str">
        <f>IF(COUNTBLANK(B446:F446)&lt;&gt;COLUMNS(B446:F446),445,"")</f>
        <v/>
      </c>
      <c r="E446" s="1" t="str">
        <f t="shared" si="6"/>
        <v/>
      </c>
    </row>
    <row r="447" spans="1:5" x14ac:dyDescent="0.2">
      <c r="A447" t="str">
        <f>IF(COUNTBLANK(B447:F447)&lt;&gt;COLUMNS(B447:F447),446,"")</f>
        <v/>
      </c>
      <c r="E447" s="1" t="str">
        <f t="shared" si="6"/>
        <v/>
      </c>
    </row>
    <row r="448" spans="1:5" x14ac:dyDescent="0.2">
      <c r="A448" t="str">
        <f>IF(COUNTBLANK(B448:F448)&lt;&gt;COLUMNS(B448:F448),447,"")</f>
        <v/>
      </c>
      <c r="E448" s="1" t="str">
        <f t="shared" si="6"/>
        <v/>
      </c>
    </row>
    <row r="449" spans="1:5" x14ac:dyDescent="0.2">
      <c r="A449" t="str">
        <f>IF(COUNTBLANK(B449:F449)&lt;&gt;COLUMNS(B449:F449),448,"")</f>
        <v/>
      </c>
      <c r="E449" s="1" t="str">
        <f t="shared" si="6"/>
        <v/>
      </c>
    </row>
    <row r="450" spans="1:5" x14ac:dyDescent="0.2">
      <c r="A450" t="str">
        <f>IF(COUNTBLANK(B450:F450)&lt;&gt;COLUMNS(B450:F450),449,"")</f>
        <v/>
      </c>
      <c r="E450" s="1" t="str">
        <f t="shared" ref="E450:E513" si="7">IF(B450="", "", "built environment")</f>
        <v/>
      </c>
    </row>
    <row r="451" spans="1:5" x14ac:dyDescent="0.2">
      <c r="A451" t="str">
        <f>IF(COUNTBLANK(B451:F451)&lt;&gt;COLUMNS(B451:F451),450,"")</f>
        <v/>
      </c>
      <c r="E451" s="1" t="str">
        <f t="shared" si="7"/>
        <v/>
      </c>
    </row>
    <row r="452" spans="1:5" x14ac:dyDescent="0.2">
      <c r="A452" t="str">
        <f>IF(COUNTBLANK(B452:F452)&lt;&gt;COLUMNS(B452:F452),451,"")</f>
        <v/>
      </c>
      <c r="E452" s="1" t="str">
        <f t="shared" si="7"/>
        <v/>
      </c>
    </row>
    <row r="453" spans="1:5" x14ac:dyDescent="0.2">
      <c r="A453" t="str">
        <f>IF(COUNTBLANK(B453:F453)&lt;&gt;COLUMNS(B453:F453),452,"")</f>
        <v/>
      </c>
      <c r="E453" s="1" t="str">
        <f t="shared" si="7"/>
        <v/>
      </c>
    </row>
    <row r="454" spans="1:5" x14ac:dyDescent="0.2">
      <c r="A454" t="str">
        <f>IF(COUNTBLANK(B454:F454)&lt;&gt;COLUMNS(B454:F454),453,"")</f>
        <v/>
      </c>
      <c r="E454" s="1" t="str">
        <f t="shared" si="7"/>
        <v/>
      </c>
    </row>
    <row r="455" spans="1:5" x14ac:dyDescent="0.2">
      <c r="A455" t="str">
        <f>IF(COUNTBLANK(B455:F455)&lt;&gt;COLUMNS(B455:F455),454,"")</f>
        <v/>
      </c>
      <c r="E455" s="1" t="str">
        <f t="shared" si="7"/>
        <v/>
      </c>
    </row>
    <row r="456" spans="1:5" x14ac:dyDescent="0.2">
      <c r="A456" t="str">
        <f>IF(COUNTBLANK(B456:F456)&lt;&gt;COLUMNS(B456:F456),455,"")</f>
        <v/>
      </c>
      <c r="E456" s="1" t="str">
        <f t="shared" si="7"/>
        <v/>
      </c>
    </row>
    <row r="457" spans="1:5" x14ac:dyDescent="0.2">
      <c r="A457" t="str">
        <f>IF(COUNTBLANK(B457:F457)&lt;&gt;COLUMNS(B457:F457),456,"")</f>
        <v/>
      </c>
      <c r="E457" s="1" t="str">
        <f t="shared" si="7"/>
        <v/>
      </c>
    </row>
    <row r="458" spans="1:5" x14ac:dyDescent="0.2">
      <c r="A458" t="str">
        <f>IF(COUNTBLANK(B458:F458)&lt;&gt;COLUMNS(B458:F458),457,"")</f>
        <v/>
      </c>
      <c r="E458" s="1" t="str">
        <f t="shared" si="7"/>
        <v/>
      </c>
    </row>
    <row r="459" spans="1:5" x14ac:dyDescent="0.2">
      <c r="A459" t="str">
        <f>IF(COUNTBLANK(B459:F459)&lt;&gt;COLUMNS(B459:F459),458,"")</f>
        <v/>
      </c>
      <c r="E459" s="1" t="str">
        <f t="shared" si="7"/>
        <v/>
      </c>
    </row>
    <row r="460" spans="1:5" x14ac:dyDescent="0.2">
      <c r="A460" t="str">
        <f>IF(COUNTBLANK(B460:F460)&lt;&gt;COLUMNS(B460:F460),459,"")</f>
        <v/>
      </c>
      <c r="E460" s="1" t="str">
        <f t="shared" si="7"/>
        <v/>
      </c>
    </row>
    <row r="461" spans="1:5" x14ac:dyDescent="0.2">
      <c r="A461" t="str">
        <f>IF(COUNTBLANK(B461:F461)&lt;&gt;COLUMNS(B461:F461),460,"")</f>
        <v/>
      </c>
      <c r="E461" s="1" t="str">
        <f t="shared" si="7"/>
        <v/>
      </c>
    </row>
    <row r="462" spans="1:5" x14ac:dyDescent="0.2">
      <c r="A462" t="str">
        <f>IF(COUNTBLANK(B462:F462)&lt;&gt;COLUMNS(B462:F462),461,"")</f>
        <v/>
      </c>
      <c r="E462" s="1" t="str">
        <f t="shared" si="7"/>
        <v/>
      </c>
    </row>
    <row r="463" spans="1:5" x14ac:dyDescent="0.2">
      <c r="A463" t="str">
        <f>IF(COUNTBLANK(B463:F463)&lt;&gt;COLUMNS(B463:F463),462,"")</f>
        <v/>
      </c>
      <c r="E463" s="1" t="str">
        <f t="shared" si="7"/>
        <v/>
      </c>
    </row>
    <row r="464" spans="1:5" x14ac:dyDescent="0.2">
      <c r="A464" t="str">
        <f>IF(COUNTBLANK(B464:F464)&lt;&gt;COLUMNS(B464:F464),463,"")</f>
        <v/>
      </c>
      <c r="E464" s="1" t="str">
        <f t="shared" si="7"/>
        <v/>
      </c>
    </row>
    <row r="465" spans="1:5" x14ac:dyDescent="0.2">
      <c r="A465" t="str">
        <f>IF(COUNTBLANK(B465:F465)&lt;&gt;COLUMNS(B465:F465),464,"")</f>
        <v/>
      </c>
      <c r="E465" s="1" t="str">
        <f t="shared" si="7"/>
        <v/>
      </c>
    </row>
    <row r="466" spans="1:5" x14ac:dyDescent="0.2">
      <c r="A466" t="str">
        <f>IF(COUNTBLANK(B466:F466)&lt;&gt;COLUMNS(B466:F466),465,"")</f>
        <v/>
      </c>
      <c r="E466" s="1" t="str">
        <f t="shared" si="7"/>
        <v/>
      </c>
    </row>
    <row r="467" spans="1:5" x14ac:dyDescent="0.2">
      <c r="A467" t="str">
        <f>IF(COUNTBLANK(B467:F467)&lt;&gt;COLUMNS(B467:F467),466,"")</f>
        <v/>
      </c>
      <c r="E467" s="1" t="str">
        <f t="shared" si="7"/>
        <v/>
      </c>
    </row>
    <row r="468" spans="1:5" x14ac:dyDescent="0.2">
      <c r="A468" t="str">
        <f>IF(COUNTBLANK(B468:F468)&lt;&gt;COLUMNS(B468:F468),467,"")</f>
        <v/>
      </c>
      <c r="E468" s="1" t="str">
        <f t="shared" si="7"/>
        <v/>
      </c>
    </row>
    <row r="469" spans="1:5" x14ac:dyDescent="0.2">
      <c r="A469" t="str">
        <f>IF(COUNTBLANK(B469:F469)&lt;&gt;COLUMNS(B469:F469),468,"")</f>
        <v/>
      </c>
      <c r="E469" s="1" t="str">
        <f t="shared" si="7"/>
        <v/>
      </c>
    </row>
    <row r="470" spans="1:5" x14ac:dyDescent="0.2">
      <c r="A470" t="str">
        <f>IF(COUNTBLANK(B470:F470)&lt;&gt;COLUMNS(B470:F470),469,"")</f>
        <v/>
      </c>
      <c r="E470" s="1" t="str">
        <f t="shared" si="7"/>
        <v/>
      </c>
    </row>
    <row r="471" spans="1:5" x14ac:dyDescent="0.2">
      <c r="A471" t="str">
        <f>IF(COUNTBLANK(B471:F471)&lt;&gt;COLUMNS(B471:F471),470,"")</f>
        <v/>
      </c>
      <c r="E471" s="1" t="str">
        <f t="shared" si="7"/>
        <v/>
      </c>
    </row>
    <row r="472" spans="1:5" x14ac:dyDescent="0.2">
      <c r="A472" t="str">
        <f>IF(COUNTBLANK(B472:F472)&lt;&gt;COLUMNS(B472:F472),471,"")</f>
        <v/>
      </c>
      <c r="E472" s="1" t="str">
        <f t="shared" si="7"/>
        <v/>
      </c>
    </row>
    <row r="473" spans="1:5" x14ac:dyDescent="0.2">
      <c r="A473" t="str">
        <f>IF(COUNTBLANK(B473:F473)&lt;&gt;COLUMNS(B473:F473),472,"")</f>
        <v/>
      </c>
      <c r="E473" s="1" t="str">
        <f t="shared" si="7"/>
        <v/>
      </c>
    </row>
    <row r="474" spans="1:5" x14ac:dyDescent="0.2">
      <c r="A474" t="str">
        <f>IF(COUNTBLANK(B474:F474)&lt;&gt;COLUMNS(B474:F474),473,"")</f>
        <v/>
      </c>
      <c r="E474" s="1" t="str">
        <f t="shared" si="7"/>
        <v/>
      </c>
    </row>
    <row r="475" spans="1:5" x14ac:dyDescent="0.2">
      <c r="A475" t="str">
        <f>IF(COUNTBLANK(B475:F475)&lt;&gt;COLUMNS(B475:F475),474,"")</f>
        <v/>
      </c>
      <c r="E475" s="1" t="str">
        <f t="shared" si="7"/>
        <v/>
      </c>
    </row>
    <row r="476" spans="1:5" x14ac:dyDescent="0.2">
      <c r="A476" t="str">
        <f>IF(COUNTBLANK(B476:F476)&lt;&gt;COLUMNS(B476:F476),475,"")</f>
        <v/>
      </c>
      <c r="E476" s="1" t="str">
        <f t="shared" si="7"/>
        <v/>
      </c>
    </row>
    <row r="477" spans="1:5" x14ac:dyDescent="0.2">
      <c r="A477" t="str">
        <f>IF(COUNTBLANK(B477:F477)&lt;&gt;COLUMNS(B477:F477),476,"")</f>
        <v/>
      </c>
      <c r="E477" s="1" t="str">
        <f t="shared" si="7"/>
        <v/>
      </c>
    </row>
    <row r="478" spans="1:5" x14ac:dyDescent="0.2">
      <c r="A478" t="str">
        <f>IF(COUNTBLANK(B478:F478)&lt;&gt;COLUMNS(B478:F478),477,"")</f>
        <v/>
      </c>
      <c r="E478" s="1" t="str">
        <f t="shared" si="7"/>
        <v/>
      </c>
    </row>
    <row r="479" spans="1:5" x14ac:dyDescent="0.2">
      <c r="A479" t="str">
        <f>IF(COUNTBLANK(B479:F479)&lt;&gt;COLUMNS(B479:F479),478,"")</f>
        <v/>
      </c>
      <c r="E479" s="1" t="str">
        <f t="shared" si="7"/>
        <v/>
      </c>
    </row>
    <row r="480" spans="1:5" x14ac:dyDescent="0.2">
      <c r="A480" t="str">
        <f>IF(COUNTBLANK(B480:F480)&lt;&gt;COLUMNS(B480:F480),479,"")</f>
        <v/>
      </c>
      <c r="E480" s="1" t="str">
        <f t="shared" si="7"/>
        <v/>
      </c>
    </row>
    <row r="481" spans="1:5" x14ac:dyDescent="0.2">
      <c r="A481" t="str">
        <f>IF(COUNTBLANK(B481:F481)&lt;&gt;COLUMNS(B481:F481),480,"")</f>
        <v/>
      </c>
      <c r="E481" s="1" t="str">
        <f t="shared" si="7"/>
        <v/>
      </c>
    </row>
    <row r="482" spans="1:5" x14ac:dyDescent="0.2">
      <c r="A482" t="str">
        <f>IF(COUNTBLANK(B482:F482)&lt;&gt;COLUMNS(B482:F482),481,"")</f>
        <v/>
      </c>
      <c r="E482" s="1" t="str">
        <f t="shared" si="7"/>
        <v/>
      </c>
    </row>
    <row r="483" spans="1:5" x14ac:dyDescent="0.2">
      <c r="A483" t="str">
        <f>IF(COUNTBLANK(B483:F483)&lt;&gt;COLUMNS(B483:F483),482,"")</f>
        <v/>
      </c>
      <c r="E483" s="1" t="str">
        <f t="shared" si="7"/>
        <v/>
      </c>
    </row>
    <row r="484" spans="1:5" x14ac:dyDescent="0.2">
      <c r="A484" t="str">
        <f>IF(COUNTBLANK(B484:F484)&lt;&gt;COLUMNS(B484:F484),483,"")</f>
        <v/>
      </c>
      <c r="E484" s="1" t="str">
        <f t="shared" si="7"/>
        <v/>
      </c>
    </row>
    <row r="485" spans="1:5" x14ac:dyDescent="0.2">
      <c r="A485" t="str">
        <f>IF(COUNTBLANK(B485:F485)&lt;&gt;COLUMNS(B485:F485),484,"")</f>
        <v/>
      </c>
      <c r="E485" s="1" t="str">
        <f t="shared" si="7"/>
        <v/>
      </c>
    </row>
    <row r="486" spans="1:5" x14ac:dyDescent="0.2">
      <c r="A486" t="str">
        <f>IF(COUNTBLANK(B486:F486)&lt;&gt;COLUMNS(B486:F486),485,"")</f>
        <v/>
      </c>
      <c r="E486" s="1" t="str">
        <f t="shared" si="7"/>
        <v/>
      </c>
    </row>
    <row r="487" spans="1:5" x14ac:dyDescent="0.2">
      <c r="A487" t="str">
        <f>IF(COUNTBLANK(B487:F487)&lt;&gt;COLUMNS(B487:F487),486,"")</f>
        <v/>
      </c>
      <c r="E487" s="1" t="str">
        <f t="shared" si="7"/>
        <v/>
      </c>
    </row>
    <row r="488" spans="1:5" x14ac:dyDescent="0.2">
      <c r="A488" t="str">
        <f>IF(COUNTBLANK(B488:F488)&lt;&gt;COLUMNS(B488:F488),487,"")</f>
        <v/>
      </c>
      <c r="E488" s="1" t="str">
        <f t="shared" si="7"/>
        <v/>
      </c>
    </row>
    <row r="489" spans="1:5" x14ac:dyDescent="0.2">
      <c r="A489" t="str">
        <f>IF(COUNTBLANK(B489:F489)&lt;&gt;COLUMNS(B489:F489),488,"")</f>
        <v/>
      </c>
      <c r="E489" s="1" t="str">
        <f t="shared" si="7"/>
        <v/>
      </c>
    </row>
    <row r="490" spans="1:5" x14ac:dyDescent="0.2">
      <c r="A490" t="str">
        <f>IF(COUNTBLANK(B490:F490)&lt;&gt;COLUMNS(B490:F490),489,"")</f>
        <v/>
      </c>
      <c r="E490" s="1" t="str">
        <f t="shared" si="7"/>
        <v/>
      </c>
    </row>
    <row r="491" spans="1:5" x14ac:dyDescent="0.2">
      <c r="A491" t="str">
        <f>IF(COUNTBLANK(B491:F491)&lt;&gt;COLUMNS(B491:F491),490,"")</f>
        <v/>
      </c>
      <c r="E491" s="1" t="str">
        <f t="shared" si="7"/>
        <v/>
      </c>
    </row>
    <row r="492" spans="1:5" x14ac:dyDescent="0.2">
      <c r="A492" t="str">
        <f>IF(COUNTBLANK(B492:F492)&lt;&gt;COLUMNS(B492:F492),491,"")</f>
        <v/>
      </c>
      <c r="E492" s="1" t="str">
        <f t="shared" si="7"/>
        <v/>
      </c>
    </row>
    <row r="493" spans="1:5" x14ac:dyDescent="0.2">
      <c r="A493" t="str">
        <f>IF(COUNTBLANK(B493:F493)&lt;&gt;COLUMNS(B493:F493),492,"")</f>
        <v/>
      </c>
      <c r="E493" s="1" t="str">
        <f t="shared" si="7"/>
        <v/>
      </c>
    </row>
    <row r="494" spans="1:5" x14ac:dyDescent="0.2">
      <c r="A494" t="str">
        <f>IF(COUNTBLANK(B494:F494)&lt;&gt;COLUMNS(B494:F494),493,"")</f>
        <v/>
      </c>
      <c r="E494" s="1" t="str">
        <f t="shared" si="7"/>
        <v/>
      </c>
    </row>
    <row r="495" spans="1:5" x14ac:dyDescent="0.2">
      <c r="A495" t="str">
        <f>IF(COUNTBLANK(B495:F495)&lt;&gt;COLUMNS(B495:F495),494,"")</f>
        <v/>
      </c>
      <c r="E495" s="1" t="str">
        <f t="shared" si="7"/>
        <v/>
      </c>
    </row>
    <row r="496" spans="1:5" x14ac:dyDescent="0.2">
      <c r="A496" t="str">
        <f>IF(COUNTBLANK(B496:F496)&lt;&gt;COLUMNS(B496:F496),495,"")</f>
        <v/>
      </c>
      <c r="E496" s="1" t="str">
        <f t="shared" si="7"/>
        <v/>
      </c>
    </row>
    <row r="497" spans="1:5" x14ac:dyDescent="0.2">
      <c r="A497" t="str">
        <f>IF(COUNTBLANK(B497:F497)&lt;&gt;COLUMNS(B497:F497),496,"")</f>
        <v/>
      </c>
      <c r="E497" s="1" t="str">
        <f t="shared" si="7"/>
        <v/>
      </c>
    </row>
    <row r="498" spans="1:5" x14ac:dyDescent="0.2">
      <c r="A498" t="str">
        <f>IF(COUNTBLANK(B498:F498)&lt;&gt;COLUMNS(B498:F498),497,"")</f>
        <v/>
      </c>
      <c r="E498" s="1" t="str">
        <f t="shared" si="7"/>
        <v/>
      </c>
    </row>
    <row r="499" spans="1:5" x14ac:dyDescent="0.2">
      <c r="A499" t="str">
        <f>IF(COUNTBLANK(B499:F499)&lt;&gt;COLUMNS(B499:F499),498,"")</f>
        <v/>
      </c>
      <c r="E499" s="1" t="str">
        <f t="shared" si="7"/>
        <v/>
      </c>
    </row>
    <row r="500" spans="1:5" x14ac:dyDescent="0.2">
      <c r="A500" t="str">
        <f>IF(COUNTBLANK(B500:F500)&lt;&gt;COLUMNS(B500:F500),499,"")</f>
        <v/>
      </c>
      <c r="E500" s="1" t="str">
        <f t="shared" si="7"/>
        <v/>
      </c>
    </row>
    <row r="501" spans="1:5" x14ac:dyDescent="0.2">
      <c r="A501" t="str">
        <f>IF(COUNTBLANK(B501:F501)&lt;&gt;COLUMNS(B501:F501),500,"")</f>
        <v/>
      </c>
      <c r="E501" s="1" t="str">
        <f t="shared" si="7"/>
        <v/>
      </c>
    </row>
    <row r="502" spans="1:5" x14ac:dyDescent="0.2">
      <c r="A502" t="str">
        <f>IF(COUNTBLANK(B502:F502)&lt;&gt;COLUMNS(B502:F502),501,"")</f>
        <v/>
      </c>
      <c r="E502" s="1" t="str">
        <f t="shared" si="7"/>
        <v/>
      </c>
    </row>
    <row r="503" spans="1:5" x14ac:dyDescent="0.2">
      <c r="A503" t="str">
        <f>IF(COUNTBLANK(B503:F503)&lt;&gt;COLUMNS(B503:F503),502,"")</f>
        <v/>
      </c>
      <c r="E503" s="1" t="str">
        <f t="shared" si="7"/>
        <v/>
      </c>
    </row>
    <row r="504" spans="1:5" x14ac:dyDescent="0.2">
      <c r="A504" t="str">
        <f>IF(COUNTBLANK(B504:F504)&lt;&gt;COLUMNS(B504:F504),503,"")</f>
        <v/>
      </c>
      <c r="E504" s="1" t="str">
        <f t="shared" si="7"/>
        <v/>
      </c>
    </row>
    <row r="505" spans="1:5" x14ac:dyDescent="0.2">
      <c r="A505" t="str">
        <f>IF(COUNTBLANK(B505:F505)&lt;&gt;COLUMNS(B505:F505),504,"")</f>
        <v/>
      </c>
      <c r="E505" s="1" t="str">
        <f t="shared" si="7"/>
        <v/>
      </c>
    </row>
    <row r="506" spans="1:5" x14ac:dyDescent="0.2">
      <c r="A506" t="str">
        <f>IF(COUNTBLANK(B506:F506)&lt;&gt;COLUMNS(B506:F506),505,"")</f>
        <v/>
      </c>
      <c r="E506" s="1" t="str">
        <f t="shared" si="7"/>
        <v/>
      </c>
    </row>
    <row r="507" spans="1:5" x14ac:dyDescent="0.2">
      <c r="A507" t="str">
        <f>IF(COUNTBLANK(B507:F507)&lt;&gt;COLUMNS(B507:F507),506,"")</f>
        <v/>
      </c>
      <c r="E507" s="1" t="str">
        <f t="shared" si="7"/>
        <v/>
      </c>
    </row>
    <row r="508" spans="1:5" x14ac:dyDescent="0.2">
      <c r="A508" t="str">
        <f>IF(COUNTBLANK(B508:F508)&lt;&gt;COLUMNS(B508:F508),507,"")</f>
        <v/>
      </c>
      <c r="E508" s="1" t="str">
        <f t="shared" si="7"/>
        <v/>
      </c>
    </row>
    <row r="509" spans="1:5" x14ac:dyDescent="0.2">
      <c r="A509" t="str">
        <f>IF(COUNTBLANK(B509:F509)&lt;&gt;COLUMNS(B509:F509),508,"")</f>
        <v/>
      </c>
      <c r="E509" s="1" t="str">
        <f t="shared" si="7"/>
        <v/>
      </c>
    </row>
    <row r="510" spans="1:5" x14ac:dyDescent="0.2">
      <c r="A510" t="str">
        <f>IF(COUNTBLANK(B510:F510)&lt;&gt;COLUMNS(B510:F510),509,"")</f>
        <v/>
      </c>
      <c r="E510" s="1" t="str">
        <f t="shared" si="7"/>
        <v/>
      </c>
    </row>
    <row r="511" spans="1:5" x14ac:dyDescent="0.2">
      <c r="A511" t="str">
        <f>IF(COUNTBLANK(B511:F511)&lt;&gt;COLUMNS(B511:F511),510,"")</f>
        <v/>
      </c>
      <c r="E511" s="1" t="str">
        <f t="shared" si="7"/>
        <v/>
      </c>
    </row>
    <row r="512" spans="1:5" x14ac:dyDescent="0.2">
      <c r="A512" t="str">
        <f>IF(COUNTBLANK(B512:F512)&lt;&gt;COLUMNS(B512:F512),511,"")</f>
        <v/>
      </c>
      <c r="E512" s="1" t="str">
        <f t="shared" si="7"/>
        <v/>
      </c>
    </row>
    <row r="513" spans="1:5" x14ac:dyDescent="0.2">
      <c r="A513" t="str">
        <f>IF(COUNTBLANK(B513:F513)&lt;&gt;COLUMNS(B513:F513),512,"")</f>
        <v/>
      </c>
      <c r="E513" s="1" t="str">
        <f t="shared" si="7"/>
        <v/>
      </c>
    </row>
    <row r="514" spans="1:5" x14ac:dyDescent="0.2">
      <c r="A514" t="str">
        <f>IF(COUNTBLANK(B514:F514)&lt;&gt;COLUMNS(B514:F514),513,"")</f>
        <v/>
      </c>
      <c r="E514" s="1" t="str">
        <f t="shared" ref="E514:E577" si="8">IF(B514="", "", "built environment")</f>
        <v/>
      </c>
    </row>
    <row r="515" spans="1:5" x14ac:dyDescent="0.2">
      <c r="A515" t="str">
        <f>IF(COUNTBLANK(B515:F515)&lt;&gt;COLUMNS(B515:F515),514,"")</f>
        <v/>
      </c>
      <c r="E515" s="1" t="str">
        <f t="shared" si="8"/>
        <v/>
      </c>
    </row>
    <row r="516" spans="1:5" x14ac:dyDescent="0.2">
      <c r="A516" t="str">
        <f>IF(COUNTBLANK(B516:F516)&lt;&gt;COLUMNS(B516:F516),515,"")</f>
        <v/>
      </c>
      <c r="E516" s="1" t="str">
        <f t="shared" si="8"/>
        <v/>
      </c>
    </row>
    <row r="517" spans="1:5" x14ac:dyDescent="0.2">
      <c r="A517" t="str">
        <f>IF(COUNTBLANK(B517:F517)&lt;&gt;COLUMNS(B517:F517),516,"")</f>
        <v/>
      </c>
      <c r="E517" s="1" t="str">
        <f t="shared" si="8"/>
        <v/>
      </c>
    </row>
    <row r="518" spans="1:5" x14ac:dyDescent="0.2">
      <c r="A518" t="str">
        <f>IF(COUNTBLANK(B518:F518)&lt;&gt;COLUMNS(B518:F518),517,"")</f>
        <v/>
      </c>
      <c r="E518" s="1" t="str">
        <f t="shared" si="8"/>
        <v/>
      </c>
    </row>
    <row r="519" spans="1:5" x14ac:dyDescent="0.2">
      <c r="A519" t="str">
        <f>IF(COUNTBLANK(B519:F519)&lt;&gt;COLUMNS(B519:F519),518,"")</f>
        <v/>
      </c>
      <c r="E519" s="1" t="str">
        <f t="shared" si="8"/>
        <v/>
      </c>
    </row>
    <row r="520" spans="1:5" x14ac:dyDescent="0.2">
      <c r="A520" t="str">
        <f>IF(COUNTBLANK(B520:F520)&lt;&gt;COLUMNS(B520:F520),519,"")</f>
        <v/>
      </c>
      <c r="E520" s="1" t="str">
        <f t="shared" si="8"/>
        <v/>
      </c>
    </row>
    <row r="521" spans="1:5" x14ac:dyDescent="0.2">
      <c r="A521" t="str">
        <f>IF(COUNTBLANK(B521:F521)&lt;&gt;COLUMNS(B521:F521),520,"")</f>
        <v/>
      </c>
      <c r="E521" s="1" t="str">
        <f t="shared" si="8"/>
        <v/>
      </c>
    </row>
    <row r="522" spans="1:5" x14ac:dyDescent="0.2">
      <c r="A522" t="str">
        <f>IF(COUNTBLANK(B522:F522)&lt;&gt;COLUMNS(B522:F522),521,"")</f>
        <v/>
      </c>
      <c r="E522" s="1" t="str">
        <f t="shared" si="8"/>
        <v/>
      </c>
    </row>
    <row r="523" spans="1:5" x14ac:dyDescent="0.2">
      <c r="A523" t="str">
        <f>IF(COUNTBLANK(B523:F523)&lt;&gt;COLUMNS(B523:F523),522,"")</f>
        <v/>
      </c>
      <c r="E523" s="1" t="str">
        <f t="shared" si="8"/>
        <v/>
      </c>
    </row>
    <row r="524" spans="1:5" x14ac:dyDescent="0.2">
      <c r="A524" t="str">
        <f>IF(COUNTBLANK(B524:F524)&lt;&gt;COLUMNS(B524:F524),523,"")</f>
        <v/>
      </c>
      <c r="E524" s="1" t="str">
        <f t="shared" si="8"/>
        <v/>
      </c>
    </row>
    <row r="525" spans="1:5" x14ac:dyDescent="0.2">
      <c r="A525" t="str">
        <f>IF(COUNTBLANK(B525:F525)&lt;&gt;COLUMNS(B525:F525),524,"")</f>
        <v/>
      </c>
      <c r="E525" s="1" t="str">
        <f t="shared" si="8"/>
        <v/>
      </c>
    </row>
    <row r="526" spans="1:5" x14ac:dyDescent="0.2">
      <c r="A526" t="str">
        <f>IF(COUNTBLANK(B526:F526)&lt;&gt;COLUMNS(B526:F526),525,"")</f>
        <v/>
      </c>
      <c r="E526" s="1" t="str">
        <f t="shared" si="8"/>
        <v/>
      </c>
    </row>
    <row r="527" spans="1:5" x14ac:dyDescent="0.2">
      <c r="A527" t="str">
        <f>IF(COUNTBLANK(B527:F527)&lt;&gt;COLUMNS(B527:F527),526,"")</f>
        <v/>
      </c>
      <c r="E527" s="1" t="str">
        <f t="shared" si="8"/>
        <v/>
      </c>
    </row>
    <row r="528" spans="1:5" x14ac:dyDescent="0.2">
      <c r="A528" t="str">
        <f>IF(COUNTBLANK(B528:F528)&lt;&gt;COLUMNS(B528:F528),527,"")</f>
        <v/>
      </c>
      <c r="E528" s="1" t="str">
        <f t="shared" si="8"/>
        <v/>
      </c>
    </row>
    <row r="529" spans="1:5" x14ac:dyDescent="0.2">
      <c r="A529" t="str">
        <f>IF(COUNTBLANK(B529:F529)&lt;&gt;COLUMNS(B529:F529),528,"")</f>
        <v/>
      </c>
      <c r="E529" s="1" t="str">
        <f t="shared" si="8"/>
        <v/>
      </c>
    </row>
    <row r="530" spans="1:5" x14ac:dyDescent="0.2">
      <c r="A530" t="str">
        <f>IF(COUNTBLANK(B530:F530)&lt;&gt;COLUMNS(B530:F530),529,"")</f>
        <v/>
      </c>
      <c r="E530" s="1" t="str">
        <f t="shared" si="8"/>
        <v/>
      </c>
    </row>
    <row r="531" spans="1:5" x14ac:dyDescent="0.2">
      <c r="A531" t="str">
        <f>IF(COUNTBLANK(B531:F531)&lt;&gt;COLUMNS(B531:F531),530,"")</f>
        <v/>
      </c>
      <c r="E531" s="1" t="str">
        <f t="shared" si="8"/>
        <v/>
      </c>
    </row>
    <row r="532" spans="1:5" x14ac:dyDescent="0.2">
      <c r="A532" t="str">
        <f>IF(COUNTBLANK(B532:F532)&lt;&gt;COLUMNS(B532:F532),531,"")</f>
        <v/>
      </c>
      <c r="E532" s="1" t="str">
        <f t="shared" si="8"/>
        <v/>
      </c>
    </row>
    <row r="533" spans="1:5" x14ac:dyDescent="0.2">
      <c r="A533" t="str">
        <f>IF(COUNTBLANK(B533:F533)&lt;&gt;COLUMNS(B533:F533),532,"")</f>
        <v/>
      </c>
      <c r="E533" s="1" t="str">
        <f t="shared" si="8"/>
        <v/>
      </c>
    </row>
    <row r="534" spans="1:5" x14ac:dyDescent="0.2">
      <c r="A534" t="str">
        <f>IF(COUNTBLANK(B534:F534)&lt;&gt;COLUMNS(B534:F534),533,"")</f>
        <v/>
      </c>
      <c r="E534" s="1" t="str">
        <f t="shared" si="8"/>
        <v/>
      </c>
    </row>
    <row r="535" spans="1:5" x14ac:dyDescent="0.2">
      <c r="A535" t="str">
        <f>IF(COUNTBLANK(B535:F535)&lt;&gt;COLUMNS(B535:F535),534,"")</f>
        <v/>
      </c>
      <c r="E535" s="1" t="str">
        <f t="shared" si="8"/>
        <v/>
      </c>
    </row>
    <row r="536" spans="1:5" x14ac:dyDescent="0.2">
      <c r="A536" t="str">
        <f>IF(COUNTBLANK(B536:F536)&lt;&gt;COLUMNS(B536:F536),535,"")</f>
        <v/>
      </c>
      <c r="E536" s="1" t="str">
        <f t="shared" si="8"/>
        <v/>
      </c>
    </row>
    <row r="537" spans="1:5" x14ac:dyDescent="0.2">
      <c r="A537" t="str">
        <f>IF(COUNTBLANK(B537:F537)&lt;&gt;COLUMNS(B537:F537),536,"")</f>
        <v/>
      </c>
      <c r="E537" s="1" t="str">
        <f t="shared" si="8"/>
        <v/>
      </c>
    </row>
    <row r="538" spans="1:5" x14ac:dyDescent="0.2">
      <c r="A538" t="str">
        <f>IF(COUNTBLANK(B538:F538)&lt;&gt;COLUMNS(B538:F538),537,"")</f>
        <v/>
      </c>
      <c r="E538" s="1" t="str">
        <f t="shared" si="8"/>
        <v/>
      </c>
    </row>
    <row r="539" spans="1:5" x14ac:dyDescent="0.2">
      <c r="A539" t="str">
        <f>IF(COUNTBLANK(B539:F539)&lt;&gt;COLUMNS(B539:F539),538,"")</f>
        <v/>
      </c>
      <c r="E539" s="1" t="str">
        <f t="shared" si="8"/>
        <v/>
      </c>
    </row>
    <row r="540" spans="1:5" x14ac:dyDescent="0.2">
      <c r="A540" t="str">
        <f>IF(COUNTBLANK(B540:F540)&lt;&gt;COLUMNS(B540:F540),539,"")</f>
        <v/>
      </c>
      <c r="E540" s="1" t="str">
        <f t="shared" si="8"/>
        <v/>
      </c>
    </row>
    <row r="541" spans="1:5" x14ac:dyDescent="0.2">
      <c r="A541" t="str">
        <f>IF(COUNTBLANK(B541:F541)&lt;&gt;COLUMNS(B541:F541),540,"")</f>
        <v/>
      </c>
      <c r="E541" s="1" t="str">
        <f t="shared" si="8"/>
        <v/>
      </c>
    </row>
    <row r="542" spans="1:5" x14ac:dyDescent="0.2">
      <c r="A542" t="str">
        <f>IF(COUNTBLANK(B542:F542)&lt;&gt;COLUMNS(B542:F542),541,"")</f>
        <v/>
      </c>
      <c r="E542" s="1" t="str">
        <f t="shared" si="8"/>
        <v/>
      </c>
    </row>
    <row r="543" spans="1:5" x14ac:dyDescent="0.2">
      <c r="A543" t="str">
        <f>IF(COUNTBLANK(B543:F543)&lt;&gt;COLUMNS(B543:F543),542,"")</f>
        <v/>
      </c>
      <c r="E543" s="1" t="str">
        <f t="shared" si="8"/>
        <v/>
      </c>
    </row>
    <row r="544" spans="1:5" x14ac:dyDescent="0.2">
      <c r="A544" t="str">
        <f>IF(COUNTBLANK(B544:F544)&lt;&gt;COLUMNS(B544:F544),543,"")</f>
        <v/>
      </c>
      <c r="E544" s="1" t="str">
        <f t="shared" si="8"/>
        <v/>
      </c>
    </row>
    <row r="545" spans="1:5" x14ac:dyDescent="0.2">
      <c r="A545" t="str">
        <f>IF(COUNTBLANK(B545:F545)&lt;&gt;COLUMNS(B545:F545),544,"")</f>
        <v/>
      </c>
      <c r="E545" s="1" t="str">
        <f t="shared" si="8"/>
        <v/>
      </c>
    </row>
    <row r="546" spans="1:5" x14ac:dyDescent="0.2">
      <c r="A546" t="str">
        <f>IF(COUNTBLANK(B546:F546)&lt;&gt;COLUMNS(B546:F546),545,"")</f>
        <v/>
      </c>
      <c r="E546" s="1" t="str">
        <f t="shared" si="8"/>
        <v/>
      </c>
    </row>
    <row r="547" spans="1:5" x14ac:dyDescent="0.2">
      <c r="A547" t="str">
        <f>IF(COUNTBLANK(B547:F547)&lt;&gt;COLUMNS(B547:F547),546,"")</f>
        <v/>
      </c>
      <c r="E547" s="1" t="str">
        <f t="shared" si="8"/>
        <v/>
      </c>
    </row>
    <row r="548" spans="1:5" x14ac:dyDescent="0.2">
      <c r="A548" t="str">
        <f>IF(COUNTBLANK(B548:F548)&lt;&gt;COLUMNS(B548:F548),547,"")</f>
        <v/>
      </c>
      <c r="E548" s="1" t="str">
        <f t="shared" si="8"/>
        <v/>
      </c>
    </row>
    <row r="549" spans="1:5" x14ac:dyDescent="0.2">
      <c r="A549" t="str">
        <f>IF(COUNTBLANK(B549:F549)&lt;&gt;COLUMNS(B549:F549),548,"")</f>
        <v/>
      </c>
      <c r="E549" s="1" t="str">
        <f t="shared" si="8"/>
        <v/>
      </c>
    </row>
    <row r="550" spans="1:5" x14ac:dyDescent="0.2">
      <c r="A550" t="str">
        <f>IF(COUNTBLANK(B550:F550)&lt;&gt;COLUMNS(B550:F550),549,"")</f>
        <v/>
      </c>
      <c r="E550" s="1" t="str">
        <f t="shared" si="8"/>
        <v/>
      </c>
    </row>
    <row r="551" spans="1:5" x14ac:dyDescent="0.2">
      <c r="A551" t="str">
        <f>IF(COUNTBLANK(B551:F551)&lt;&gt;COLUMNS(B551:F551),550,"")</f>
        <v/>
      </c>
      <c r="E551" s="1" t="str">
        <f t="shared" si="8"/>
        <v/>
      </c>
    </row>
    <row r="552" spans="1:5" x14ac:dyDescent="0.2">
      <c r="A552" t="str">
        <f>IF(COUNTBLANK(B552:F552)&lt;&gt;COLUMNS(B552:F552),551,"")</f>
        <v/>
      </c>
      <c r="E552" s="1" t="str">
        <f t="shared" si="8"/>
        <v/>
      </c>
    </row>
    <row r="553" spans="1:5" x14ac:dyDescent="0.2">
      <c r="A553" t="str">
        <f>IF(COUNTBLANK(B553:F553)&lt;&gt;COLUMNS(B553:F553),552,"")</f>
        <v/>
      </c>
      <c r="E553" s="1" t="str">
        <f t="shared" si="8"/>
        <v/>
      </c>
    </row>
    <row r="554" spans="1:5" x14ac:dyDescent="0.2">
      <c r="A554" t="str">
        <f>IF(COUNTBLANK(B554:F554)&lt;&gt;COLUMNS(B554:F554),553,"")</f>
        <v/>
      </c>
      <c r="E554" s="1" t="str">
        <f t="shared" si="8"/>
        <v/>
      </c>
    </row>
    <row r="555" spans="1:5" x14ac:dyDescent="0.2">
      <c r="A555" t="str">
        <f>IF(COUNTBLANK(B555:F555)&lt;&gt;COLUMNS(B555:F555),554,"")</f>
        <v/>
      </c>
      <c r="E555" s="1" t="str">
        <f t="shared" si="8"/>
        <v/>
      </c>
    </row>
    <row r="556" spans="1:5" x14ac:dyDescent="0.2">
      <c r="A556" t="str">
        <f>IF(COUNTBLANK(B556:F556)&lt;&gt;COLUMNS(B556:F556),555,"")</f>
        <v/>
      </c>
      <c r="E556" s="1" t="str">
        <f t="shared" si="8"/>
        <v/>
      </c>
    </row>
    <row r="557" spans="1:5" x14ac:dyDescent="0.2">
      <c r="A557" t="str">
        <f>IF(COUNTBLANK(B557:F557)&lt;&gt;COLUMNS(B557:F557),556,"")</f>
        <v/>
      </c>
      <c r="E557" s="1" t="str">
        <f t="shared" si="8"/>
        <v/>
      </c>
    </row>
    <row r="558" spans="1:5" x14ac:dyDescent="0.2">
      <c r="A558" t="str">
        <f>IF(COUNTBLANK(B558:F558)&lt;&gt;COLUMNS(B558:F558),557,"")</f>
        <v/>
      </c>
      <c r="E558" s="1" t="str">
        <f t="shared" si="8"/>
        <v/>
      </c>
    </row>
    <row r="559" spans="1:5" x14ac:dyDescent="0.2">
      <c r="A559" t="str">
        <f>IF(COUNTBLANK(B559:F559)&lt;&gt;COLUMNS(B559:F559),558,"")</f>
        <v/>
      </c>
      <c r="E559" s="1" t="str">
        <f t="shared" si="8"/>
        <v/>
      </c>
    </row>
    <row r="560" spans="1:5" x14ac:dyDescent="0.2">
      <c r="A560" t="str">
        <f>IF(COUNTBLANK(B560:F560)&lt;&gt;COLUMNS(B560:F560),559,"")</f>
        <v/>
      </c>
      <c r="E560" s="1" t="str">
        <f t="shared" si="8"/>
        <v/>
      </c>
    </row>
    <row r="561" spans="1:5" x14ac:dyDescent="0.2">
      <c r="A561" t="str">
        <f>IF(COUNTBLANK(B561:F561)&lt;&gt;COLUMNS(B561:F561),560,"")</f>
        <v/>
      </c>
      <c r="E561" s="1" t="str">
        <f t="shared" si="8"/>
        <v/>
      </c>
    </row>
    <row r="562" spans="1:5" x14ac:dyDescent="0.2">
      <c r="A562" t="str">
        <f>IF(COUNTBLANK(B562:F562)&lt;&gt;COLUMNS(B562:F562),561,"")</f>
        <v/>
      </c>
      <c r="E562" s="1" t="str">
        <f t="shared" si="8"/>
        <v/>
      </c>
    </row>
    <row r="563" spans="1:5" x14ac:dyDescent="0.2">
      <c r="A563" t="str">
        <f>IF(COUNTBLANK(B563:F563)&lt;&gt;COLUMNS(B563:F563),562,"")</f>
        <v/>
      </c>
      <c r="E563" s="1" t="str">
        <f t="shared" si="8"/>
        <v/>
      </c>
    </row>
    <row r="564" spans="1:5" x14ac:dyDescent="0.2">
      <c r="A564" t="str">
        <f>IF(COUNTBLANK(B564:F564)&lt;&gt;COLUMNS(B564:F564),563,"")</f>
        <v/>
      </c>
      <c r="E564" s="1" t="str">
        <f t="shared" si="8"/>
        <v/>
      </c>
    </row>
    <row r="565" spans="1:5" x14ac:dyDescent="0.2">
      <c r="A565" t="str">
        <f>IF(COUNTBLANK(B565:F565)&lt;&gt;COLUMNS(B565:F565),564,"")</f>
        <v/>
      </c>
      <c r="E565" s="1" t="str">
        <f t="shared" si="8"/>
        <v/>
      </c>
    </row>
    <row r="566" spans="1:5" x14ac:dyDescent="0.2">
      <c r="A566" t="str">
        <f>IF(COUNTBLANK(B566:F566)&lt;&gt;COLUMNS(B566:F566),565,"")</f>
        <v/>
      </c>
      <c r="E566" s="1" t="str">
        <f t="shared" si="8"/>
        <v/>
      </c>
    </row>
    <row r="567" spans="1:5" x14ac:dyDescent="0.2">
      <c r="A567" t="str">
        <f>IF(COUNTBLANK(B567:F567)&lt;&gt;COLUMNS(B567:F567),566,"")</f>
        <v/>
      </c>
      <c r="E567" s="1" t="str">
        <f t="shared" si="8"/>
        <v/>
      </c>
    </row>
    <row r="568" spans="1:5" x14ac:dyDescent="0.2">
      <c r="A568" t="str">
        <f>IF(COUNTBLANK(B568:F568)&lt;&gt;COLUMNS(B568:F568),567,"")</f>
        <v/>
      </c>
      <c r="E568" s="1" t="str">
        <f t="shared" si="8"/>
        <v/>
      </c>
    </row>
    <row r="569" spans="1:5" x14ac:dyDescent="0.2">
      <c r="A569" t="str">
        <f>IF(COUNTBLANK(B569:F569)&lt;&gt;COLUMNS(B569:F569),568,"")</f>
        <v/>
      </c>
      <c r="E569" s="1" t="str">
        <f t="shared" si="8"/>
        <v/>
      </c>
    </row>
    <row r="570" spans="1:5" x14ac:dyDescent="0.2">
      <c r="A570" t="str">
        <f>IF(COUNTBLANK(B570:F570)&lt;&gt;COLUMNS(B570:F570),569,"")</f>
        <v/>
      </c>
      <c r="E570" s="1" t="str">
        <f t="shared" si="8"/>
        <v/>
      </c>
    </row>
    <row r="571" spans="1:5" x14ac:dyDescent="0.2">
      <c r="A571" t="str">
        <f>IF(COUNTBLANK(B571:F571)&lt;&gt;COLUMNS(B571:F571),570,"")</f>
        <v/>
      </c>
      <c r="E571" s="1" t="str">
        <f t="shared" si="8"/>
        <v/>
      </c>
    </row>
    <row r="572" spans="1:5" x14ac:dyDescent="0.2">
      <c r="A572" t="str">
        <f>IF(COUNTBLANK(B572:F572)&lt;&gt;COLUMNS(B572:F572),571,"")</f>
        <v/>
      </c>
      <c r="E572" s="1" t="str">
        <f t="shared" si="8"/>
        <v/>
      </c>
    </row>
    <row r="573" spans="1:5" x14ac:dyDescent="0.2">
      <c r="A573" t="str">
        <f>IF(COUNTBLANK(B573:F573)&lt;&gt;COLUMNS(B573:F573),572,"")</f>
        <v/>
      </c>
      <c r="E573" s="1" t="str">
        <f t="shared" si="8"/>
        <v/>
      </c>
    </row>
    <row r="574" spans="1:5" x14ac:dyDescent="0.2">
      <c r="A574" t="str">
        <f>IF(COUNTBLANK(B574:F574)&lt;&gt;COLUMNS(B574:F574),573,"")</f>
        <v/>
      </c>
      <c r="E574" s="1" t="str">
        <f t="shared" si="8"/>
        <v/>
      </c>
    </row>
    <row r="575" spans="1:5" x14ac:dyDescent="0.2">
      <c r="A575" t="str">
        <f>IF(COUNTBLANK(B575:F575)&lt;&gt;COLUMNS(B575:F575),574,"")</f>
        <v/>
      </c>
      <c r="E575" s="1" t="str">
        <f t="shared" si="8"/>
        <v/>
      </c>
    </row>
    <row r="576" spans="1:5" x14ac:dyDescent="0.2">
      <c r="A576" t="str">
        <f>IF(COUNTBLANK(B576:F576)&lt;&gt;COLUMNS(B576:F576),575,"")</f>
        <v/>
      </c>
      <c r="E576" s="1" t="str">
        <f t="shared" si="8"/>
        <v/>
      </c>
    </row>
    <row r="577" spans="1:5" x14ac:dyDescent="0.2">
      <c r="A577" t="str">
        <f>IF(COUNTBLANK(B577:F577)&lt;&gt;COLUMNS(B577:F577),576,"")</f>
        <v/>
      </c>
      <c r="E577" s="1" t="str">
        <f t="shared" si="8"/>
        <v/>
      </c>
    </row>
    <row r="578" spans="1:5" x14ac:dyDescent="0.2">
      <c r="A578" t="str">
        <f>IF(COUNTBLANK(B578:F578)&lt;&gt;COLUMNS(B578:F578),577,"")</f>
        <v/>
      </c>
      <c r="E578" s="1" t="str">
        <f t="shared" ref="E578:E641" si="9">IF(B578="", "", "built environment")</f>
        <v/>
      </c>
    </row>
    <row r="579" spans="1:5" x14ac:dyDescent="0.2">
      <c r="A579" t="str">
        <f>IF(COUNTBLANK(B579:F579)&lt;&gt;COLUMNS(B579:F579),578,"")</f>
        <v/>
      </c>
      <c r="E579" s="1" t="str">
        <f t="shared" si="9"/>
        <v/>
      </c>
    </row>
    <row r="580" spans="1:5" x14ac:dyDescent="0.2">
      <c r="A580" t="str">
        <f>IF(COUNTBLANK(B580:F580)&lt;&gt;COLUMNS(B580:F580),579,"")</f>
        <v/>
      </c>
      <c r="E580" s="1" t="str">
        <f t="shared" si="9"/>
        <v/>
      </c>
    </row>
    <row r="581" spans="1:5" x14ac:dyDescent="0.2">
      <c r="A581" t="str">
        <f>IF(COUNTBLANK(B581:F581)&lt;&gt;COLUMNS(B581:F581),580,"")</f>
        <v/>
      </c>
      <c r="E581" s="1" t="str">
        <f t="shared" si="9"/>
        <v/>
      </c>
    </row>
    <row r="582" spans="1:5" x14ac:dyDescent="0.2">
      <c r="A582" t="str">
        <f>IF(COUNTBLANK(B582:F582)&lt;&gt;COLUMNS(B582:F582),581,"")</f>
        <v/>
      </c>
      <c r="E582" s="1" t="str">
        <f t="shared" si="9"/>
        <v/>
      </c>
    </row>
    <row r="583" spans="1:5" x14ac:dyDescent="0.2">
      <c r="A583" t="str">
        <f>IF(COUNTBLANK(B583:F583)&lt;&gt;COLUMNS(B583:F583),582,"")</f>
        <v/>
      </c>
      <c r="E583" s="1" t="str">
        <f t="shared" si="9"/>
        <v/>
      </c>
    </row>
    <row r="584" spans="1:5" x14ac:dyDescent="0.2">
      <c r="A584" t="str">
        <f>IF(COUNTBLANK(B584:F584)&lt;&gt;COLUMNS(B584:F584),583,"")</f>
        <v/>
      </c>
      <c r="E584" s="1" t="str">
        <f t="shared" si="9"/>
        <v/>
      </c>
    </row>
    <row r="585" spans="1:5" x14ac:dyDescent="0.2">
      <c r="A585" t="str">
        <f>IF(COUNTBLANK(B585:F585)&lt;&gt;COLUMNS(B585:F585),584,"")</f>
        <v/>
      </c>
      <c r="E585" s="1" t="str">
        <f t="shared" si="9"/>
        <v/>
      </c>
    </row>
    <row r="586" spans="1:5" x14ac:dyDescent="0.2">
      <c r="A586" t="str">
        <f>IF(COUNTBLANK(B586:F586)&lt;&gt;COLUMNS(B586:F586),585,"")</f>
        <v/>
      </c>
      <c r="E586" s="1" t="str">
        <f t="shared" si="9"/>
        <v/>
      </c>
    </row>
    <row r="587" spans="1:5" x14ac:dyDescent="0.2">
      <c r="A587" t="str">
        <f>IF(COUNTBLANK(B587:F587)&lt;&gt;COLUMNS(B587:F587),586,"")</f>
        <v/>
      </c>
      <c r="E587" s="1" t="str">
        <f t="shared" si="9"/>
        <v/>
      </c>
    </row>
    <row r="588" spans="1:5" x14ac:dyDescent="0.2">
      <c r="A588" t="str">
        <f>IF(COUNTBLANK(B588:F588)&lt;&gt;COLUMNS(B588:F588),587,"")</f>
        <v/>
      </c>
      <c r="E588" s="1" t="str">
        <f t="shared" si="9"/>
        <v/>
      </c>
    </row>
    <row r="589" spans="1:5" x14ac:dyDescent="0.2">
      <c r="A589" t="str">
        <f>IF(COUNTBLANK(B589:F589)&lt;&gt;COLUMNS(B589:F589),588,"")</f>
        <v/>
      </c>
      <c r="E589" s="1" t="str">
        <f t="shared" si="9"/>
        <v/>
      </c>
    </row>
    <row r="590" spans="1:5" x14ac:dyDescent="0.2">
      <c r="A590" t="str">
        <f>IF(COUNTBLANK(B590:F590)&lt;&gt;COLUMNS(B590:F590),589,"")</f>
        <v/>
      </c>
      <c r="E590" s="1" t="str">
        <f t="shared" si="9"/>
        <v/>
      </c>
    </row>
    <row r="591" spans="1:5" x14ac:dyDescent="0.2">
      <c r="A591" t="str">
        <f>IF(COUNTBLANK(B591:F591)&lt;&gt;COLUMNS(B591:F591),590,"")</f>
        <v/>
      </c>
      <c r="E591" s="1" t="str">
        <f t="shared" si="9"/>
        <v/>
      </c>
    </row>
    <row r="592" spans="1:5" x14ac:dyDescent="0.2">
      <c r="A592" t="str">
        <f>IF(COUNTBLANK(B592:F592)&lt;&gt;COLUMNS(B592:F592),591,"")</f>
        <v/>
      </c>
      <c r="E592" s="1" t="str">
        <f t="shared" si="9"/>
        <v/>
      </c>
    </row>
    <row r="593" spans="1:5" x14ac:dyDescent="0.2">
      <c r="A593" t="str">
        <f>IF(COUNTBLANK(B593:F593)&lt;&gt;COLUMNS(B593:F593),592,"")</f>
        <v/>
      </c>
      <c r="E593" s="1" t="str">
        <f t="shared" si="9"/>
        <v/>
      </c>
    </row>
    <row r="594" spans="1:5" x14ac:dyDescent="0.2">
      <c r="A594" t="str">
        <f>IF(COUNTBLANK(B594:F594)&lt;&gt;COLUMNS(B594:F594),593,"")</f>
        <v/>
      </c>
      <c r="E594" s="1" t="str">
        <f t="shared" si="9"/>
        <v/>
      </c>
    </row>
    <row r="595" spans="1:5" x14ac:dyDescent="0.2">
      <c r="A595" t="str">
        <f>IF(COUNTBLANK(B595:F595)&lt;&gt;COLUMNS(B595:F595),594,"")</f>
        <v/>
      </c>
      <c r="E595" s="1" t="str">
        <f t="shared" si="9"/>
        <v/>
      </c>
    </row>
    <row r="596" spans="1:5" x14ac:dyDescent="0.2">
      <c r="A596" t="str">
        <f>IF(COUNTBLANK(B596:F596)&lt;&gt;COLUMNS(B596:F596),595,"")</f>
        <v/>
      </c>
      <c r="E596" s="1" t="str">
        <f t="shared" si="9"/>
        <v/>
      </c>
    </row>
    <row r="597" spans="1:5" x14ac:dyDescent="0.2">
      <c r="A597" t="str">
        <f>IF(COUNTBLANK(B597:F597)&lt;&gt;COLUMNS(B597:F597),596,"")</f>
        <v/>
      </c>
      <c r="E597" s="1" t="str">
        <f t="shared" si="9"/>
        <v/>
      </c>
    </row>
    <row r="598" spans="1:5" x14ac:dyDescent="0.2">
      <c r="A598" t="str">
        <f>IF(COUNTBLANK(B598:F598)&lt;&gt;COLUMNS(B598:F598),597,"")</f>
        <v/>
      </c>
      <c r="E598" s="1" t="str">
        <f t="shared" si="9"/>
        <v/>
      </c>
    </row>
    <row r="599" spans="1:5" x14ac:dyDescent="0.2">
      <c r="A599" t="str">
        <f>IF(COUNTBLANK(B599:F599)&lt;&gt;COLUMNS(B599:F599),598,"")</f>
        <v/>
      </c>
      <c r="E599" s="1" t="str">
        <f t="shared" si="9"/>
        <v/>
      </c>
    </row>
    <row r="600" spans="1:5" x14ac:dyDescent="0.2">
      <c r="A600" t="str">
        <f>IF(COUNTBLANK(B600:F600)&lt;&gt;COLUMNS(B600:F600),599,"")</f>
        <v/>
      </c>
      <c r="E600" s="1" t="str">
        <f t="shared" si="9"/>
        <v/>
      </c>
    </row>
    <row r="601" spans="1:5" x14ac:dyDescent="0.2">
      <c r="A601" t="str">
        <f>IF(COUNTBLANK(B601:F601)&lt;&gt;COLUMNS(B601:F601),600,"")</f>
        <v/>
      </c>
      <c r="E601" s="1" t="str">
        <f t="shared" si="9"/>
        <v/>
      </c>
    </row>
    <row r="602" spans="1:5" x14ac:dyDescent="0.2">
      <c r="A602" t="str">
        <f>IF(COUNTBLANK(B602:F602)&lt;&gt;COLUMNS(B602:F602),601,"")</f>
        <v/>
      </c>
      <c r="E602" s="1" t="str">
        <f t="shared" si="9"/>
        <v/>
      </c>
    </row>
    <row r="603" spans="1:5" x14ac:dyDescent="0.2">
      <c r="A603" t="str">
        <f>IF(COUNTBLANK(B603:F603)&lt;&gt;COLUMNS(B603:F603),602,"")</f>
        <v/>
      </c>
      <c r="E603" s="1" t="str">
        <f t="shared" si="9"/>
        <v/>
      </c>
    </row>
    <row r="604" spans="1:5" x14ac:dyDescent="0.2">
      <c r="A604" t="str">
        <f>IF(COUNTBLANK(B604:F604)&lt;&gt;COLUMNS(B604:F604),603,"")</f>
        <v/>
      </c>
      <c r="E604" s="1" t="str">
        <f t="shared" si="9"/>
        <v/>
      </c>
    </row>
    <row r="605" spans="1:5" x14ac:dyDescent="0.2">
      <c r="A605" t="str">
        <f>IF(COUNTBLANK(B605:F605)&lt;&gt;COLUMNS(B605:F605),604,"")</f>
        <v/>
      </c>
      <c r="E605" s="1" t="str">
        <f t="shared" si="9"/>
        <v/>
      </c>
    </row>
    <row r="606" spans="1:5" x14ac:dyDescent="0.2">
      <c r="A606" t="str">
        <f>IF(COUNTBLANK(B606:F606)&lt;&gt;COLUMNS(B606:F606),605,"")</f>
        <v/>
      </c>
      <c r="E606" s="1" t="str">
        <f t="shared" si="9"/>
        <v/>
      </c>
    </row>
    <row r="607" spans="1:5" x14ac:dyDescent="0.2">
      <c r="A607" t="str">
        <f>IF(COUNTBLANK(B607:F607)&lt;&gt;COLUMNS(B607:F607),606,"")</f>
        <v/>
      </c>
      <c r="E607" s="1" t="str">
        <f t="shared" si="9"/>
        <v/>
      </c>
    </row>
    <row r="608" spans="1:5" x14ac:dyDescent="0.2">
      <c r="A608" t="str">
        <f>IF(COUNTBLANK(B608:F608)&lt;&gt;COLUMNS(B608:F608),607,"")</f>
        <v/>
      </c>
      <c r="E608" s="1" t="str">
        <f t="shared" si="9"/>
        <v/>
      </c>
    </row>
    <row r="609" spans="1:5" x14ac:dyDescent="0.2">
      <c r="A609" t="str">
        <f>IF(COUNTBLANK(B609:F609)&lt;&gt;COLUMNS(B609:F609),608,"")</f>
        <v/>
      </c>
      <c r="E609" s="1" t="str">
        <f t="shared" si="9"/>
        <v/>
      </c>
    </row>
    <row r="610" spans="1:5" x14ac:dyDescent="0.2">
      <c r="A610" t="str">
        <f>IF(COUNTBLANK(B610:F610)&lt;&gt;COLUMNS(B610:F610),609,"")</f>
        <v/>
      </c>
      <c r="E610" s="1" t="str">
        <f t="shared" si="9"/>
        <v/>
      </c>
    </row>
    <row r="611" spans="1:5" x14ac:dyDescent="0.2">
      <c r="A611" t="str">
        <f>IF(COUNTBLANK(B611:F611)&lt;&gt;COLUMNS(B611:F611),610,"")</f>
        <v/>
      </c>
      <c r="E611" s="1" t="str">
        <f t="shared" si="9"/>
        <v/>
      </c>
    </row>
    <row r="612" spans="1:5" x14ac:dyDescent="0.2">
      <c r="A612" t="str">
        <f>IF(COUNTBLANK(B612:F612)&lt;&gt;COLUMNS(B612:F612),611,"")</f>
        <v/>
      </c>
      <c r="E612" s="1" t="str">
        <f t="shared" si="9"/>
        <v/>
      </c>
    </row>
    <row r="613" spans="1:5" x14ac:dyDescent="0.2">
      <c r="A613" t="str">
        <f>IF(COUNTBLANK(B613:F613)&lt;&gt;COLUMNS(B613:F613),612,"")</f>
        <v/>
      </c>
      <c r="E613" s="1" t="str">
        <f t="shared" si="9"/>
        <v/>
      </c>
    </row>
    <row r="614" spans="1:5" x14ac:dyDescent="0.2">
      <c r="A614" t="str">
        <f>IF(COUNTBLANK(B614:F614)&lt;&gt;COLUMNS(B614:F614),613,"")</f>
        <v/>
      </c>
      <c r="E614" s="1" t="str">
        <f t="shared" si="9"/>
        <v/>
      </c>
    </row>
    <row r="615" spans="1:5" x14ac:dyDescent="0.2">
      <c r="A615" t="str">
        <f>IF(COUNTBLANK(B615:F615)&lt;&gt;COLUMNS(B615:F615),614,"")</f>
        <v/>
      </c>
      <c r="E615" s="1" t="str">
        <f t="shared" si="9"/>
        <v/>
      </c>
    </row>
    <row r="616" spans="1:5" x14ac:dyDescent="0.2">
      <c r="A616" t="str">
        <f>IF(COUNTBLANK(B616:F616)&lt;&gt;COLUMNS(B616:F616),615,"")</f>
        <v/>
      </c>
      <c r="E616" s="1" t="str">
        <f t="shared" si="9"/>
        <v/>
      </c>
    </row>
    <row r="617" spans="1:5" x14ac:dyDescent="0.2">
      <c r="A617" t="str">
        <f>IF(COUNTBLANK(B617:F617)&lt;&gt;COLUMNS(B617:F617),616,"")</f>
        <v/>
      </c>
      <c r="E617" s="1" t="str">
        <f t="shared" si="9"/>
        <v/>
      </c>
    </row>
    <row r="618" spans="1:5" x14ac:dyDescent="0.2">
      <c r="A618" t="str">
        <f>IF(COUNTBLANK(B618:F618)&lt;&gt;COLUMNS(B618:F618),617,"")</f>
        <v/>
      </c>
      <c r="E618" s="1" t="str">
        <f t="shared" si="9"/>
        <v/>
      </c>
    </row>
    <row r="619" spans="1:5" x14ac:dyDescent="0.2">
      <c r="A619" t="str">
        <f>IF(COUNTBLANK(B619:F619)&lt;&gt;COLUMNS(B619:F619),618,"")</f>
        <v/>
      </c>
      <c r="E619" s="1" t="str">
        <f t="shared" si="9"/>
        <v/>
      </c>
    </row>
    <row r="620" spans="1:5" x14ac:dyDescent="0.2">
      <c r="A620" t="str">
        <f>IF(COUNTBLANK(B620:F620)&lt;&gt;COLUMNS(B620:F620),619,"")</f>
        <v/>
      </c>
      <c r="E620" s="1" t="str">
        <f t="shared" si="9"/>
        <v/>
      </c>
    </row>
    <row r="621" spans="1:5" x14ac:dyDescent="0.2">
      <c r="A621" t="str">
        <f>IF(COUNTBLANK(B621:F621)&lt;&gt;COLUMNS(B621:F621),620,"")</f>
        <v/>
      </c>
      <c r="E621" s="1" t="str">
        <f t="shared" si="9"/>
        <v/>
      </c>
    </row>
    <row r="622" spans="1:5" x14ac:dyDescent="0.2">
      <c r="A622" t="str">
        <f>IF(COUNTBLANK(B622:F622)&lt;&gt;COLUMNS(B622:F622),621,"")</f>
        <v/>
      </c>
      <c r="E622" s="1" t="str">
        <f t="shared" si="9"/>
        <v/>
      </c>
    </row>
    <row r="623" spans="1:5" x14ac:dyDescent="0.2">
      <c r="A623" t="str">
        <f>IF(COUNTBLANK(B623:F623)&lt;&gt;COLUMNS(B623:F623),622,"")</f>
        <v/>
      </c>
      <c r="E623" s="1" t="str">
        <f t="shared" si="9"/>
        <v/>
      </c>
    </row>
    <row r="624" spans="1:5" x14ac:dyDescent="0.2">
      <c r="A624" t="str">
        <f>IF(COUNTBLANK(B624:F624)&lt;&gt;COLUMNS(B624:F624),623,"")</f>
        <v/>
      </c>
      <c r="E624" s="1" t="str">
        <f t="shared" si="9"/>
        <v/>
      </c>
    </row>
    <row r="625" spans="1:5" x14ac:dyDescent="0.2">
      <c r="A625" t="str">
        <f>IF(COUNTBLANK(B625:F625)&lt;&gt;COLUMNS(B625:F625),624,"")</f>
        <v/>
      </c>
      <c r="E625" s="1" t="str">
        <f t="shared" si="9"/>
        <v/>
      </c>
    </row>
    <row r="626" spans="1:5" x14ac:dyDescent="0.2">
      <c r="A626" t="str">
        <f>IF(COUNTBLANK(B626:F626)&lt;&gt;COLUMNS(B626:F626),625,"")</f>
        <v/>
      </c>
      <c r="E626" s="1" t="str">
        <f t="shared" si="9"/>
        <v/>
      </c>
    </row>
    <row r="627" spans="1:5" x14ac:dyDescent="0.2">
      <c r="A627" t="str">
        <f>IF(COUNTBLANK(B627:F627)&lt;&gt;COLUMNS(B627:F627),626,"")</f>
        <v/>
      </c>
      <c r="E627" s="1" t="str">
        <f t="shared" si="9"/>
        <v/>
      </c>
    </row>
    <row r="628" spans="1:5" x14ac:dyDescent="0.2">
      <c r="A628" t="str">
        <f>IF(COUNTBLANK(B628:F628)&lt;&gt;COLUMNS(B628:F628),627,"")</f>
        <v/>
      </c>
      <c r="E628" s="1" t="str">
        <f t="shared" si="9"/>
        <v/>
      </c>
    </row>
    <row r="629" spans="1:5" x14ac:dyDescent="0.2">
      <c r="A629" t="str">
        <f>IF(COUNTBLANK(B629:F629)&lt;&gt;COLUMNS(B629:F629),628,"")</f>
        <v/>
      </c>
      <c r="E629" s="1" t="str">
        <f t="shared" si="9"/>
        <v/>
      </c>
    </row>
    <row r="630" spans="1:5" x14ac:dyDescent="0.2">
      <c r="A630" t="str">
        <f>IF(COUNTBLANK(B630:F630)&lt;&gt;COLUMNS(B630:F630),629,"")</f>
        <v/>
      </c>
      <c r="E630" s="1" t="str">
        <f t="shared" si="9"/>
        <v/>
      </c>
    </row>
    <row r="631" spans="1:5" x14ac:dyDescent="0.2">
      <c r="A631" t="str">
        <f>IF(COUNTBLANK(B631:F631)&lt;&gt;COLUMNS(B631:F631),630,"")</f>
        <v/>
      </c>
      <c r="E631" s="1" t="str">
        <f t="shared" si="9"/>
        <v/>
      </c>
    </row>
    <row r="632" spans="1:5" x14ac:dyDescent="0.2">
      <c r="A632" t="str">
        <f>IF(COUNTBLANK(B632:F632)&lt;&gt;COLUMNS(B632:F632),631,"")</f>
        <v/>
      </c>
      <c r="E632" s="1" t="str">
        <f t="shared" si="9"/>
        <v/>
      </c>
    </row>
    <row r="633" spans="1:5" x14ac:dyDescent="0.2">
      <c r="A633" t="str">
        <f>IF(COUNTBLANK(B633:F633)&lt;&gt;COLUMNS(B633:F633),632,"")</f>
        <v/>
      </c>
      <c r="E633" s="1" t="str">
        <f t="shared" si="9"/>
        <v/>
      </c>
    </row>
    <row r="634" spans="1:5" x14ac:dyDescent="0.2">
      <c r="A634" t="str">
        <f>IF(COUNTBLANK(B634:F634)&lt;&gt;COLUMNS(B634:F634),633,"")</f>
        <v/>
      </c>
      <c r="E634" s="1" t="str">
        <f t="shared" si="9"/>
        <v/>
      </c>
    </row>
    <row r="635" spans="1:5" x14ac:dyDescent="0.2">
      <c r="A635" t="str">
        <f>IF(COUNTBLANK(B635:F635)&lt;&gt;COLUMNS(B635:F635),634,"")</f>
        <v/>
      </c>
      <c r="E635" s="1" t="str">
        <f t="shared" si="9"/>
        <v/>
      </c>
    </row>
    <row r="636" spans="1:5" x14ac:dyDescent="0.2">
      <c r="A636" t="str">
        <f>IF(COUNTBLANK(B636:F636)&lt;&gt;COLUMNS(B636:F636),635,"")</f>
        <v/>
      </c>
      <c r="E636" s="1" t="str">
        <f t="shared" si="9"/>
        <v/>
      </c>
    </row>
    <row r="637" spans="1:5" x14ac:dyDescent="0.2">
      <c r="A637" t="str">
        <f>IF(COUNTBLANK(B637:F637)&lt;&gt;COLUMNS(B637:F637),636,"")</f>
        <v/>
      </c>
      <c r="E637" s="1" t="str">
        <f t="shared" si="9"/>
        <v/>
      </c>
    </row>
    <row r="638" spans="1:5" x14ac:dyDescent="0.2">
      <c r="A638" t="str">
        <f>IF(COUNTBLANK(B638:F638)&lt;&gt;COLUMNS(B638:F638),637,"")</f>
        <v/>
      </c>
      <c r="E638" s="1" t="str">
        <f t="shared" si="9"/>
        <v/>
      </c>
    </row>
    <row r="639" spans="1:5" x14ac:dyDescent="0.2">
      <c r="A639" t="str">
        <f>IF(COUNTBLANK(B639:F639)&lt;&gt;COLUMNS(B639:F639),638,"")</f>
        <v/>
      </c>
      <c r="E639" s="1" t="str">
        <f t="shared" si="9"/>
        <v/>
      </c>
    </row>
    <row r="640" spans="1:5" x14ac:dyDescent="0.2">
      <c r="A640" t="str">
        <f>IF(COUNTBLANK(B640:F640)&lt;&gt;COLUMNS(B640:F640),639,"")</f>
        <v/>
      </c>
      <c r="E640" s="1" t="str">
        <f t="shared" si="9"/>
        <v/>
      </c>
    </row>
    <row r="641" spans="1:5" x14ac:dyDescent="0.2">
      <c r="A641" t="str">
        <f>IF(COUNTBLANK(B641:F641)&lt;&gt;COLUMNS(B641:F641),640,"")</f>
        <v/>
      </c>
      <c r="E641" s="1" t="str">
        <f t="shared" si="9"/>
        <v/>
      </c>
    </row>
    <row r="642" spans="1:5" x14ac:dyDescent="0.2">
      <c r="A642" t="str">
        <f>IF(COUNTBLANK(B642:F642)&lt;&gt;COLUMNS(B642:F642),641,"")</f>
        <v/>
      </c>
      <c r="E642" s="1" t="str">
        <f t="shared" ref="E642:E705" si="10">IF(B642="", "", "built environment")</f>
        <v/>
      </c>
    </row>
    <row r="643" spans="1:5" x14ac:dyDescent="0.2">
      <c r="A643" t="str">
        <f>IF(COUNTBLANK(B643:F643)&lt;&gt;COLUMNS(B643:F643),642,"")</f>
        <v/>
      </c>
      <c r="E643" s="1" t="str">
        <f t="shared" si="10"/>
        <v/>
      </c>
    </row>
    <row r="644" spans="1:5" x14ac:dyDescent="0.2">
      <c r="A644" t="str">
        <f>IF(COUNTBLANK(B644:F644)&lt;&gt;COLUMNS(B644:F644),643,"")</f>
        <v/>
      </c>
      <c r="E644" s="1" t="str">
        <f t="shared" si="10"/>
        <v/>
      </c>
    </row>
    <row r="645" spans="1:5" x14ac:dyDescent="0.2">
      <c r="A645" t="str">
        <f>IF(COUNTBLANK(B645:F645)&lt;&gt;COLUMNS(B645:F645),644,"")</f>
        <v/>
      </c>
      <c r="E645" s="1" t="str">
        <f t="shared" si="10"/>
        <v/>
      </c>
    </row>
    <row r="646" spans="1:5" x14ac:dyDescent="0.2">
      <c r="A646" t="str">
        <f>IF(COUNTBLANK(B646:F646)&lt;&gt;COLUMNS(B646:F646),645,"")</f>
        <v/>
      </c>
      <c r="E646" s="1" t="str">
        <f t="shared" si="10"/>
        <v/>
      </c>
    </row>
    <row r="647" spans="1:5" x14ac:dyDescent="0.2">
      <c r="A647" t="str">
        <f>IF(COUNTBLANK(B647:F647)&lt;&gt;COLUMNS(B647:F647),646,"")</f>
        <v/>
      </c>
      <c r="E647" s="1" t="str">
        <f t="shared" si="10"/>
        <v/>
      </c>
    </row>
    <row r="648" spans="1:5" x14ac:dyDescent="0.2">
      <c r="A648" t="str">
        <f>IF(COUNTBLANK(B648:F648)&lt;&gt;COLUMNS(B648:F648),647,"")</f>
        <v/>
      </c>
      <c r="E648" s="1" t="str">
        <f t="shared" si="10"/>
        <v/>
      </c>
    </row>
    <row r="649" spans="1:5" x14ac:dyDescent="0.2">
      <c r="A649" t="str">
        <f>IF(COUNTBLANK(B649:F649)&lt;&gt;COLUMNS(B649:F649),648,"")</f>
        <v/>
      </c>
      <c r="E649" s="1" t="str">
        <f t="shared" si="10"/>
        <v/>
      </c>
    </row>
    <row r="650" spans="1:5" x14ac:dyDescent="0.2">
      <c r="A650" t="str">
        <f>IF(COUNTBLANK(B650:F650)&lt;&gt;COLUMNS(B650:F650),649,"")</f>
        <v/>
      </c>
      <c r="E650" s="1" t="str">
        <f t="shared" si="10"/>
        <v/>
      </c>
    </row>
    <row r="651" spans="1:5" x14ac:dyDescent="0.2">
      <c r="A651" t="str">
        <f>IF(COUNTBLANK(B651:F651)&lt;&gt;COLUMNS(B651:F651),650,"")</f>
        <v/>
      </c>
      <c r="E651" s="1" t="str">
        <f t="shared" si="10"/>
        <v/>
      </c>
    </row>
    <row r="652" spans="1:5" x14ac:dyDescent="0.2">
      <c r="A652" t="str">
        <f>IF(COUNTBLANK(B652:F652)&lt;&gt;COLUMNS(B652:F652),651,"")</f>
        <v/>
      </c>
      <c r="E652" s="1" t="str">
        <f t="shared" si="10"/>
        <v/>
      </c>
    </row>
    <row r="653" spans="1:5" x14ac:dyDescent="0.2">
      <c r="A653" t="str">
        <f>IF(COUNTBLANK(B653:F653)&lt;&gt;COLUMNS(B653:F653),652,"")</f>
        <v/>
      </c>
      <c r="E653" s="1" t="str">
        <f t="shared" si="10"/>
        <v/>
      </c>
    </row>
    <row r="654" spans="1:5" x14ac:dyDescent="0.2">
      <c r="A654" t="str">
        <f>IF(COUNTBLANK(B654:F654)&lt;&gt;COLUMNS(B654:F654),653,"")</f>
        <v/>
      </c>
      <c r="E654" s="1" t="str">
        <f t="shared" si="10"/>
        <v/>
      </c>
    </row>
    <row r="655" spans="1:5" x14ac:dyDescent="0.2">
      <c r="A655" t="str">
        <f>IF(COUNTBLANK(B655:F655)&lt;&gt;COLUMNS(B655:F655),654,"")</f>
        <v/>
      </c>
      <c r="E655" s="1" t="str">
        <f t="shared" si="10"/>
        <v/>
      </c>
    </row>
    <row r="656" spans="1:5" x14ac:dyDescent="0.2">
      <c r="A656" t="str">
        <f>IF(COUNTBLANK(B656:F656)&lt;&gt;COLUMNS(B656:F656),655,"")</f>
        <v/>
      </c>
      <c r="E656" s="1" t="str">
        <f t="shared" si="10"/>
        <v/>
      </c>
    </row>
    <row r="657" spans="1:5" x14ac:dyDescent="0.2">
      <c r="A657" t="str">
        <f>IF(COUNTBLANK(B657:F657)&lt;&gt;COLUMNS(B657:F657),656,"")</f>
        <v/>
      </c>
      <c r="E657" s="1" t="str">
        <f t="shared" si="10"/>
        <v/>
      </c>
    </row>
    <row r="658" spans="1:5" x14ac:dyDescent="0.2">
      <c r="A658" t="str">
        <f>IF(COUNTBLANK(B658:F658)&lt;&gt;COLUMNS(B658:F658),657,"")</f>
        <v/>
      </c>
      <c r="E658" s="1" t="str">
        <f t="shared" si="10"/>
        <v/>
      </c>
    </row>
    <row r="659" spans="1:5" x14ac:dyDescent="0.2">
      <c r="A659" t="str">
        <f>IF(COUNTBLANK(B659:F659)&lt;&gt;COLUMNS(B659:F659),658,"")</f>
        <v/>
      </c>
      <c r="E659" s="1" t="str">
        <f t="shared" si="10"/>
        <v/>
      </c>
    </row>
    <row r="660" spans="1:5" x14ac:dyDescent="0.2">
      <c r="A660" t="str">
        <f>IF(COUNTBLANK(B660:F660)&lt;&gt;COLUMNS(B660:F660),659,"")</f>
        <v/>
      </c>
      <c r="E660" s="1" t="str">
        <f t="shared" si="10"/>
        <v/>
      </c>
    </row>
    <row r="661" spans="1:5" x14ac:dyDescent="0.2">
      <c r="A661" t="str">
        <f>IF(COUNTBLANK(B661:F661)&lt;&gt;COLUMNS(B661:F661),660,"")</f>
        <v/>
      </c>
      <c r="E661" s="1" t="str">
        <f t="shared" si="10"/>
        <v/>
      </c>
    </row>
    <row r="662" spans="1:5" x14ac:dyDescent="0.2">
      <c r="A662" t="str">
        <f>IF(COUNTBLANK(B662:F662)&lt;&gt;COLUMNS(B662:F662),661,"")</f>
        <v/>
      </c>
      <c r="E662" s="1" t="str">
        <f t="shared" si="10"/>
        <v/>
      </c>
    </row>
    <row r="663" spans="1:5" x14ac:dyDescent="0.2">
      <c r="A663" t="str">
        <f>IF(COUNTBLANK(B663:F663)&lt;&gt;COLUMNS(B663:F663),662,"")</f>
        <v/>
      </c>
      <c r="E663" s="1" t="str">
        <f t="shared" si="10"/>
        <v/>
      </c>
    </row>
    <row r="664" spans="1:5" x14ac:dyDescent="0.2">
      <c r="A664" t="str">
        <f>IF(COUNTBLANK(B664:F664)&lt;&gt;COLUMNS(B664:F664),663,"")</f>
        <v/>
      </c>
      <c r="E664" s="1" t="str">
        <f t="shared" si="10"/>
        <v/>
      </c>
    </row>
    <row r="665" spans="1:5" x14ac:dyDescent="0.2">
      <c r="A665" t="str">
        <f>IF(COUNTBLANK(B665:F665)&lt;&gt;COLUMNS(B665:F665),664,"")</f>
        <v/>
      </c>
      <c r="E665" s="1" t="str">
        <f t="shared" si="10"/>
        <v/>
      </c>
    </row>
    <row r="666" spans="1:5" x14ac:dyDescent="0.2">
      <c r="A666" t="str">
        <f>IF(COUNTBLANK(B666:F666)&lt;&gt;COLUMNS(B666:F666),665,"")</f>
        <v/>
      </c>
      <c r="E666" s="1" t="str">
        <f t="shared" si="10"/>
        <v/>
      </c>
    </row>
    <row r="667" spans="1:5" x14ac:dyDescent="0.2">
      <c r="A667" t="str">
        <f>IF(COUNTBLANK(B667:F667)&lt;&gt;COLUMNS(B667:F667),666,"")</f>
        <v/>
      </c>
      <c r="E667" s="1" t="str">
        <f t="shared" si="10"/>
        <v/>
      </c>
    </row>
    <row r="668" spans="1:5" x14ac:dyDescent="0.2">
      <c r="A668" t="str">
        <f>IF(COUNTBLANK(B668:F668)&lt;&gt;COLUMNS(B668:F668),667,"")</f>
        <v/>
      </c>
      <c r="E668" s="1" t="str">
        <f t="shared" si="10"/>
        <v/>
      </c>
    </row>
    <row r="669" spans="1:5" x14ac:dyDescent="0.2">
      <c r="A669" t="str">
        <f>IF(COUNTBLANK(B669:F669)&lt;&gt;COLUMNS(B669:F669),668,"")</f>
        <v/>
      </c>
      <c r="E669" s="1" t="str">
        <f t="shared" si="10"/>
        <v/>
      </c>
    </row>
    <row r="670" spans="1:5" x14ac:dyDescent="0.2">
      <c r="A670" t="str">
        <f>IF(COUNTBLANK(B670:F670)&lt;&gt;COLUMNS(B670:F670),669,"")</f>
        <v/>
      </c>
      <c r="E670" s="1" t="str">
        <f t="shared" si="10"/>
        <v/>
      </c>
    </row>
    <row r="671" spans="1:5" x14ac:dyDescent="0.2">
      <c r="A671" t="str">
        <f>IF(COUNTBLANK(B671:F671)&lt;&gt;COLUMNS(B671:F671),670,"")</f>
        <v/>
      </c>
      <c r="E671" s="1" t="str">
        <f t="shared" si="10"/>
        <v/>
      </c>
    </row>
    <row r="672" spans="1:5" x14ac:dyDescent="0.2">
      <c r="A672" t="str">
        <f>IF(COUNTBLANK(B672:F672)&lt;&gt;COLUMNS(B672:F672),671,"")</f>
        <v/>
      </c>
      <c r="E672" s="1" t="str">
        <f t="shared" si="10"/>
        <v/>
      </c>
    </row>
    <row r="673" spans="1:5" x14ac:dyDescent="0.2">
      <c r="A673" t="str">
        <f>IF(COUNTBLANK(B673:F673)&lt;&gt;COLUMNS(B673:F673),672,"")</f>
        <v/>
      </c>
      <c r="E673" s="1" t="str">
        <f t="shared" si="10"/>
        <v/>
      </c>
    </row>
    <row r="674" spans="1:5" x14ac:dyDescent="0.2">
      <c r="A674" t="str">
        <f>IF(COUNTBLANK(B674:F674)&lt;&gt;COLUMNS(B674:F674),673,"")</f>
        <v/>
      </c>
      <c r="E674" s="1" t="str">
        <f t="shared" si="10"/>
        <v/>
      </c>
    </row>
    <row r="675" spans="1:5" x14ac:dyDescent="0.2">
      <c r="A675" t="str">
        <f>IF(COUNTBLANK(B675:F675)&lt;&gt;COLUMNS(B675:F675),674,"")</f>
        <v/>
      </c>
      <c r="E675" s="1" t="str">
        <f t="shared" si="10"/>
        <v/>
      </c>
    </row>
    <row r="676" spans="1:5" x14ac:dyDescent="0.2">
      <c r="A676" t="str">
        <f>IF(COUNTBLANK(B676:F676)&lt;&gt;COLUMNS(B676:F676),675,"")</f>
        <v/>
      </c>
      <c r="E676" s="1" t="str">
        <f t="shared" si="10"/>
        <v/>
      </c>
    </row>
    <row r="677" spans="1:5" x14ac:dyDescent="0.2">
      <c r="A677" t="str">
        <f>IF(COUNTBLANK(B677:F677)&lt;&gt;COLUMNS(B677:F677),676,"")</f>
        <v/>
      </c>
      <c r="E677" s="1" t="str">
        <f t="shared" si="10"/>
        <v/>
      </c>
    </row>
    <row r="678" spans="1:5" x14ac:dyDescent="0.2">
      <c r="A678" t="str">
        <f>IF(COUNTBLANK(B678:F678)&lt;&gt;COLUMNS(B678:F678),677,"")</f>
        <v/>
      </c>
      <c r="E678" s="1" t="str">
        <f t="shared" si="10"/>
        <v/>
      </c>
    </row>
    <row r="679" spans="1:5" x14ac:dyDescent="0.2">
      <c r="A679" t="str">
        <f>IF(COUNTBLANK(B679:F679)&lt;&gt;COLUMNS(B679:F679),678,"")</f>
        <v/>
      </c>
      <c r="E679" s="1" t="str">
        <f t="shared" si="10"/>
        <v/>
      </c>
    </row>
    <row r="680" spans="1:5" x14ac:dyDescent="0.2">
      <c r="A680" t="str">
        <f>IF(COUNTBLANK(B680:F680)&lt;&gt;COLUMNS(B680:F680),679,"")</f>
        <v/>
      </c>
      <c r="E680" s="1" t="str">
        <f t="shared" si="10"/>
        <v/>
      </c>
    </row>
    <row r="681" spans="1:5" x14ac:dyDescent="0.2">
      <c r="A681" t="str">
        <f>IF(COUNTBLANK(B681:F681)&lt;&gt;COLUMNS(B681:F681),680,"")</f>
        <v/>
      </c>
      <c r="E681" s="1" t="str">
        <f t="shared" si="10"/>
        <v/>
      </c>
    </row>
    <row r="682" spans="1:5" x14ac:dyDescent="0.2">
      <c r="A682" t="str">
        <f>IF(COUNTBLANK(B682:F682)&lt;&gt;COLUMNS(B682:F682),681,"")</f>
        <v/>
      </c>
      <c r="E682" s="1" t="str">
        <f t="shared" si="10"/>
        <v/>
      </c>
    </row>
    <row r="683" spans="1:5" x14ac:dyDescent="0.2">
      <c r="A683" t="str">
        <f>IF(COUNTBLANK(B683:F683)&lt;&gt;COLUMNS(B683:F683),682,"")</f>
        <v/>
      </c>
      <c r="E683" s="1" t="str">
        <f t="shared" si="10"/>
        <v/>
      </c>
    </row>
    <row r="684" spans="1:5" x14ac:dyDescent="0.2">
      <c r="A684" t="str">
        <f>IF(COUNTBLANK(B684:F684)&lt;&gt;COLUMNS(B684:F684),683,"")</f>
        <v/>
      </c>
      <c r="E684" s="1" t="str">
        <f t="shared" si="10"/>
        <v/>
      </c>
    </row>
    <row r="685" spans="1:5" x14ac:dyDescent="0.2">
      <c r="A685" t="str">
        <f>IF(COUNTBLANK(B685:F685)&lt;&gt;COLUMNS(B685:F685),684,"")</f>
        <v/>
      </c>
      <c r="E685" s="1" t="str">
        <f t="shared" si="10"/>
        <v/>
      </c>
    </row>
    <row r="686" spans="1:5" x14ac:dyDescent="0.2">
      <c r="A686" t="str">
        <f>IF(COUNTBLANK(B686:F686)&lt;&gt;COLUMNS(B686:F686),685,"")</f>
        <v/>
      </c>
      <c r="E686" s="1" t="str">
        <f t="shared" si="10"/>
        <v/>
      </c>
    </row>
    <row r="687" spans="1:5" x14ac:dyDescent="0.2">
      <c r="A687" t="str">
        <f>IF(COUNTBLANK(B687:F687)&lt;&gt;COLUMNS(B687:F687),686,"")</f>
        <v/>
      </c>
      <c r="E687" s="1" t="str">
        <f t="shared" si="10"/>
        <v/>
      </c>
    </row>
    <row r="688" spans="1:5" x14ac:dyDescent="0.2">
      <c r="A688" t="str">
        <f>IF(COUNTBLANK(B688:F688)&lt;&gt;COLUMNS(B688:F688),687,"")</f>
        <v/>
      </c>
      <c r="E688" s="1" t="str">
        <f t="shared" si="10"/>
        <v/>
      </c>
    </row>
    <row r="689" spans="1:5" x14ac:dyDescent="0.2">
      <c r="A689" t="str">
        <f>IF(COUNTBLANK(B689:F689)&lt;&gt;COLUMNS(B689:F689),688,"")</f>
        <v/>
      </c>
      <c r="E689" s="1" t="str">
        <f t="shared" si="10"/>
        <v/>
      </c>
    </row>
    <row r="690" spans="1:5" x14ac:dyDescent="0.2">
      <c r="A690" t="str">
        <f>IF(COUNTBLANK(B690:F690)&lt;&gt;COLUMNS(B690:F690),689,"")</f>
        <v/>
      </c>
      <c r="E690" s="1" t="str">
        <f t="shared" si="10"/>
        <v/>
      </c>
    </row>
    <row r="691" spans="1:5" x14ac:dyDescent="0.2">
      <c r="A691" t="str">
        <f>IF(COUNTBLANK(B691:F691)&lt;&gt;COLUMNS(B691:F691),690,"")</f>
        <v/>
      </c>
      <c r="E691" s="1" t="str">
        <f t="shared" si="10"/>
        <v/>
      </c>
    </row>
    <row r="692" spans="1:5" x14ac:dyDescent="0.2">
      <c r="A692" t="str">
        <f>IF(COUNTBLANK(B692:F692)&lt;&gt;COLUMNS(B692:F692),691,"")</f>
        <v/>
      </c>
      <c r="E692" s="1" t="str">
        <f t="shared" si="10"/>
        <v/>
      </c>
    </row>
    <row r="693" spans="1:5" x14ac:dyDescent="0.2">
      <c r="A693" t="str">
        <f>IF(COUNTBLANK(B693:F693)&lt;&gt;COLUMNS(B693:F693),692,"")</f>
        <v/>
      </c>
      <c r="E693" s="1" t="str">
        <f t="shared" si="10"/>
        <v/>
      </c>
    </row>
    <row r="694" spans="1:5" x14ac:dyDescent="0.2">
      <c r="A694" t="str">
        <f>IF(COUNTBLANK(B694:F694)&lt;&gt;COLUMNS(B694:F694),693,"")</f>
        <v/>
      </c>
      <c r="E694" s="1" t="str">
        <f t="shared" si="10"/>
        <v/>
      </c>
    </row>
    <row r="695" spans="1:5" x14ac:dyDescent="0.2">
      <c r="A695" t="str">
        <f>IF(COUNTBLANK(B695:F695)&lt;&gt;COLUMNS(B695:F695),694,"")</f>
        <v/>
      </c>
      <c r="E695" s="1" t="str">
        <f t="shared" si="10"/>
        <v/>
      </c>
    </row>
    <row r="696" spans="1:5" x14ac:dyDescent="0.2">
      <c r="A696" t="str">
        <f>IF(COUNTBLANK(B696:F696)&lt;&gt;COLUMNS(B696:F696),695,"")</f>
        <v/>
      </c>
      <c r="E696" s="1" t="str">
        <f t="shared" si="10"/>
        <v/>
      </c>
    </row>
    <row r="697" spans="1:5" x14ac:dyDescent="0.2">
      <c r="A697" t="str">
        <f>IF(COUNTBLANK(B697:F697)&lt;&gt;COLUMNS(B697:F697),696,"")</f>
        <v/>
      </c>
      <c r="E697" s="1" t="str">
        <f t="shared" si="10"/>
        <v/>
      </c>
    </row>
    <row r="698" spans="1:5" x14ac:dyDescent="0.2">
      <c r="A698" t="str">
        <f>IF(COUNTBLANK(B698:F698)&lt;&gt;COLUMNS(B698:F698),697,"")</f>
        <v/>
      </c>
      <c r="E698" s="1" t="str">
        <f t="shared" si="10"/>
        <v/>
      </c>
    </row>
    <row r="699" spans="1:5" x14ac:dyDescent="0.2">
      <c r="A699" t="str">
        <f>IF(COUNTBLANK(B699:F699)&lt;&gt;COLUMNS(B699:F699),698,"")</f>
        <v/>
      </c>
      <c r="E699" s="1" t="str">
        <f t="shared" si="10"/>
        <v/>
      </c>
    </row>
    <row r="700" spans="1:5" x14ac:dyDescent="0.2">
      <c r="A700" t="str">
        <f>IF(COUNTBLANK(B700:F700)&lt;&gt;COLUMNS(B700:F700),699,"")</f>
        <v/>
      </c>
      <c r="E700" s="1" t="str">
        <f t="shared" si="10"/>
        <v/>
      </c>
    </row>
    <row r="701" spans="1:5" x14ac:dyDescent="0.2">
      <c r="A701" t="str">
        <f>IF(COUNTBLANK(B701:F701)&lt;&gt;COLUMNS(B701:F701),700,"")</f>
        <v/>
      </c>
      <c r="E701" s="1" t="str">
        <f t="shared" si="10"/>
        <v/>
      </c>
    </row>
    <row r="702" spans="1:5" x14ac:dyDescent="0.2">
      <c r="A702" t="str">
        <f>IF(COUNTBLANK(B702:F702)&lt;&gt;COLUMNS(B702:F702),701,"")</f>
        <v/>
      </c>
      <c r="E702" s="1" t="str">
        <f t="shared" si="10"/>
        <v/>
      </c>
    </row>
    <row r="703" spans="1:5" x14ac:dyDescent="0.2">
      <c r="A703" t="str">
        <f>IF(COUNTBLANK(B703:F703)&lt;&gt;COLUMNS(B703:F703),702,"")</f>
        <v/>
      </c>
      <c r="E703" s="1" t="str">
        <f t="shared" si="10"/>
        <v/>
      </c>
    </row>
    <row r="704" spans="1:5" x14ac:dyDescent="0.2">
      <c r="A704" t="str">
        <f>IF(COUNTBLANK(B704:F704)&lt;&gt;COLUMNS(B704:F704),703,"")</f>
        <v/>
      </c>
      <c r="E704" s="1" t="str">
        <f t="shared" si="10"/>
        <v/>
      </c>
    </row>
    <row r="705" spans="1:5" x14ac:dyDescent="0.2">
      <c r="A705" t="str">
        <f>IF(COUNTBLANK(B705:F705)&lt;&gt;COLUMNS(B705:F705),704,"")</f>
        <v/>
      </c>
      <c r="E705" s="1" t="str">
        <f t="shared" si="10"/>
        <v/>
      </c>
    </row>
    <row r="706" spans="1:5" x14ac:dyDescent="0.2">
      <c r="A706" t="str">
        <f>IF(COUNTBLANK(B706:F706)&lt;&gt;COLUMNS(B706:F706),705,"")</f>
        <v/>
      </c>
      <c r="E706" s="1" t="str">
        <f t="shared" ref="E706:E769" si="11">IF(B706="", "", "built environment")</f>
        <v/>
      </c>
    </row>
    <row r="707" spans="1:5" x14ac:dyDescent="0.2">
      <c r="A707" t="str">
        <f>IF(COUNTBLANK(B707:F707)&lt;&gt;COLUMNS(B707:F707),706,"")</f>
        <v/>
      </c>
      <c r="E707" s="1" t="str">
        <f t="shared" si="11"/>
        <v/>
      </c>
    </row>
    <row r="708" spans="1:5" x14ac:dyDescent="0.2">
      <c r="A708" t="str">
        <f>IF(COUNTBLANK(B708:F708)&lt;&gt;COLUMNS(B708:F708),707,"")</f>
        <v/>
      </c>
      <c r="E708" s="1" t="str">
        <f t="shared" si="11"/>
        <v/>
      </c>
    </row>
    <row r="709" spans="1:5" x14ac:dyDescent="0.2">
      <c r="A709" t="str">
        <f>IF(COUNTBLANK(B709:F709)&lt;&gt;COLUMNS(B709:F709),708,"")</f>
        <v/>
      </c>
      <c r="E709" s="1" t="str">
        <f t="shared" si="11"/>
        <v/>
      </c>
    </row>
    <row r="710" spans="1:5" x14ac:dyDescent="0.2">
      <c r="A710" t="str">
        <f>IF(COUNTBLANK(B710:F710)&lt;&gt;COLUMNS(B710:F710),709,"")</f>
        <v/>
      </c>
      <c r="E710" s="1" t="str">
        <f t="shared" si="11"/>
        <v/>
      </c>
    </row>
    <row r="711" spans="1:5" x14ac:dyDescent="0.2">
      <c r="A711" t="str">
        <f>IF(COUNTBLANK(B711:F711)&lt;&gt;COLUMNS(B711:F711),710,"")</f>
        <v/>
      </c>
      <c r="E711" s="1" t="str">
        <f t="shared" si="11"/>
        <v/>
      </c>
    </row>
    <row r="712" spans="1:5" x14ac:dyDescent="0.2">
      <c r="A712" t="str">
        <f>IF(COUNTBLANK(B712:F712)&lt;&gt;COLUMNS(B712:F712),711,"")</f>
        <v/>
      </c>
      <c r="E712" s="1" t="str">
        <f t="shared" si="11"/>
        <v/>
      </c>
    </row>
    <row r="713" spans="1:5" x14ac:dyDescent="0.2">
      <c r="A713" t="str">
        <f>IF(COUNTBLANK(B713:F713)&lt;&gt;COLUMNS(B713:F713),712,"")</f>
        <v/>
      </c>
      <c r="E713" s="1" t="str">
        <f t="shared" si="11"/>
        <v/>
      </c>
    </row>
    <row r="714" spans="1:5" x14ac:dyDescent="0.2">
      <c r="A714" t="str">
        <f>IF(COUNTBLANK(B714:F714)&lt;&gt;COLUMNS(B714:F714),713,"")</f>
        <v/>
      </c>
      <c r="E714" s="1" t="str">
        <f t="shared" si="11"/>
        <v/>
      </c>
    </row>
    <row r="715" spans="1:5" x14ac:dyDescent="0.2">
      <c r="A715" t="str">
        <f>IF(COUNTBLANK(B715:F715)&lt;&gt;COLUMNS(B715:F715),714,"")</f>
        <v/>
      </c>
      <c r="E715" s="1" t="str">
        <f t="shared" si="11"/>
        <v/>
      </c>
    </row>
    <row r="716" spans="1:5" x14ac:dyDescent="0.2">
      <c r="A716" t="str">
        <f>IF(COUNTBLANK(B716:F716)&lt;&gt;COLUMNS(B716:F716),715,"")</f>
        <v/>
      </c>
      <c r="E716" s="1" t="str">
        <f t="shared" si="11"/>
        <v/>
      </c>
    </row>
    <row r="717" spans="1:5" x14ac:dyDescent="0.2">
      <c r="A717" t="str">
        <f>IF(COUNTBLANK(B717:F717)&lt;&gt;COLUMNS(B717:F717),716,"")</f>
        <v/>
      </c>
      <c r="E717" s="1" t="str">
        <f t="shared" si="11"/>
        <v/>
      </c>
    </row>
    <row r="718" spans="1:5" x14ac:dyDescent="0.2">
      <c r="A718" t="str">
        <f>IF(COUNTBLANK(B718:F718)&lt;&gt;COLUMNS(B718:F718),717,"")</f>
        <v/>
      </c>
      <c r="E718" s="1" t="str">
        <f t="shared" si="11"/>
        <v/>
      </c>
    </row>
    <row r="719" spans="1:5" x14ac:dyDescent="0.2">
      <c r="A719" t="str">
        <f>IF(COUNTBLANK(B719:F719)&lt;&gt;COLUMNS(B719:F719),718,"")</f>
        <v/>
      </c>
      <c r="E719" s="1" t="str">
        <f t="shared" si="11"/>
        <v/>
      </c>
    </row>
    <row r="720" spans="1:5" x14ac:dyDescent="0.2">
      <c r="A720" t="str">
        <f>IF(COUNTBLANK(B720:F720)&lt;&gt;COLUMNS(B720:F720),719,"")</f>
        <v/>
      </c>
      <c r="E720" s="1" t="str">
        <f t="shared" si="11"/>
        <v/>
      </c>
    </row>
    <row r="721" spans="1:5" x14ac:dyDescent="0.2">
      <c r="A721" t="str">
        <f>IF(COUNTBLANK(B721:F721)&lt;&gt;COLUMNS(B721:F721),720,"")</f>
        <v/>
      </c>
      <c r="E721" s="1" t="str">
        <f t="shared" si="11"/>
        <v/>
      </c>
    </row>
    <row r="722" spans="1:5" x14ac:dyDescent="0.2">
      <c r="A722" t="str">
        <f>IF(COUNTBLANK(B722:F722)&lt;&gt;COLUMNS(B722:F722),721,"")</f>
        <v/>
      </c>
      <c r="E722" s="1" t="str">
        <f t="shared" si="11"/>
        <v/>
      </c>
    </row>
    <row r="723" spans="1:5" x14ac:dyDescent="0.2">
      <c r="A723" t="str">
        <f>IF(COUNTBLANK(B723:F723)&lt;&gt;COLUMNS(B723:F723),722,"")</f>
        <v/>
      </c>
      <c r="E723" s="1" t="str">
        <f t="shared" si="11"/>
        <v/>
      </c>
    </row>
    <row r="724" spans="1:5" x14ac:dyDescent="0.2">
      <c r="A724" t="str">
        <f>IF(COUNTBLANK(B724:F724)&lt;&gt;COLUMNS(B724:F724),723,"")</f>
        <v/>
      </c>
      <c r="E724" s="1" t="str">
        <f t="shared" si="11"/>
        <v/>
      </c>
    </row>
    <row r="725" spans="1:5" x14ac:dyDescent="0.2">
      <c r="A725" t="str">
        <f>IF(COUNTBLANK(B725:F725)&lt;&gt;COLUMNS(B725:F725),724,"")</f>
        <v/>
      </c>
      <c r="E725" s="1" t="str">
        <f t="shared" si="11"/>
        <v/>
      </c>
    </row>
    <row r="726" spans="1:5" x14ac:dyDescent="0.2">
      <c r="A726" t="str">
        <f>IF(COUNTBLANK(B726:F726)&lt;&gt;COLUMNS(B726:F726),725,"")</f>
        <v/>
      </c>
      <c r="E726" s="1" t="str">
        <f t="shared" si="11"/>
        <v/>
      </c>
    </row>
    <row r="727" spans="1:5" x14ac:dyDescent="0.2">
      <c r="A727" t="str">
        <f>IF(COUNTBLANK(B727:F727)&lt;&gt;COLUMNS(B727:F727),726,"")</f>
        <v/>
      </c>
      <c r="E727" s="1" t="str">
        <f t="shared" si="11"/>
        <v/>
      </c>
    </row>
    <row r="728" spans="1:5" x14ac:dyDescent="0.2">
      <c r="A728" t="str">
        <f>IF(COUNTBLANK(B728:F728)&lt;&gt;COLUMNS(B728:F728),727,"")</f>
        <v/>
      </c>
      <c r="E728" s="1" t="str">
        <f t="shared" si="11"/>
        <v/>
      </c>
    </row>
    <row r="729" spans="1:5" x14ac:dyDescent="0.2">
      <c r="A729" t="str">
        <f>IF(COUNTBLANK(B729:F729)&lt;&gt;COLUMNS(B729:F729),728,"")</f>
        <v/>
      </c>
      <c r="E729" s="1" t="str">
        <f t="shared" si="11"/>
        <v/>
      </c>
    </row>
    <row r="730" spans="1:5" x14ac:dyDescent="0.2">
      <c r="A730" t="str">
        <f>IF(COUNTBLANK(B730:F730)&lt;&gt;COLUMNS(B730:F730),729,"")</f>
        <v/>
      </c>
      <c r="E730" s="1" t="str">
        <f t="shared" si="11"/>
        <v/>
      </c>
    </row>
    <row r="731" spans="1:5" x14ac:dyDescent="0.2">
      <c r="A731" t="str">
        <f>IF(COUNTBLANK(B731:F731)&lt;&gt;COLUMNS(B731:F731),730,"")</f>
        <v/>
      </c>
      <c r="E731" s="1" t="str">
        <f t="shared" si="11"/>
        <v/>
      </c>
    </row>
    <row r="732" spans="1:5" x14ac:dyDescent="0.2">
      <c r="A732" t="str">
        <f>IF(COUNTBLANK(B732:F732)&lt;&gt;COLUMNS(B732:F732),731,"")</f>
        <v/>
      </c>
      <c r="E732" s="1" t="str">
        <f t="shared" si="11"/>
        <v/>
      </c>
    </row>
    <row r="733" spans="1:5" x14ac:dyDescent="0.2">
      <c r="A733" t="str">
        <f>IF(COUNTBLANK(B733:F733)&lt;&gt;COLUMNS(B733:F733),732,"")</f>
        <v/>
      </c>
      <c r="E733" s="1" t="str">
        <f t="shared" si="11"/>
        <v/>
      </c>
    </row>
    <row r="734" spans="1:5" x14ac:dyDescent="0.2">
      <c r="A734" t="str">
        <f>IF(COUNTBLANK(B734:F734)&lt;&gt;COLUMNS(B734:F734),733,"")</f>
        <v/>
      </c>
      <c r="E734" s="1" t="str">
        <f t="shared" si="11"/>
        <v/>
      </c>
    </row>
    <row r="735" spans="1:5" x14ac:dyDescent="0.2">
      <c r="A735" t="str">
        <f>IF(COUNTBLANK(B735:F735)&lt;&gt;COLUMNS(B735:F735),734,"")</f>
        <v/>
      </c>
      <c r="E735" s="1" t="str">
        <f t="shared" si="11"/>
        <v/>
      </c>
    </row>
    <row r="736" spans="1:5" x14ac:dyDescent="0.2">
      <c r="A736" t="str">
        <f>IF(COUNTBLANK(B736:F736)&lt;&gt;COLUMNS(B736:F736),735,"")</f>
        <v/>
      </c>
      <c r="E736" s="1" t="str">
        <f t="shared" si="11"/>
        <v/>
      </c>
    </row>
    <row r="737" spans="1:5" x14ac:dyDescent="0.2">
      <c r="A737" t="str">
        <f>IF(COUNTBLANK(B737:F737)&lt;&gt;COLUMNS(B737:F737),736,"")</f>
        <v/>
      </c>
      <c r="E737" s="1" t="str">
        <f t="shared" si="11"/>
        <v/>
      </c>
    </row>
    <row r="738" spans="1:5" x14ac:dyDescent="0.2">
      <c r="A738" t="str">
        <f>IF(COUNTBLANK(B738:F738)&lt;&gt;COLUMNS(B738:F738),737,"")</f>
        <v/>
      </c>
      <c r="E738" s="1" t="str">
        <f t="shared" si="11"/>
        <v/>
      </c>
    </row>
    <row r="739" spans="1:5" x14ac:dyDescent="0.2">
      <c r="A739" t="str">
        <f>IF(COUNTBLANK(B739:F739)&lt;&gt;COLUMNS(B739:F739),738,"")</f>
        <v/>
      </c>
      <c r="E739" s="1" t="str">
        <f t="shared" si="11"/>
        <v/>
      </c>
    </row>
    <row r="740" spans="1:5" x14ac:dyDescent="0.2">
      <c r="A740" t="str">
        <f>IF(COUNTBLANK(B740:F740)&lt;&gt;COLUMNS(B740:F740),739,"")</f>
        <v/>
      </c>
      <c r="E740" s="1" t="str">
        <f t="shared" si="11"/>
        <v/>
      </c>
    </row>
    <row r="741" spans="1:5" x14ac:dyDescent="0.2">
      <c r="A741" t="str">
        <f>IF(COUNTBLANK(B741:F741)&lt;&gt;COLUMNS(B741:F741),740,"")</f>
        <v/>
      </c>
      <c r="E741" s="1" t="str">
        <f t="shared" si="11"/>
        <v/>
      </c>
    </row>
    <row r="742" spans="1:5" x14ac:dyDescent="0.2">
      <c r="A742" t="str">
        <f>IF(COUNTBLANK(B742:F742)&lt;&gt;COLUMNS(B742:F742),741,"")</f>
        <v/>
      </c>
      <c r="E742" s="1" t="str">
        <f t="shared" si="11"/>
        <v/>
      </c>
    </row>
    <row r="743" spans="1:5" x14ac:dyDescent="0.2">
      <c r="A743" t="str">
        <f>IF(COUNTBLANK(B743:F743)&lt;&gt;COLUMNS(B743:F743),742,"")</f>
        <v/>
      </c>
      <c r="E743" s="1" t="str">
        <f t="shared" si="11"/>
        <v/>
      </c>
    </row>
    <row r="744" spans="1:5" x14ac:dyDescent="0.2">
      <c r="A744" t="str">
        <f>IF(COUNTBLANK(B744:F744)&lt;&gt;COLUMNS(B744:F744),743,"")</f>
        <v/>
      </c>
      <c r="E744" s="1" t="str">
        <f t="shared" si="11"/>
        <v/>
      </c>
    </row>
    <row r="745" spans="1:5" x14ac:dyDescent="0.2">
      <c r="A745" t="str">
        <f>IF(COUNTBLANK(B745:F745)&lt;&gt;COLUMNS(B745:F745),744,"")</f>
        <v/>
      </c>
      <c r="E745" s="1" t="str">
        <f t="shared" si="11"/>
        <v/>
      </c>
    </row>
    <row r="746" spans="1:5" x14ac:dyDescent="0.2">
      <c r="A746" t="str">
        <f>IF(COUNTBLANK(B746:F746)&lt;&gt;COLUMNS(B746:F746),745,"")</f>
        <v/>
      </c>
      <c r="E746" s="1" t="str">
        <f t="shared" si="11"/>
        <v/>
      </c>
    </row>
    <row r="747" spans="1:5" x14ac:dyDescent="0.2">
      <c r="A747" t="str">
        <f>IF(COUNTBLANK(B747:F747)&lt;&gt;COLUMNS(B747:F747),746,"")</f>
        <v/>
      </c>
      <c r="E747" s="1" t="str">
        <f t="shared" si="11"/>
        <v/>
      </c>
    </row>
    <row r="748" spans="1:5" x14ac:dyDescent="0.2">
      <c r="A748" t="str">
        <f>IF(COUNTBLANK(B748:F748)&lt;&gt;COLUMNS(B748:F748),747,"")</f>
        <v/>
      </c>
      <c r="E748" s="1" t="str">
        <f t="shared" si="11"/>
        <v/>
      </c>
    </row>
    <row r="749" spans="1:5" x14ac:dyDescent="0.2">
      <c r="A749" t="str">
        <f>IF(COUNTBLANK(B749:F749)&lt;&gt;COLUMNS(B749:F749),748,"")</f>
        <v/>
      </c>
      <c r="E749" s="1" t="str">
        <f t="shared" si="11"/>
        <v/>
      </c>
    </row>
    <row r="750" spans="1:5" x14ac:dyDescent="0.2">
      <c r="A750" t="str">
        <f>IF(COUNTBLANK(B750:F750)&lt;&gt;COLUMNS(B750:F750),749,"")</f>
        <v/>
      </c>
      <c r="E750" s="1" t="str">
        <f t="shared" si="11"/>
        <v/>
      </c>
    </row>
    <row r="751" spans="1:5" x14ac:dyDescent="0.2">
      <c r="A751" t="str">
        <f>IF(COUNTBLANK(B751:F751)&lt;&gt;COLUMNS(B751:F751),750,"")</f>
        <v/>
      </c>
      <c r="E751" s="1" t="str">
        <f t="shared" si="11"/>
        <v/>
      </c>
    </row>
    <row r="752" spans="1:5" x14ac:dyDescent="0.2">
      <c r="A752" t="str">
        <f>IF(COUNTBLANK(B752:F752)&lt;&gt;COLUMNS(B752:F752),751,"")</f>
        <v/>
      </c>
      <c r="E752" s="1" t="str">
        <f t="shared" si="11"/>
        <v/>
      </c>
    </row>
    <row r="753" spans="1:5" x14ac:dyDescent="0.2">
      <c r="A753" t="str">
        <f>IF(COUNTBLANK(B753:F753)&lt;&gt;COLUMNS(B753:F753),752,"")</f>
        <v/>
      </c>
      <c r="E753" s="1" t="str">
        <f t="shared" si="11"/>
        <v/>
      </c>
    </row>
    <row r="754" spans="1:5" x14ac:dyDescent="0.2">
      <c r="A754" t="str">
        <f>IF(COUNTBLANK(B754:F754)&lt;&gt;COLUMNS(B754:F754),753,"")</f>
        <v/>
      </c>
      <c r="E754" s="1" t="str">
        <f t="shared" si="11"/>
        <v/>
      </c>
    </row>
    <row r="755" spans="1:5" x14ac:dyDescent="0.2">
      <c r="A755" t="str">
        <f>IF(COUNTBLANK(B755:F755)&lt;&gt;COLUMNS(B755:F755),754,"")</f>
        <v/>
      </c>
      <c r="E755" s="1" t="str">
        <f t="shared" si="11"/>
        <v/>
      </c>
    </row>
    <row r="756" spans="1:5" x14ac:dyDescent="0.2">
      <c r="A756" t="str">
        <f>IF(COUNTBLANK(B756:F756)&lt;&gt;COLUMNS(B756:F756),755,"")</f>
        <v/>
      </c>
      <c r="E756" s="1" t="str">
        <f t="shared" si="11"/>
        <v/>
      </c>
    </row>
    <row r="757" spans="1:5" x14ac:dyDescent="0.2">
      <c r="A757" t="str">
        <f>IF(COUNTBLANK(B757:F757)&lt;&gt;COLUMNS(B757:F757),756,"")</f>
        <v/>
      </c>
      <c r="E757" s="1" t="str">
        <f t="shared" si="11"/>
        <v/>
      </c>
    </row>
    <row r="758" spans="1:5" x14ac:dyDescent="0.2">
      <c r="A758" t="str">
        <f>IF(COUNTBLANK(B758:F758)&lt;&gt;COLUMNS(B758:F758),757,"")</f>
        <v/>
      </c>
      <c r="E758" s="1" t="str">
        <f t="shared" si="11"/>
        <v/>
      </c>
    </row>
    <row r="759" spans="1:5" x14ac:dyDescent="0.2">
      <c r="A759" t="str">
        <f>IF(COUNTBLANK(B759:F759)&lt;&gt;COLUMNS(B759:F759),758,"")</f>
        <v/>
      </c>
      <c r="E759" s="1" t="str">
        <f t="shared" si="11"/>
        <v/>
      </c>
    </row>
    <row r="760" spans="1:5" x14ac:dyDescent="0.2">
      <c r="A760" t="str">
        <f>IF(COUNTBLANK(B760:F760)&lt;&gt;COLUMNS(B760:F760),759,"")</f>
        <v/>
      </c>
      <c r="E760" s="1" t="str">
        <f t="shared" si="11"/>
        <v/>
      </c>
    </row>
    <row r="761" spans="1:5" x14ac:dyDescent="0.2">
      <c r="A761" t="str">
        <f>IF(COUNTBLANK(B761:F761)&lt;&gt;COLUMNS(B761:F761),760,"")</f>
        <v/>
      </c>
      <c r="E761" s="1" t="str">
        <f t="shared" si="11"/>
        <v/>
      </c>
    </row>
    <row r="762" spans="1:5" x14ac:dyDescent="0.2">
      <c r="A762" t="str">
        <f>IF(COUNTBLANK(B762:F762)&lt;&gt;COLUMNS(B762:F762),761,"")</f>
        <v/>
      </c>
      <c r="E762" s="1" t="str">
        <f t="shared" si="11"/>
        <v/>
      </c>
    </row>
    <row r="763" spans="1:5" x14ac:dyDescent="0.2">
      <c r="A763" t="str">
        <f>IF(COUNTBLANK(B763:F763)&lt;&gt;COLUMNS(B763:F763),762,"")</f>
        <v/>
      </c>
      <c r="E763" s="1" t="str">
        <f t="shared" si="11"/>
        <v/>
      </c>
    </row>
    <row r="764" spans="1:5" x14ac:dyDescent="0.2">
      <c r="A764" t="str">
        <f>IF(COUNTBLANK(B764:F764)&lt;&gt;COLUMNS(B764:F764),763,"")</f>
        <v/>
      </c>
      <c r="E764" s="1" t="str">
        <f t="shared" si="11"/>
        <v/>
      </c>
    </row>
    <row r="765" spans="1:5" x14ac:dyDescent="0.2">
      <c r="A765" t="str">
        <f>IF(COUNTBLANK(B765:F765)&lt;&gt;COLUMNS(B765:F765),764,"")</f>
        <v/>
      </c>
      <c r="E765" s="1" t="str">
        <f t="shared" si="11"/>
        <v/>
      </c>
    </row>
    <row r="766" spans="1:5" x14ac:dyDescent="0.2">
      <c r="A766" t="str">
        <f>IF(COUNTBLANK(B766:F766)&lt;&gt;COLUMNS(B766:F766),765,"")</f>
        <v/>
      </c>
      <c r="E766" s="1" t="str">
        <f t="shared" si="11"/>
        <v/>
      </c>
    </row>
    <row r="767" spans="1:5" x14ac:dyDescent="0.2">
      <c r="A767" t="str">
        <f>IF(COUNTBLANK(B767:F767)&lt;&gt;COLUMNS(B767:F767),766,"")</f>
        <v/>
      </c>
      <c r="E767" s="1" t="str">
        <f t="shared" si="11"/>
        <v/>
      </c>
    </row>
    <row r="768" spans="1:5" x14ac:dyDescent="0.2">
      <c r="A768" t="str">
        <f>IF(COUNTBLANK(B768:F768)&lt;&gt;COLUMNS(B768:F768),767,"")</f>
        <v/>
      </c>
      <c r="E768" s="1" t="str">
        <f t="shared" si="11"/>
        <v/>
      </c>
    </row>
    <row r="769" spans="1:5" x14ac:dyDescent="0.2">
      <c r="A769" t="str">
        <f>IF(COUNTBLANK(B769:F769)&lt;&gt;COLUMNS(B769:F769),768,"")</f>
        <v/>
      </c>
      <c r="E769" s="1" t="str">
        <f t="shared" si="11"/>
        <v/>
      </c>
    </row>
    <row r="770" spans="1:5" x14ac:dyDescent="0.2">
      <c r="A770" t="str">
        <f>IF(COUNTBLANK(B770:F770)&lt;&gt;COLUMNS(B770:F770),769,"")</f>
        <v/>
      </c>
      <c r="E770" s="1" t="str">
        <f t="shared" ref="E770:E833" si="12">IF(B770="", "", "built environment")</f>
        <v/>
      </c>
    </row>
    <row r="771" spans="1:5" x14ac:dyDescent="0.2">
      <c r="A771" t="str">
        <f>IF(COUNTBLANK(B771:F771)&lt;&gt;COLUMNS(B771:F771),770,"")</f>
        <v/>
      </c>
      <c r="E771" s="1" t="str">
        <f t="shared" si="12"/>
        <v/>
      </c>
    </row>
    <row r="772" spans="1:5" x14ac:dyDescent="0.2">
      <c r="A772" t="str">
        <f>IF(COUNTBLANK(B772:F772)&lt;&gt;COLUMNS(B772:F772),771,"")</f>
        <v/>
      </c>
      <c r="E772" s="1" t="str">
        <f t="shared" si="12"/>
        <v/>
      </c>
    </row>
    <row r="773" spans="1:5" x14ac:dyDescent="0.2">
      <c r="A773" t="str">
        <f>IF(COUNTBLANK(B773:F773)&lt;&gt;COLUMNS(B773:F773),772,"")</f>
        <v/>
      </c>
      <c r="E773" s="1" t="str">
        <f t="shared" si="12"/>
        <v/>
      </c>
    </row>
    <row r="774" spans="1:5" x14ac:dyDescent="0.2">
      <c r="A774" t="str">
        <f>IF(COUNTBLANK(B774:F774)&lt;&gt;COLUMNS(B774:F774),773,"")</f>
        <v/>
      </c>
      <c r="E774" s="1" t="str">
        <f t="shared" si="12"/>
        <v/>
      </c>
    </row>
    <row r="775" spans="1:5" x14ac:dyDescent="0.2">
      <c r="A775" t="str">
        <f>IF(COUNTBLANK(B775:F775)&lt;&gt;COLUMNS(B775:F775),774,"")</f>
        <v/>
      </c>
      <c r="E775" s="1" t="str">
        <f t="shared" si="12"/>
        <v/>
      </c>
    </row>
    <row r="776" spans="1:5" x14ac:dyDescent="0.2">
      <c r="A776" t="str">
        <f>IF(COUNTBLANK(B776:F776)&lt;&gt;COLUMNS(B776:F776),775,"")</f>
        <v/>
      </c>
      <c r="E776" s="1" t="str">
        <f t="shared" si="12"/>
        <v/>
      </c>
    </row>
    <row r="777" spans="1:5" x14ac:dyDescent="0.2">
      <c r="A777" t="str">
        <f>IF(COUNTBLANK(B777:F777)&lt;&gt;COLUMNS(B777:F777),776,"")</f>
        <v/>
      </c>
      <c r="E777" s="1" t="str">
        <f t="shared" si="12"/>
        <v/>
      </c>
    </row>
    <row r="778" spans="1:5" x14ac:dyDescent="0.2">
      <c r="A778" t="str">
        <f>IF(COUNTBLANK(B778:F778)&lt;&gt;COLUMNS(B778:F778),777,"")</f>
        <v/>
      </c>
      <c r="E778" s="1" t="str">
        <f t="shared" si="12"/>
        <v/>
      </c>
    </row>
    <row r="779" spans="1:5" x14ac:dyDescent="0.2">
      <c r="A779" t="str">
        <f>IF(COUNTBLANK(B779:F779)&lt;&gt;COLUMNS(B779:F779),778,"")</f>
        <v/>
      </c>
      <c r="E779" s="1" t="str">
        <f t="shared" si="12"/>
        <v/>
      </c>
    </row>
    <row r="780" spans="1:5" x14ac:dyDescent="0.2">
      <c r="A780" t="str">
        <f>IF(COUNTBLANK(B780:F780)&lt;&gt;COLUMNS(B780:F780),779,"")</f>
        <v/>
      </c>
      <c r="E780" s="1" t="str">
        <f t="shared" si="12"/>
        <v/>
      </c>
    </row>
    <row r="781" spans="1:5" x14ac:dyDescent="0.2">
      <c r="A781" t="str">
        <f>IF(COUNTBLANK(B781:F781)&lt;&gt;COLUMNS(B781:F781),780,"")</f>
        <v/>
      </c>
      <c r="E781" s="1" t="str">
        <f t="shared" si="12"/>
        <v/>
      </c>
    </row>
    <row r="782" spans="1:5" x14ac:dyDescent="0.2">
      <c r="A782" t="str">
        <f>IF(COUNTBLANK(B782:F782)&lt;&gt;COLUMNS(B782:F782),781,"")</f>
        <v/>
      </c>
      <c r="E782" s="1" t="str">
        <f t="shared" si="12"/>
        <v/>
      </c>
    </row>
    <row r="783" spans="1:5" x14ac:dyDescent="0.2">
      <c r="A783" t="str">
        <f>IF(COUNTBLANK(B783:F783)&lt;&gt;COLUMNS(B783:F783),782,"")</f>
        <v/>
      </c>
      <c r="E783" s="1" t="str">
        <f t="shared" si="12"/>
        <v/>
      </c>
    </row>
    <row r="784" spans="1:5" x14ac:dyDescent="0.2">
      <c r="A784" t="str">
        <f>IF(COUNTBLANK(B784:F784)&lt;&gt;COLUMNS(B784:F784),783,"")</f>
        <v/>
      </c>
      <c r="E784" s="1" t="str">
        <f t="shared" si="12"/>
        <v/>
      </c>
    </row>
    <row r="785" spans="1:5" x14ac:dyDescent="0.2">
      <c r="A785" t="str">
        <f>IF(COUNTBLANK(B785:F785)&lt;&gt;COLUMNS(B785:F785),784,"")</f>
        <v/>
      </c>
      <c r="E785" s="1" t="str">
        <f t="shared" si="12"/>
        <v/>
      </c>
    </row>
    <row r="786" spans="1:5" x14ac:dyDescent="0.2">
      <c r="A786" t="str">
        <f>IF(COUNTBLANK(B786:F786)&lt;&gt;COLUMNS(B786:F786),785,"")</f>
        <v/>
      </c>
      <c r="E786" s="1" t="str">
        <f t="shared" si="12"/>
        <v/>
      </c>
    </row>
    <row r="787" spans="1:5" x14ac:dyDescent="0.2">
      <c r="A787" t="str">
        <f>IF(COUNTBLANK(B787:F787)&lt;&gt;COLUMNS(B787:F787),786,"")</f>
        <v/>
      </c>
      <c r="E787" s="1" t="str">
        <f t="shared" si="12"/>
        <v/>
      </c>
    </row>
    <row r="788" spans="1:5" x14ac:dyDescent="0.2">
      <c r="A788" t="str">
        <f>IF(COUNTBLANK(B788:F788)&lt;&gt;COLUMNS(B788:F788),787,"")</f>
        <v/>
      </c>
      <c r="E788" s="1" t="str">
        <f t="shared" si="12"/>
        <v/>
      </c>
    </row>
    <row r="789" spans="1:5" x14ac:dyDescent="0.2">
      <c r="A789" t="str">
        <f>IF(COUNTBLANK(B789:F789)&lt;&gt;COLUMNS(B789:F789),788,"")</f>
        <v/>
      </c>
      <c r="E789" s="1" t="str">
        <f t="shared" si="12"/>
        <v/>
      </c>
    </row>
    <row r="790" spans="1:5" x14ac:dyDescent="0.2">
      <c r="A790" t="str">
        <f>IF(COUNTBLANK(B790:F790)&lt;&gt;COLUMNS(B790:F790),789,"")</f>
        <v/>
      </c>
      <c r="E790" s="1" t="str">
        <f t="shared" si="12"/>
        <v/>
      </c>
    </row>
    <row r="791" spans="1:5" x14ac:dyDescent="0.2">
      <c r="A791" t="str">
        <f>IF(COUNTBLANK(B791:F791)&lt;&gt;COLUMNS(B791:F791),790,"")</f>
        <v/>
      </c>
      <c r="E791" s="1" t="str">
        <f t="shared" si="12"/>
        <v/>
      </c>
    </row>
    <row r="792" spans="1:5" x14ac:dyDescent="0.2">
      <c r="A792" t="str">
        <f>IF(COUNTBLANK(B792:F792)&lt;&gt;COLUMNS(B792:F792),791,"")</f>
        <v/>
      </c>
      <c r="E792" s="1" t="str">
        <f t="shared" si="12"/>
        <v/>
      </c>
    </row>
    <row r="793" spans="1:5" x14ac:dyDescent="0.2">
      <c r="A793" t="str">
        <f>IF(COUNTBLANK(B793:F793)&lt;&gt;COLUMNS(B793:F793),792,"")</f>
        <v/>
      </c>
      <c r="E793" s="1" t="str">
        <f t="shared" si="12"/>
        <v/>
      </c>
    </row>
    <row r="794" spans="1:5" x14ac:dyDescent="0.2">
      <c r="A794" t="str">
        <f>IF(COUNTBLANK(B794:F794)&lt;&gt;COLUMNS(B794:F794),793,"")</f>
        <v/>
      </c>
      <c r="E794" s="1" t="str">
        <f t="shared" si="12"/>
        <v/>
      </c>
    </row>
    <row r="795" spans="1:5" x14ac:dyDescent="0.2">
      <c r="A795" t="str">
        <f>IF(COUNTBLANK(B795:F795)&lt;&gt;COLUMNS(B795:F795),794,"")</f>
        <v/>
      </c>
      <c r="E795" s="1" t="str">
        <f t="shared" si="12"/>
        <v/>
      </c>
    </row>
    <row r="796" spans="1:5" x14ac:dyDescent="0.2">
      <c r="A796" t="str">
        <f>IF(COUNTBLANK(B796:F796)&lt;&gt;COLUMNS(B796:F796),795,"")</f>
        <v/>
      </c>
      <c r="E796" s="1" t="str">
        <f t="shared" si="12"/>
        <v/>
      </c>
    </row>
    <row r="797" spans="1:5" x14ac:dyDescent="0.2">
      <c r="A797" t="str">
        <f>IF(COUNTBLANK(B797:F797)&lt;&gt;COLUMNS(B797:F797),796,"")</f>
        <v/>
      </c>
      <c r="E797" s="1" t="str">
        <f t="shared" si="12"/>
        <v/>
      </c>
    </row>
    <row r="798" spans="1:5" x14ac:dyDescent="0.2">
      <c r="A798" t="str">
        <f>IF(COUNTBLANK(B798:F798)&lt;&gt;COLUMNS(B798:F798),797,"")</f>
        <v/>
      </c>
      <c r="E798" s="1" t="str">
        <f t="shared" si="12"/>
        <v/>
      </c>
    </row>
    <row r="799" spans="1:5" x14ac:dyDescent="0.2">
      <c r="A799" t="str">
        <f>IF(COUNTBLANK(B799:F799)&lt;&gt;COLUMNS(B799:F799),798,"")</f>
        <v/>
      </c>
      <c r="E799" s="1" t="str">
        <f t="shared" si="12"/>
        <v/>
      </c>
    </row>
    <row r="800" spans="1:5" x14ac:dyDescent="0.2">
      <c r="A800" t="str">
        <f>IF(COUNTBLANK(B800:F800)&lt;&gt;COLUMNS(B800:F800),799,"")</f>
        <v/>
      </c>
      <c r="E800" s="1" t="str">
        <f t="shared" si="12"/>
        <v/>
      </c>
    </row>
    <row r="801" spans="1:5" x14ac:dyDescent="0.2">
      <c r="A801" t="str">
        <f>IF(COUNTBLANK(B801:F801)&lt;&gt;COLUMNS(B801:F801),800,"")</f>
        <v/>
      </c>
      <c r="E801" s="1" t="str">
        <f t="shared" si="12"/>
        <v/>
      </c>
    </row>
    <row r="802" spans="1:5" x14ac:dyDescent="0.2">
      <c r="A802" t="str">
        <f>IF(COUNTBLANK(B802:F802)&lt;&gt;COLUMNS(B802:F802),801,"")</f>
        <v/>
      </c>
      <c r="E802" s="1" t="str">
        <f t="shared" si="12"/>
        <v/>
      </c>
    </row>
    <row r="803" spans="1:5" x14ac:dyDescent="0.2">
      <c r="A803" t="str">
        <f>IF(COUNTBLANK(B803:F803)&lt;&gt;COLUMNS(B803:F803),802,"")</f>
        <v/>
      </c>
      <c r="E803" s="1" t="str">
        <f t="shared" si="12"/>
        <v/>
      </c>
    </row>
    <row r="804" spans="1:5" x14ac:dyDescent="0.2">
      <c r="A804" t="str">
        <f>IF(COUNTBLANK(B804:F804)&lt;&gt;COLUMNS(B804:F804),803,"")</f>
        <v/>
      </c>
      <c r="E804" s="1" t="str">
        <f t="shared" si="12"/>
        <v/>
      </c>
    </row>
    <row r="805" spans="1:5" x14ac:dyDescent="0.2">
      <c r="A805" t="str">
        <f>IF(COUNTBLANK(B805:F805)&lt;&gt;COLUMNS(B805:F805),804,"")</f>
        <v/>
      </c>
      <c r="E805" s="1" t="str">
        <f t="shared" si="12"/>
        <v/>
      </c>
    </row>
    <row r="806" spans="1:5" x14ac:dyDescent="0.2">
      <c r="A806" t="str">
        <f>IF(COUNTBLANK(B806:F806)&lt;&gt;COLUMNS(B806:F806),805,"")</f>
        <v/>
      </c>
      <c r="E806" s="1" t="str">
        <f t="shared" si="12"/>
        <v/>
      </c>
    </row>
    <row r="807" spans="1:5" x14ac:dyDescent="0.2">
      <c r="A807" t="str">
        <f>IF(COUNTBLANK(B807:F807)&lt;&gt;COLUMNS(B807:F807),806,"")</f>
        <v/>
      </c>
      <c r="E807" s="1" t="str">
        <f t="shared" si="12"/>
        <v/>
      </c>
    </row>
    <row r="808" spans="1:5" x14ac:dyDescent="0.2">
      <c r="A808" t="str">
        <f>IF(COUNTBLANK(B808:F808)&lt;&gt;COLUMNS(B808:F808),807,"")</f>
        <v/>
      </c>
      <c r="E808" s="1" t="str">
        <f t="shared" si="12"/>
        <v/>
      </c>
    </row>
    <row r="809" spans="1:5" x14ac:dyDescent="0.2">
      <c r="A809" t="str">
        <f>IF(COUNTBLANK(B809:F809)&lt;&gt;COLUMNS(B809:F809),808,"")</f>
        <v/>
      </c>
      <c r="E809" s="1" t="str">
        <f t="shared" si="12"/>
        <v/>
      </c>
    </row>
    <row r="810" spans="1:5" x14ac:dyDescent="0.2">
      <c r="A810" t="str">
        <f>IF(COUNTBLANK(B810:F810)&lt;&gt;COLUMNS(B810:F810),809,"")</f>
        <v/>
      </c>
      <c r="E810" s="1" t="str">
        <f t="shared" si="12"/>
        <v/>
      </c>
    </row>
    <row r="811" spans="1:5" x14ac:dyDescent="0.2">
      <c r="A811" t="str">
        <f>IF(COUNTBLANK(B811:F811)&lt;&gt;COLUMNS(B811:F811),810,"")</f>
        <v/>
      </c>
      <c r="E811" s="1" t="str">
        <f t="shared" si="12"/>
        <v/>
      </c>
    </row>
    <row r="812" spans="1:5" x14ac:dyDescent="0.2">
      <c r="A812" t="str">
        <f>IF(COUNTBLANK(B812:F812)&lt;&gt;COLUMNS(B812:F812),811,"")</f>
        <v/>
      </c>
      <c r="E812" s="1" t="str">
        <f t="shared" si="12"/>
        <v/>
      </c>
    </row>
    <row r="813" spans="1:5" x14ac:dyDescent="0.2">
      <c r="A813" t="str">
        <f>IF(COUNTBLANK(B813:F813)&lt;&gt;COLUMNS(B813:F813),812,"")</f>
        <v/>
      </c>
      <c r="E813" s="1" t="str">
        <f t="shared" si="12"/>
        <v/>
      </c>
    </row>
    <row r="814" spans="1:5" x14ac:dyDescent="0.2">
      <c r="A814" t="str">
        <f>IF(COUNTBLANK(B814:F814)&lt;&gt;COLUMNS(B814:F814),813,"")</f>
        <v/>
      </c>
      <c r="E814" s="1" t="str">
        <f t="shared" si="12"/>
        <v/>
      </c>
    </row>
    <row r="815" spans="1:5" x14ac:dyDescent="0.2">
      <c r="A815" t="str">
        <f>IF(COUNTBLANK(B815:F815)&lt;&gt;COLUMNS(B815:F815),814,"")</f>
        <v/>
      </c>
      <c r="E815" s="1" t="str">
        <f t="shared" si="12"/>
        <v/>
      </c>
    </row>
    <row r="816" spans="1:5" x14ac:dyDescent="0.2">
      <c r="A816" t="str">
        <f>IF(COUNTBLANK(B816:F816)&lt;&gt;COLUMNS(B816:F816),815,"")</f>
        <v/>
      </c>
      <c r="E816" s="1" t="str">
        <f t="shared" si="12"/>
        <v/>
      </c>
    </row>
    <row r="817" spans="1:5" x14ac:dyDescent="0.2">
      <c r="A817" t="str">
        <f>IF(COUNTBLANK(B817:F817)&lt;&gt;COLUMNS(B817:F817),816,"")</f>
        <v/>
      </c>
      <c r="E817" s="1" t="str">
        <f t="shared" si="12"/>
        <v/>
      </c>
    </row>
    <row r="818" spans="1:5" x14ac:dyDescent="0.2">
      <c r="A818" t="str">
        <f>IF(COUNTBLANK(B818:F818)&lt;&gt;COLUMNS(B818:F818),817,"")</f>
        <v/>
      </c>
      <c r="E818" s="1" t="str">
        <f t="shared" si="12"/>
        <v/>
      </c>
    </row>
    <row r="819" spans="1:5" x14ac:dyDescent="0.2">
      <c r="A819" t="str">
        <f>IF(COUNTBLANK(B819:F819)&lt;&gt;COLUMNS(B819:F819),818,"")</f>
        <v/>
      </c>
      <c r="E819" s="1" t="str">
        <f t="shared" si="12"/>
        <v/>
      </c>
    </row>
    <row r="820" spans="1:5" x14ac:dyDescent="0.2">
      <c r="A820" t="str">
        <f>IF(COUNTBLANK(B820:F820)&lt;&gt;COLUMNS(B820:F820),819,"")</f>
        <v/>
      </c>
      <c r="E820" s="1" t="str">
        <f t="shared" si="12"/>
        <v/>
      </c>
    </row>
    <row r="821" spans="1:5" x14ac:dyDescent="0.2">
      <c r="A821" t="str">
        <f>IF(COUNTBLANK(B821:F821)&lt;&gt;COLUMNS(B821:F821),820,"")</f>
        <v/>
      </c>
      <c r="E821" s="1" t="str">
        <f t="shared" si="12"/>
        <v/>
      </c>
    </row>
    <row r="822" spans="1:5" x14ac:dyDescent="0.2">
      <c r="A822" t="str">
        <f>IF(COUNTBLANK(B822:F822)&lt;&gt;COLUMNS(B822:F822),821,"")</f>
        <v/>
      </c>
      <c r="E822" s="1" t="str">
        <f t="shared" si="12"/>
        <v/>
      </c>
    </row>
    <row r="823" spans="1:5" x14ac:dyDescent="0.2">
      <c r="A823" t="str">
        <f>IF(COUNTBLANK(B823:F823)&lt;&gt;COLUMNS(B823:F823),822,"")</f>
        <v/>
      </c>
      <c r="E823" s="1" t="str">
        <f t="shared" si="12"/>
        <v/>
      </c>
    </row>
    <row r="824" spans="1:5" x14ac:dyDescent="0.2">
      <c r="A824" t="str">
        <f>IF(COUNTBLANK(B824:F824)&lt;&gt;COLUMNS(B824:F824),823,"")</f>
        <v/>
      </c>
      <c r="E824" s="1" t="str">
        <f t="shared" si="12"/>
        <v/>
      </c>
    </row>
    <row r="825" spans="1:5" x14ac:dyDescent="0.2">
      <c r="A825" t="str">
        <f>IF(COUNTBLANK(B825:F825)&lt;&gt;COLUMNS(B825:F825),824,"")</f>
        <v/>
      </c>
      <c r="E825" s="1" t="str">
        <f t="shared" si="12"/>
        <v/>
      </c>
    </row>
    <row r="826" spans="1:5" x14ac:dyDescent="0.2">
      <c r="A826" t="str">
        <f>IF(COUNTBLANK(B826:F826)&lt;&gt;COLUMNS(B826:F826),825,"")</f>
        <v/>
      </c>
      <c r="E826" s="1" t="str">
        <f t="shared" si="12"/>
        <v/>
      </c>
    </row>
    <row r="827" spans="1:5" x14ac:dyDescent="0.2">
      <c r="A827" t="str">
        <f>IF(COUNTBLANK(B827:F827)&lt;&gt;COLUMNS(B827:F827),826,"")</f>
        <v/>
      </c>
      <c r="E827" s="1" t="str">
        <f t="shared" si="12"/>
        <v/>
      </c>
    </row>
    <row r="828" spans="1:5" x14ac:dyDescent="0.2">
      <c r="A828" t="str">
        <f>IF(COUNTBLANK(B828:F828)&lt;&gt;COLUMNS(B828:F828),827,"")</f>
        <v/>
      </c>
      <c r="E828" s="1" t="str">
        <f t="shared" si="12"/>
        <v/>
      </c>
    </row>
    <row r="829" spans="1:5" x14ac:dyDescent="0.2">
      <c r="A829" t="str">
        <f>IF(COUNTBLANK(B829:F829)&lt;&gt;COLUMNS(B829:F829),828,"")</f>
        <v/>
      </c>
      <c r="E829" s="1" t="str">
        <f t="shared" si="12"/>
        <v/>
      </c>
    </row>
    <row r="830" spans="1:5" x14ac:dyDescent="0.2">
      <c r="A830" t="str">
        <f>IF(COUNTBLANK(B830:F830)&lt;&gt;COLUMNS(B830:F830),829,"")</f>
        <v/>
      </c>
      <c r="E830" s="1" t="str">
        <f t="shared" si="12"/>
        <v/>
      </c>
    </row>
    <row r="831" spans="1:5" x14ac:dyDescent="0.2">
      <c r="A831" t="str">
        <f>IF(COUNTBLANK(B831:F831)&lt;&gt;COLUMNS(B831:F831),830,"")</f>
        <v/>
      </c>
      <c r="E831" s="1" t="str">
        <f t="shared" si="12"/>
        <v/>
      </c>
    </row>
    <row r="832" spans="1:5" x14ac:dyDescent="0.2">
      <c r="A832" t="str">
        <f>IF(COUNTBLANK(B832:F832)&lt;&gt;COLUMNS(B832:F832),831,"")</f>
        <v/>
      </c>
      <c r="E832" s="1" t="str">
        <f t="shared" si="12"/>
        <v/>
      </c>
    </row>
    <row r="833" spans="1:5" x14ac:dyDescent="0.2">
      <c r="A833" t="str">
        <f>IF(COUNTBLANK(B833:F833)&lt;&gt;COLUMNS(B833:F833),832,"")</f>
        <v/>
      </c>
      <c r="E833" s="1" t="str">
        <f t="shared" si="12"/>
        <v/>
      </c>
    </row>
    <row r="834" spans="1:5" x14ac:dyDescent="0.2">
      <c r="A834" t="str">
        <f>IF(COUNTBLANK(B834:F834)&lt;&gt;COLUMNS(B834:F834),833,"")</f>
        <v/>
      </c>
      <c r="E834" s="1" t="str">
        <f t="shared" ref="E834:E897" si="13">IF(B834="", "", "built environment")</f>
        <v/>
      </c>
    </row>
    <row r="835" spans="1:5" x14ac:dyDescent="0.2">
      <c r="A835" t="str">
        <f>IF(COUNTBLANK(B835:F835)&lt;&gt;COLUMNS(B835:F835),834,"")</f>
        <v/>
      </c>
      <c r="E835" s="1" t="str">
        <f t="shared" si="13"/>
        <v/>
      </c>
    </row>
    <row r="836" spans="1:5" x14ac:dyDescent="0.2">
      <c r="A836" t="str">
        <f>IF(COUNTBLANK(B836:F836)&lt;&gt;COLUMNS(B836:F836),835,"")</f>
        <v/>
      </c>
      <c r="E836" s="1" t="str">
        <f t="shared" si="13"/>
        <v/>
      </c>
    </row>
    <row r="837" spans="1:5" x14ac:dyDescent="0.2">
      <c r="A837" t="str">
        <f>IF(COUNTBLANK(B837:F837)&lt;&gt;COLUMNS(B837:F837),836,"")</f>
        <v/>
      </c>
      <c r="E837" s="1" t="str">
        <f t="shared" si="13"/>
        <v/>
      </c>
    </row>
    <row r="838" spans="1:5" x14ac:dyDescent="0.2">
      <c r="A838" t="str">
        <f>IF(COUNTBLANK(B838:F838)&lt;&gt;COLUMNS(B838:F838),837,"")</f>
        <v/>
      </c>
      <c r="E838" s="1" t="str">
        <f t="shared" si="13"/>
        <v/>
      </c>
    </row>
    <row r="839" spans="1:5" x14ac:dyDescent="0.2">
      <c r="A839" t="str">
        <f>IF(COUNTBLANK(B839:F839)&lt;&gt;COLUMNS(B839:F839),838,"")</f>
        <v/>
      </c>
      <c r="E839" s="1" t="str">
        <f t="shared" si="13"/>
        <v/>
      </c>
    </row>
    <row r="840" spans="1:5" x14ac:dyDescent="0.2">
      <c r="A840" t="str">
        <f>IF(COUNTBLANK(B840:F840)&lt;&gt;COLUMNS(B840:F840),839,"")</f>
        <v/>
      </c>
      <c r="E840" s="1" t="str">
        <f t="shared" si="13"/>
        <v/>
      </c>
    </row>
    <row r="841" spans="1:5" x14ac:dyDescent="0.2">
      <c r="A841" t="str">
        <f>IF(COUNTBLANK(B841:F841)&lt;&gt;COLUMNS(B841:F841),840,"")</f>
        <v/>
      </c>
      <c r="E841" s="1" t="str">
        <f t="shared" si="13"/>
        <v/>
      </c>
    </row>
    <row r="842" spans="1:5" x14ac:dyDescent="0.2">
      <c r="A842" t="str">
        <f>IF(COUNTBLANK(B842:F842)&lt;&gt;COLUMNS(B842:F842),841,"")</f>
        <v/>
      </c>
      <c r="E842" s="1" t="str">
        <f t="shared" si="13"/>
        <v/>
      </c>
    </row>
    <row r="843" spans="1:5" x14ac:dyDescent="0.2">
      <c r="A843" t="str">
        <f>IF(COUNTBLANK(B843:F843)&lt;&gt;COLUMNS(B843:F843),842,"")</f>
        <v/>
      </c>
      <c r="E843" s="1" t="str">
        <f t="shared" si="13"/>
        <v/>
      </c>
    </row>
    <row r="844" spans="1:5" x14ac:dyDescent="0.2">
      <c r="A844" t="str">
        <f>IF(COUNTBLANK(B844:F844)&lt;&gt;COLUMNS(B844:F844),843,"")</f>
        <v/>
      </c>
      <c r="E844" s="1" t="str">
        <f t="shared" si="13"/>
        <v/>
      </c>
    </row>
    <row r="845" spans="1:5" x14ac:dyDescent="0.2">
      <c r="A845" t="str">
        <f>IF(COUNTBLANK(B845:F845)&lt;&gt;COLUMNS(B845:F845),844,"")</f>
        <v/>
      </c>
      <c r="E845" s="1" t="str">
        <f t="shared" si="13"/>
        <v/>
      </c>
    </row>
    <row r="846" spans="1:5" x14ac:dyDescent="0.2">
      <c r="A846" t="str">
        <f>IF(COUNTBLANK(B846:F846)&lt;&gt;COLUMNS(B846:F846),845,"")</f>
        <v/>
      </c>
      <c r="E846" s="1" t="str">
        <f t="shared" si="13"/>
        <v/>
      </c>
    </row>
    <row r="847" spans="1:5" x14ac:dyDescent="0.2">
      <c r="A847" t="str">
        <f>IF(COUNTBLANK(B847:F847)&lt;&gt;COLUMNS(B847:F847),846,"")</f>
        <v/>
      </c>
      <c r="E847" s="1" t="str">
        <f t="shared" si="13"/>
        <v/>
      </c>
    </row>
    <row r="848" spans="1:5" x14ac:dyDescent="0.2">
      <c r="A848" t="str">
        <f>IF(COUNTBLANK(B848:F848)&lt;&gt;COLUMNS(B848:F848),847,"")</f>
        <v/>
      </c>
      <c r="E848" s="1" t="str">
        <f t="shared" si="13"/>
        <v/>
      </c>
    </row>
    <row r="849" spans="1:5" x14ac:dyDescent="0.2">
      <c r="A849" t="str">
        <f>IF(COUNTBLANK(B849:F849)&lt;&gt;COLUMNS(B849:F849),848,"")</f>
        <v/>
      </c>
      <c r="E849" s="1" t="str">
        <f t="shared" si="13"/>
        <v/>
      </c>
    </row>
    <row r="850" spans="1:5" x14ac:dyDescent="0.2">
      <c r="A850" t="str">
        <f>IF(COUNTBLANK(B850:F850)&lt;&gt;COLUMNS(B850:F850),849,"")</f>
        <v/>
      </c>
      <c r="E850" s="1" t="str">
        <f t="shared" si="13"/>
        <v/>
      </c>
    </row>
    <row r="851" spans="1:5" x14ac:dyDescent="0.2">
      <c r="A851" t="str">
        <f>IF(COUNTBLANK(B851:F851)&lt;&gt;COLUMNS(B851:F851),850,"")</f>
        <v/>
      </c>
      <c r="E851" s="1" t="str">
        <f t="shared" si="13"/>
        <v/>
      </c>
    </row>
    <row r="852" spans="1:5" x14ac:dyDescent="0.2">
      <c r="A852" t="str">
        <f>IF(COUNTBLANK(B852:F852)&lt;&gt;COLUMNS(B852:F852),851,"")</f>
        <v/>
      </c>
      <c r="E852" s="1" t="str">
        <f t="shared" si="13"/>
        <v/>
      </c>
    </row>
    <row r="853" spans="1:5" x14ac:dyDescent="0.2">
      <c r="A853" t="str">
        <f>IF(COUNTBLANK(B853:F853)&lt;&gt;COLUMNS(B853:F853),852,"")</f>
        <v/>
      </c>
      <c r="E853" s="1" t="str">
        <f t="shared" si="13"/>
        <v/>
      </c>
    </row>
    <row r="854" spans="1:5" x14ac:dyDescent="0.2">
      <c r="A854" t="str">
        <f>IF(COUNTBLANK(B854:F854)&lt;&gt;COLUMNS(B854:F854),853,"")</f>
        <v/>
      </c>
      <c r="E854" s="1" t="str">
        <f t="shared" si="13"/>
        <v/>
      </c>
    </row>
    <row r="855" spans="1:5" x14ac:dyDescent="0.2">
      <c r="A855" t="str">
        <f>IF(COUNTBLANK(B855:F855)&lt;&gt;COLUMNS(B855:F855),854,"")</f>
        <v/>
      </c>
      <c r="E855" s="1" t="str">
        <f t="shared" si="13"/>
        <v/>
      </c>
    </row>
    <row r="856" spans="1:5" x14ac:dyDescent="0.2">
      <c r="A856" t="str">
        <f>IF(COUNTBLANK(B856:F856)&lt;&gt;COLUMNS(B856:F856),855,"")</f>
        <v/>
      </c>
      <c r="E856" s="1" t="str">
        <f t="shared" si="13"/>
        <v/>
      </c>
    </row>
    <row r="857" spans="1:5" x14ac:dyDescent="0.2">
      <c r="A857" t="str">
        <f>IF(COUNTBLANK(B857:F857)&lt;&gt;COLUMNS(B857:F857),856,"")</f>
        <v/>
      </c>
      <c r="E857" s="1" t="str">
        <f t="shared" si="13"/>
        <v/>
      </c>
    </row>
    <row r="858" spans="1:5" x14ac:dyDescent="0.2">
      <c r="A858" t="str">
        <f>IF(COUNTBLANK(B858:F858)&lt;&gt;COLUMNS(B858:F858),857,"")</f>
        <v/>
      </c>
      <c r="E858" s="1" t="str">
        <f t="shared" si="13"/>
        <v/>
      </c>
    </row>
    <row r="859" spans="1:5" x14ac:dyDescent="0.2">
      <c r="A859" t="str">
        <f>IF(COUNTBLANK(B859:F859)&lt;&gt;COLUMNS(B859:F859),858,"")</f>
        <v/>
      </c>
      <c r="E859" s="1" t="str">
        <f t="shared" si="13"/>
        <v/>
      </c>
    </row>
    <row r="860" spans="1:5" x14ac:dyDescent="0.2">
      <c r="A860" t="str">
        <f>IF(COUNTBLANK(B860:F860)&lt;&gt;COLUMNS(B860:F860),859,"")</f>
        <v/>
      </c>
      <c r="E860" s="1" t="str">
        <f t="shared" si="13"/>
        <v/>
      </c>
    </row>
    <row r="861" spans="1:5" x14ac:dyDescent="0.2">
      <c r="A861" t="str">
        <f>IF(COUNTBLANK(B861:F861)&lt;&gt;COLUMNS(B861:F861),860,"")</f>
        <v/>
      </c>
      <c r="E861" s="1" t="str">
        <f t="shared" si="13"/>
        <v/>
      </c>
    </row>
    <row r="862" spans="1:5" x14ac:dyDescent="0.2">
      <c r="A862" t="str">
        <f>IF(COUNTBLANK(B862:F862)&lt;&gt;COLUMNS(B862:F862),861,"")</f>
        <v/>
      </c>
      <c r="E862" s="1" t="str">
        <f t="shared" si="13"/>
        <v/>
      </c>
    </row>
    <row r="863" spans="1:5" x14ac:dyDescent="0.2">
      <c r="A863" t="str">
        <f>IF(COUNTBLANK(B863:F863)&lt;&gt;COLUMNS(B863:F863),862,"")</f>
        <v/>
      </c>
      <c r="E863" s="1" t="str">
        <f t="shared" si="13"/>
        <v/>
      </c>
    </row>
    <row r="864" spans="1:5" x14ac:dyDescent="0.2">
      <c r="A864" t="str">
        <f>IF(COUNTBLANK(B864:F864)&lt;&gt;COLUMNS(B864:F864),863,"")</f>
        <v/>
      </c>
      <c r="E864" s="1" t="str">
        <f t="shared" si="13"/>
        <v/>
      </c>
    </row>
    <row r="865" spans="1:5" x14ac:dyDescent="0.2">
      <c r="A865" t="str">
        <f>IF(COUNTBLANK(B865:F865)&lt;&gt;COLUMNS(B865:F865),864,"")</f>
        <v/>
      </c>
      <c r="E865" s="1" t="str">
        <f t="shared" si="13"/>
        <v/>
      </c>
    </row>
    <row r="866" spans="1:5" x14ac:dyDescent="0.2">
      <c r="A866" t="str">
        <f>IF(COUNTBLANK(B866:F866)&lt;&gt;COLUMNS(B866:F866),865,"")</f>
        <v/>
      </c>
      <c r="E866" s="1" t="str">
        <f t="shared" si="13"/>
        <v/>
      </c>
    </row>
    <row r="867" spans="1:5" x14ac:dyDescent="0.2">
      <c r="A867" t="str">
        <f>IF(COUNTBLANK(B867:F867)&lt;&gt;COLUMNS(B867:F867),866,"")</f>
        <v/>
      </c>
      <c r="E867" s="1" t="str">
        <f t="shared" si="13"/>
        <v/>
      </c>
    </row>
    <row r="868" spans="1:5" x14ac:dyDescent="0.2">
      <c r="A868" t="str">
        <f>IF(COUNTBLANK(B868:F868)&lt;&gt;COLUMNS(B868:F868),867,"")</f>
        <v/>
      </c>
      <c r="E868" s="1" t="str">
        <f t="shared" si="13"/>
        <v/>
      </c>
    </row>
    <row r="869" spans="1:5" x14ac:dyDescent="0.2">
      <c r="A869" t="str">
        <f>IF(COUNTBLANK(B869:F869)&lt;&gt;COLUMNS(B869:F869),868,"")</f>
        <v/>
      </c>
      <c r="E869" s="1" t="str">
        <f t="shared" si="13"/>
        <v/>
      </c>
    </row>
    <row r="870" spans="1:5" x14ac:dyDescent="0.2">
      <c r="A870" t="str">
        <f>IF(COUNTBLANK(B870:F870)&lt;&gt;COLUMNS(B870:F870),869,"")</f>
        <v/>
      </c>
      <c r="E870" s="1" t="str">
        <f t="shared" si="13"/>
        <v/>
      </c>
    </row>
    <row r="871" spans="1:5" x14ac:dyDescent="0.2">
      <c r="A871" t="str">
        <f>IF(COUNTBLANK(B871:F871)&lt;&gt;COLUMNS(B871:F871),870,"")</f>
        <v/>
      </c>
      <c r="E871" s="1" t="str">
        <f t="shared" si="13"/>
        <v/>
      </c>
    </row>
    <row r="872" spans="1:5" x14ac:dyDescent="0.2">
      <c r="A872" t="str">
        <f>IF(COUNTBLANK(B872:F872)&lt;&gt;COLUMNS(B872:F872),871,"")</f>
        <v/>
      </c>
      <c r="E872" s="1" t="str">
        <f t="shared" si="13"/>
        <v/>
      </c>
    </row>
    <row r="873" spans="1:5" x14ac:dyDescent="0.2">
      <c r="A873" t="str">
        <f>IF(COUNTBLANK(B873:F873)&lt;&gt;COLUMNS(B873:F873),872,"")</f>
        <v/>
      </c>
      <c r="E873" s="1" t="str">
        <f t="shared" si="13"/>
        <v/>
      </c>
    </row>
    <row r="874" spans="1:5" x14ac:dyDescent="0.2">
      <c r="A874" t="str">
        <f>IF(COUNTBLANK(B874:F874)&lt;&gt;COLUMNS(B874:F874),873,"")</f>
        <v/>
      </c>
      <c r="E874" s="1" t="str">
        <f t="shared" si="13"/>
        <v/>
      </c>
    </row>
    <row r="875" spans="1:5" x14ac:dyDescent="0.2">
      <c r="A875" t="str">
        <f>IF(COUNTBLANK(B875:F875)&lt;&gt;COLUMNS(B875:F875),874,"")</f>
        <v/>
      </c>
      <c r="E875" s="1" t="str">
        <f t="shared" si="13"/>
        <v/>
      </c>
    </row>
    <row r="876" spans="1:5" x14ac:dyDescent="0.2">
      <c r="A876" t="str">
        <f>IF(COUNTBLANK(B876:F876)&lt;&gt;COLUMNS(B876:F876),875,"")</f>
        <v/>
      </c>
      <c r="E876" s="1" t="str">
        <f t="shared" si="13"/>
        <v/>
      </c>
    </row>
    <row r="877" spans="1:5" x14ac:dyDescent="0.2">
      <c r="A877" t="str">
        <f>IF(COUNTBLANK(B877:F877)&lt;&gt;COLUMNS(B877:F877),876,"")</f>
        <v/>
      </c>
      <c r="E877" s="1" t="str">
        <f t="shared" si="13"/>
        <v/>
      </c>
    </row>
    <row r="878" spans="1:5" x14ac:dyDescent="0.2">
      <c r="A878" t="str">
        <f>IF(COUNTBLANK(B878:F878)&lt;&gt;COLUMNS(B878:F878),877,"")</f>
        <v/>
      </c>
      <c r="E878" s="1" t="str">
        <f t="shared" si="13"/>
        <v/>
      </c>
    </row>
    <row r="879" spans="1:5" x14ac:dyDescent="0.2">
      <c r="A879" t="str">
        <f>IF(COUNTBLANK(B879:F879)&lt;&gt;COLUMNS(B879:F879),878,"")</f>
        <v/>
      </c>
      <c r="E879" s="1" t="str">
        <f t="shared" si="13"/>
        <v/>
      </c>
    </row>
    <row r="880" spans="1:5" x14ac:dyDescent="0.2">
      <c r="A880" t="str">
        <f>IF(COUNTBLANK(B880:F880)&lt;&gt;COLUMNS(B880:F880),879,"")</f>
        <v/>
      </c>
      <c r="E880" s="1" t="str">
        <f t="shared" si="13"/>
        <v/>
      </c>
    </row>
    <row r="881" spans="1:5" x14ac:dyDescent="0.2">
      <c r="A881" t="str">
        <f>IF(COUNTBLANK(B881:F881)&lt;&gt;COLUMNS(B881:F881),880,"")</f>
        <v/>
      </c>
      <c r="E881" s="1" t="str">
        <f t="shared" si="13"/>
        <v/>
      </c>
    </row>
    <row r="882" spans="1:5" x14ac:dyDescent="0.2">
      <c r="A882" t="str">
        <f>IF(COUNTBLANK(B882:F882)&lt;&gt;COLUMNS(B882:F882),881,"")</f>
        <v/>
      </c>
      <c r="E882" s="1" t="str">
        <f t="shared" si="13"/>
        <v/>
      </c>
    </row>
    <row r="883" spans="1:5" x14ac:dyDescent="0.2">
      <c r="A883" t="str">
        <f>IF(COUNTBLANK(B883:F883)&lt;&gt;COLUMNS(B883:F883),882,"")</f>
        <v/>
      </c>
      <c r="E883" s="1" t="str">
        <f t="shared" si="13"/>
        <v/>
      </c>
    </row>
    <row r="884" spans="1:5" x14ac:dyDescent="0.2">
      <c r="A884" t="str">
        <f>IF(COUNTBLANK(B884:F884)&lt;&gt;COLUMNS(B884:F884),883,"")</f>
        <v/>
      </c>
      <c r="E884" s="1" t="str">
        <f t="shared" si="13"/>
        <v/>
      </c>
    </row>
    <row r="885" spans="1:5" x14ac:dyDescent="0.2">
      <c r="A885" t="str">
        <f>IF(COUNTBLANK(B885:F885)&lt;&gt;COLUMNS(B885:F885),884,"")</f>
        <v/>
      </c>
      <c r="E885" s="1" t="str">
        <f t="shared" si="13"/>
        <v/>
      </c>
    </row>
    <row r="886" spans="1:5" x14ac:dyDescent="0.2">
      <c r="A886" t="str">
        <f>IF(COUNTBLANK(B886:F886)&lt;&gt;COLUMNS(B886:F886),885,"")</f>
        <v/>
      </c>
      <c r="E886" s="1" t="str">
        <f t="shared" si="13"/>
        <v/>
      </c>
    </row>
    <row r="887" spans="1:5" x14ac:dyDescent="0.2">
      <c r="A887" t="str">
        <f>IF(COUNTBLANK(B887:F887)&lt;&gt;COLUMNS(B887:F887),886,"")</f>
        <v/>
      </c>
      <c r="E887" s="1" t="str">
        <f t="shared" si="13"/>
        <v/>
      </c>
    </row>
    <row r="888" spans="1:5" x14ac:dyDescent="0.2">
      <c r="A888" t="str">
        <f>IF(COUNTBLANK(B888:F888)&lt;&gt;COLUMNS(B888:F888),887,"")</f>
        <v/>
      </c>
      <c r="E888" s="1" t="str">
        <f t="shared" si="13"/>
        <v/>
      </c>
    </row>
    <row r="889" spans="1:5" x14ac:dyDescent="0.2">
      <c r="A889" t="str">
        <f>IF(COUNTBLANK(B889:F889)&lt;&gt;COLUMNS(B889:F889),888,"")</f>
        <v/>
      </c>
      <c r="E889" s="1" t="str">
        <f t="shared" si="13"/>
        <v/>
      </c>
    </row>
    <row r="890" spans="1:5" x14ac:dyDescent="0.2">
      <c r="A890" t="str">
        <f>IF(COUNTBLANK(B890:F890)&lt;&gt;COLUMNS(B890:F890),889,"")</f>
        <v/>
      </c>
      <c r="E890" s="1" t="str">
        <f t="shared" si="13"/>
        <v/>
      </c>
    </row>
    <row r="891" spans="1:5" x14ac:dyDescent="0.2">
      <c r="A891" t="str">
        <f>IF(COUNTBLANK(B891:F891)&lt;&gt;COLUMNS(B891:F891),890,"")</f>
        <v/>
      </c>
      <c r="E891" s="1" t="str">
        <f t="shared" si="13"/>
        <v/>
      </c>
    </row>
    <row r="892" spans="1:5" x14ac:dyDescent="0.2">
      <c r="A892" t="str">
        <f>IF(COUNTBLANK(B892:F892)&lt;&gt;COLUMNS(B892:F892),891,"")</f>
        <v/>
      </c>
      <c r="E892" s="1" t="str">
        <f t="shared" si="13"/>
        <v/>
      </c>
    </row>
    <row r="893" spans="1:5" x14ac:dyDescent="0.2">
      <c r="A893" t="str">
        <f>IF(COUNTBLANK(B893:F893)&lt;&gt;COLUMNS(B893:F893),892,"")</f>
        <v/>
      </c>
      <c r="E893" s="1" t="str">
        <f t="shared" si="13"/>
        <v/>
      </c>
    </row>
    <row r="894" spans="1:5" x14ac:dyDescent="0.2">
      <c r="A894" t="str">
        <f>IF(COUNTBLANK(B894:F894)&lt;&gt;COLUMNS(B894:F894),893,"")</f>
        <v/>
      </c>
      <c r="E894" s="1" t="str">
        <f t="shared" si="13"/>
        <v/>
      </c>
    </row>
    <row r="895" spans="1:5" x14ac:dyDescent="0.2">
      <c r="A895" t="str">
        <f>IF(COUNTBLANK(B895:F895)&lt;&gt;COLUMNS(B895:F895),894,"")</f>
        <v/>
      </c>
      <c r="E895" s="1" t="str">
        <f t="shared" si="13"/>
        <v/>
      </c>
    </row>
    <row r="896" spans="1:5" x14ac:dyDescent="0.2">
      <c r="A896" t="str">
        <f>IF(COUNTBLANK(B896:F896)&lt;&gt;COLUMNS(B896:F896),895,"")</f>
        <v/>
      </c>
      <c r="E896" s="1" t="str">
        <f t="shared" si="13"/>
        <v/>
      </c>
    </row>
    <row r="897" spans="1:5" x14ac:dyDescent="0.2">
      <c r="A897" t="str">
        <f>IF(COUNTBLANK(B897:F897)&lt;&gt;COLUMNS(B897:F897),896,"")</f>
        <v/>
      </c>
      <c r="E897" s="1" t="str">
        <f t="shared" si="13"/>
        <v/>
      </c>
    </row>
    <row r="898" spans="1:5" x14ac:dyDescent="0.2">
      <c r="A898" t="str">
        <f>IF(COUNTBLANK(B898:F898)&lt;&gt;COLUMNS(B898:F898),897,"")</f>
        <v/>
      </c>
      <c r="E898" s="1" t="str">
        <f t="shared" ref="E898:E961" si="14">IF(B898="", "", "built environment")</f>
        <v/>
      </c>
    </row>
    <row r="899" spans="1:5" x14ac:dyDescent="0.2">
      <c r="A899" t="str">
        <f>IF(COUNTBLANK(B899:F899)&lt;&gt;COLUMNS(B899:F899),898,"")</f>
        <v/>
      </c>
      <c r="E899" s="1" t="str">
        <f t="shared" si="14"/>
        <v/>
      </c>
    </row>
    <row r="900" spans="1:5" x14ac:dyDescent="0.2">
      <c r="A900" t="str">
        <f>IF(COUNTBLANK(B900:F900)&lt;&gt;COLUMNS(B900:F900),899,"")</f>
        <v/>
      </c>
      <c r="E900" s="1" t="str">
        <f t="shared" si="14"/>
        <v/>
      </c>
    </row>
    <row r="901" spans="1:5" x14ac:dyDescent="0.2">
      <c r="A901" t="str">
        <f>IF(COUNTBLANK(B901:F901)&lt;&gt;COLUMNS(B901:F901),900,"")</f>
        <v/>
      </c>
      <c r="E901" s="1" t="str">
        <f t="shared" si="14"/>
        <v/>
      </c>
    </row>
    <row r="902" spans="1:5" x14ac:dyDescent="0.2">
      <c r="A902" t="str">
        <f>IF(COUNTBLANK(B902:F902)&lt;&gt;COLUMNS(B902:F902),901,"")</f>
        <v/>
      </c>
      <c r="E902" s="1" t="str">
        <f t="shared" si="14"/>
        <v/>
      </c>
    </row>
    <row r="903" spans="1:5" x14ac:dyDescent="0.2">
      <c r="A903" t="str">
        <f>IF(COUNTBLANK(B903:F903)&lt;&gt;COLUMNS(B903:F903),902,"")</f>
        <v/>
      </c>
      <c r="E903" s="1" t="str">
        <f t="shared" si="14"/>
        <v/>
      </c>
    </row>
    <row r="904" spans="1:5" x14ac:dyDescent="0.2">
      <c r="A904" t="str">
        <f>IF(COUNTBLANK(B904:F904)&lt;&gt;COLUMNS(B904:F904),903,"")</f>
        <v/>
      </c>
      <c r="E904" s="1" t="str">
        <f t="shared" si="14"/>
        <v/>
      </c>
    </row>
    <row r="905" spans="1:5" x14ac:dyDescent="0.2">
      <c r="A905" t="str">
        <f>IF(COUNTBLANK(B905:F905)&lt;&gt;COLUMNS(B905:F905),904,"")</f>
        <v/>
      </c>
      <c r="E905" s="1" t="str">
        <f t="shared" si="14"/>
        <v/>
      </c>
    </row>
    <row r="906" spans="1:5" x14ac:dyDescent="0.2">
      <c r="A906" t="str">
        <f>IF(COUNTBLANK(B906:F906)&lt;&gt;COLUMNS(B906:F906),905,"")</f>
        <v/>
      </c>
      <c r="E906" s="1" t="str">
        <f t="shared" si="14"/>
        <v/>
      </c>
    </row>
    <row r="907" spans="1:5" x14ac:dyDescent="0.2">
      <c r="A907" t="str">
        <f>IF(COUNTBLANK(B907:F907)&lt;&gt;COLUMNS(B907:F907),906,"")</f>
        <v/>
      </c>
      <c r="E907" s="1" t="str">
        <f t="shared" si="14"/>
        <v/>
      </c>
    </row>
    <row r="908" spans="1:5" x14ac:dyDescent="0.2">
      <c r="A908" t="str">
        <f>IF(COUNTBLANK(B908:F908)&lt;&gt;COLUMNS(B908:F908),907,"")</f>
        <v/>
      </c>
      <c r="E908" s="1" t="str">
        <f t="shared" si="14"/>
        <v/>
      </c>
    </row>
    <row r="909" spans="1:5" x14ac:dyDescent="0.2">
      <c r="A909" t="str">
        <f>IF(COUNTBLANK(B909:F909)&lt;&gt;COLUMNS(B909:F909),908,"")</f>
        <v/>
      </c>
      <c r="E909" s="1" t="str">
        <f t="shared" si="14"/>
        <v/>
      </c>
    </row>
    <row r="910" spans="1:5" x14ac:dyDescent="0.2">
      <c r="A910" t="str">
        <f>IF(COUNTBLANK(B910:F910)&lt;&gt;COLUMNS(B910:F910),909,"")</f>
        <v/>
      </c>
      <c r="E910" s="1" t="str">
        <f t="shared" si="14"/>
        <v/>
      </c>
    </row>
    <row r="911" spans="1:5" x14ac:dyDescent="0.2">
      <c r="A911" t="str">
        <f>IF(COUNTBLANK(B911:F911)&lt;&gt;COLUMNS(B911:F911),910,"")</f>
        <v/>
      </c>
      <c r="E911" s="1" t="str">
        <f t="shared" si="14"/>
        <v/>
      </c>
    </row>
    <row r="912" spans="1:5" x14ac:dyDescent="0.2">
      <c r="A912" t="str">
        <f>IF(COUNTBLANK(B912:F912)&lt;&gt;COLUMNS(B912:F912),911,"")</f>
        <v/>
      </c>
      <c r="E912" s="1" t="str">
        <f t="shared" si="14"/>
        <v/>
      </c>
    </row>
    <row r="913" spans="1:5" x14ac:dyDescent="0.2">
      <c r="A913" t="str">
        <f>IF(COUNTBLANK(B913:F913)&lt;&gt;COLUMNS(B913:F913),912,"")</f>
        <v/>
      </c>
      <c r="E913" s="1" t="str">
        <f t="shared" si="14"/>
        <v/>
      </c>
    </row>
    <row r="914" spans="1:5" x14ac:dyDescent="0.2">
      <c r="A914" t="str">
        <f>IF(COUNTBLANK(B914:F914)&lt;&gt;COLUMNS(B914:F914),913,"")</f>
        <v/>
      </c>
      <c r="E914" s="1" t="str">
        <f t="shared" si="14"/>
        <v/>
      </c>
    </row>
    <row r="915" spans="1:5" x14ac:dyDescent="0.2">
      <c r="A915" t="str">
        <f>IF(COUNTBLANK(B915:F915)&lt;&gt;COLUMNS(B915:F915),914,"")</f>
        <v/>
      </c>
      <c r="E915" s="1" t="str">
        <f t="shared" si="14"/>
        <v/>
      </c>
    </row>
    <row r="916" spans="1:5" x14ac:dyDescent="0.2">
      <c r="A916" t="str">
        <f>IF(COUNTBLANK(B916:F916)&lt;&gt;COLUMNS(B916:F916),915,"")</f>
        <v/>
      </c>
      <c r="E916" s="1" t="str">
        <f t="shared" si="14"/>
        <v/>
      </c>
    </row>
    <row r="917" spans="1:5" x14ac:dyDescent="0.2">
      <c r="A917" t="str">
        <f>IF(COUNTBLANK(B917:F917)&lt;&gt;COLUMNS(B917:F917),916,"")</f>
        <v/>
      </c>
      <c r="E917" s="1" t="str">
        <f t="shared" si="14"/>
        <v/>
      </c>
    </row>
    <row r="918" spans="1:5" x14ac:dyDescent="0.2">
      <c r="A918" t="str">
        <f>IF(COUNTBLANK(B918:F918)&lt;&gt;COLUMNS(B918:F918),917,"")</f>
        <v/>
      </c>
      <c r="E918" s="1" t="str">
        <f t="shared" si="14"/>
        <v/>
      </c>
    </row>
    <row r="919" spans="1:5" x14ac:dyDescent="0.2">
      <c r="A919" t="str">
        <f>IF(COUNTBLANK(B919:F919)&lt;&gt;COLUMNS(B919:F919),918,"")</f>
        <v/>
      </c>
      <c r="E919" s="1" t="str">
        <f t="shared" si="14"/>
        <v/>
      </c>
    </row>
    <row r="920" spans="1:5" x14ac:dyDescent="0.2">
      <c r="A920" t="str">
        <f>IF(COUNTBLANK(B920:F920)&lt;&gt;COLUMNS(B920:F920),919,"")</f>
        <v/>
      </c>
      <c r="E920" s="1" t="str">
        <f t="shared" si="14"/>
        <v/>
      </c>
    </row>
    <row r="921" spans="1:5" x14ac:dyDescent="0.2">
      <c r="A921" t="str">
        <f>IF(COUNTBLANK(B921:F921)&lt;&gt;COLUMNS(B921:F921),920,"")</f>
        <v/>
      </c>
      <c r="E921" s="1" t="str">
        <f t="shared" si="14"/>
        <v/>
      </c>
    </row>
    <row r="922" spans="1:5" x14ac:dyDescent="0.2">
      <c r="A922" t="str">
        <f>IF(COUNTBLANK(B922:F922)&lt;&gt;COLUMNS(B922:F922),921,"")</f>
        <v/>
      </c>
      <c r="E922" s="1" t="str">
        <f t="shared" si="14"/>
        <v/>
      </c>
    </row>
    <row r="923" spans="1:5" x14ac:dyDescent="0.2">
      <c r="A923" t="str">
        <f>IF(COUNTBLANK(B923:F923)&lt;&gt;COLUMNS(B923:F923),922,"")</f>
        <v/>
      </c>
      <c r="E923" s="1" t="str">
        <f t="shared" si="14"/>
        <v/>
      </c>
    </row>
    <row r="924" spans="1:5" x14ac:dyDescent="0.2">
      <c r="A924" t="str">
        <f>IF(COUNTBLANK(B924:F924)&lt;&gt;COLUMNS(B924:F924),923,"")</f>
        <v/>
      </c>
      <c r="E924" s="1" t="str">
        <f t="shared" si="14"/>
        <v/>
      </c>
    </row>
    <row r="925" spans="1:5" x14ac:dyDescent="0.2">
      <c r="A925" t="str">
        <f>IF(COUNTBLANK(B925:F925)&lt;&gt;COLUMNS(B925:F925),924,"")</f>
        <v/>
      </c>
      <c r="E925" s="1" t="str">
        <f t="shared" si="14"/>
        <v/>
      </c>
    </row>
    <row r="926" spans="1:5" x14ac:dyDescent="0.2">
      <c r="A926" t="str">
        <f>IF(COUNTBLANK(B926:F926)&lt;&gt;COLUMNS(B926:F926),925,"")</f>
        <v/>
      </c>
      <c r="E926" s="1" t="str">
        <f t="shared" si="14"/>
        <v/>
      </c>
    </row>
    <row r="927" spans="1:5" x14ac:dyDescent="0.2">
      <c r="A927" t="str">
        <f>IF(COUNTBLANK(B927:F927)&lt;&gt;COLUMNS(B927:F927),926,"")</f>
        <v/>
      </c>
      <c r="E927" s="1" t="str">
        <f t="shared" si="14"/>
        <v/>
      </c>
    </row>
    <row r="928" spans="1:5" x14ac:dyDescent="0.2">
      <c r="A928" t="str">
        <f>IF(COUNTBLANK(B928:F928)&lt;&gt;COLUMNS(B928:F928),927,"")</f>
        <v/>
      </c>
      <c r="E928" s="1" t="str">
        <f t="shared" si="14"/>
        <v/>
      </c>
    </row>
    <row r="929" spans="1:5" x14ac:dyDescent="0.2">
      <c r="A929" t="str">
        <f>IF(COUNTBLANK(B929:F929)&lt;&gt;COLUMNS(B929:F929),928,"")</f>
        <v/>
      </c>
      <c r="E929" s="1" t="str">
        <f t="shared" si="14"/>
        <v/>
      </c>
    </row>
    <row r="930" spans="1:5" x14ac:dyDescent="0.2">
      <c r="A930" t="str">
        <f>IF(COUNTBLANK(B930:F930)&lt;&gt;COLUMNS(B930:F930),929,"")</f>
        <v/>
      </c>
      <c r="E930" s="1" t="str">
        <f t="shared" si="14"/>
        <v/>
      </c>
    </row>
    <row r="931" spans="1:5" x14ac:dyDescent="0.2">
      <c r="A931" t="str">
        <f>IF(COUNTBLANK(B931:F931)&lt;&gt;COLUMNS(B931:F931),930,"")</f>
        <v/>
      </c>
      <c r="E931" s="1" t="str">
        <f t="shared" si="14"/>
        <v/>
      </c>
    </row>
    <row r="932" spans="1:5" x14ac:dyDescent="0.2">
      <c r="A932" t="str">
        <f>IF(COUNTBLANK(B932:F932)&lt;&gt;COLUMNS(B932:F932),931,"")</f>
        <v/>
      </c>
      <c r="E932" s="1" t="str">
        <f t="shared" si="14"/>
        <v/>
      </c>
    </row>
    <row r="933" spans="1:5" x14ac:dyDescent="0.2">
      <c r="A933" t="str">
        <f>IF(COUNTBLANK(B933:F933)&lt;&gt;COLUMNS(B933:F933),932,"")</f>
        <v/>
      </c>
      <c r="E933" s="1" t="str">
        <f t="shared" si="14"/>
        <v/>
      </c>
    </row>
    <row r="934" spans="1:5" x14ac:dyDescent="0.2">
      <c r="A934" t="str">
        <f>IF(COUNTBLANK(B934:F934)&lt;&gt;COLUMNS(B934:F934),933,"")</f>
        <v/>
      </c>
      <c r="E934" s="1" t="str">
        <f t="shared" si="14"/>
        <v/>
      </c>
    </row>
    <row r="935" spans="1:5" x14ac:dyDescent="0.2">
      <c r="A935" t="str">
        <f>IF(COUNTBLANK(B935:F935)&lt;&gt;COLUMNS(B935:F935),934,"")</f>
        <v/>
      </c>
      <c r="E935" s="1" t="str">
        <f t="shared" si="14"/>
        <v/>
      </c>
    </row>
    <row r="936" spans="1:5" x14ac:dyDescent="0.2">
      <c r="A936" t="str">
        <f>IF(COUNTBLANK(B936:F936)&lt;&gt;COLUMNS(B936:F936),935,"")</f>
        <v/>
      </c>
      <c r="E936" s="1" t="str">
        <f t="shared" si="14"/>
        <v/>
      </c>
    </row>
    <row r="937" spans="1:5" x14ac:dyDescent="0.2">
      <c r="A937" t="str">
        <f>IF(COUNTBLANK(B937:F937)&lt;&gt;COLUMNS(B937:F937),936,"")</f>
        <v/>
      </c>
      <c r="E937" s="1" t="str">
        <f t="shared" si="14"/>
        <v/>
      </c>
    </row>
    <row r="938" spans="1:5" x14ac:dyDescent="0.2">
      <c r="A938" t="str">
        <f>IF(COUNTBLANK(B938:F938)&lt;&gt;COLUMNS(B938:F938),937,"")</f>
        <v/>
      </c>
      <c r="E938" s="1" t="str">
        <f t="shared" si="14"/>
        <v/>
      </c>
    </row>
    <row r="939" spans="1:5" x14ac:dyDescent="0.2">
      <c r="A939" t="str">
        <f>IF(COUNTBLANK(B939:F939)&lt;&gt;COLUMNS(B939:F939),938,"")</f>
        <v/>
      </c>
      <c r="E939" s="1" t="str">
        <f t="shared" si="14"/>
        <v/>
      </c>
    </row>
    <row r="940" spans="1:5" x14ac:dyDescent="0.2">
      <c r="A940" t="str">
        <f>IF(COUNTBLANK(B940:F940)&lt;&gt;COLUMNS(B940:F940),939,"")</f>
        <v/>
      </c>
      <c r="E940" s="1" t="str">
        <f t="shared" si="14"/>
        <v/>
      </c>
    </row>
    <row r="941" spans="1:5" x14ac:dyDescent="0.2">
      <c r="A941" t="str">
        <f>IF(COUNTBLANK(B941:F941)&lt;&gt;COLUMNS(B941:F941),940,"")</f>
        <v/>
      </c>
      <c r="E941" s="1" t="str">
        <f t="shared" si="14"/>
        <v/>
      </c>
    </row>
    <row r="942" spans="1:5" x14ac:dyDescent="0.2">
      <c r="A942" t="str">
        <f>IF(COUNTBLANK(B942:F942)&lt;&gt;COLUMNS(B942:F942),941,"")</f>
        <v/>
      </c>
      <c r="E942" s="1" t="str">
        <f t="shared" si="14"/>
        <v/>
      </c>
    </row>
    <row r="943" spans="1:5" x14ac:dyDescent="0.2">
      <c r="A943" t="str">
        <f>IF(COUNTBLANK(B943:F943)&lt;&gt;COLUMNS(B943:F943),942,"")</f>
        <v/>
      </c>
      <c r="E943" s="1" t="str">
        <f t="shared" si="14"/>
        <v/>
      </c>
    </row>
    <row r="944" spans="1:5" x14ac:dyDescent="0.2">
      <c r="A944" t="str">
        <f>IF(COUNTBLANK(B944:F944)&lt;&gt;COLUMNS(B944:F944),943,"")</f>
        <v/>
      </c>
      <c r="E944" s="1" t="str">
        <f t="shared" si="14"/>
        <v/>
      </c>
    </row>
    <row r="945" spans="1:5" x14ac:dyDescent="0.2">
      <c r="A945" t="str">
        <f>IF(COUNTBLANK(B945:F945)&lt;&gt;COLUMNS(B945:F945),944,"")</f>
        <v/>
      </c>
      <c r="E945" s="1" t="str">
        <f t="shared" si="14"/>
        <v/>
      </c>
    </row>
    <row r="946" spans="1:5" x14ac:dyDescent="0.2">
      <c r="A946" t="str">
        <f>IF(COUNTBLANK(B946:F946)&lt;&gt;COLUMNS(B946:F946),945,"")</f>
        <v/>
      </c>
      <c r="E946" s="1" t="str">
        <f t="shared" si="14"/>
        <v/>
      </c>
    </row>
    <row r="947" spans="1:5" x14ac:dyDescent="0.2">
      <c r="A947" t="str">
        <f>IF(COUNTBLANK(B947:F947)&lt;&gt;COLUMNS(B947:F947),946,"")</f>
        <v/>
      </c>
      <c r="E947" s="1" t="str">
        <f t="shared" si="14"/>
        <v/>
      </c>
    </row>
    <row r="948" spans="1:5" x14ac:dyDescent="0.2">
      <c r="A948" t="str">
        <f>IF(COUNTBLANK(B948:F948)&lt;&gt;COLUMNS(B948:F948),947,"")</f>
        <v/>
      </c>
      <c r="E948" s="1" t="str">
        <f t="shared" si="14"/>
        <v/>
      </c>
    </row>
    <row r="949" spans="1:5" x14ac:dyDescent="0.2">
      <c r="A949" t="str">
        <f>IF(COUNTBLANK(B949:F949)&lt;&gt;COLUMNS(B949:F949),948,"")</f>
        <v/>
      </c>
      <c r="E949" s="1" t="str">
        <f t="shared" si="14"/>
        <v/>
      </c>
    </row>
    <row r="950" spans="1:5" x14ac:dyDescent="0.2">
      <c r="A950" t="str">
        <f>IF(COUNTBLANK(B950:F950)&lt;&gt;COLUMNS(B950:F950),949,"")</f>
        <v/>
      </c>
      <c r="E950" s="1" t="str">
        <f t="shared" si="14"/>
        <v/>
      </c>
    </row>
    <row r="951" spans="1:5" x14ac:dyDescent="0.2">
      <c r="A951" t="str">
        <f>IF(COUNTBLANK(B951:F951)&lt;&gt;COLUMNS(B951:F951),950,"")</f>
        <v/>
      </c>
      <c r="E951" s="1" t="str">
        <f t="shared" si="14"/>
        <v/>
      </c>
    </row>
    <row r="952" spans="1:5" x14ac:dyDescent="0.2">
      <c r="A952" t="str">
        <f>IF(COUNTBLANK(B952:F952)&lt;&gt;COLUMNS(B952:F952),951,"")</f>
        <v/>
      </c>
      <c r="E952" s="1" t="str">
        <f t="shared" si="14"/>
        <v/>
      </c>
    </row>
    <row r="953" spans="1:5" x14ac:dyDescent="0.2">
      <c r="A953" t="str">
        <f>IF(COUNTBLANK(B953:F953)&lt;&gt;COLUMNS(B953:F953),952,"")</f>
        <v/>
      </c>
      <c r="E953" s="1" t="str">
        <f t="shared" si="14"/>
        <v/>
      </c>
    </row>
    <row r="954" spans="1:5" x14ac:dyDescent="0.2">
      <c r="A954" t="str">
        <f>IF(COUNTBLANK(B954:F954)&lt;&gt;COLUMNS(B954:F954),953,"")</f>
        <v/>
      </c>
      <c r="E954" s="1" t="str">
        <f t="shared" si="14"/>
        <v/>
      </c>
    </row>
    <row r="955" spans="1:5" x14ac:dyDescent="0.2">
      <c r="A955" t="str">
        <f>IF(COUNTBLANK(B955:F955)&lt;&gt;COLUMNS(B955:F955),954,"")</f>
        <v/>
      </c>
      <c r="E955" s="1" t="str">
        <f t="shared" si="14"/>
        <v/>
      </c>
    </row>
    <row r="956" spans="1:5" x14ac:dyDescent="0.2">
      <c r="A956" t="str">
        <f>IF(COUNTBLANK(B956:F956)&lt;&gt;COLUMNS(B956:F956),955,"")</f>
        <v/>
      </c>
      <c r="E956" s="1" t="str">
        <f t="shared" si="14"/>
        <v/>
      </c>
    </row>
    <row r="957" spans="1:5" x14ac:dyDescent="0.2">
      <c r="A957" t="str">
        <f>IF(COUNTBLANK(B957:F957)&lt;&gt;COLUMNS(B957:F957),956,"")</f>
        <v/>
      </c>
      <c r="E957" s="1" t="str">
        <f t="shared" si="14"/>
        <v/>
      </c>
    </row>
    <row r="958" spans="1:5" x14ac:dyDescent="0.2">
      <c r="A958" t="str">
        <f>IF(COUNTBLANK(B958:F958)&lt;&gt;COLUMNS(B958:F958),957,"")</f>
        <v/>
      </c>
      <c r="E958" s="1" t="str">
        <f t="shared" si="14"/>
        <v/>
      </c>
    </row>
    <row r="959" spans="1:5" x14ac:dyDescent="0.2">
      <c r="A959" t="str">
        <f>IF(COUNTBLANK(B959:F959)&lt;&gt;COLUMNS(B959:F959),958,"")</f>
        <v/>
      </c>
      <c r="E959" s="1" t="str">
        <f t="shared" si="14"/>
        <v/>
      </c>
    </row>
    <row r="960" spans="1:5" x14ac:dyDescent="0.2">
      <c r="A960" t="str">
        <f>IF(COUNTBLANK(B960:F960)&lt;&gt;COLUMNS(B960:F960),959,"")</f>
        <v/>
      </c>
      <c r="E960" s="1" t="str">
        <f t="shared" si="14"/>
        <v/>
      </c>
    </row>
    <row r="961" spans="1:5" x14ac:dyDescent="0.2">
      <c r="A961" t="str">
        <f>IF(COUNTBLANK(B961:F961)&lt;&gt;COLUMNS(B961:F961),960,"")</f>
        <v/>
      </c>
      <c r="E961" s="1" t="str">
        <f t="shared" si="14"/>
        <v/>
      </c>
    </row>
    <row r="962" spans="1:5" x14ac:dyDescent="0.2">
      <c r="A962" t="str">
        <f>IF(COUNTBLANK(B962:F962)&lt;&gt;COLUMNS(B962:F962),961,"")</f>
        <v/>
      </c>
      <c r="E962" s="1" t="str">
        <f t="shared" ref="E962:E1001" si="15">IF(B962="", "", "built environment")</f>
        <v/>
      </c>
    </row>
    <row r="963" spans="1:5" x14ac:dyDescent="0.2">
      <c r="A963" t="str">
        <f>IF(COUNTBLANK(B963:F963)&lt;&gt;COLUMNS(B963:F963),962,"")</f>
        <v/>
      </c>
      <c r="E963" s="1" t="str">
        <f t="shared" si="15"/>
        <v/>
      </c>
    </row>
    <row r="964" spans="1:5" x14ac:dyDescent="0.2">
      <c r="A964" t="str">
        <f>IF(COUNTBLANK(B964:F964)&lt;&gt;COLUMNS(B964:F964),963,"")</f>
        <v/>
      </c>
      <c r="E964" s="1" t="str">
        <f t="shared" si="15"/>
        <v/>
      </c>
    </row>
    <row r="965" spans="1:5" x14ac:dyDescent="0.2">
      <c r="A965" t="str">
        <f>IF(COUNTBLANK(B965:F965)&lt;&gt;COLUMNS(B965:F965),964,"")</f>
        <v/>
      </c>
      <c r="E965" s="1" t="str">
        <f t="shared" si="15"/>
        <v/>
      </c>
    </row>
    <row r="966" spans="1:5" x14ac:dyDescent="0.2">
      <c r="A966" t="str">
        <f>IF(COUNTBLANK(B966:F966)&lt;&gt;COLUMNS(B966:F966),965,"")</f>
        <v/>
      </c>
      <c r="E966" s="1" t="str">
        <f t="shared" si="15"/>
        <v/>
      </c>
    </row>
    <row r="967" spans="1:5" x14ac:dyDescent="0.2">
      <c r="A967" t="str">
        <f>IF(COUNTBLANK(B967:F967)&lt;&gt;COLUMNS(B967:F967),966,"")</f>
        <v/>
      </c>
      <c r="E967" s="1" t="str">
        <f t="shared" si="15"/>
        <v/>
      </c>
    </row>
    <row r="968" spans="1:5" x14ac:dyDescent="0.2">
      <c r="A968" t="str">
        <f>IF(COUNTBLANK(B968:F968)&lt;&gt;COLUMNS(B968:F968),967,"")</f>
        <v/>
      </c>
      <c r="E968" s="1" t="str">
        <f t="shared" si="15"/>
        <v/>
      </c>
    </row>
    <row r="969" spans="1:5" x14ac:dyDescent="0.2">
      <c r="A969" t="str">
        <f>IF(COUNTBLANK(B969:F969)&lt;&gt;COLUMNS(B969:F969),968,"")</f>
        <v/>
      </c>
      <c r="E969" s="1" t="str">
        <f t="shared" si="15"/>
        <v/>
      </c>
    </row>
    <row r="970" spans="1:5" x14ac:dyDescent="0.2">
      <c r="A970" t="str">
        <f>IF(COUNTBLANK(B970:F970)&lt;&gt;COLUMNS(B970:F970),969,"")</f>
        <v/>
      </c>
      <c r="E970" s="1" t="str">
        <f t="shared" si="15"/>
        <v/>
      </c>
    </row>
    <row r="971" spans="1:5" x14ac:dyDescent="0.2">
      <c r="A971" t="str">
        <f>IF(COUNTBLANK(B971:F971)&lt;&gt;COLUMNS(B971:F971),970,"")</f>
        <v/>
      </c>
      <c r="E971" s="1" t="str">
        <f t="shared" si="15"/>
        <v/>
      </c>
    </row>
    <row r="972" spans="1:5" x14ac:dyDescent="0.2">
      <c r="A972" t="str">
        <f>IF(COUNTBLANK(B972:F972)&lt;&gt;COLUMNS(B972:F972),971,"")</f>
        <v/>
      </c>
      <c r="E972" s="1" t="str">
        <f t="shared" si="15"/>
        <v/>
      </c>
    </row>
    <row r="973" spans="1:5" x14ac:dyDescent="0.2">
      <c r="A973" t="str">
        <f>IF(COUNTBLANK(B973:F973)&lt;&gt;COLUMNS(B973:F973),972,"")</f>
        <v/>
      </c>
      <c r="E973" s="1" t="str">
        <f t="shared" si="15"/>
        <v/>
      </c>
    </row>
    <row r="974" spans="1:5" x14ac:dyDescent="0.2">
      <c r="A974" t="str">
        <f>IF(COUNTBLANK(B974:F974)&lt;&gt;COLUMNS(B974:F974),973,"")</f>
        <v/>
      </c>
      <c r="E974" s="1" t="str">
        <f t="shared" si="15"/>
        <v/>
      </c>
    </row>
    <row r="975" spans="1:5" x14ac:dyDescent="0.2">
      <c r="A975" t="str">
        <f>IF(COUNTBLANK(B975:F975)&lt;&gt;COLUMNS(B975:F975),974,"")</f>
        <v/>
      </c>
      <c r="E975" s="1" t="str">
        <f t="shared" si="15"/>
        <v/>
      </c>
    </row>
    <row r="976" spans="1:5" x14ac:dyDescent="0.2">
      <c r="A976" t="str">
        <f>IF(COUNTBLANK(B976:F976)&lt;&gt;COLUMNS(B976:F976),975,"")</f>
        <v/>
      </c>
      <c r="E976" s="1" t="str">
        <f t="shared" si="15"/>
        <v/>
      </c>
    </row>
    <row r="977" spans="1:5" x14ac:dyDescent="0.2">
      <c r="A977" t="str">
        <f>IF(COUNTBLANK(B977:F977)&lt;&gt;COLUMNS(B977:F977),976,"")</f>
        <v/>
      </c>
      <c r="E977" s="1" t="str">
        <f t="shared" si="15"/>
        <v/>
      </c>
    </row>
    <row r="978" spans="1:5" x14ac:dyDescent="0.2">
      <c r="A978" t="str">
        <f>IF(COUNTBLANK(B978:F978)&lt;&gt;COLUMNS(B978:F978),977,"")</f>
        <v/>
      </c>
      <c r="E978" s="1" t="str">
        <f t="shared" si="15"/>
        <v/>
      </c>
    </row>
    <row r="979" spans="1:5" x14ac:dyDescent="0.2">
      <c r="A979" t="str">
        <f>IF(COUNTBLANK(B979:F979)&lt;&gt;COLUMNS(B979:F979),978,"")</f>
        <v/>
      </c>
      <c r="E979" s="1" t="str">
        <f t="shared" si="15"/>
        <v/>
      </c>
    </row>
    <row r="980" spans="1:5" x14ac:dyDescent="0.2">
      <c r="A980" t="str">
        <f>IF(COUNTBLANK(B980:F980)&lt;&gt;COLUMNS(B980:F980),979,"")</f>
        <v/>
      </c>
      <c r="E980" s="1" t="str">
        <f t="shared" si="15"/>
        <v/>
      </c>
    </row>
    <row r="981" spans="1:5" x14ac:dyDescent="0.2">
      <c r="A981" t="str">
        <f>IF(COUNTBLANK(B981:F981)&lt;&gt;COLUMNS(B981:F981),980,"")</f>
        <v/>
      </c>
      <c r="E981" s="1" t="str">
        <f t="shared" si="15"/>
        <v/>
      </c>
    </row>
    <row r="982" spans="1:5" x14ac:dyDescent="0.2">
      <c r="A982" t="str">
        <f>IF(COUNTBLANK(B982:F982)&lt;&gt;COLUMNS(B982:F982),981,"")</f>
        <v/>
      </c>
      <c r="E982" s="1" t="str">
        <f t="shared" si="15"/>
        <v/>
      </c>
    </row>
    <row r="983" spans="1:5" x14ac:dyDescent="0.2">
      <c r="A983" t="str">
        <f>IF(COUNTBLANK(B983:F983)&lt;&gt;COLUMNS(B983:F983),982,"")</f>
        <v/>
      </c>
      <c r="E983" s="1" t="str">
        <f t="shared" si="15"/>
        <v/>
      </c>
    </row>
    <row r="984" spans="1:5" x14ac:dyDescent="0.2">
      <c r="A984" t="str">
        <f>IF(COUNTBLANK(B984:F984)&lt;&gt;COLUMNS(B984:F984),983,"")</f>
        <v/>
      </c>
      <c r="E984" s="1" t="str">
        <f t="shared" si="15"/>
        <v/>
      </c>
    </row>
    <row r="985" spans="1:5" x14ac:dyDescent="0.2">
      <c r="A985" t="str">
        <f>IF(COUNTBLANK(B985:F985)&lt;&gt;COLUMNS(B985:F985),984,"")</f>
        <v/>
      </c>
      <c r="E985" s="1" t="str">
        <f t="shared" si="15"/>
        <v/>
      </c>
    </row>
    <row r="986" spans="1:5" x14ac:dyDescent="0.2">
      <c r="A986" t="str">
        <f>IF(COUNTBLANK(B986:F986)&lt;&gt;COLUMNS(B986:F986),985,"")</f>
        <v/>
      </c>
      <c r="E986" s="1" t="str">
        <f t="shared" si="15"/>
        <v/>
      </c>
    </row>
    <row r="987" spans="1:5" x14ac:dyDescent="0.2">
      <c r="A987" t="str">
        <f>IF(COUNTBLANK(B987:F987)&lt;&gt;COLUMNS(B987:F987),986,"")</f>
        <v/>
      </c>
      <c r="E987" s="1" t="str">
        <f t="shared" si="15"/>
        <v/>
      </c>
    </row>
    <row r="988" spans="1:5" x14ac:dyDescent="0.2">
      <c r="A988" t="str">
        <f>IF(COUNTBLANK(B988:F988)&lt;&gt;COLUMNS(B988:F988),987,"")</f>
        <v/>
      </c>
      <c r="E988" s="1" t="str">
        <f t="shared" si="15"/>
        <v/>
      </c>
    </row>
    <row r="989" spans="1:5" x14ac:dyDescent="0.2">
      <c r="A989" t="str">
        <f>IF(COUNTBLANK(B989:F989)&lt;&gt;COLUMNS(B989:F989),988,"")</f>
        <v/>
      </c>
      <c r="E989" s="1" t="str">
        <f t="shared" si="15"/>
        <v/>
      </c>
    </row>
    <row r="990" spans="1:5" x14ac:dyDescent="0.2">
      <c r="A990" t="str">
        <f>IF(COUNTBLANK(B990:F990)&lt;&gt;COLUMNS(B990:F990),989,"")</f>
        <v/>
      </c>
      <c r="E990" s="1" t="str">
        <f t="shared" si="15"/>
        <v/>
      </c>
    </row>
    <row r="991" spans="1:5" x14ac:dyDescent="0.2">
      <c r="A991" t="str">
        <f>IF(COUNTBLANK(B991:F991)&lt;&gt;COLUMNS(B991:F991),990,"")</f>
        <v/>
      </c>
      <c r="E991" s="1" t="str">
        <f t="shared" si="15"/>
        <v/>
      </c>
    </row>
    <row r="992" spans="1:5" x14ac:dyDescent="0.2">
      <c r="A992" t="str">
        <f>IF(COUNTBLANK(B992:F992)&lt;&gt;COLUMNS(B992:F992),991,"")</f>
        <v/>
      </c>
      <c r="E992" s="1" t="str">
        <f t="shared" si="15"/>
        <v/>
      </c>
    </row>
    <row r="993" spans="1:5" x14ac:dyDescent="0.2">
      <c r="A993" t="str">
        <f>IF(COUNTBLANK(B993:F993)&lt;&gt;COLUMNS(B993:F993),992,"")</f>
        <v/>
      </c>
      <c r="E993" s="1" t="str">
        <f t="shared" si="15"/>
        <v/>
      </c>
    </row>
    <row r="994" spans="1:5" x14ac:dyDescent="0.2">
      <c r="A994" t="str">
        <f>IF(COUNTBLANK(B994:F994)&lt;&gt;COLUMNS(B994:F994),993,"")</f>
        <v/>
      </c>
      <c r="E994" s="1" t="str">
        <f t="shared" si="15"/>
        <v/>
      </c>
    </row>
    <row r="995" spans="1:5" x14ac:dyDescent="0.2">
      <c r="A995" t="str">
        <f>IF(COUNTBLANK(B995:F995)&lt;&gt;COLUMNS(B995:F995),994,"")</f>
        <v/>
      </c>
      <c r="E995" s="1" t="str">
        <f t="shared" si="15"/>
        <v/>
      </c>
    </row>
    <row r="996" spans="1:5" x14ac:dyDescent="0.2">
      <c r="A996" t="str">
        <f>IF(COUNTBLANK(B996:F996)&lt;&gt;COLUMNS(B996:F996),995,"")</f>
        <v/>
      </c>
      <c r="E996" s="1" t="str">
        <f t="shared" si="15"/>
        <v/>
      </c>
    </row>
    <row r="997" spans="1:5" x14ac:dyDescent="0.2">
      <c r="A997" t="str">
        <f>IF(COUNTBLANK(B997:F997)&lt;&gt;COLUMNS(B997:F997),996,"")</f>
        <v/>
      </c>
      <c r="E997" s="1" t="str">
        <f t="shared" si="15"/>
        <v/>
      </c>
    </row>
    <row r="998" spans="1:5" x14ac:dyDescent="0.2">
      <c r="A998" t="str">
        <f>IF(COUNTBLANK(B998:F998)&lt;&gt;COLUMNS(B998:F998),997,"")</f>
        <v/>
      </c>
      <c r="E998" s="1" t="str">
        <f t="shared" si="15"/>
        <v/>
      </c>
    </row>
    <row r="999" spans="1:5" x14ac:dyDescent="0.2">
      <c r="A999" t="str">
        <f>IF(COUNTBLANK(B999:F999)&lt;&gt;COLUMNS(B999:F999),998,"")</f>
        <v/>
      </c>
      <c r="E999" s="1" t="str">
        <f t="shared" si="15"/>
        <v/>
      </c>
    </row>
    <row r="1000" spans="1:5" x14ac:dyDescent="0.2">
      <c r="A1000" t="str">
        <f>IF(COUNTBLANK(B1000:F1000)&lt;&gt;COLUMNS(B1000:F1000),999,"")</f>
        <v/>
      </c>
      <c r="E1000" s="1" t="str">
        <f t="shared" si="15"/>
        <v/>
      </c>
    </row>
    <row r="1001" spans="1:5" x14ac:dyDescent="0.2">
      <c r="A1001" t="str">
        <f>IF(COUNTBLANK(B1001:F1001)&lt;&gt;COLUMNS(B1001:F1001),1000,"")</f>
        <v/>
      </c>
      <c r="E1001" s="1" t="str">
        <f t="shared" si="15"/>
        <v/>
      </c>
    </row>
    <row r="1002" spans="1:5" x14ac:dyDescent="0.2">
      <c r="B1002" s="2" t="s">
        <v>2</v>
      </c>
    </row>
  </sheetData>
  <sheetProtection sheet="1" objects="1" scenarios="1" formatCells="0" formatColumns="0" formatRows="0"/>
  <dataValidations count="5">
    <dataValidation type="custom" allowBlank="1" showInputMessage="1" showErrorMessage="1" errorTitle="Invalid sample_name" error="The sample_name value entered is not valid. The value must be a string and must be unique and the value must contain only alphanumeric characters and/or periods." promptTitle="Enter sample_name" prompt="The value must be a string and must be unique and the value must contain only alphanumeric characters and/or periods." sqref="B2:B1001">
      <formula1>(AND(IF(B2="",FALSE,TRUE),COUNTIF(B:B, B2) = 1,NOT(ISERROR(SUMPRODUCT(SEARCH(MID(B2,ROW(INDIRECT("1:"&amp;LEN(B2))), 1),"0123456789abcdefghijklmnopqrstuvwxyzABCDEFGHIJKLMNOPQRSTUVWXYZ."))))))</formula1>
    </dataValidation>
    <dataValidation type="list" allowBlank="1" showInputMessage="1" showErrorMessage="1" errorTitle="Invalid empo_2" error="The empo_2 value entered is not valid. The value must be a string and must equal &quot;saline&quot; or must equal &quot;non-saline&quot;." promptTitle="Enter empo_2" prompt="The value must be a string and must equal &quot;saline&quot; or must equal &quot;non-saline&quot;." sqref="C2:C1001">
      <formula1>"saline,non-saline"</formula1>
    </dataValidation>
    <dataValidation type="list" allowBlank="1" showInputMessage="1" showErrorMessage="1" errorTitle="Invalid empo_3" error="The empo_3 value entered is not valid. The value must be a string and must equal &quot;surface (non-saline)&quot; or must equal &quot;aerosol (non-saline)&quot; or must equal &quot;sediment (non-sali[text truncated: please refer to field descriptions sheet for full requirements]." promptTitle="Enter empo_3" prompt="The value must be a string and must equal &quot;surface (non-saline)&quot; or must equal &quot;aerosol (non-saline)&quot; or must equal &quot;sediment (non-saline)&quot; or must equal &quot;surface (saline)&quot; or must equal &quot;aerosol (saline)&quot; or must equal &quot;sediment (saline)&quot;." sqref="D2:D1001">
      <formula1>"surface (non-saline),aerosol (non-saline),sediment (non-saline),surface (saline),aerosol (saline),sediment (saline)"</formula1>
    </dataValidation>
    <dataValidation type="list" allowBlank="1" showInputMessage="1" showErrorMessage="1" errorTitle="Invalid env_package" error="The env_package value entered is not valid. The value must be a string and must equal &quot;built environment&quot;. The default value is built environment." promptTitle="Enter env_package" prompt="The value must be a string and must equal &quot;built environment&quot;. The default value is built environment." sqref="E2:E1001">
      <formula1>"built environment"</formula1>
    </dataValidation>
    <dataValidation type="list" allowBlank="1" showInputMessage="1" showErrorMessage="1" errorTitle="Invalid sample_type" error="The sample_type value entered is not valid. The value must be a string and must equal &quot;not applicable&quot; or the value must be a string and must equal &quot;anaerobic digester content&quot;." promptTitle="Enter sample_type" prompt="The value must be a string and must equal &quot;not applicable&quot; or the value must be a string and must equal &quot;anaerobic digester content&quot;." sqref="F2:F1001">
      <formula1>"not applicable,anaerobic digester content"</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006"/>
  <sheetViews>
    <sheetView workbookViewId="0">
      <pane xSplit="1" ySplit="1" topLeftCell="B2" activePane="bottomRight" state="frozen"/>
      <selection pane="topRight" activeCell="B1" sqref="B1"/>
      <selection pane="bottomLeft" activeCell="A2" sqref="A2"/>
      <selection pane="bottomRight"/>
    </sheetView>
  </sheetViews>
  <sheetFormatPr baseColWidth="10" defaultColWidth="8.83203125" defaultRowHeight="15" zeroHeight="1" x14ac:dyDescent="0.2"/>
  <cols>
    <col min="2" max="6" width="9.1640625" style="3"/>
    <col min="10" max="21" width="0" hidden="1" customWidth="1"/>
  </cols>
  <sheetData>
    <row r="1" spans="1:21" x14ac:dyDescent="0.2">
      <c r="A1" s="2" t="s">
        <v>1</v>
      </c>
      <c r="B1" s="2" t="str">
        <f ca="1">IF(B2=" ", " ", INDEX($Q$1:$U$1, 1, MATCH(COLUMNS($Q$1006:Q1006),$Q$1006:$U$1006,0)))</f>
        <v xml:space="preserve"> </v>
      </c>
      <c r="C1" s="2" t="str">
        <f ca="1">IF(C2=" ", " ", INDEX($Q$1:$U$1, 1, MATCH(COLUMNS($Q$1006:R1006),$Q$1006:$U$1006,0)))</f>
        <v xml:space="preserve"> </v>
      </c>
      <c r="D1" s="2" t="str">
        <f ca="1">IF(D2=" ", " ", INDEX($Q$1:$U$1, 1, MATCH(COLUMNS($Q$1006:S1006),$Q$1006:$U$1006,0)))</f>
        <v xml:space="preserve"> </v>
      </c>
      <c r="E1" s="2" t="str">
        <f ca="1">IF(E2=" ", " ", INDEX($Q$1:$U$1, 1, MATCH(COLUMNS($Q$1006:T1006),$Q$1006:$U$1006,0)))</f>
        <v xml:space="preserve"> </v>
      </c>
      <c r="F1" s="2" t="str">
        <f ca="1">IF(F2=" ", " ", INDEX($Q$1:$U$1, 1, MATCH(COLUMNS($Q$1006:U1006),$Q$1006:$U$1006,0)))</f>
        <v xml:space="preserve"> </v>
      </c>
      <c r="J1" s="2" t="s">
        <v>11</v>
      </c>
      <c r="K1" s="2" t="s">
        <v>10</v>
      </c>
      <c r="L1" s="2" t="s">
        <v>9</v>
      </c>
      <c r="M1" s="2" t="s">
        <v>8</v>
      </c>
      <c r="N1" s="2" t="s">
        <v>7</v>
      </c>
      <c r="O1" s="2" t="s">
        <v>1</v>
      </c>
      <c r="Q1" s="2" t="s">
        <v>1</v>
      </c>
      <c r="R1" s="2" t="s">
        <v>3</v>
      </c>
      <c r="S1" s="2" t="s">
        <v>4</v>
      </c>
      <c r="T1" s="2" t="s">
        <v>5</v>
      </c>
      <c r="U1" s="2" t="s">
        <v>6</v>
      </c>
    </row>
    <row r="2" spans="1:21" x14ac:dyDescent="0.2">
      <c r="A2" s="4" t="str">
        <f ca="1">IF(B2=" "," ",HYPERLINK(CONCATENATE("#metadata!",ADDRESS(INDEX($L$2:$L$1001,MATCH(ROWS($J$2:J2),$J$2:$J$1001,0),0),1)),INDEX($O$2:$O$1001,MATCH(ROWS($J$2:J2),$J$2:$J$1001,0),0)))</f>
        <v xml:space="preserve"> </v>
      </c>
      <c r="B2" s="3" t="str">
        <f ca="1">IF(OR(INDEX($K$2:$K$1001,MATCH(ROWS($J$2:J2),$J$2:$J$1001,0),1)&gt;=100000,INDEX($Q$1005:$U$1005,1,MATCH(COLUMNS($Q$1006:Q1006),$Q$1006:$U$1006,0))&gt;=100000), " ",IF(INDEX($Q$2:$U$1001,MATCH(ROWS($J$2:J2),$J$2:$J$1001,0),MATCH(COLUMNS($Q$1006:Q1006),$Q$1006:$U$1006,0)), HYPERLINK("#",""), HYPERLINK(CONCATENATE("#metadata!", ADDRESS(INDEX($L$2:$L$1001,MATCH(ROWS($J$2:J2),$J$2:$J$1001,0),0), INDEX($Q$1004:$U$1004,1,MATCH(COLUMNS($Q$1006:Q1006),$Q$1006:$U$1006,0)))),"Fix")))</f>
        <v xml:space="preserve"> </v>
      </c>
      <c r="C2" s="3" t="str">
        <f ca="1">IF(OR(INDEX($K$2:$K$1001,MATCH(ROWS($J$2:J2),$J$2:$J$1001,0),1)&gt;=100000,INDEX($Q$1005:$U$1005,1,MATCH(COLUMNS($Q$1006:R1006),$Q$1006:$U$1006,0))&gt;=100000), " ",IF(INDEX($Q$2:$U$1001,MATCH(ROWS($J$2:J2),$J$2:$J$1001,0),MATCH(COLUMNS($Q$1006:R1006),$Q$1006:$U$1006,0)), HYPERLINK("#",""), HYPERLINK(CONCATENATE("#metadata!", ADDRESS(INDEX($L$2:$L$1001,MATCH(ROWS($J$2:J2),$J$2:$J$1001,0),0), INDEX($Q$1004:$U$1004,1,MATCH(COLUMNS($Q$1006:R1006),$Q$1006:$U$1006,0)))),"Fix")))</f>
        <v xml:space="preserve"> </v>
      </c>
      <c r="D2" s="3" t="str">
        <f ca="1">IF(OR(INDEX($K$2:$K$1001,MATCH(ROWS($J$2:J2),$J$2:$J$1001,0),1)&gt;=100000,INDEX($Q$1005:$U$1005,1,MATCH(COLUMNS($Q$1006:S1006),$Q$1006:$U$1006,0))&gt;=100000), " ",IF(INDEX($Q$2:$U$1001,MATCH(ROWS($J$2:J2),$J$2:$J$1001,0),MATCH(COLUMNS($Q$1006:S1006),$Q$1006:$U$1006,0)), HYPERLINK("#",""), HYPERLINK(CONCATENATE("#metadata!", ADDRESS(INDEX($L$2:$L$1001,MATCH(ROWS($J$2:J2),$J$2:$J$1001,0),0), INDEX($Q$1004:$U$1004,1,MATCH(COLUMNS($Q$1006:S1006),$Q$1006:$U$1006,0)))),"Fix")))</f>
        <v xml:space="preserve"> </v>
      </c>
      <c r="E2" s="3" t="str">
        <f ca="1">IF(OR(INDEX($K$2:$K$1001,MATCH(ROWS($J$2:J2),$J$2:$J$1001,0),1)&gt;=100000,INDEX($Q$1005:$U$1005,1,MATCH(COLUMNS($Q$1006:T1006),$Q$1006:$U$1006,0))&gt;=100000), " ",IF(INDEX($Q$2:$U$1001,MATCH(ROWS($J$2:J2),$J$2:$J$1001,0),MATCH(COLUMNS($Q$1006:T1006),$Q$1006:$U$1006,0)), HYPERLINK("#",""), HYPERLINK(CONCATENATE("#metadata!", ADDRESS(INDEX($L$2:$L$1001,MATCH(ROWS($J$2:J2),$J$2:$J$1001,0),0), INDEX($Q$1004:$U$1004,1,MATCH(COLUMNS($Q$1006:T1006),$Q$1006:$U$1006,0)))),"Fix")))</f>
        <v xml:space="preserve"> </v>
      </c>
      <c r="F2" s="3" t="str">
        <f ca="1">IF(OR(INDEX($K$2:$K$1001,MATCH(ROWS($J$2:J2),$J$2:$J$1001,0),1)&gt;=100000,INDEX($Q$1005:$U$1005,1,MATCH(COLUMNS($Q$1006:U1006),$Q$1006:$U$1006,0))&gt;=100000), " ",IF(INDEX($Q$2:$U$1001,MATCH(ROWS($J$2:J2),$J$2:$J$1001,0),MATCH(COLUMNS($Q$1006:U1006),$Q$1006:$U$1006,0)), HYPERLINK("#",""), HYPERLINK(CONCATENATE("#metadata!", ADDRESS(INDEX($L$2:$L$1001,MATCH(ROWS($J$2:J2),$J$2:$J$1001,0),0), INDEX($Q$1004:$U$1004,1,MATCH(COLUMNS($Q$1006:U1006),$Q$1006:$U$1006,0)))),"Fix")))</f>
        <v xml:space="preserve"> </v>
      </c>
      <c r="J2">
        <f t="array" ref="J2:J1001">COUNTIF(K$2:K$1001,"&lt;="&amp;$K2:$K1001)</f>
        <v>1</v>
      </c>
      <c r="K2">
        <f t="array" ref="K2:K1001">INT(M2:M1001)*100000+$L$2:$L$1001</f>
        <v>100002</v>
      </c>
      <c r="L2">
        <f t="array" ref="L2:L1001">ROW(metadata!B2:B1001)</f>
        <v>2</v>
      </c>
      <c r="M2" t="b">
        <f t="shared" ref="M2:M65" si="0">IF(N2,TRUE,AND(Q2:U2))</f>
        <v>1</v>
      </c>
      <c r="N2" t="b">
        <f>COUNTBLANK(metadata!B2:F2)=COLUMNS(metadata!B2:F2)</f>
        <v>1</v>
      </c>
      <c r="O2" t="str">
        <f t="array" ref="O2:O1001">IF(metadata!B2:B1001="","",metadata!B2:B1001)</f>
        <v/>
      </c>
      <c r="Q2" t="b">
        <f ca="1">AND(IF(metadata!B2="",FALSE,TRUE),COUNTIF(metadata!B:B, metadata!B2) = 1,NOT(ISERROR(SUMPRODUCT(SEARCH(MID(metadata!B2,ROW(INDIRECT("1:"&amp;LEN(metadata!B2))), 1),"0123456789abcdefghijklmnopqrstuvwxyzABCDEFGHIJKLMNOPQRSTUVWXYZ.")))))</f>
        <v>0</v>
      </c>
      <c r="R2" t="b">
        <f>AND(IF(metadata!C2="",FALSE,TRUE),OR(EXACT(metadata!C2,"saline"),EXACT(metadata!C2,"non-saline")))</f>
        <v>0</v>
      </c>
      <c r="S2" t="b">
        <f>AND(IF(metadata!D2="",FALSE,TRUE),OR(EXACT(metadata!D2,"surface (non-saline)"),EXACT(metadata!D2,"aerosol (non-saline)"),EXACT(metadata!D2,"sediment (non-saline)"),EXACT(metadata!D2,"surface (saline)"),EXACT(metadata!D2,"aerosol (saline)"),EXACT(metadata!D2,"sediment (saline)")))</f>
        <v>0</v>
      </c>
      <c r="T2" t="b">
        <f>AND(IF(metadata!E2="",FALSE,TRUE),EXACT(metadata!E2,"built environment"))</f>
        <v>0</v>
      </c>
      <c r="U2" t="b">
        <f>OR(AND(IF(metadata!F2="",FALSE,TRUE),EXACT(metadata!F2,"not applicable")),AND(IF(metadata!F2="",FALSE,TRUE),EXACT(metadata!F2,"anaerobic digester content")))</f>
        <v>0</v>
      </c>
    </row>
    <row r="3" spans="1:21" x14ac:dyDescent="0.2">
      <c r="A3" s="4" t="str">
        <f ca="1">IF(B3=" "," ",HYPERLINK(CONCATENATE("#metadata!",ADDRESS(INDEX($L$2:$L$1001,MATCH(ROWS($J$2:J3),$J$2:$J$1001,0),0),1)),INDEX($O$2:$O$1001,MATCH(ROWS($J$2:J3),$J$2:$J$1001,0),0)))</f>
        <v xml:space="preserve"> </v>
      </c>
      <c r="B3" s="3" t="str">
        <f ca="1">IF(OR(INDEX($K$2:$K$1001,MATCH(ROWS($J$2:J3),$J$2:$J$1001,0),1)&gt;=100000,INDEX($Q$1005:$U$1005,1,MATCH(COLUMNS($Q$1006:Q1006),$Q$1006:$U$1006,0))&gt;=100000), " ",IF(INDEX($Q$2:$U$1001,MATCH(ROWS($J$2:J3),$J$2:$J$1001,0),MATCH(COLUMNS($Q$1006:Q1006),$Q$1006:$U$1006,0)), HYPERLINK("#",""), HYPERLINK(CONCATENATE("#metadata!", ADDRESS(INDEX($L$2:$L$1001,MATCH(ROWS($J$2:J3),$J$2:$J$1001,0),0), INDEX($Q$1004:$U$1004,1,MATCH(COLUMNS($Q$1006:Q1006),$Q$1006:$U$1006,0)))),"Fix")))</f>
        <v xml:space="preserve"> </v>
      </c>
      <c r="C3" s="3" t="str">
        <f ca="1">IF(OR(INDEX($K$2:$K$1001,MATCH(ROWS($J$2:J3),$J$2:$J$1001,0),1)&gt;=100000,INDEX($Q$1005:$U$1005,1,MATCH(COLUMNS($Q$1006:R1006),$Q$1006:$U$1006,0))&gt;=100000), " ",IF(INDEX($Q$2:$U$1001,MATCH(ROWS($J$2:J3),$J$2:$J$1001,0),MATCH(COLUMNS($Q$1006:R1006),$Q$1006:$U$1006,0)), HYPERLINK("#",""), HYPERLINK(CONCATENATE("#metadata!", ADDRESS(INDEX($L$2:$L$1001,MATCH(ROWS($J$2:J3),$J$2:$J$1001,0),0), INDEX($Q$1004:$U$1004,1,MATCH(COLUMNS($Q$1006:R1006),$Q$1006:$U$1006,0)))),"Fix")))</f>
        <v xml:space="preserve"> </v>
      </c>
      <c r="D3" s="3" t="str">
        <f ca="1">IF(OR(INDEX($K$2:$K$1001,MATCH(ROWS($J$2:J3),$J$2:$J$1001,0),1)&gt;=100000,INDEX($Q$1005:$U$1005,1,MATCH(COLUMNS($Q$1006:S1006),$Q$1006:$U$1006,0))&gt;=100000), " ",IF(INDEX($Q$2:$U$1001,MATCH(ROWS($J$2:J3),$J$2:$J$1001,0),MATCH(COLUMNS($Q$1006:S1006),$Q$1006:$U$1006,0)), HYPERLINK("#",""), HYPERLINK(CONCATENATE("#metadata!", ADDRESS(INDEX($L$2:$L$1001,MATCH(ROWS($J$2:J3),$J$2:$J$1001,0),0), INDEX($Q$1004:$U$1004,1,MATCH(COLUMNS($Q$1006:S1006),$Q$1006:$U$1006,0)))),"Fix")))</f>
        <v xml:space="preserve"> </v>
      </c>
      <c r="E3" s="3" t="str">
        <f ca="1">IF(OR(INDEX($K$2:$K$1001,MATCH(ROWS($J$2:J3),$J$2:$J$1001,0),1)&gt;=100000,INDEX($Q$1005:$U$1005,1,MATCH(COLUMNS($Q$1006:T1006),$Q$1006:$U$1006,0))&gt;=100000), " ",IF(INDEX($Q$2:$U$1001,MATCH(ROWS($J$2:J3),$J$2:$J$1001,0),MATCH(COLUMNS($Q$1006:T1006),$Q$1006:$U$1006,0)), HYPERLINK("#",""), HYPERLINK(CONCATENATE("#metadata!", ADDRESS(INDEX($L$2:$L$1001,MATCH(ROWS($J$2:J3),$J$2:$J$1001,0),0), INDEX($Q$1004:$U$1004,1,MATCH(COLUMNS($Q$1006:T1006),$Q$1006:$U$1006,0)))),"Fix")))</f>
        <v xml:space="preserve"> </v>
      </c>
      <c r="F3" s="3" t="str">
        <f ca="1">IF(OR(INDEX($K$2:$K$1001,MATCH(ROWS($J$2:J3),$J$2:$J$1001,0),1)&gt;=100000,INDEX($Q$1005:$U$1005,1,MATCH(COLUMNS($Q$1006:U1006),$Q$1006:$U$1006,0))&gt;=100000), " ",IF(INDEX($Q$2:$U$1001,MATCH(ROWS($J$2:J3),$J$2:$J$1001,0),MATCH(COLUMNS($Q$1006:U1006),$Q$1006:$U$1006,0)), HYPERLINK("#",""), HYPERLINK(CONCATENATE("#metadata!", ADDRESS(INDEX($L$2:$L$1001,MATCH(ROWS($J$2:J3),$J$2:$J$1001,0),0), INDEX($Q$1004:$U$1004,1,MATCH(COLUMNS($Q$1006:U1006),$Q$1006:$U$1006,0)))),"Fix")))</f>
        <v xml:space="preserve"> </v>
      </c>
      <c r="J3">
        <v>2</v>
      </c>
      <c r="K3">
        <v>100003</v>
      </c>
      <c r="L3">
        <v>3</v>
      </c>
      <c r="M3" t="b">
        <f t="shared" si="0"/>
        <v>1</v>
      </c>
      <c r="N3" t="b">
        <f>COUNTBLANK(metadata!B3:F3)=COLUMNS(metadata!B3:F3)</f>
        <v>1</v>
      </c>
      <c r="O3" t="str">
        <v/>
      </c>
      <c r="Q3" t="b">
        <f ca="1">AND(IF(metadata!B3="",FALSE,TRUE),COUNTIF(metadata!B:B, metadata!B3) = 1,NOT(ISERROR(SUMPRODUCT(SEARCH(MID(metadata!B3,ROW(INDIRECT("1:"&amp;LEN(metadata!B3))), 1),"0123456789abcdefghijklmnopqrstuvwxyzABCDEFGHIJKLMNOPQRSTUVWXYZ.")))))</f>
        <v>0</v>
      </c>
      <c r="R3" t="b">
        <f>AND(IF(metadata!C3="",FALSE,TRUE),OR(EXACT(metadata!C3,"saline"),EXACT(metadata!C3,"non-saline")))</f>
        <v>0</v>
      </c>
      <c r="S3" t="b">
        <f>AND(IF(metadata!D3="",FALSE,TRUE),OR(EXACT(metadata!D3,"surface (non-saline)"),EXACT(metadata!D3,"aerosol (non-saline)"),EXACT(metadata!D3,"sediment (non-saline)"),EXACT(metadata!D3,"surface (saline)"),EXACT(metadata!D3,"aerosol (saline)"),EXACT(metadata!D3,"sediment (saline)")))</f>
        <v>0</v>
      </c>
      <c r="T3" t="b">
        <f>AND(IF(metadata!E3="",FALSE,TRUE),EXACT(metadata!E3,"built environment"))</f>
        <v>0</v>
      </c>
      <c r="U3" t="b">
        <f>OR(AND(IF(metadata!F3="",FALSE,TRUE),EXACT(metadata!F3,"not applicable")),AND(IF(metadata!F3="",FALSE,TRUE),EXACT(metadata!F3,"anaerobic digester content")))</f>
        <v>0</v>
      </c>
    </row>
    <row r="4" spans="1:21" x14ac:dyDescent="0.2">
      <c r="A4" s="4" t="str">
        <f ca="1">IF(B4=" "," ",HYPERLINK(CONCATENATE("#metadata!",ADDRESS(INDEX($L$2:$L$1001,MATCH(ROWS($J$2:J4),$J$2:$J$1001,0),0),1)),INDEX($O$2:$O$1001,MATCH(ROWS($J$2:J4),$J$2:$J$1001,0),0)))</f>
        <v xml:space="preserve"> </v>
      </c>
      <c r="B4" s="3" t="str">
        <f ca="1">IF(OR(INDEX($K$2:$K$1001,MATCH(ROWS($J$2:J4),$J$2:$J$1001,0),1)&gt;=100000,INDEX($Q$1005:$U$1005,1,MATCH(COLUMNS($Q$1006:Q1006),$Q$1006:$U$1006,0))&gt;=100000), " ",IF(INDEX($Q$2:$U$1001,MATCH(ROWS($J$2:J4),$J$2:$J$1001,0),MATCH(COLUMNS($Q$1006:Q1006),$Q$1006:$U$1006,0)), HYPERLINK("#",""), HYPERLINK(CONCATENATE("#metadata!", ADDRESS(INDEX($L$2:$L$1001,MATCH(ROWS($J$2:J4),$J$2:$J$1001,0),0), INDEX($Q$1004:$U$1004,1,MATCH(COLUMNS($Q$1006:Q1006),$Q$1006:$U$1006,0)))),"Fix")))</f>
        <v xml:space="preserve"> </v>
      </c>
      <c r="C4" s="3" t="str">
        <f ca="1">IF(OR(INDEX($K$2:$K$1001,MATCH(ROWS($J$2:J4),$J$2:$J$1001,0),1)&gt;=100000,INDEX($Q$1005:$U$1005,1,MATCH(COLUMNS($Q$1006:R1006),$Q$1006:$U$1006,0))&gt;=100000), " ",IF(INDEX($Q$2:$U$1001,MATCH(ROWS($J$2:J4),$J$2:$J$1001,0),MATCH(COLUMNS($Q$1006:R1006),$Q$1006:$U$1006,0)), HYPERLINK("#",""), HYPERLINK(CONCATENATE("#metadata!", ADDRESS(INDEX($L$2:$L$1001,MATCH(ROWS($J$2:J4),$J$2:$J$1001,0),0), INDEX($Q$1004:$U$1004,1,MATCH(COLUMNS($Q$1006:R1006),$Q$1006:$U$1006,0)))),"Fix")))</f>
        <v xml:space="preserve"> </v>
      </c>
      <c r="D4" s="3" t="str">
        <f ca="1">IF(OR(INDEX($K$2:$K$1001,MATCH(ROWS($J$2:J4),$J$2:$J$1001,0),1)&gt;=100000,INDEX($Q$1005:$U$1005,1,MATCH(COLUMNS($Q$1006:S1006),$Q$1006:$U$1006,0))&gt;=100000), " ",IF(INDEX($Q$2:$U$1001,MATCH(ROWS($J$2:J4),$J$2:$J$1001,0),MATCH(COLUMNS($Q$1006:S1006),$Q$1006:$U$1006,0)), HYPERLINK("#",""), HYPERLINK(CONCATENATE("#metadata!", ADDRESS(INDEX($L$2:$L$1001,MATCH(ROWS($J$2:J4),$J$2:$J$1001,0),0), INDEX($Q$1004:$U$1004,1,MATCH(COLUMNS($Q$1006:S1006),$Q$1006:$U$1006,0)))),"Fix")))</f>
        <v xml:space="preserve"> </v>
      </c>
      <c r="E4" s="3" t="str">
        <f ca="1">IF(OR(INDEX($K$2:$K$1001,MATCH(ROWS($J$2:J4),$J$2:$J$1001,0),1)&gt;=100000,INDEX($Q$1005:$U$1005,1,MATCH(COLUMNS($Q$1006:T1006),$Q$1006:$U$1006,0))&gt;=100000), " ",IF(INDEX($Q$2:$U$1001,MATCH(ROWS($J$2:J4),$J$2:$J$1001,0),MATCH(COLUMNS($Q$1006:T1006),$Q$1006:$U$1006,0)), HYPERLINK("#",""), HYPERLINK(CONCATENATE("#metadata!", ADDRESS(INDEX($L$2:$L$1001,MATCH(ROWS($J$2:J4),$J$2:$J$1001,0),0), INDEX($Q$1004:$U$1004,1,MATCH(COLUMNS($Q$1006:T1006),$Q$1006:$U$1006,0)))),"Fix")))</f>
        <v xml:space="preserve"> </v>
      </c>
      <c r="F4" s="3" t="str">
        <f ca="1">IF(OR(INDEX($K$2:$K$1001,MATCH(ROWS($J$2:J4),$J$2:$J$1001,0),1)&gt;=100000,INDEX($Q$1005:$U$1005,1,MATCH(COLUMNS($Q$1006:U1006),$Q$1006:$U$1006,0))&gt;=100000), " ",IF(INDEX($Q$2:$U$1001,MATCH(ROWS($J$2:J4),$J$2:$J$1001,0),MATCH(COLUMNS($Q$1006:U1006),$Q$1006:$U$1006,0)), HYPERLINK("#",""), HYPERLINK(CONCATENATE("#metadata!", ADDRESS(INDEX($L$2:$L$1001,MATCH(ROWS($J$2:J4),$J$2:$J$1001,0),0), INDEX($Q$1004:$U$1004,1,MATCH(COLUMNS($Q$1006:U1006),$Q$1006:$U$1006,0)))),"Fix")))</f>
        <v xml:space="preserve"> </v>
      </c>
      <c r="J4">
        <v>3</v>
      </c>
      <c r="K4">
        <v>100004</v>
      </c>
      <c r="L4">
        <v>4</v>
      </c>
      <c r="M4" t="b">
        <f t="shared" si="0"/>
        <v>1</v>
      </c>
      <c r="N4" t="b">
        <f>COUNTBLANK(metadata!B4:F4)=COLUMNS(metadata!B4:F4)</f>
        <v>1</v>
      </c>
      <c r="O4" t="str">
        <v/>
      </c>
      <c r="Q4" t="b">
        <f ca="1">AND(IF(metadata!B4="",FALSE,TRUE),COUNTIF(metadata!B:B, metadata!B4) = 1,NOT(ISERROR(SUMPRODUCT(SEARCH(MID(metadata!B4,ROW(INDIRECT("1:"&amp;LEN(metadata!B4))), 1),"0123456789abcdefghijklmnopqrstuvwxyzABCDEFGHIJKLMNOPQRSTUVWXYZ.")))))</f>
        <v>0</v>
      </c>
      <c r="R4" t="b">
        <f>AND(IF(metadata!C4="",FALSE,TRUE),OR(EXACT(metadata!C4,"saline"),EXACT(metadata!C4,"non-saline")))</f>
        <v>0</v>
      </c>
      <c r="S4" t="b">
        <f>AND(IF(metadata!D4="",FALSE,TRUE),OR(EXACT(metadata!D4,"surface (non-saline)"),EXACT(metadata!D4,"aerosol (non-saline)"),EXACT(metadata!D4,"sediment (non-saline)"),EXACT(metadata!D4,"surface (saline)"),EXACT(metadata!D4,"aerosol (saline)"),EXACT(metadata!D4,"sediment (saline)")))</f>
        <v>0</v>
      </c>
      <c r="T4" t="b">
        <f>AND(IF(metadata!E4="",FALSE,TRUE),EXACT(metadata!E4,"built environment"))</f>
        <v>0</v>
      </c>
      <c r="U4" t="b">
        <f>OR(AND(IF(metadata!F4="",FALSE,TRUE),EXACT(metadata!F4,"not applicable")),AND(IF(metadata!F4="",FALSE,TRUE),EXACT(metadata!F4,"anaerobic digester content")))</f>
        <v>0</v>
      </c>
    </row>
    <row r="5" spans="1:21" x14ac:dyDescent="0.2">
      <c r="A5" s="4" t="str">
        <f ca="1">IF(B5=" "," ",HYPERLINK(CONCATENATE("#metadata!",ADDRESS(INDEX($L$2:$L$1001,MATCH(ROWS($J$2:J5),$J$2:$J$1001,0),0),1)),INDEX($O$2:$O$1001,MATCH(ROWS($J$2:J5),$J$2:$J$1001,0),0)))</f>
        <v xml:space="preserve"> </v>
      </c>
      <c r="B5" s="3" t="str">
        <f ca="1">IF(OR(INDEX($K$2:$K$1001,MATCH(ROWS($J$2:J5),$J$2:$J$1001,0),1)&gt;=100000,INDEX($Q$1005:$U$1005,1,MATCH(COLUMNS($Q$1006:Q1006),$Q$1006:$U$1006,0))&gt;=100000), " ",IF(INDEX($Q$2:$U$1001,MATCH(ROWS($J$2:J5),$J$2:$J$1001,0),MATCH(COLUMNS($Q$1006:Q1006),$Q$1006:$U$1006,0)), HYPERLINK("#",""), HYPERLINK(CONCATENATE("#metadata!", ADDRESS(INDEX($L$2:$L$1001,MATCH(ROWS($J$2:J5),$J$2:$J$1001,0),0), INDEX($Q$1004:$U$1004,1,MATCH(COLUMNS($Q$1006:Q1006),$Q$1006:$U$1006,0)))),"Fix")))</f>
        <v xml:space="preserve"> </v>
      </c>
      <c r="C5" s="3" t="str">
        <f ca="1">IF(OR(INDEX($K$2:$K$1001,MATCH(ROWS($J$2:J5),$J$2:$J$1001,0),1)&gt;=100000,INDEX($Q$1005:$U$1005,1,MATCH(COLUMNS($Q$1006:R1006),$Q$1006:$U$1006,0))&gt;=100000), " ",IF(INDEX($Q$2:$U$1001,MATCH(ROWS($J$2:J5),$J$2:$J$1001,0),MATCH(COLUMNS($Q$1006:R1006),$Q$1006:$U$1006,0)), HYPERLINK("#",""), HYPERLINK(CONCATENATE("#metadata!", ADDRESS(INDEX($L$2:$L$1001,MATCH(ROWS($J$2:J5),$J$2:$J$1001,0),0), INDEX($Q$1004:$U$1004,1,MATCH(COLUMNS($Q$1006:R1006),$Q$1006:$U$1006,0)))),"Fix")))</f>
        <v xml:space="preserve"> </v>
      </c>
      <c r="D5" s="3" t="str">
        <f ca="1">IF(OR(INDEX($K$2:$K$1001,MATCH(ROWS($J$2:J5),$J$2:$J$1001,0),1)&gt;=100000,INDEX($Q$1005:$U$1005,1,MATCH(COLUMNS($Q$1006:S1006),$Q$1006:$U$1006,0))&gt;=100000), " ",IF(INDEX($Q$2:$U$1001,MATCH(ROWS($J$2:J5),$J$2:$J$1001,0),MATCH(COLUMNS($Q$1006:S1006),$Q$1006:$U$1006,0)), HYPERLINK("#",""), HYPERLINK(CONCATENATE("#metadata!", ADDRESS(INDEX($L$2:$L$1001,MATCH(ROWS($J$2:J5),$J$2:$J$1001,0),0), INDEX($Q$1004:$U$1004,1,MATCH(COLUMNS($Q$1006:S1006),$Q$1006:$U$1006,0)))),"Fix")))</f>
        <v xml:space="preserve"> </v>
      </c>
      <c r="E5" s="3" t="str">
        <f ca="1">IF(OR(INDEX($K$2:$K$1001,MATCH(ROWS($J$2:J5),$J$2:$J$1001,0),1)&gt;=100000,INDEX($Q$1005:$U$1005,1,MATCH(COLUMNS($Q$1006:T1006),$Q$1006:$U$1006,0))&gt;=100000), " ",IF(INDEX($Q$2:$U$1001,MATCH(ROWS($J$2:J5),$J$2:$J$1001,0),MATCH(COLUMNS($Q$1006:T1006),$Q$1006:$U$1006,0)), HYPERLINK("#",""), HYPERLINK(CONCATENATE("#metadata!", ADDRESS(INDEX($L$2:$L$1001,MATCH(ROWS($J$2:J5),$J$2:$J$1001,0),0), INDEX($Q$1004:$U$1004,1,MATCH(COLUMNS($Q$1006:T1006),$Q$1006:$U$1006,0)))),"Fix")))</f>
        <v xml:space="preserve"> </v>
      </c>
      <c r="F5" s="3" t="str">
        <f ca="1">IF(OR(INDEX($K$2:$K$1001,MATCH(ROWS($J$2:J5),$J$2:$J$1001,0),1)&gt;=100000,INDEX($Q$1005:$U$1005,1,MATCH(COLUMNS($Q$1006:U1006),$Q$1006:$U$1006,0))&gt;=100000), " ",IF(INDEX($Q$2:$U$1001,MATCH(ROWS($J$2:J5),$J$2:$J$1001,0),MATCH(COLUMNS($Q$1006:U1006),$Q$1006:$U$1006,0)), HYPERLINK("#",""), HYPERLINK(CONCATENATE("#metadata!", ADDRESS(INDEX($L$2:$L$1001,MATCH(ROWS($J$2:J5),$J$2:$J$1001,0),0), INDEX($Q$1004:$U$1004,1,MATCH(COLUMNS($Q$1006:U1006),$Q$1006:$U$1006,0)))),"Fix")))</f>
        <v xml:space="preserve"> </v>
      </c>
      <c r="J5">
        <v>4</v>
      </c>
      <c r="K5">
        <v>100005</v>
      </c>
      <c r="L5">
        <v>5</v>
      </c>
      <c r="M5" t="b">
        <f t="shared" si="0"/>
        <v>1</v>
      </c>
      <c r="N5" t="b">
        <f>COUNTBLANK(metadata!B5:F5)=COLUMNS(metadata!B5:F5)</f>
        <v>1</v>
      </c>
      <c r="O5" t="str">
        <v/>
      </c>
      <c r="Q5" t="b">
        <f ca="1">AND(IF(metadata!B5="",FALSE,TRUE),COUNTIF(metadata!B:B, metadata!B5) = 1,NOT(ISERROR(SUMPRODUCT(SEARCH(MID(metadata!B5,ROW(INDIRECT("1:"&amp;LEN(metadata!B5))), 1),"0123456789abcdefghijklmnopqrstuvwxyzABCDEFGHIJKLMNOPQRSTUVWXYZ.")))))</f>
        <v>0</v>
      </c>
      <c r="R5" t="b">
        <f>AND(IF(metadata!C5="",FALSE,TRUE),OR(EXACT(metadata!C5,"saline"),EXACT(metadata!C5,"non-saline")))</f>
        <v>0</v>
      </c>
      <c r="S5" t="b">
        <f>AND(IF(metadata!D5="",FALSE,TRUE),OR(EXACT(metadata!D5,"surface (non-saline)"),EXACT(metadata!D5,"aerosol (non-saline)"),EXACT(metadata!D5,"sediment (non-saline)"),EXACT(metadata!D5,"surface (saline)"),EXACT(metadata!D5,"aerosol (saline)"),EXACT(metadata!D5,"sediment (saline)")))</f>
        <v>0</v>
      </c>
      <c r="T5" t="b">
        <f>AND(IF(metadata!E5="",FALSE,TRUE),EXACT(metadata!E5,"built environment"))</f>
        <v>0</v>
      </c>
      <c r="U5" t="b">
        <f>OR(AND(IF(metadata!F5="",FALSE,TRUE),EXACT(metadata!F5,"not applicable")),AND(IF(metadata!F5="",FALSE,TRUE),EXACT(metadata!F5,"anaerobic digester content")))</f>
        <v>0</v>
      </c>
    </row>
    <row r="6" spans="1:21" x14ac:dyDescent="0.2">
      <c r="A6" s="4" t="str">
        <f ca="1">IF(B6=" "," ",HYPERLINK(CONCATENATE("#metadata!",ADDRESS(INDEX($L$2:$L$1001,MATCH(ROWS($J$2:J6),$J$2:$J$1001,0),0),1)),INDEX($O$2:$O$1001,MATCH(ROWS($J$2:J6),$J$2:$J$1001,0),0)))</f>
        <v xml:space="preserve"> </v>
      </c>
      <c r="B6" s="3" t="str">
        <f ca="1">IF(OR(INDEX($K$2:$K$1001,MATCH(ROWS($J$2:J6),$J$2:$J$1001,0),1)&gt;=100000,INDEX($Q$1005:$U$1005,1,MATCH(COLUMNS($Q$1006:Q1006),$Q$1006:$U$1006,0))&gt;=100000), " ",IF(INDEX($Q$2:$U$1001,MATCH(ROWS($J$2:J6),$J$2:$J$1001,0),MATCH(COLUMNS($Q$1006:Q1006),$Q$1006:$U$1006,0)), HYPERLINK("#",""), HYPERLINK(CONCATENATE("#metadata!", ADDRESS(INDEX($L$2:$L$1001,MATCH(ROWS($J$2:J6),$J$2:$J$1001,0),0), INDEX($Q$1004:$U$1004,1,MATCH(COLUMNS($Q$1006:Q1006),$Q$1006:$U$1006,0)))),"Fix")))</f>
        <v xml:space="preserve"> </v>
      </c>
      <c r="C6" s="3" t="str">
        <f ca="1">IF(OR(INDEX($K$2:$K$1001,MATCH(ROWS($J$2:J6),$J$2:$J$1001,0),1)&gt;=100000,INDEX($Q$1005:$U$1005,1,MATCH(COLUMNS($Q$1006:R1006),$Q$1006:$U$1006,0))&gt;=100000), " ",IF(INDEX($Q$2:$U$1001,MATCH(ROWS($J$2:J6),$J$2:$J$1001,0),MATCH(COLUMNS($Q$1006:R1006),$Q$1006:$U$1006,0)), HYPERLINK("#",""), HYPERLINK(CONCATENATE("#metadata!", ADDRESS(INDEX($L$2:$L$1001,MATCH(ROWS($J$2:J6),$J$2:$J$1001,0),0), INDEX($Q$1004:$U$1004,1,MATCH(COLUMNS($Q$1006:R1006),$Q$1006:$U$1006,0)))),"Fix")))</f>
        <v xml:space="preserve"> </v>
      </c>
      <c r="D6" s="3" t="str">
        <f ca="1">IF(OR(INDEX($K$2:$K$1001,MATCH(ROWS($J$2:J6),$J$2:$J$1001,0),1)&gt;=100000,INDEX($Q$1005:$U$1005,1,MATCH(COLUMNS($Q$1006:S1006),$Q$1006:$U$1006,0))&gt;=100000), " ",IF(INDEX($Q$2:$U$1001,MATCH(ROWS($J$2:J6),$J$2:$J$1001,0),MATCH(COLUMNS($Q$1006:S1006),$Q$1006:$U$1006,0)), HYPERLINK("#",""), HYPERLINK(CONCATENATE("#metadata!", ADDRESS(INDEX($L$2:$L$1001,MATCH(ROWS($J$2:J6),$J$2:$J$1001,0),0), INDEX($Q$1004:$U$1004,1,MATCH(COLUMNS($Q$1006:S1006),$Q$1006:$U$1006,0)))),"Fix")))</f>
        <v xml:space="preserve"> </v>
      </c>
      <c r="E6" s="3" t="str">
        <f ca="1">IF(OR(INDEX($K$2:$K$1001,MATCH(ROWS($J$2:J6),$J$2:$J$1001,0),1)&gt;=100000,INDEX($Q$1005:$U$1005,1,MATCH(COLUMNS($Q$1006:T1006),$Q$1006:$U$1006,0))&gt;=100000), " ",IF(INDEX($Q$2:$U$1001,MATCH(ROWS($J$2:J6),$J$2:$J$1001,0),MATCH(COLUMNS($Q$1006:T1006),$Q$1006:$U$1006,0)), HYPERLINK("#",""), HYPERLINK(CONCATENATE("#metadata!", ADDRESS(INDEX($L$2:$L$1001,MATCH(ROWS($J$2:J6),$J$2:$J$1001,0),0), INDEX($Q$1004:$U$1004,1,MATCH(COLUMNS($Q$1006:T1006),$Q$1006:$U$1006,0)))),"Fix")))</f>
        <v xml:space="preserve"> </v>
      </c>
      <c r="F6" s="3" t="str">
        <f ca="1">IF(OR(INDEX($K$2:$K$1001,MATCH(ROWS($J$2:J6),$J$2:$J$1001,0),1)&gt;=100000,INDEX($Q$1005:$U$1005,1,MATCH(COLUMNS($Q$1006:U1006),$Q$1006:$U$1006,0))&gt;=100000), " ",IF(INDEX($Q$2:$U$1001,MATCH(ROWS($J$2:J6),$J$2:$J$1001,0),MATCH(COLUMNS($Q$1006:U1006),$Q$1006:$U$1006,0)), HYPERLINK("#",""), HYPERLINK(CONCATENATE("#metadata!", ADDRESS(INDEX($L$2:$L$1001,MATCH(ROWS($J$2:J6),$J$2:$J$1001,0),0), INDEX($Q$1004:$U$1004,1,MATCH(COLUMNS($Q$1006:U1006),$Q$1006:$U$1006,0)))),"Fix")))</f>
        <v xml:space="preserve"> </v>
      </c>
      <c r="J6">
        <v>5</v>
      </c>
      <c r="K6">
        <v>100006</v>
      </c>
      <c r="L6">
        <v>6</v>
      </c>
      <c r="M6" t="b">
        <f t="shared" si="0"/>
        <v>1</v>
      </c>
      <c r="N6" t="b">
        <f>COUNTBLANK(metadata!B6:F6)=COLUMNS(metadata!B6:F6)</f>
        <v>1</v>
      </c>
      <c r="O6" t="str">
        <v/>
      </c>
      <c r="Q6" t="b">
        <f ca="1">AND(IF(metadata!B6="",FALSE,TRUE),COUNTIF(metadata!B:B, metadata!B6) = 1,NOT(ISERROR(SUMPRODUCT(SEARCH(MID(metadata!B6,ROW(INDIRECT("1:"&amp;LEN(metadata!B6))), 1),"0123456789abcdefghijklmnopqrstuvwxyzABCDEFGHIJKLMNOPQRSTUVWXYZ.")))))</f>
        <v>0</v>
      </c>
      <c r="R6" t="b">
        <f>AND(IF(metadata!C6="",FALSE,TRUE),OR(EXACT(metadata!C6,"saline"),EXACT(metadata!C6,"non-saline")))</f>
        <v>0</v>
      </c>
      <c r="S6" t="b">
        <f>AND(IF(metadata!D6="",FALSE,TRUE),OR(EXACT(metadata!D6,"surface (non-saline)"),EXACT(metadata!D6,"aerosol (non-saline)"),EXACT(metadata!D6,"sediment (non-saline)"),EXACT(metadata!D6,"surface (saline)"),EXACT(metadata!D6,"aerosol (saline)"),EXACT(metadata!D6,"sediment (saline)")))</f>
        <v>0</v>
      </c>
      <c r="T6" t="b">
        <f>AND(IF(metadata!E6="",FALSE,TRUE),EXACT(metadata!E6,"built environment"))</f>
        <v>0</v>
      </c>
      <c r="U6" t="b">
        <f>OR(AND(IF(metadata!F6="",FALSE,TRUE),EXACT(metadata!F6,"not applicable")),AND(IF(metadata!F6="",FALSE,TRUE),EXACT(metadata!F6,"anaerobic digester content")))</f>
        <v>0</v>
      </c>
    </row>
    <row r="7" spans="1:21" x14ac:dyDescent="0.2">
      <c r="A7" s="4" t="str">
        <f ca="1">IF(B7=" "," ",HYPERLINK(CONCATENATE("#metadata!",ADDRESS(INDEX($L$2:$L$1001,MATCH(ROWS($J$2:J7),$J$2:$J$1001,0),0),1)),INDEX($O$2:$O$1001,MATCH(ROWS($J$2:J7),$J$2:$J$1001,0),0)))</f>
        <v xml:space="preserve"> </v>
      </c>
      <c r="B7" s="3" t="str">
        <f ca="1">IF(OR(INDEX($K$2:$K$1001,MATCH(ROWS($J$2:J7),$J$2:$J$1001,0),1)&gt;=100000,INDEX($Q$1005:$U$1005,1,MATCH(COLUMNS($Q$1006:Q1006),$Q$1006:$U$1006,0))&gt;=100000), " ",IF(INDEX($Q$2:$U$1001,MATCH(ROWS($J$2:J7),$J$2:$J$1001,0),MATCH(COLUMNS($Q$1006:Q1006),$Q$1006:$U$1006,0)), HYPERLINK("#",""), HYPERLINK(CONCATENATE("#metadata!", ADDRESS(INDEX($L$2:$L$1001,MATCH(ROWS($J$2:J7),$J$2:$J$1001,0),0), INDEX($Q$1004:$U$1004,1,MATCH(COLUMNS($Q$1006:Q1006),$Q$1006:$U$1006,0)))),"Fix")))</f>
        <v xml:space="preserve"> </v>
      </c>
      <c r="C7" s="3" t="str">
        <f ca="1">IF(OR(INDEX($K$2:$K$1001,MATCH(ROWS($J$2:J7),$J$2:$J$1001,0),1)&gt;=100000,INDEX($Q$1005:$U$1005,1,MATCH(COLUMNS($Q$1006:R1006),$Q$1006:$U$1006,0))&gt;=100000), " ",IF(INDEX($Q$2:$U$1001,MATCH(ROWS($J$2:J7),$J$2:$J$1001,0),MATCH(COLUMNS($Q$1006:R1006),$Q$1006:$U$1006,0)), HYPERLINK("#",""), HYPERLINK(CONCATENATE("#metadata!", ADDRESS(INDEX($L$2:$L$1001,MATCH(ROWS($J$2:J7),$J$2:$J$1001,0),0), INDEX($Q$1004:$U$1004,1,MATCH(COLUMNS($Q$1006:R1006),$Q$1006:$U$1006,0)))),"Fix")))</f>
        <v xml:space="preserve"> </v>
      </c>
      <c r="D7" s="3" t="str">
        <f ca="1">IF(OR(INDEX($K$2:$K$1001,MATCH(ROWS($J$2:J7),$J$2:$J$1001,0),1)&gt;=100000,INDEX($Q$1005:$U$1005,1,MATCH(COLUMNS($Q$1006:S1006),$Q$1006:$U$1006,0))&gt;=100000), " ",IF(INDEX($Q$2:$U$1001,MATCH(ROWS($J$2:J7),$J$2:$J$1001,0),MATCH(COLUMNS($Q$1006:S1006),$Q$1006:$U$1006,0)), HYPERLINK("#",""), HYPERLINK(CONCATENATE("#metadata!", ADDRESS(INDEX($L$2:$L$1001,MATCH(ROWS($J$2:J7),$J$2:$J$1001,0),0), INDEX($Q$1004:$U$1004,1,MATCH(COLUMNS($Q$1006:S1006),$Q$1006:$U$1006,0)))),"Fix")))</f>
        <v xml:space="preserve"> </v>
      </c>
      <c r="E7" s="3" t="str">
        <f ca="1">IF(OR(INDEX($K$2:$K$1001,MATCH(ROWS($J$2:J7),$J$2:$J$1001,0),1)&gt;=100000,INDEX($Q$1005:$U$1005,1,MATCH(COLUMNS($Q$1006:T1006),$Q$1006:$U$1006,0))&gt;=100000), " ",IF(INDEX($Q$2:$U$1001,MATCH(ROWS($J$2:J7),$J$2:$J$1001,0),MATCH(COLUMNS($Q$1006:T1006),$Q$1006:$U$1006,0)), HYPERLINK("#",""), HYPERLINK(CONCATENATE("#metadata!", ADDRESS(INDEX($L$2:$L$1001,MATCH(ROWS($J$2:J7),$J$2:$J$1001,0),0), INDEX($Q$1004:$U$1004,1,MATCH(COLUMNS($Q$1006:T1006),$Q$1006:$U$1006,0)))),"Fix")))</f>
        <v xml:space="preserve"> </v>
      </c>
      <c r="F7" s="3" t="str">
        <f ca="1">IF(OR(INDEX($K$2:$K$1001,MATCH(ROWS($J$2:J7),$J$2:$J$1001,0),1)&gt;=100000,INDEX($Q$1005:$U$1005,1,MATCH(COLUMNS($Q$1006:U1006),$Q$1006:$U$1006,0))&gt;=100000), " ",IF(INDEX($Q$2:$U$1001,MATCH(ROWS($J$2:J7),$J$2:$J$1001,0),MATCH(COLUMNS($Q$1006:U1006),$Q$1006:$U$1006,0)), HYPERLINK("#",""), HYPERLINK(CONCATENATE("#metadata!", ADDRESS(INDEX($L$2:$L$1001,MATCH(ROWS($J$2:J7),$J$2:$J$1001,0),0), INDEX($Q$1004:$U$1004,1,MATCH(COLUMNS($Q$1006:U1006),$Q$1006:$U$1006,0)))),"Fix")))</f>
        <v xml:space="preserve"> </v>
      </c>
      <c r="J7">
        <v>6</v>
      </c>
      <c r="K7">
        <v>100007</v>
      </c>
      <c r="L7">
        <v>7</v>
      </c>
      <c r="M7" t="b">
        <f t="shared" si="0"/>
        <v>1</v>
      </c>
      <c r="N7" t="b">
        <f>COUNTBLANK(metadata!B7:F7)=COLUMNS(metadata!B7:F7)</f>
        <v>1</v>
      </c>
      <c r="O7" t="str">
        <v/>
      </c>
      <c r="Q7" t="b">
        <f ca="1">AND(IF(metadata!B7="",FALSE,TRUE),COUNTIF(metadata!B:B, metadata!B7) = 1,NOT(ISERROR(SUMPRODUCT(SEARCH(MID(metadata!B7,ROW(INDIRECT("1:"&amp;LEN(metadata!B7))), 1),"0123456789abcdefghijklmnopqrstuvwxyzABCDEFGHIJKLMNOPQRSTUVWXYZ.")))))</f>
        <v>0</v>
      </c>
      <c r="R7" t="b">
        <f>AND(IF(metadata!C7="",FALSE,TRUE),OR(EXACT(metadata!C7,"saline"),EXACT(metadata!C7,"non-saline")))</f>
        <v>0</v>
      </c>
      <c r="S7" t="b">
        <f>AND(IF(metadata!D7="",FALSE,TRUE),OR(EXACT(metadata!D7,"surface (non-saline)"),EXACT(metadata!D7,"aerosol (non-saline)"),EXACT(metadata!D7,"sediment (non-saline)"),EXACT(metadata!D7,"surface (saline)"),EXACT(metadata!D7,"aerosol (saline)"),EXACT(metadata!D7,"sediment (saline)")))</f>
        <v>0</v>
      </c>
      <c r="T7" t="b">
        <f>AND(IF(metadata!E7="",FALSE,TRUE),EXACT(metadata!E7,"built environment"))</f>
        <v>0</v>
      </c>
      <c r="U7" t="b">
        <f>OR(AND(IF(metadata!F7="",FALSE,TRUE),EXACT(metadata!F7,"not applicable")),AND(IF(metadata!F7="",FALSE,TRUE),EXACT(metadata!F7,"anaerobic digester content")))</f>
        <v>0</v>
      </c>
    </row>
    <row r="8" spans="1:21" x14ac:dyDescent="0.2">
      <c r="A8" s="4" t="str">
        <f ca="1">IF(B8=" "," ",HYPERLINK(CONCATENATE("#metadata!",ADDRESS(INDEX($L$2:$L$1001,MATCH(ROWS($J$2:J8),$J$2:$J$1001,0),0),1)),INDEX($O$2:$O$1001,MATCH(ROWS($J$2:J8),$J$2:$J$1001,0),0)))</f>
        <v xml:space="preserve"> </v>
      </c>
      <c r="B8" s="3" t="str">
        <f ca="1">IF(OR(INDEX($K$2:$K$1001,MATCH(ROWS($J$2:J8),$J$2:$J$1001,0),1)&gt;=100000,INDEX($Q$1005:$U$1005,1,MATCH(COLUMNS($Q$1006:Q1006),$Q$1006:$U$1006,0))&gt;=100000), " ",IF(INDEX($Q$2:$U$1001,MATCH(ROWS($J$2:J8),$J$2:$J$1001,0),MATCH(COLUMNS($Q$1006:Q1006),$Q$1006:$U$1006,0)), HYPERLINK("#",""), HYPERLINK(CONCATENATE("#metadata!", ADDRESS(INDEX($L$2:$L$1001,MATCH(ROWS($J$2:J8),$J$2:$J$1001,0),0), INDEX($Q$1004:$U$1004,1,MATCH(COLUMNS($Q$1006:Q1006),$Q$1006:$U$1006,0)))),"Fix")))</f>
        <v xml:space="preserve"> </v>
      </c>
      <c r="C8" s="3" t="str">
        <f ca="1">IF(OR(INDEX($K$2:$K$1001,MATCH(ROWS($J$2:J8),$J$2:$J$1001,0),1)&gt;=100000,INDEX($Q$1005:$U$1005,1,MATCH(COLUMNS($Q$1006:R1006),$Q$1006:$U$1006,0))&gt;=100000), " ",IF(INDEX($Q$2:$U$1001,MATCH(ROWS($J$2:J8),$J$2:$J$1001,0),MATCH(COLUMNS($Q$1006:R1006),$Q$1006:$U$1006,0)), HYPERLINK("#",""), HYPERLINK(CONCATENATE("#metadata!", ADDRESS(INDEX($L$2:$L$1001,MATCH(ROWS($J$2:J8),$J$2:$J$1001,0),0), INDEX($Q$1004:$U$1004,1,MATCH(COLUMNS($Q$1006:R1006),$Q$1006:$U$1006,0)))),"Fix")))</f>
        <v xml:space="preserve"> </v>
      </c>
      <c r="D8" s="3" t="str">
        <f ca="1">IF(OR(INDEX($K$2:$K$1001,MATCH(ROWS($J$2:J8),$J$2:$J$1001,0),1)&gt;=100000,INDEX($Q$1005:$U$1005,1,MATCH(COLUMNS($Q$1006:S1006),$Q$1006:$U$1006,0))&gt;=100000), " ",IF(INDEX($Q$2:$U$1001,MATCH(ROWS($J$2:J8),$J$2:$J$1001,0),MATCH(COLUMNS($Q$1006:S1006),$Q$1006:$U$1006,0)), HYPERLINK("#",""), HYPERLINK(CONCATENATE("#metadata!", ADDRESS(INDEX($L$2:$L$1001,MATCH(ROWS($J$2:J8),$J$2:$J$1001,0),0), INDEX($Q$1004:$U$1004,1,MATCH(COLUMNS($Q$1006:S1006),$Q$1006:$U$1006,0)))),"Fix")))</f>
        <v xml:space="preserve"> </v>
      </c>
      <c r="E8" s="3" t="str">
        <f ca="1">IF(OR(INDEX($K$2:$K$1001,MATCH(ROWS($J$2:J8),$J$2:$J$1001,0),1)&gt;=100000,INDEX($Q$1005:$U$1005,1,MATCH(COLUMNS($Q$1006:T1006),$Q$1006:$U$1006,0))&gt;=100000), " ",IF(INDEX($Q$2:$U$1001,MATCH(ROWS($J$2:J8),$J$2:$J$1001,0),MATCH(COLUMNS($Q$1006:T1006),$Q$1006:$U$1006,0)), HYPERLINK("#",""), HYPERLINK(CONCATENATE("#metadata!", ADDRESS(INDEX($L$2:$L$1001,MATCH(ROWS($J$2:J8),$J$2:$J$1001,0),0), INDEX($Q$1004:$U$1004,1,MATCH(COLUMNS($Q$1006:T1006),$Q$1006:$U$1006,0)))),"Fix")))</f>
        <v xml:space="preserve"> </v>
      </c>
      <c r="F8" s="3" t="str">
        <f ca="1">IF(OR(INDEX($K$2:$K$1001,MATCH(ROWS($J$2:J8),$J$2:$J$1001,0),1)&gt;=100000,INDEX($Q$1005:$U$1005,1,MATCH(COLUMNS($Q$1006:U1006),$Q$1006:$U$1006,0))&gt;=100000), " ",IF(INDEX($Q$2:$U$1001,MATCH(ROWS($J$2:J8),$J$2:$J$1001,0),MATCH(COLUMNS($Q$1006:U1006),$Q$1006:$U$1006,0)), HYPERLINK("#",""), HYPERLINK(CONCATENATE("#metadata!", ADDRESS(INDEX($L$2:$L$1001,MATCH(ROWS($J$2:J8),$J$2:$J$1001,0),0), INDEX($Q$1004:$U$1004,1,MATCH(COLUMNS($Q$1006:U1006),$Q$1006:$U$1006,0)))),"Fix")))</f>
        <v xml:space="preserve"> </v>
      </c>
      <c r="J8">
        <v>7</v>
      </c>
      <c r="K8">
        <v>100008</v>
      </c>
      <c r="L8">
        <v>8</v>
      </c>
      <c r="M8" t="b">
        <f t="shared" si="0"/>
        <v>1</v>
      </c>
      <c r="N8" t="b">
        <f>COUNTBLANK(metadata!B8:F8)=COLUMNS(metadata!B8:F8)</f>
        <v>1</v>
      </c>
      <c r="O8" t="str">
        <v/>
      </c>
      <c r="Q8" t="b">
        <f ca="1">AND(IF(metadata!B8="",FALSE,TRUE),COUNTIF(metadata!B:B, metadata!B8) = 1,NOT(ISERROR(SUMPRODUCT(SEARCH(MID(metadata!B8,ROW(INDIRECT("1:"&amp;LEN(metadata!B8))), 1),"0123456789abcdefghijklmnopqrstuvwxyzABCDEFGHIJKLMNOPQRSTUVWXYZ.")))))</f>
        <v>0</v>
      </c>
      <c r="R8" t="b">
        <f>AND(IF(metadata!C8="",FALSE,TRUE),OR(EXACT(metadata!C8,"saline"),EXACT(metadata!C8,"non-saline")))</f>
        <v>0</v>
      </c>
      <c r="S8" t="b">
        <f>AND(IF(metadata!D8="",FALSE,TRUE),OR(EXACT(metadata!D8,"surface (non-saline)"),EXACT(metadata!D8,"aerosol (non-saline)"),EXACT(metadata!D8,"sediment (non-saline)"),EXACT(metadata!D8,"surface (saline)"),EXACT(metadata!D8,"aerosol (saline)"),EXACT(metadata!D8,"sediment (saline)")))</f>
        <v>0</v>
      </c>
      <c r="T8" t="b">
        <f>AND(IF(metadata!E8="",FALSE,TRUE),EXACT(metadata!E8,"built environment"))</f>
        <v>0</v>
      </c>
      <c r="U8" t="b">
        <f>OR(AND(IF(metadata!F8="",FALSE,TRUE),EXACT(metadata!F8,"not applicable")),AND(IF(metadata!F8="",FALSE,TRUE),EXACT(metadata!F8,"anaerobic digester content")))</f>
        <v>0</v>
      </c>
    </row>
    <row r="9" spans="1:21" x14ac:dyDescent="0.2">
      <c r="A9" s="4" t="str">
        <f ca="1">IF(B9=" "," ",HYPERLINK(CONCATENATE("#metadata!",ADDRESS(INDEX($L$2:$L$1001,MATCH(ROWS($J$2:J9),$J$2:$J$1001,0),0),1)),INDEX($O$2:$O$1001,MATCH(ROWS($J$2:J9),$J$2:$J$1001,0),0)))</f>
        <v xml:space="preserve"> </v>
      </c>
      <c r="B9" s="3" t="str">
        <f ca="1">IF(OR(INDEX($K$2:$K$1001,MATCH(ROWS($J$2:J9),$J$2:$J$1001,0),1)&gt;=100000,INDEX($Q$1005:$U$1005,1,MATCH(COLUMNS($Q$1006:Q1006),$Q$1006:$U$1006,0))&gt;=100000), " ",IF(INDEX($Q$2:$U$1001,MATCH(ROWS($J$2:J9),$J$2:$J$1001,0),MATCH(COLUMNS($Q$1006:Q1006),$Q$1006:$U$1006,0)), HYPERLINK("#",""), HYPERLINK(CONCATENATE("#metadata!", ADDRESS(INDEX($L$2:$L$1001,MATCH(ROWS($J$2:J9),$J$2:$J$1001,0),0), INDEX($Q$1004:$U$1004,1,MATCH(COLUMNS($Q$1006:Q1006),$Q$1006:$U$1006,0)))),"Fix")))</f>
        <v xml:space="preserve"> </v>
      </c>
      <c r="C9" s="3" t="str">
        <f ca="1">IF(OR(INDEX($K$2:$K$1001,MATCH(ROWS($J$2:J9),$J$2:$J$1001,0),1)&gt;=100000,INDEX($Q$1005:$U$1005,1,MATCH(COLUMNS($Q$1006:R1006),$Q$1006:$U$1006,0))&gt;=100000), " ",IF(INDEX($Q$2:$U$1001,MATCH(ROWS($J$2:J9),$J$2:$J$1001,0),MATCH(COLUMNS($Q$1006:R1006),$Q$1006:$U$1006,0)), HYPERLINK("#",""), HYPERLINK(CONCATENATE("#metadata!", ADDRESS(INDEX($L$2:$L$1001,MATCH(ROWS($J$2:J9),$J$2:$J$1001,0),0), INDEX($Q$1004:$U$1004,1,MATCH(COLUMNS($Q$1006:R1006),$Q$1006:$U$1006,0)))),"Fix")))</f>
        <v xml:space="preserve"> </v>
      </c>
      <c r="D9" s="3" t="str">
        <f ca="1">IF(OR(INDEX($K$2:$K$1001,MATCH(ROWS($J$2:J9),$J$2:$J$1001,0),1)&gt;=100000,INDEX($Q$1005:$U$1005,1,MATCH(COLUMNS($Q$1006:S1006),$Q$1006:$U$1006,0))&gt;=100000), " ",IF(INDEX($Q$2:$U$1001,MATCH(ROWS($J$2:J9),$J$2:$J$1001,0),MATCH(COLUMNS($Q$1006:S1006),$Q$1006:$U$1006,0)), HYPERLINK("#",""), HYPERLINK(CONCATENATE("#metadata!", ADDRESS(INDEX($L$2:$L$1001,MATCH(ROWS($J$2:J9),$J$2:$J$1001,0),0), INDEX($Q$1004:$U$1004,1,MATCH(COLUMNS($Q$1006:S1006),$Q$1006:$U$1006,0)))),"Fix")))</f>
        <v xml:space="preserve"> </v>
      </c>
      <c r="E9" s="3" t="str">
        <f ca="1">IF(OR(INDEX($K$2:$K$1001,MATCH(ROWS($J$2:J9),$J$2:$J$1001,0),1)&gt;=100000,INDEX($Q$1005:$U$1005,1,MATCH(COLUMNS($Q$1006:T1006),$Q$1006:$U$1006,0))&gt;=100000), " ",IF(INDEX($Q$2:$U$1001,MATCH(ROWS($J$2:J9),$J$2:$J$1001,0),MATCH(COLUMNS($Q$1006:T1006),$Q$1006:$U$1006,0)), HYPERLINK("#",""), HYPERLINK(CONCATENATE("#metadata!", ADDRESS(INDEX($L$2:$L$1001,MATCH(ROWS($J$2:J9),$J$2:$J$1001,0),0), INDEX($Q$1004:$U$1004,1,MATCH(COLUMNS($Q$1006:T1006),$Q$1006:$U$1006,0)))),"Fix")))</f>
        <v xml:space="preserve"> </v>
      </c>
      <c r="F9" s="3" t="str">
        <f ca="1">IF(OR(INDEX($K$2:$K$1001,MATCH(ROWS($J$2:J9),$J$2:$J$1001,0),1)&gt;=100000,INDEX($Q$1005:$U$1005,1,MATCH(COLUMNS($Q$1006:U1006),$Q$1006:$U$1006,0))&gt;=100000), " ",IF(INDEX($Q$2:$U$1001,MATCH(ROWS($J$2:J9),$J$2:$J$1001,0),MATCH(COLUMNS($Q$1006:U1006),$Q$1006:$U$1006,0)), HYPERLINK("#",""), HYPERLINK(CONCATENATE("#metadata!", ADDRESS(INDEX($L$2:$L$1001,MATCH(ROWS($J$2:J9),$J$2:$J$1001,0),0), INDEX($Q$1004:$U$1004,1,MATCH(COLUMNS($Q$1006:U1006),$Q$1006:$U$1006,0)))),"Fix")))</f>
        <v xml:space="preserve"> </v>
      </c>
      <c r="J9">
        <v>8</v>
      </c>
      <c r="K9">
        <v>100009</v>
      </c>
      <c r="L9">
        <v>9</v>
      </c>
      <c r="M9" t="b">
        <f t="shared" si="0"/>
        <v>1</v>
      </c>
      <c r="N9" t="b">
        <f>COUNTBLANK(metadata!B9:F9)=COLUMNS(metadata!B9:F9)</f>
        <v>1</v>
      </c>
      <c r="O9" t="str">
        <v/>
      </c>
      <c r="Q9" t="b">
        <f ca="1">AND(IF(metadata!B9="",FALSE,TRUE),COUNTIF(metadata!B:B, metadata!B9) = 1,NOT(ISERROR(SUMPRODUCT(SEARCH(MID(metadata!B9,ROW(INDIRECT("1:"&amp;LEN(metadata!B9))), 1),"0123456789abcdefghijklmnopqrstuvwxyzABCDEFGHIJKLMNOPQRSTUVWXYZ.")))))</f>
        <v>0</v>
      </c>
      <c r="R9" t="b">
        <f>AND(IF(metadata!C9="",FALSE,TRUE),OR(EXACT(metadata!C9,"saline"),EXACT(metadata!C9,"non-saline")))</f>
        <v>0</v>
      </c>
      <c r="S9" t="b">
        <f>AND(IF(metadata!D9="",FALSE,TRUE),OR(EXACT(metadata!D9,"surface (non-saline)"),EXACT(metadata!D9,"aerosol (non-saline)"),EXACT(metadata!D9,"sediment (non-saline)"),EXACT(metadata!D9,"surface (saline)"),EXACT(metadata!D9,"aerosol (saline)"),EXACT(metadata!D9,"sediment (saline)")))</f>
        <v>0</v>
      </c>
      <c r="T9" t="b">
        <f>AND(IF(metadata!E9="",FALSE,TRUE),EXACT(metadata!E9,"built environment"))</f>
        <v>0</v>
      </c>
      <c r="U9" t="b">
        <f>OR(AND(IF(metadata!F9="",FALSE,TRUE),EXACT(metadata!F9,"not applicable")),AND(IF(metadata!F9="",FALSE,TRUE),EXACT(metadata!F9,"anaerobic digester content")))</f>
        <v>0</v>
      </c>
    </row>
    <row r="10" spans="1:21" x14ac:dyDescent="0.2">
      <c r="A10" s="4" t="str">
        <f ca="1">IF(B10=" "," ",HYPERLINK(CONCATENATE("#metadata!",ADDRESS(INDEX($L$2:$L$1001,MATCH(ROWS($J$2:J10),$J$2:$J$1001,0),0),1)),INDEX($O$2:$O$1001,MATCH(ROWS($J$2:J10),$J$2:$J$1001,0),0)))</f>
        <v xml:space="preserve"> </v>
      </c>
      <c r="B10" s="3" t="str">
        <f ca="1">IF(OR(INDEX($K$2:$K$1001,MATCH(ROWS($J$2:J10),$J$2:$J$1001,0),1)&gt;=100000,INDEX($Q$1005:$U$1005,1,MATCH(COLUMNS($Q$1006:Q1006),$Q$1006:$U$1006,0))&gt;=100000), " ",IF(INDEX($Q$2:$U$1001,MATCH(ROWS($J$2:J10),$J$2:$J$1001,0),MATCH(COLUMNS($Q$1006:Q1006),$Q$1006:$U$1006,0)), HYPERLINK("#",""), HYPERLINK(CONCATENATE("#metadata!", ADDRESS(INDEX($L$2:$L$1001,MATCH(ROWS($J$2:J10),$J$2:$J$1001,0),0), INDEX($Q$1004:$U$1004,1,MATCH(COLUMNS($Q$1006:Q1006),$Q$1006:$U$1006,0)))),"Fix")))</f>
        <v xml:space="preserve"> </v>
      </c>
      <c r="C10" s="3" t="str">
        <f ca="1">IF(OR(INDEX($K$2:$K$1001,MATCH(ROWS($J$2:J10),$J$2:$J$1001,0),1)&gt;=100000,INDEX($Q$1005:$U$1005,1,MATCH(COLUMNS($Q$1006:R1006),$Q$1006:$U$1006,0))&gt;=100000), " ",IF(INDEX($Q$2:$U$1001,MATCH(ROWS($J$2:J10),$J$2:$J$1001,0),MATCH(COLUMNS($Q$1006:R1006),$Q$1006:$U$1006,0)), HYPERLINK("#",""), HYPERLINK(CONCATENATE("#metadata!", ADDRESS(INDEX($L$2:$L$1001,MATCH(ROWS($J$2:J10),$J$2:$J$1001,0),0), INDEX($Q$1004:$U$1004,1,MATCH(COLUMNS($Q$1006:R1006),$Q$1006:$U$1006,0)))),"Fix")))</f>
        <v xml:space="preserve"> </v>
      </c>
      <c r="D10" s="3" t="str">
        <f ca="1">IF(OR(INDEX($K$2:$K$1001,MATCH(ROWS($J$2:J10),$J$2:$J$1001,0),1)&gt;=100000,INDEX($Q$1005:$U$1005,1,MATCH(COLUMNS($Q$1006:S1006),$Q$1006:$U$1006,0))&gt;=100000), " ",IF(INDEX($Q$2:$U$1001,MATCH(ROWS($J$2:J10),$J$2:$J$1001,0),MATCH(COLUMNS($Q$1006:S1006),$Q$1006:$U$1006,0)), HYPERLINK("#",""), HYPERLINK(CONCATENATE("#metadata!", ADDRESS(INDEX($L$2:$L$1001,MATCH(ROWS($J$2:J10),$J$2:$J$1001,0),0), INDEX($Q$1004:$U$1004,1,MATCH(COLUMNS($Q$1006:S1006),$Q$1006:$U$1006,0)))),"Fix")))</f>
        <v xml:space="preserve"> </v>
      </c>
      <c r="E10" s="3" t="str">
        <f ca="1">IF(OR(INDEX($K$2:$K$1001,MATCH(ROWS($J$2:J10),$J$2:$J$1001,0),1)&gt;=100000,INDEX($Q$1005:$U$1005,1,MATCH(COLUMNS($Q$1006:T1006),$Q$1006:$U$1006,0))&gt;=100000), " ",IF(INDEX($Q$2:$U$1001,MATCH(ROWS($J$2:J10),$J$2:$J$1001,0),MATCH(COLUMNS($Q$1006:T1006),$Q$1006:$U$1006,0)), HYPERLINK("#",""), HYPERLINK(CONCATENATE("#metadata!", ADDRESS(INDEX($L$2:$L$1001,MATCH(ROWS($J$2:J10),$J$2:$J$1001,0),0), INDEX($Q$1004:$U$1004,1,MATCH(COLUMNS($Q$1006:T1006),$Q$1006:$U$1006,0)))),"Fix")))</f>
        <v xml:space="preserve"> </v>
      </c>
      <c r="F10" s="3" t="str">
        <f ca="1">IF(OR(INDEX($K$2:$K$1001,MATCH(ROWS($J$2:J10),$J$2:$J$1001,0),1)&gt;=100000,INDEX($Q$1005:$U$1005,1,MATCH(COLUMNS($Q$1006:U1006),$Q$1006:$U$1006,0))&gt;=100000), " ",IF(INDEX($Q$2:$U$1001,MATCH(ROWS($J$2:J10),$J$2:$J$1001,0),MATCH(COLUMNS($Q$1006:U1006),$Q$1006:$U$1006,0)), HYPERLINK("#",""), HYPERLINK(CONCATENATE("#metadata!", ADDRESS(INDEX($L$2:$L$1001,MATCH(ROWS($J$2:J10),$J$2:$J$1001,0),0), INDEX($Q$1004:$U$1004,1,MATCH(COLUMNS($Q$1006:U1006),$Q$1006:$U$1006,0)))),"Fix")))</f>
        <v xml:space="preserve"> </v>
      </c>
      <c r="J10">
        <v>9</v>
      </c>
      <c r="K10">
        <v>100010</v>
      </c>
      <c r="L10">
        <v>10</v>
      </c>
      <c r="M10" t="b">
        <f t="shared" si="0"/>
        <v>1</v>
      </c>
      <c r="N10" t="b">
        <f>COUNTBLANK(metadata!B10:F10)=COLUMNS(metadata!B10:F10)</f>
        <v>1</v>
      </c>
      <c r="O10" t="str">
        <v/>
      </c>
      <c r="Q10" t="b">
        <f ca="1">AND(IF(metadata!B10="",FALSE,TRUE),COUNTIF(metadata!B:B, metadata!B10) = 1,NOT(ISERROR(SUMPRODUCT(SEARCH(MID(metadata!B10,ROW(INDIRECT("1:"&amp;LEN(metadata!B10))), 1),"0123456789abcdefghijklmnopqrstuvwxyzABCDEFGHIJKLMNOPQRSTUVWXYZ.")))))</f>
        <v>0</v>
      </c>
      <c r="R10" t="b">
        <f>AND(IF(metadata!C10="",FALSE,TRUE),OR(EXACT(metadata!C10,"saline"),EXACT(metadata!C10,"non-saline")))</f>
        <v>0</v>
      </c>
      <c r="S10" t="b">
        <f>AND(IF(metadata!D10="",FALSE,TRUE),OR(EXACT(metadata!D10,"surface (non-saline)"),EXACT(metadata!D10,"aerosol (non-saline)"),EXACT(metadata!D10,"sediment (non-saline)"),EXACT(metadata!D10,"surface (saline)"),EXACT(metadata!D10,"aerosol (saline)"),EXACT(metadata!D10,"sediment (saline)")))</f>
        <v>0</v>
      </c>
      <c r="T10" t="b">
        <f>AND(IF(metadata!E10="",FALSE,TRUE),EXACT(metadata!E10,"built environment"))</f>
        <v>0</v>
      </c>
      <c r="U10" t="b">
        <f>OR(AND(IF(metadata!F10="",FALSE,TRUE),EXACT(metadata!F10,"not applicable")),AND(IF(metadata!F10="",FALSE,TRUE),EXACT(metadata!F10,"anaerobic digester content")))</f>
        <v>0</v>
      </c>
    </row>
    <row r="11" spans="1:21" x14ac:dyDescent="0.2">
      <c r="A11" s="4" t="str">
        <f ca="1">IF(B11=" "," ",HYPERLINK(CONCATENATE("#metadata!",ADDRESS(INDEX($L$2:$L$1001,MATCH(ROWS($J$2:J11),$J$2:$J$1001,0),0),1)),INDEX($O$2:$O$1001,MATCH(ROWS($J$2:J11),$J$2:$J$1001,0),0)))</f>
        <v xml:space="preserve"> </v>
      </c>
      <c r="B11" s="3" t="str">
        <f ca="1">IF(OR(INDEX($K$2:$K$1001,MATCH(ROWS($J$2:J11),$J$2:$J$1001,0),1)&gt;=100000,INDEX($Q$1005:$U$1005,1,MATCH(COLUMNS($Q$1006:Q1006),$Q$1006:$U$1006,0))&gt;=100000), " ",IF(INDEX($Q$2:$U$1001,MATCH(ROWS($J$2:J11),$J$2:$J$1001,0),MATCH(COLUMNS($Q$1006:Q1006),$Q$1006:$U$1006,0)), HYPERLINK("#",""), HYPERLINK(CONCATENATE("#metadata!", ADDRESS(INDEX($L$2:$L$1001,MATCH(ROWS($J$2:J11),$J$2:$J$1001,0),0), INDEX($Q$1004:$U$1004,1,MATCH(COLUMNS($Q$1006:Q1006),$Q$1006:$U$1006,0)))),"Fix")))</f>
        <v xml:space="preserve"> </v>
      </c>
      <c r="C11" s="3" t="str">
        <f ca="1">IF(OR(INDEX($K$2:$K$1001,MATCH(ROWS($J$2:J11),$J$2:$J$1001,0),1)&gt;=100000,INDEX($Q$1005:$U$1005,1,MATCH(COLUMNS($Q$1006:R1006),$Q$1006:$U$1006,0))&gt;=100000), " ",IF(INDEX($Q$2:$U$1001,MATCH(ROWS($J$2:J11),$J$2:$J$1001,0),MATCH(COLUMNS($Q$1006:R1006),$Q$1006:$U$1006,0)), HYPERLINK("#",""), HYPERLINK(CONCATENATE("#metadata!", ADDRESS(INDEX($L$2:$L$1001,MATCH(ROWS($J$2:J11),$J$2:$J$1001,0),0), INDEX($Q$1004:$U$1004,1,MATCH(COLUMNS($Q$1006:R1006),$Q$1006:$U$1006,0)))),"Fix")))</f>
        <v xml:space="preserve"> </v>
      </c>
      <c r="D11" s="3" t="str">
        <f ca="1">IF(OR(INDEX($K$2:$K$1001,MATCH(ROWS($J$2:J11),$J$2:$J$1001,0),1)&gt;=100000,INDEX($Q$1005:$U$1005,1,MATCH(COLUMNS($Q$1006:S1006),$Q$1006:$U$1006,0))&gt;=100000), " ",IF(INDEX($Q$2:$U$1001,MATCH(ROWS($J$2:J11),$J$2:$J$1001,0),MATCH(COLUMNS($Q$1006:S1006),$Q$1006:$U$1006,0)), HYPERLINK("#",""), HYPERLINK(CONCATENATE("#metadata!", ADDRESS(INDEX($L$2:$L$1001,MATCH(ROWS($J$2:J11),$J$2:$J$1001,0),0), INDEX($Q$1004:$U$1004,1,MATCH(COLUMNS($Q$1006:S1006),$Q$1006:$U$1006,0)))),"Fix")))</f>
        <v xml:space="preserve"> </v>
      </c>
      <c r="E11" s="3" t="str">
        <f ca="1">IF(OR(INDEX($K$2:$K$1001,MATCH(ROWS($J$2:J11),$J$2:$J$1001,0),1)&gt;=100000,INDEX($Q$1005:$U$1005,1,MATCH(COLUMNS($Q$1006:T1006),$Q$1006:$U$1006,0))&gt;=100000), " ",IF(INDEX($Q$2:$U$1001,MATCH(ROWS($J$2:J11),$J$2:$J$1001,0),MATCH(COLUMNS($Q$1006:T1006),$Q$1006:$U$1006,0)), HYPERLINK("#",""), HYPERLINK(CONCATENATE("#metadata!", ADDRESS(INDEX($L$2:$L$1001,MATCH(ROWS($J$2:J11),$J$2:$J$1001,0),0), INDEX($Q$1004:$U$1004,1,MATCH(COLUMNS($Q$1006:T1006),$Q$1006:$U$1006,0)))),"Fix")))</f>
        <v xml:space="preserve"> </v>
      </c>
      <c r="F11" s="3" t="str">
        <f ca="1">IF(OR(INDEX($K$2:$K$1001,MATCH(ROWS($J$2:J11),$J$2:$J$1001,0),1)&gt;=100000,INDEX($Q$1005:$U$1005,1,MATCH(COLUMNS($Q$1006:U1006),$Q$1006:$U$1006,0))&gt;=100000), " ",IF(INDEX($Q$2:$U$1001,MATCH(ROWS($J$2:J11),$J$2:$J$1001,0),MATCH(COLUMNS($Q$1006:U1006),$Q$1006:$U$1006,0)), HYPERLINK("#",""), HYPERLINK(CONCATENATE("#metadata!", ADDRESS(INDEX($L$2:$L$1001,MATCH(ROWS($J$2:J11),$J$2:$J$1001,0),0), INDEX($Q$1004:$U$1004,1,MATCH(COLUMNS($Q$1006:U1006),$Q$1006:$U$1006,0)))),"Fix")))</f>
        <v xml:space="preserve"> </v>
      </c>
      <c r="J11">
        <v>10</v>
      </c>
      <c r="K11">
        <v>100011</v>
      </c>
      <c r="L11">
        <v>11</v>
      </c>
      <c r="M11" t="b">
        <f t="shared" si="0"/>
        <v>1</v>
      </c>
      <c r="N11" t="b">
        <f>COUNTBLANK(metadata!B11:F11)=COLUMNS(metadata!B11:F11)</f>
        <v>1</v>
      </c>
      <c r="O11" t="str">
        <v/>
      </c>
      <c r="Q11" t="b">
        <f ca="1">AND(IF(metadata!B11="",FALSE,TRUE),COUNTIF(metadata!B:B, metadata!B11) = 1,NOT(ISERROR(SUMPRODUCT(SEARCH(MID(metadata!B11,ROW(INDIRECT("1:"&amp;LEN(metadata!B11))), 1),"0123456789abcdefghijklmnopqrstuvwxyzABCDEFGHIJKLMNOPQRSTUVWXYZ.")))))</f>
        <v>0</v>
      </c>
      <c r="R11" t="b">
        <f>AND(IF(metadata!C11="",FALSE,TRUE),OR(EXACT(metadata!C11,"saline"),EXACT(metadata!C11,"non-saline")))</f>
        <v>0</v>
      </c>
      <c r="S11" t="b">
        <f>AND(IF(metadata!D11="",FALSE,TRUE),OR(EXACT(metadata!D11,"surface (non-saline)"),EXACT(metadata!D11,"aerosol (non-saline)"),EXACT(metadata!D11,"sediment (non-saline)"),EXACT(metadata!D11,"surface (saline)"),EXACT(metadata!D11,"aerosol (saline)"),EXACT(metadata!D11,"sediment (saline)")))</f>
        <v>0</v>
      </c>
      <c r="T11" t="b">
        <f>AND(IF(metadata!E11="",FALSE,TRUE),EXACT(metadata!E11,"built environment"))</f>
        <v>0</v>
      </c>
      <c r="U11" t="b">
        <f>OR(AND(IF(metadata!F11="",FALSE,TRUE),EXACT(metadata!F11,"not applicable")),AND(IF(metadata!F11="",FALSE,TRUE),EXACT(metadata!F11,"anaerobic digester content")))</f>
        <v>0</v>
      </c>
    </row>
    <row r="12" spans="1:21" x14ac:dyDescent="0.2">
      <c r="A12" s="4" t="str">
        <f ca="1">IF(B12=" "," ",HYPERLINK(CONCATENATE("#metadata!",ADDRESS(INDEX($L$2:$L$1001,MATCH(ROWS($J$2:J12),$J$2:$J$1001,0),0),1)),INDEX($O$2:$O$1001,MATCH(ROWS($J$2:J12),$J$2:$J$1001,0),0)))</f>
        <v xml:space="preserve"> </v>
      </c>
      <c r="B12" s="3" t="str">
        <f ca="1">IF(OR(INDEX($K$2:$K$1001,MATCH(ROWS($J$2:J12),$J$2:$J$1001,0),1)&gt;=100000,INDEX($Q$1005:$U$1005,1,MATCH(COLUMNS($Q$1006:Q1006),$Q$1006:$U$1006,0))&gt;=100000), " ",IF(INDEX($Q$2:$U$1001,MATCH(ROWS($J$2:J12),$J$2:$J$1001,0),MATCH(COLUMNS($Q$1006:Q1006),$Q$1006:$U$1006,0)), HYPERLINK("#",""), HYPERLINK(CONCATENATE("#metadata!", ADDRESS(INDEX($L$2:$L$1001,MATCH(ROWS($J$2:J12),$J$2:$J$1001,0),0), INDEX($Q$1004:$U$1004,1,MATCH(COLUMNS($Q$1006:Q1006),$Q$1006:$U$1006,0)))),"Fix")))</f>
        <v xml:space="preserve"> </v>
      </c>
      <c r="C12" s="3" t="str">
        <f ca="1">IF(OR(INDEX($K$2:$K$1001,MATCH(ROWS($J$2:J12),$J$2:$J$1001,0),1)&gt;=100000,INDEX($Q$1005:$U$1005,1,MATCH(COLUMNS($Q$1006:R1006),$Q$1006:$U$1006,0))&gt;=100000), " ",IF(INDEX($Q$2:$U$1001,MATCH(ROWS($J$2:J12),$J$2:$J$1001,0),MATCH(COLUMNS($Q$1006:R1006),$Q$1006:$U$1006,0)), HYPERLINK("#",""), HYPERLINK(CONCATENATE("#metadata!", ADDRESS(INDEX($L$2:$L$1001,MATCH(ROWS($J$2:J12),$J$2:$J$1001,0),0), INDEX($Q$1004:$U$1004,1,MATCH(COLUMNS($Q$1006:R1006),$Q$1006:$U$1006,0)))),"Fix")))</f>
        <v xml:space="preserve"> </v>
      </c>
      <c r="D12" s="3" t="str">
        <f ca="1">IF(OR(INDEX($K$2:$K$1001,MATCH(ROWS($J$2:J12),$J$2:$J$1001,0),1)&gt;=100000,INDEX($Q$1005:$U$1005,1,MATCH(COLUMNS($Q$1006:S1006),$Q$1006:$U$1006,0))&gt;=100000), " ",IF(INDEX($Q$2:$U$1001,MATCH(ROWS($J$2:J12),$J$2:$J$1001,0),MATCH(COLUMNS($Q$1006:S1006),$Q$1006:$U$1006,0)), HYPERLINK("#",""), HYPERLINK(CONCATENATE("#metadata!", ADDRESS(INDEX($L$2:$L$1001,MATCH(ROWS($J$2:J12),$J$2:$J$1001,0),0), INDEX($Q$1004:$U$1004,1,MATCH(COLUMNS($Q$1006:S1006),$Q$1006:$U$1006,0)))),"Fix")))</f>
        <v xml:space="preserve"> </v>
      </c>
      <c r="E12" s="3" t="str">
        <f ca="1">IF(OR(INDEX($K$2:$K$1001,MATCH(ROWS($J$2:J12),$J$2:$J$1001,0),1)&gt;=100000,INDEX($Q$1005:$U$1005,1,MATCH(COLUMNS($Q$1006:T1006),$Q$1006:$U$1006,0))&gt;=100000), " ",IF(INDEX($Q$2:$U$1001,MATCH(ROWS($J$2:J12),$J$2:$J$1001,0),MATCH(COLUMNS($Q$1006:T1006),$Q$1006:$U$1006,0)), HYPERLINK("#",""), HYPERLINK(CONCATENATE("#metadata!", ADDRESS(INDEX($L$2:$L$1001,MATCH(ROWS($J$2:J12),$J$2:$J$1001,0),0), INDEX($Q$1004:$U$1004,1,MATCH(COLUMNS($Q$1006:T1006),$Q$1006:$U$1006,0)))),"Fix")))</f>
        <v xml:space="preserve"> </v>
      </c>
      <c r="F12" s="3" t="str">
        <f ca="1">IF(OR(INDEX($K$2:$K$1001,MATCH(ROWS($J$2:J12),$J$2:$J$1001,0),1)&gt;=100000,INDEX($Q$1005:$U$1005,1,MATCH(COLUMNS($Q$1006:U1006),$Q$1006:$U$1006,0))&gt;=100000), " ",IF(INDEX($Q$2:$U$1001,MATCH(ROWS($J$2:J12),$J$2:$J$1001,0),MATCH(COLUMNS($Q$1006:U1006),$Q$1006:$U$1006,0)), HYPERLINK("#",""), HYPERLINK(CONCATENATE("#metadata!", ADDRESS(INDEX($L$2:$L$1001,MATCH(ROWS($J$2:J12),$J$2:$J$1001,0),0), INDEX($Q$1004:$U$1004,1,MATCH(COLUMNS($Q$1006:U1006),$Q$1006:$U$1006,0)))),"Fix")))</f>
        <v xml:space="preserve"> </v>
      </c>
      <c r="J12">
        <v>11</v>
      </c>
      <c r="K12">
        <v>100012</v>
      </c>
      <c r="L12">
        <v>12</v>
      </c>
      <c r="M12" t="b">
        <f t="shared" si="0"/>
        <v>1</v>
      </c>
      <c r="N12" t="b">
        <f>COUNTBLANK(metadata!B12:F12)=COLUMNS(metadata!B12:F12)</f>
        <v>1</v>
      </c>
      <c r="O12" t="str">
        <v/>
      </c>
      <c r="Q12" t="b">
        <f ca="1">AND(IF(metadata!B12="",FALSE,TRUE),COUNTIF(metadata!B:B, metadata!B12) = 1,NOT(ISERROR(SUMPRODUCT(SEARCH(MID(metadata!B12,ROW(INDIRECT("1:"&amp;LEN(metadata!B12))), 1),"0123456789abcdefghijklmnopqrstuvwxyzABCDEFGHIJKLMNOPQRSTUVWXYZ.")))))</f>
        <v>0</v>
      </c>
      <c r="R12" t="b">
        <f>AND(IF(metadata!C12="",FALSE,TRUE),OR(EXACT(metadata!C12,"saline"),EXACT(metadata!C12,"non-saline")))</f>
        <v>0</v>
      </c>
      <c r="S12" t="b">
        <f>AND(IF(metadata!D12="",FALSE,TRUE),OR(EXACT(metadata!D12,"surface (non-saline)"),EXACT(metadata!D12,"aerosol (non-saline)"),EXACT(metadata!D12,"sediment (non-saline)"),EXACT(metadata!D12,"surface (saline)"),EXACT(metadata!D12,"aerosol (saline)"),EXACT(metadata!D12,"sediment (saline)")))</f>
        <v>0</v>
      </c>
      <c r="T12" t="b">
        <f>AND(IF(metadata!E12="",FALSE,TRUE),EXACT(metadata!E12,"built environment"))</f>
        <v>0</v>
      </c>
      <c r="U12" t="b">
        <f>OR(AND(IF(metadata!F12="",FALSE,TRUE),EXACT(metadata!F12,"not applicable")),AND(IF(metadata!F12="",FALSE,TRUE),EXACT(metadata!F12,"anaerobic digester content")))</f>
        <v>0</v>
      </c>
    </row>
    <row r="13" spans="1:21" x14ac:dyDescent="0.2">
      <c r="A13" s="4" t="str">
        <f ca="1">IF(B13=" "," ",HYPERLINK(CONCATENATE("#metadata!",ADDRESS(INDEX($L$2:$L$1001,MATCH(ROWS($J$2:J13),$J$2:$J$1001,0),0),1)),INDEX($O$2:$O$1001,MATCH(ROWS($J$2:J13),$J$2:$J$1001,0),0)))</f>
        <v xml:space="preserve"> </v>
      </c>
      <c r="B13" s="3" t="str">
        <f ca="1">IF(OR(INDEX($K$2:$K$1001,MATCH(ROWS($J$2:J13),$J$2:$J$1001,0),1)&gt;=100000,INDEX($Q$1005:$U$1005,1,MATCH(COLUMNS($Q$1006:Q1006),$Q$1006:$U$1006,0))&gt;=100000), " ",IF(INDEX($Q$2:$U$1001,MATCH(ROWS($J$2:J13),$J$2:$J$1001,0),MATCH(COLUMNS($Q$1006:Q1006),$Q$1006:$U$1006,0)), HYPERLINK("#",""), HYPERLINK(CONCATENATE("#metadata!", ADDRESS(INDEX($L$2:$L$1001,MATCH(ROWS($J$2:J13),$J$2:$J$1001,0),0), INDEX($Q$1004:$U$1004,1,MATCH(COLUMNS($Q$1006:Q1006),$Q$1006:$U$1006,0)))),"Fix")))</f>
        <v xml:space="preserve"> </v>
      </c>
      <c r="C13" s="3" t="str">
        <f ca="1">IF(OR(INDEX($K$2:$K$1001,MATCH(ROWS($J$2:J13),$J$2:$J$1001,0),1)&gt;=100000,INDEX($Q$1005:$U$1005,1,MATCH(COLUMNS($Q$1006:R1006),$Q$1006:$U$1006,0))&gt;=100000), " ",IF(INDEX($Q$2:$U$1001,MATCH(ROWS($J$2:J13),$J$2:$J$1001,0),MATCH(COLUMNS($Q$1006:R1006),$Q$1006:$U$1006,0)), HYPERLINK("#",""), HYPERLINK(CONCATENATE("#metadata!", ADDRESS(INDEX($L$2:$L$1001,MATCH(ROWS($J$2:J13),$J$2:$J$1001,0),0), INDEX($Q$1004:$U$1004,1,MATCH(COLUMNS($Q$1006:R1006),$Q$1006:$U$1006,0)))),"Fix")))</f>
        <v xml:space="preserve"> </v>
      </c>
      <c r="D13" s="3" t="str">
        <f ca="1">IF(OR(INDEX($K$2:$K$1001,MATCH(ROWS($J$2:J13),$J$2:$J$1001,0),1)&gt;=100000,INDEX($Q$1005:$U$1005,1,MATCH(COLUMNS($Q$1006:S1006),$Q$1006:$U$1006,0))&gt;=100000), " ",IF(INDEX($Q$2:$U$1001,MATCH(ROWS($J$2:J13),$J$2:$J$1001,0),MATCH(COLUMNS($Q$1006:S1006),$Q$1006:$U$1006,0)), HYPERLINK("#",""), HYPERLINK(CONCATENATE("#metadata!", ADDRESS(INDEX($L$2:$L$1001,MATCH(ROWS($J$2:J13),$J$2:$J$1001,0),0), INDEX($Q$1004:$U$1004,1,MATCH(COLUMNS($Q$1006:S1006),$Q$1006:$U$1006,0)))),"Fix")))</f>
        <v xml:space="preserve"> </v>
      </c>
      <c r="E13" s="3" t="str">
        <f ca="1">IF(OR(INDEX($K$2:$K$1001,MATCH(ROWS($J$2:J13),$J$2:$J$1001,0),1)&gt;=100000,INDEX($Q$1005:$U$1005,1,MATCH(COLUMNS($Q$1006:T1006),$Q$1006:$U$1006,0))&gt;=100000), " ",IF(INDEX($Q$2:$U$1001,MATCH(ROWS($J$2:J13),$J$2:$J$1001,0),MATCH(COLUMNS($Q$1006:T1006),$Q$1006:$U$1006,0)), HYPERLINK("#",""), HYPERLINK(CONCATENATE("#metadata!", ADDRESS(INDEX($L$2:$L$1001,MATCH(ROWS($J$2:J13),$J$2:$J$1001,0),0), INDEX($Q$1004:$U$1004,1,MATCH(COLUMNS($Q$1006:T1006),$Q$1006:$U$1006,0)))),"Fix")))</f>
        <v xml:space="preserve"> </v>
      </c>
      <c r="F13" s="3" t="str">
        <f ca="1">IF(OR(INDEX($K$2:$K$1001,MATCH(ROWS($J$2:J13),$J$2:$J$1001,0),1)&gt;=100000,INDEX($Q$1005:$U$1005,1,MATCH(COLUMNS($Q$1006:U1006),$Q$1006:$U$1006,0))&gt;=100000), " ",IF(INDEX($Q$2:$U$1001,MATCH(ROWS($J$2:J13),$J$2:$J$1001,0),MATCH(COLUMNS($Q$1006:U1006),$Q$1006:$U$1006,0)), HYPERLINK("#",""), HYPERLINK(CONCATENATE("#metadata!", ADDRESS(INDEX($L$2:$L$1001,MATCH(ROWS($J$2:J13),$J$2:$J$1001,0),0), INDEX($Q$1004:$U$1004,1,MATCH(COLUMNS($Q$1006:U1006),$Q$1006:$U$1006,0)))),"Fix")))</f>
        <v xml:space="preserve"> </v>
      </c>
      <c r="J13">
        <v>12</v>
      </c>
      <c r="K13">
        <v>100013</v>
      </c>
      <c r="L13">
        <v>13</v>
      </c>
      <c r="M13" t="b">
        <f t="shared" si="0"/>
        <v>1</v>
      </c>
      <c r="N13" t="b">
        <f>COUNTBLANK(metadata!B13:F13)=COLUMNS(metadata!B13:F13)</f>
        <v>1</v>
      </c>
      <c r="O13" t="str">
        <v/>
      </c>
      <c r="Q13" t="b">
        <f ca="1">AND(IF(metadata!B13="",FALSE,TRUE),COUNTIF(metadata!B:B, metadata!B13) = 1,NOT(ISERROR(SUMPRODUCT(SEARCH(MID(metadata!B13,ROW(INDIRECT("1:"&amp;LEN(metadata!B13))), 1),"0123456789abcdefghijklmnopqrstuvwxyzABCDEFGHIJKLMNOPQRSTUVWXYZ.")))))</f>
        <v>0</v>
      </c>
      <c r="R13" t="b">
        <f>AND(IF(metadata!C13="",FALSE,TRUE),OR(EXACT(metadata!C13,"saline"),EXACT(metadata!C13,"non-saline")))</f>
        <v>0</v>
      </c>
      <c r="S13" t="b">
        <f>AND(IF(metadata!D13="",FALSE,TRUE),OR(EXACT(metadata!D13,"surface (non-saline)"),EXACT(metadata!D13,"aerosol (non-saline)"),EXACT(metadata!D13,"sediment (non-saline)"),EXACT(metadata!D13,"surface (saline)"),EXACT(metadata!D13,"aerosol (saline)"),EXACT(metadata!D13,"sediment (saline)")))</f>
        <v>0</v>
      </c>
      <c r="T13" t="b">
        <f>AND(IF(metadata!E13="",FALSE,TRUE),EXACT(metadata!E13,"built environment"))</f>
        <v>0</v>
      </c>
      <c r="U13" t="b">
        <f>OR(AND(IF(metadata!F13="",FALSE,TRUE),EXACT(metadata!F13,"not applicable")),AND(IF(metadata!F13="",FALSE,TRUE),EXACT(metadata!F13,"anaerobic digester content")))</f>
        <v>0</v>
      </c>
    </row>
    <row r="14" spans="1:21" x14ac:dyDescent="0.2">
      <c r="A14" s="4" t="str">
        <f ca="1">IF(B14=" "," ",HYPERLINK(CONCATENATE("#metadata!",ADDRESS(INDEX($L$2:$L$1001,MATCH(ROWS($J$2:J14),$J$2:$J$1001,0),0),1)),INDEX($O$2:$O$1001,MATCH(ROWS($J$2:J14),$J$2:$J$1001,0),0)))</f>
        <v xml:space="preserve"> </v>
      </c>
      <c r="B14" s="3" t="str">
        <f ca="1">IF(OR(INDEX($K$2:$K$1001,MATCH(ROWS($J$2:J14),$J$2:$J$1001,0),1)&gt;=100000,INDEX($Q$1005:$U$1005,1,MATCH(COLUMNS($Q$1006:Q1006),$Q$1006:$U$1006,0))&gt;=100000), " ",IF(INDEX($Q$2:$U$1001,MATCH(ROWS($J$2:J14),$J$2:$J$1001,0),MATCH(COLUMNS($Q$1006:Q1006),$Q$1006:$U$1006,0)), HYPERLINK("#",""), HYPERLINK(CONCATENATE("#metadata!", ADDRESS(INDEX($L$2:$L$1001,MATCH(ROWS($J$2:J14),$J$2:$J$1001,0),0), INDEX($Q$1004:$U$1004,1,MATCH(COLUMNS($Q$1006:Q1006),$Q$1006:$U$1006,0)))),"Fix")))</f>
        <v xml:space="preserve"> </v>
      </c>
      <c r="C14" s="3" t="str">
        <f ca="1">IF(OR(INDEX($K$2:$K$1001,MATCH(ROWS($J$2:J14),$J$2:$J$1001,0),1)&gt;=100000,INDEX($Q$1005:$U$1005,1,MATCH(COLUMNS($Q$1006:R1006),$Q$1006:$U$1006,0))&gt;=100000), " ",IF(INDEX($Q$2:$U$1001,MATCH(ROWS($J$2:J14),$J$2:$J$1001,0),MATCH(COLUMNS($Q$1006:R1006),$Q$1006:$U$1006,0)), HYPERLINK("#",""), HYPERLINK(CONCATENATE("#metadata!", ADDRESS(INDEX($L$2:$L$1001,MATCH(ROWS($J$2:J14),$J$2:$J$1001,0),0), INDEX($Q$1004:$U$1004,1,MATCH(COLUMNS($Q$1006:R1006),$Q$1006:$U$1006,0)))),"Fix")))</f>
        <v xml:space="preserve"> </v>
      </c>
      <c r="D14" s="3" t="str">
        <f ca="1">IF(OR(INDEX($K$2:$K$1001,MATCH(ROWS($J$2:J14),$J$2:$J$1001,0),1)&gt;=100000,INDEX($Q$1005:$U$1005,1,MATCH(COLUMNS($Q$1006:S1006),$Q$1006:$U$1006,0))&gt;=100000), " ",IF(INDEX($Q$2:$U$1001,MATCH(ROWS($J$2:J14),$J$2:$J$1001,0),MATCH(COLUMNS($Q$1006:S1006),$Q$1006:$U$1006,0)), HYPERLINK("#",""), HYPERLINK(CONCATENATE("#metadata!", ADDRESS(INDEX($L$2:$L$1001,MATCH(ROWS($J$2:J14),$J$2:$J$1001,0),0), INDEX($Q$1004:$U$1004,1,MATCH(COLUMNS($Q$1006:S1006),$Q$1006:$U$1006,0)))),"Fix")))</f>
        <v xml:space="preserve"> </v>
      </c>
      <c r="E14" s="3" t="str">
        <f ca="1">IF(OR(INDEX($K$2:$K$1001,MATCH(ROWS($J$2:J14),$J$2:$J$1001,0),1)&gt;=100000,INDEX($Q$1005:$U$1005,1,MATCH(COLUMNS($Q$1006:T1006),$Q$1006:$U$1006,0))&gt;=100000), " ",IF(INDEX($Q$2:$U$1001,MATCH(ROWS($J$2:J14),$J$2:$J$1001,0),MATCH(COLUMNS($Q$1006:T1006),$Q$1006:$U$1006,0)), HYPERLINK("#",""), HYPERLINK(CONCATENATE("#metadata!", ADDRESS(INDEX($L$2:$L$1001,MATCH(ROWS($J$2:J14),$J$2:$J$1001,0),0), INDEX($Q$1004:$U$1004,1,MATCH(COLUMNS($Q$1006:T1006),$Q$1006:$U$1006,0)))),"Fix")))</f>
        <v xml:space="preserve"> </v>
      </c>
      <c r="F14" s="3" t="str">
        <f ca="1">IF(OR(INDEX($K$2:$K$1001,MATCH(ROWS($J$2:J14),$J$2:$J$1001,0),1)&gt;=100000,INDEX($Q$1005:$U$1005,1,MATCH(COLUMNS($Q$1006:U1006),$Q$1006:$U$1006,0))&gt;=100000), " ",IF(INDEX($Q$2:$U$1001,MATCH(ROWS($J$2:J14),$J$2:$J$1001,0),MATCH(COLUMNS($Q$1006:U1006),$Q$1006:$U$1006,0)), HYPERLINK("#",""), HYPERLINK(CONCATENATE("#metadata!", ADDRESS(INDEX($L$2:$L$1001,MATCH(ROWS($J$2:J14),$J$2:$J$1001,0),0), INDEX($Q$1004:$U$1004,1,MATCH(COLUMNS($Q$1006:U1006),$Q$1006:$U$1006,0)))),"Fix")))</f>
        <v xml:space="preserve"> </v>
      </c>
      <c r="J14">
        <v>13</v>
      </c>
      <c r="K14">
        <v>100014</v>
      </c>
      <c r="L14">
        <v>14</v>
      </c>
      <c r="M14" t="b">
        <f t="shared" si="0"/>
        <v>1</v>
      </c>
      <c r="N14" t="b">
        <f>COUNTBLANK(metadata!B14:F14)=COLUMNS(metadata!B14:F14)</f>
        <v>1</v>
      </c>
      <c r="O14" t="str">
        <v/>
      </c>
      <c r="Q14" t="b">
        <f ca="1">AND(IF(metadata!B14="",FALSE,TRUE),COUNTIF(metadata!B:B, metadata!B14) = 1,NOT(ISERROR(SUMPRODUCT(SEARCH(MID(metadata!B14,ROW(INDIRECT("1:"&amp;LEN(metadata!B14))), 1),"0123456789abcdefghijklmnopqrstuvwxyzABCDEFGHIJKLMNOPQRSTUVWXYZ.")))))</f>
        <v>0</v>
      </c>
      <c r="R14" t="b">
        <f>AND(IF(metadata!C14="",FALSE,TRUE),OR(EXACT(metadata!C14,"saline"),EXACT(metadata!C14,"non-saline")))</f>
        <v>0</v>
      </c>
      <c r="S14" t="b">
        <f>AND(IF(metadata!D14="",FALSE,TRUE),OR(EXACT(metadata!D14,"surface (non-saline)"),EXACT(metadata!D14,"aerosol (non-saline)"),EXACT(metadata!D14,"sediment (non-saline)"),EXACT(metadata!D14,"surface (saline)"),EXACT(metadata!D14,"aerosol (saline)"),EXACT(metadata!D14,"sediment (saline)")))</f>
        <v>0</v>
      </c>
      <c r="T14" t="b">
        <f>AND(IF(metadata!E14="",FALSE,TRUE),EXACT(metadata!E14,"built environment"))</f>
        <v>0</v>
      </c>
      <c r="U14" t="b">
        <f>OR(AND(IF(metadata!F14="",FALSE,TRUE),EXACT(metadata!F14,"not applicable")),AND(IF(metadata!F14="",FALSE,TRUE),EXACT(metadata!F14,"anaerobic digester content")))</f>
        <v>0</v>
      </c>
    </row>
    <row r="15" spans="1:21" x14ac:dyDescent="0.2">
      <c r="A15" s="4" t="str">
        <f ca="1">IF(B15=" "," ",HYPERLINK(CONCATENATE("#metadata!",ADDRESS(INDEX($L$2:$L$1001,MATCH(ROWS($J$2:J15),$J$2:$J$1001,0),0),1)),INDEX($O$2:$O$1001,MATCH(ROWS($J$2:J15),$J$2:$J$1001,0),0)))</f>
        <v xml:space="preserve"> </v>
      </c>
      <c r="B15" s="3" t="str">
        <f ca="1">IF(OR(INDEX($K$2:$K$1001,MATCH(ROWS($J$2:J15),$J$2:$J$1001,0),1)&gt;=100000,INDEX($Q$1005:$U$1005,1,MATCH(COLUMNS($Q$1006:Q1006),$Q$1006:$U$1006,0))&gt;=100000), " ",IF(INDEX($Q$2:$U$1001,MATCH(ROWS($J$2:J15),$J$2:$J$1001,0),MATCH(COLUMNS($Q$1006:Q1006),$Q$1006:$U$1006,0)), HYPERLINK("#",""), HYPERLINK(CONCATENATE("#metadata!", ADDRESS(INDEX($L$2:$L$1001,MATCH(ROWS($J$2:J15),$J$2:$J$1001,0),0), INDEX($Q$1004:$U$1004,1,MATCH(COLUMNS($Q$1006:Q1006),$Q$1006:$U$1006,0)))),"Fix")))</f>
        <v xml:space="preserve"> </v>
      </c>
      <c r="C15" s="3" t="str">
        <f ca="1">IF(OR(INDEX($K$2:$K$1001,MATCH(ROWS($J$2:J15),$J$2:$J$1001,0),1)&gt;=100000,INDEX($Q$1005:$U$1005,1,MATCH(COLUMNS($Q$1006:R1006),$Q$1006:$U$1006,0))&gt;=100000), " ",IF(INDEX($Q$2:$U$1001,MATCH(ROWS($J$2:J15),$J$2:$J$1001,0),MATCH(COLUMNS($Q$1006:R1006),$Q$1006:$U$1006,0)), HYPERLINK("#",""), HYPERLINK(CONCATENATE("#metadata!", ADDRESS(INDEX($L$2:$L$1001,MATCH(ROWS($J$2:J15),$J$2:$J$1001,0),0), INDEX($Q$1004:$U$1004,1,MATCH(COLUMNS($Q$1006:R1006),$Q$1006:$U$1006,0)))),"Fix")))</f>
        <v xml:space="preserve"> </v>
      </c>
      <c r="D15" s="3" t="str">
        <f ca="1">IF(OR(INDEX($K$2:$K$1001,MATCH(ROWS($J$2:J15),$J$2:$J$1001,0),1)&gt;=100000,INDEX($Q$1005:$U$1005,1,MATCH(COLUMNS($Q$1006:S1006),$Q$1006:$U$1006,0))&gt;=100000), " ",IF(INDEX($Q$2:$U$1001,MATCH(ROWS($J$2:J15),$J$2:$J$1001,0),MATCH(COLUMNS($Q$1006:S1006),$Q$1006:$U$1006,0)), HYPERLINK("#",""), HYPERLINK(CONCATENATE("#metadata!", ADDRESS(INDEX($L$2:$L$1001,MATCH(ROWS($J$2:J15),$J$2:$J$1001,0),0), INDEX($Q$1004:$U$1004,1,MATCH(COLUMNS($Q$1006:S1006),$Q$1006:$U$1006,0)))),"Fix")))</f>
        <v xml:space="preserve"> </v>
      </c>
      <c r="E15" s="3" t="str">
        <f ca="1">IF(OR(INDEX($K$2:$K$1001,MATCH(ROWS($J$2:J15),$J$2:$J$1001,0),1)&gt;=100000,INDEX($Q$1005:$U$1005,1,MATCH(COLUMNS($Q$1006:T1006),$Q$1006:$U$1006,0))&gt;=100000), " ",IF(INDEX($Q$2:$U$1001,MATCH(ROWS($J$2:J15),$J$2:$J$1001,0),MATCH(COLUMNS($Q$1006:T1006),$Q$1006:$U$1006,0)), HYPERLINK("#",""), HYPERLINK(CONCATENATE("#metadata!", ADDRESS(INDEX($L$2:$L$1001,MATCH(ROWS($J$2:J15),$J$2:$J$1001,0),0), INDEX($Q$1004:$U$1004,1,MATCH(COLUMNS($Q$1006:T1006),$Q$1006:$U$1006,0)))),"Fix")))</f>
        <v xml:space="preserve"> </v>
      </c>
      <c r="F15" s="3" t="str">
        <f ca="1">IF(OR(INDEX($K$2:$K$1001,MATCH(ROWS($J$2:J15),$J$2:$J$1001,0),1)&gt;=100000,INDEX($Q$1005:$U$1005,1,MATCH(COLUMNS($Q$1006:U1006),$Q$1006:$U$1006,0))&gt;=100000), " ",IF(INDEX($Q$2:$U$1001,MATCH(ROWS($J$2:J15),$J$2:$J$1001,0),MATCH(COLUMNS($Q$1006:U1006),$Q$1006:$U$1006,0)), HYPERLINK("#",""), HYPERLINK(CONCATENATE("#metadata!", ADDRESS(INDEX($L$2:$L$1001,MATCH(ROWS($J$2:J15),$J$2:$J$1001,0),0), INDEX($Q$1004:$U$1004,1,MATCH(COLUMNS($Q$1006:U1006),$Q$1006:$U$1006,0)))),"Fix")))</f>
        <v xml:space="preserve"> </v>
      </c>
      <c r="J15">
        <v>14</v>
      </c>
      <c r="K15">
        <v>100015</v>
      </c>
      <c r="L15">
        <v>15</v>
      </c>
      <c r="M15" t="b">
        <f t="shared" si="0"/>
        <v>1</v>
      </c>
      <c r="N15" t="b">
        <f>COUNTBLANK(metadata!B15:F15)=COLUMNS(metadata!B15:F15)</f>
        <v>1</v>
      </c>
      <c r="O15" t="str">
        <v/>
      </c>
      <c r="Q15" t="b">
        <f ca="1">AND(IF(metadata!B15="",FALSE,TRUE),COUNTIF(metadata!B:B, metadata!B15) = 1,NOT(ISERROR(SUMPRODUCT(SEARCH(MID(metadata!B15,ROW(INDIRECT("1:"&amp;LEN(metadata!B15))), 1),"0123456789abcdefghijklmnopqrstuvwxyzABCDEFGHIJKLMNOPQRSTUVWXYZ.")))))</f>
        <v>0</v>
      </c>
      <c r="R15" t="b">
        <f>AND(IF(metadata!C15="",FALSE,TRUE),OR(EXACT(metadata!C15,"saline"),EXACT(metadata!C15,"non-saline")))</f>
        <v>0</v>
      </c>
      <c r="S15" t="b">
        <f>AND(IF(metadata!D15="",FALSE,TRUE),OR(EXACT(metadata!D15,"surface (non-saline)"),EXACT(metadata!D15,"aerosol (non-saline)"),EXACT(metadata!D15,"sediment (non-saline)"),EXACT(metadata!D15,"surface (saline)"),EXACT(metadata!D15,"aerosol (saline)"),EXACT(metadata!D15,"sediment (saline)")))</f>
        <v>0</v>
      </c>
      <c r="T15" t="b">
        <f>AND(IF(metadata!E15="",FALSE,TRUE),EXACT(metadata!E15,"built environment"))</f>
        <v>0</v>
      </c>
      <c r="U15" t="b">
        <f>OR(AND(IF(metadata!F15="",FALSE,TRUE),EXACT(metadata!F15,"not applicable")),AND(IF(metadata!F15="",FALSE,TRUE),EXACT(metadata!F15,"anaerobic digester content")))</f>
        <v>0</v>
      </c>
    </row>
    <row r="16" spans="1:21" x14ac:dyDescent="0.2">
      <c r="A16" s="4" t="str">
        <f ca="1">IF(B16=" "," ",HYPERLINK(CONCATENATE("#metadata!",ADDRESS(INDEX($L$2:$L$1001,MATCH(ROWS($J$2:J16),$J$2:$J$1001,0),0),1)),INDEX($O$2:$O$1001,MATCH(ROWS($J$2:J16),$J$2:$J$1001,0),0)))</f>
        <v xml:space="preserve"> </v>
      </c>
      <c r="B16" s="3" t="str">
        <f ca="1">IF(OR(INDEX($K$2:$K$1001,MATCH(ROWS($J$2:J16),$J$2:$J$1001,0),1)&gt;=100000,INDEX($Q$1005:$U$1005,1,MATCH(COLUMNS($Q$1006:Q1006),$Q$1006:$U$1006,0))&gt;=100000), " ",IF(INDEX($Q$2:$U$1001,MATCH(ROWS($J$2:J16),$J$2:$J$1001,0),MATCH(COLUMNS($Q$1006:Q1006),$Q$1006:$U$1006,0)), HYPERLINK("#",""), HYPERLINK(CONCATENATE("#metadata!", ADDRESS(INDEX($L$2:$L$1001,MATCH(ROWS($J$2:J16),$J$2:$J$1001,0),0), INDEX($Q$1004:$U$1004,1,MATCH(COLUMNS($Q$1006:Q1006),$Q$1006:$U$1006,0)))),"Fix")))</f>
        <v xml:space="preserve"> </v>
      </c>
      <c r="C16" s="3" t="str">
        <f ca="1">IF(OR(INDEX($K$2:$K$1001,MATCH(ROWS($J$2:J16),$J$2:$J$1001,0),1)&gt;=100000,INDEX($Q$1005:$U$1005,1,MATCH(COLUMNS($Q$1006:R1006),$Q$1006:$U$1006,0))&gt;=100000), " ",IF(INDEX($Q$2:$U$1001,MATCH(ROWS($J$2:J16),$J$2:$J$1001,0),MATCH(COLUMNS($Q$1006:R1006),$Q$1006:$U$1006,0)), HYPERLINK("#",""), HYPERLINK(CONCATENATE("#metadata!", ADDRESS(INDEX($L$2:$L$1001,MATCH(ROWS($J$2:J16),$J$2:$J$1001,0),0), INDEX($Q$1004:$U$1004,1,MATCH(COLUMNS($Q$1006:R1006),$Q$1006:$U$1006,0)))),"Fix")))</f>
        <v xml:space="preserve"> </v>
      </c>
      <c r="D16" s="3" t="str">
        <f ca="1">IF(OR(INDEX($K$2:$K$1001,MATCH(ROWS($J$2:J16),$J$2:$J$1001,0),1)&gt;=100000,INDEX($Q$1005:$U$1005,1,MATCH(COLUMNS($Q$1006:S1006),$Q$1006:$U$1006,0))&gt;=100000), " ",IF(INDEX($Q$2:$U$1001,MATCH(ROWS($J$2:J16),$J$2:$J$1001,0),MATCH(COLUMNS($Q$1006:S1006),$Q$1006:$U$1006,0)), HYPERLINK("#",""), HYPERLINK(CONCATENATE("#metadata!", ADDRESS(INDEX($L$2:$L$1001,MATCH(ROWS($J$2:J16),$J$2:$J$1001,0),0), INDEX($Q$1004:$U$1004,1,MATCH(COLUMNS($Q$1006:S1006),$Q$1006:$U$1006,0)))),"Fix")))</f>
        <v xml:space="preserve"> </v>
      </c>
      <c r="E16" s="3" t="str">
        <f ca="1">IF(OR(INDEX($K$2:$K$1001,MATCH(ROWS($J$2:J16),$J$2:$J$1001,0),1)&gt;=100000,INDEX($Q$1005:$U$1005,1,MATCH(COLUMNS($Q$1006:T1006),$Q$1006:$U$1006,0))&gt;=100000), " ",IF(INDEX($Q$2:$U$1001,MATCH(ROWS($J$2:J16),$J$2:$J$1001,0),MATCH(COLUMNS($Q$1006:T1006),$Q$1006:$U$1006,0)), HYPERLINK("#",""), HYPERLINK(CONCATENATE("#metadata!", ADDRESS(INDEX($L$2:$L$1001,MATCH(ROWS($J$2:J16),$J$2:$J$1001,0),0), INDEX($Q$1004:$U$1004,1,MATCH(COLUMNS($Q$1006:T1006),$Q$1006:$U$1006,0)))),"Fix")))</f>
        <v xml:space="preserve"> </v>
      </c>
      <c r="F16" s="3" t="str">
        <f ca="1">IF(OR(INDEX($K$2:$K$1001,MATCH(ROWS($J$2:J16),$J$2:$J$1001,0),1)&gt;=100000,INDEX($Q$1005:$U$1005,1,MATCH(COLUMNS($Q$1006:U1006),$Q$1006:$U$1006,0))&gt;=100000), " ",IF(INDEX($Q$2:$U$1001,MATCH(ROWS($J$2:J16),$J$2:$J$1001,0),MATCH(COLUMNS($Q$1006:U1006),$Q$1006:$U$1006,0)), HYPERLINK("#",""), HYPERLINK(CONCATENATE("#metadata!", ADDRESS(INDEX($L$2:$L$1001,MATCH(ROWS($J$2:J16),$J$2:$J$1001,0),0), INDEX($Q$1004:$U$1004,1,MATCH(COLUMNS($Q$1006:U1006),$Q$1006:$U$1006,0)))),"Fix")))</f>
        <v xml:space="preserve"> </v>
      </c>
      <c r="J16">
        <v>15</v>
      </c>
      <c r="K16">
        <v>100016</v>
      </c>
      <c r="L16">
        <v>16</v>
      </c>
      <c r="M16" t="b">
        <f t="shared" si="0"/>
        <v>1</v>
      </c>
      <c r="N16" t="b">
        <f>COUNTBLANK(metadata!B16:F16)=COLUMNS(metadata!B16:F16)</f>
        <v>1</v>
      </c>
      <c r="O16" t="str">
        <v/>
      </c>
      <c r="Q16" t="b">
        <f ca="1">AND(IF(metadata!B16="",FALSE,TRUE),COUNTIF(metadata!B:B, metadata!B16) = 1,NOT(ISERROR(SUMPRODUCT(SEARCH(MID(metadata!B16,ROW(INDIRECT("1:"&amp;LEN(metadata!B16))), 1),"0123456789abcdefghijklmnopqrstuvwxyzABCDEFGHIJKLMNOPQRSTUVWXYZ.")))))</f>
        <v>0</v>
      </c>
      <c r="R16" t="b">
        <f>AND(IF(metadata!C16="",FALSE,TRUE),OR(EXACT(metadata!C16,"saline"),EXACT(metadata!C16,"non-saline")))</f>
        <v>0</v>
      </c>
      <c r="S16" t="b">
        <f>AND(IF(metadata!D16="",FALSE,TRUE),OR(EXACT(metadata!D16,"surface (non-saline)"),EXACT(metadata!D16,"aerosol (non-saline)"),EXACT(metadata!D16,"sediment (non-saline)"),EXACT(metadata!D16,"surface (saline)"),EXACT(metadata!D16,"aerosol (saline)"),EXACT(metadata!D16,"sediment (saline)")))</f>
        <v>0</v>
      </c>
      <c r="T16" t="b">
        <f>AND(IF(metadata!E16="",FALSE,TRUE),EXACT(metadata!E16,"built environment"))</f>
        <v>0</v>
      </c>
      <c r="U16" t="b">
        <f>OR(AND(IF(metadata!F16="",FALSE,TRUE),EXACT(metadata!F16,"not applicable")),AND(IF(metadata!F16="",FALSE,TRUE),EXACT(metadata!F16,"anaerobic digester content")))</f>
        <v>0</v>
      </c>
    </row>
    <row r="17" spans="1:21" x14ac:dyDescent="0.2">
      <c r="A17" s="4" t="str">
        <f ca="1">IF(B17=" "," ",HYPERLINK(CONCATENATE("#metadata!",ADDRESS(INDEX($L$2:$L$1001,MATCH(ROWS($J$2:J17),$J$2:$J$1001,0),0),1)),INDEX($O$2:$O$1001,MATCH(ROWS($J$2:J17),$J$2:$J$1001,0),0)))</f>
        <v xml:space="preserve"> </v>
      </c>
      <c r="B17" s="3" t="str">
        <f ca="1">IF(OR(INDEX($K$2:$K$1001,MATCH(ROWS($J$2:J17),$J$2:$J$1001,0),1)&gt;=100000,INDEX($Q$1005:$U$1005,1,MATCH(COLUMNS($Q$1006:Q1006),$Q$1006:$U$1006,0))&gt;=100000), " ",IF(INDEX($Q$2:$U$1001,MATCH(ROWS($J$2:J17),$J$2:$J$1001,0),MATCH(COLUMNS($Q$1006:Q1006),$Q$1006:$U$1006,0)), HYPERLINK("#",""), HYPERLINK(CONCATENATE("#metadata!", ADDRESS(INDEX($L$2:$L$1001,MATCH(ROWS($J$2:J17),$J$2:$J$1001,0),0), INDEX($Q$1004:$U$1004,1,MATCH(COLUMNS($Q$1006:Q1006),$Q$1006:$U$1006,0)))),"Fix")))</f>
        <v xml:space="preserve"> </v>
      </c>
      <c r="C17" s="3" t="str">
        <f ca="1">IF(OR(INDEX($K$2:$K$1001,MATCH(ROWS($J$2:J17),$J$2:$J$1001,0),1)&gt;=100000,INDEX($Q$1005:$U$1005,1,MATCH(COLUMNS($Q$1006:R1006),$Q$1006:$U$1006,0))&gt;=100000), " ",IF(INDEX($Q$2:$U$1001,MATCH(ROWS($J$2:J17),$J$2:$J$1001,0),MATCH(COLUMNS($Q$1006:R1006),$Q$1006:$U$1006,0)), HYPERLINK("#",""), HYPERLINK(CONCATENATE("#metadata!", ADDRESS(INDEX($L$2:$L$1001,MATCH(ROWS($J$2:J17),$J$2:$J$1001,0),0), INDEX($Q$1004:$U$1004,1,MATCH(COLUMNS($Q$1006:R1006),$Q$1006:$U$1006,0)))),"Fix")))</f>
        <v xml:space="preserve"> </v>
      </c>
      <c r="D17" s="3" t="str">
        <f ca="1">IF(OR(INDEX($K$2:$K$1001,MATCH(ROWS($J$2:J17),$J$2:$J$1001,0),1)&gt;=100000,INDEX($Q$1005:$U$1005,1,MATCH(COLUMNS($Q$1006:S1006),$Q$1006:$U$1006,0))&gt;=100000), " ",IF(INDEX($Q$2:$U$1001,MATCH(ROWS($J$2:J17),$J$2:$J$1001,0),MATCH(COLUMNS($Q$1006:S1006),$Q$1006:$U$1006,0)), HYPERLINK("#",""), HYPERLINK(CONCATENATE("#metadata!", ADDRESS(INDEX($L$2:$L$1001,MATCH(ROWS($J$2:J17),$J$2:$J$1001,0),0), INDEX($Q$1004:$U$1004,1,MATCH(COLUMNS($Q$1006:S1006),$Q$1006:$U$1006,0)))),"Fix")))</f>
        <v xml:space="preserve"> </v>
      </c>
      <c r="E17" s="3" t="str">
        <f ca="1">IF(OR(INDEX($K$2:$K$1001,MATCH(ROWS($J$2:J17),$J$2:$J$1001,0),1)&gt;=100000,INDEX($Q$1005:$U$1005,1,MATCH(COLUMNS($Q$1006:T1006),$Q$1006:$U$1006,0))&gt;=100000), " ",IF(INDEX($Q$2:$U$1001,MATCH(ROWS($J$2:J17),$J$2:$J$1001,0),MATCH(COLUMNS($Q$1006:T1006),$Q$1006:$U$1006,0)), HYPERLINK("#",""), HYPERLINK(CONCATENATE("#metadata!", ADDRESS(INDEX($L$2:$L$1001,MATCH(ROWS($J$2:J17),$J$2:$J$1001,0),0), INDEX($Q$1004:$U$1004,1,MATCH(COLUMNS($Q$1006:T1006),$Q$1006:$U$1006,0)))),"Fix")))</f>
        <v xml:space="preserve"> </v>
      </c>
      <c r="F17" s="3" t="str">
        <f ca="1">IF(OR(INDEX($K$2:$K$1001,MATCH(ROWS($J$2:J17),$J$2:$J$1001,0),1)&gt;=100000,INDEX($Q$1005:$U$1005,1,MATCH(COLUMNS($Q$1006:U1006),$Q$1006:$U$1006,0))&gt;=100000), " ",IF(INDEX($Q$2:$U$1001,MATCH(ROWS($J$2:J17),$J$2:$J$1001,0),MATCH(COLUMNS($Q$1006:U1006),$Q$1006:$U$1006,0)), HYPERLINK("#",""), HYPERLINK(CONCATENATE("#metadata!", ADDRESS(INDEX($L$2:$L$1001,MATCH(ROWS($J$2:J17),$J$2:$J$1001,0),0), INDEX($Q$1004:$U$1004,1,MATCH(COLUMNS($Q$1006:U1006),$Q$1006:$U$1006,0)))),"Fix")))</f>
        <v xml:space="preserve"> </v>
      </c>
      <c r="J17">
        <v>16</v>
      </c>
      <c r="K17">
        <v>100017</v>
      </c>
      <c r="L17">
        <v>17</v>
      </c>
      <c r="M17" t="b">
        <f t="shared" si="0"/>
        <v>1</v>
      </c>
      <c r="N17" t="b">
        <f>COUNTBLANK(metadata!B17:F17)=COLUMNS(metadata!B17:F17)</f>
        <v>1</v>
      </c>
      <c r="O17" t="str">
        <v/>
      </c>
      <c r="Q17" t="b">
        <f ca="1">AND(IF(metadata!B17="",FALSE,TRUE),COUNTIF(metadata!B:B, metadata!B17) = 1,NOT(ISERROR(SUMPRODUCT(SEARCH(MID(metadata!B17,ROW(INDIRECT("1:"&amp;LEN(metadata!B17))), 1),"0123456789abcdefghijklmnopqrstuvwxyzABCDEFGHIJKLMNOPQRSTUVWXYZ.")))))</f>
        <v>0</v>
      </c>
      <c r="R17" t="b">
        <f>AND(IF(metadata!C17="",FALSE,TRUE),OR(EXACT(metadata!C17,"saline"),EXACT(metadata!C17,"non-saline")))</f>
        <v>0</v>
      </c>
      <c r="S17" t="b">
        <f>AND(IF(metadata!D17="",FALSE,TRUE),OR(EXACT(metadata!D17,"surface (non-saline)"),EXACT(metadata!D17,"aerosol (non-saline)"),EXACT(metadata!D17,"sediment (non-saline)"),EXACT(metadata!D17,"surface (saline)"),EXACT(metadata!D17,"aerosol (saline)"),EXACT(metadata!D17,"sediment (saline)")))</f>
        <v>0</v>
      </c>
      <c r="T17" t="b">
        <f>AND(IF(metadata!E17="",FALSE,TRUE),EXACT(metadata!E17,"built environment"))</f>
        <v>0</v>
      </c>
      <c r="U17" t="b">
        <f>OR(AND(IF(metadata!F17="",FALSE,TRUE),EXACT(metadata!F17,"not applicable")),AND(IF(metadata!F17="",FALSE,TRUE),EXACT(metadata!F17,"anaerobic digester content")))</f>
        <v>0</v>
      </c>
    </row>
    <row r="18" spans="1:21" x14ac:dyDescent="0.2">
      <c r="A18" s="4" t="str">
        <f ca="1">IF(B18=" "," ",HYPERLINK(CONCATENATE("#metadata!",ADDRESS(INDEX($L$2:$L$1001,MATCH(ROWS($J$2:J18),$J$2:$J$1001,0),0),1)),INDEX($O$2:$O$1001,MATCH(ROWS($J$2:J18),$J$2:$J$1001,0),0)))</f>
        <v xml:space="preserve"> </v>
      </c>
      <c r="B18" s="3" t="str">
        <f ca="1">IF(OR(INDEX($K$2:$K$1001,MATCH(ROWS($J$2:J18),$J$2:$J$1001,0),1)&gt;=100000,INDEX($Q$1005:$U$1005,1,MATCH(COLUMNS($Q$1006:Q1006),$Q$1006:$U$1006,0))&gt;=100000), " ",IF(INDEX($Q$2:$U$1001,MATCH(ROWS($J$2:J18),$J$2:$J$1001,0),MATCH(COLUMNS($Q$1006:Q1006),$Q$1006:$U$1006,0)), HYPERLINK("#",""), HYPERLINK(CONCATENATE("#metadata!", ADDRESS(INDEX($L$2:$L$1001,MATCH(ROWS($J$2:J18),$J$2:$J$1001,0),0), INDEX($Q$1004:$U$1004,1,MATCH(COLUMNS($Q$1006:Q1006),$Q$1006:$U$1006,0)))),"Fix")))</f>
        <v xml:space="preserve"> </v>
      </c>
      <c r="C18" s="3" t="str">
        <f ca="1">IF(OR(INDEX($K$2:$K$1001,MATCH(ROWS($J$2:J18),$J$2:$J$1001,0),1)&gt;=100000,INDEX($Q$1005:$U$1005,1,MATCH(COLUMNS($Q$1006:R1006),$Q$1006:$U$1006,0))&gt;=100000), " ",IF(INDEX($Q$2:$U$1001,MATCH(ROWS($J$2:J18),$J$2:$J$1001,0),MATCH(COLUMNS($Q$1006:R1006),$Q$1006:$U$1006,0)), HYPERLINK("#",""), HYPERLINK(CONCATENATE("#metadata!", ADDRESS(INDEX($L$2:$L$1001,MATCH(ROWS($J$2:J18),$J$2:$J$1001,0),0), INDEX($Q$1004:$U$1004,1,MATCH(COLUMNS($Q$1006:R1006),$Q$1006:$U$1006,0)))),"Fix")))</f>
        <v xml:space="preserve"> </v>
      </c>
      <c r="D18" s="3" t="str">
        <f ca="1">IF(OR(INDEX($K$2:$K$1001,MATCH(ROWS($J$2:J18),$J$2:$J$1001,0),1)&gt;=100000,INDEX($Q$1005:$U$1005,1,MATCH(COLUMNS($Q$1006:S1006),$Q$1006:$U$1006,0))&gt;=100000), " ",IF(INDEX($Q$2:$U$1001,MATCH(ROWS($J$2:J18),$J$2:$J$1001,0),MATCH(COLUMNS($Q$1006:S1006),$Q$1006:$U$1006,0)), HYPERLINK("#",""), HYPERLINK(CONCATENATE("#metadata!", ADDRESS(INDEX($L$2:$L$1001,MATCH(ROWS($J$2:J18),$J$2:$J$1001,0),0), INDEX($Q$1004:$U$1004,1,MATCH(COLUMNS($Q$1006:S1006),$Q$1006:$U$1006,0)))),"Fix")))</f>
        <v xml:space="preserve"> </v>
      </c>
      <c r="E18" s="3" t="str">
        <f ca="1">IF(OR(INDEX($K$2:$K$1001,MATCH(ROWS($J$2:J18),$J$2:$J$1001,0),1)&gt;=100000,INDEX($Q$1005:$U$1005,1,MATCH(COLUMNS($Q$1006:T1006),$Q$1006:$U$1006,0))&gt;=100000), " ",IF(INDEX($Q$2:$U$1001,MATCH(ROWS($J$2:J18),$J$2:$J$1001,0),MATCH(COLUMNS($Q$1006:T1006),$Q$1006:$U$1006,0)), HYPERLINK("#",""), HYPERLINK(CONCATENATE("#metadata!", ADDRESS(INDEX($L$2:$L$1001,MATCH(ROWS($J$2:J18),$J$2:$J$1001,0),0), INDEX($Q$1004:$U$1004,1,MATCH(COLUMNS($Q$1006:T1006),$Q$1006:$U$1006,0)))),"Fix")))</f>
        <v xml:space="preserve"> </v>
      </c>
      <c r="F18" s="3" t="str">
        <f ca="1">IF(OR(INDEX($K$2:$K$1001,MATCH(ROWS($J$2:J18),$J$2:$J$1001,0),1)&gt;=100000,INDEX($Q$1005:$U$1005,1,MATCH(COLUMNS($Q$1006:U1006),$Q$1006:$U$1006,0))&gt;=100000), " ",IF(INDEX($Q$2:$U$1001,MATCH(ROWS($J$2:J18),$J$2:$J$1001,0),MATCH(COLUMNS($Q$1006:U1006),$Q$1006:$U$1006,0)), HYPERLINK("#",""), HYPERLINK(CONCATENATE("#metadata!", ADDRESS(INDEX($L$2:$L$1001,MATCH(ROWS($J$2:J18),$J$2:$J$1001,0),0), INDEX($Q$1004:$U$1004,1,MATCH(COLUMNS($Q$1006:U1006),$Q$1006:$U$1006,0)))),"Fix")))</f>
        <v xml:space="preserve"> </v>
      </c>
      <c r="J18">
        <v>17</v>
      </c>
      <c r="K18">
        <v>100018</v>
      </c>
      <c r="L18">
        <v>18</v>
      </c>
      <c r="M18" t="b">
        <f t="shared" si="0"/>
        <v>1</v>
      </c>
      <c r="N18" t="b">
        <f>COUNTBLANK(metadata!B18:F18)=COLUMNS(metadata!B18:F18)</f>
        <v>1</v>
      </c>
      <c r="O18" t="str">
        <v/>
      </c>
      <c r="Q18" t="b">
        <f ca="1">AND(IF(metadata!B18="",FALSE,TRUE),COUNTIF(metadata!B:B, metadata!B18) = 1,NOT(ISERROR(SUMPRODUCT(SEARCH(MID(metadata!B18,ROW(INDIRECT("1:"&amp;LEN(metadata!B18))), 1),"0123456789abcdefghijklmnopqrstuvwxyzABCDEFGHIJKLMNOPQRSTUVWXYZ.")))))</f>
        <v>0</v>
      </c>
      <c r="R18" t="b">
        <f>AND(IF(metadata!C18="",FALSE,TRUE),OR(EXACT(metadata!C18,"saline"),EXACT(metadata!C18,"non-saline")))</f>
        <v>0</v>
      </c>
      <c r="S18" t="b">
        <f>AND(IF(metadata!D18="",FALSE,TRUE),OR(EXACT(metadata!D18,"surface (non-saline)"),EXACT(metadata!D18,"aerosol (non-saline)"),EXACT(metadata!D18,"sediment (non-saline)"),EXACT(metadata!D18,"surface (saline)"),EXACT(metadata!D18,"aerosol (saline)"),EXACT(metadata!D18,"sediment (saline)")))</f>
        <v>0</v>
      </c>
      <c r="T18" t="b">
        <f>AND(IF(metadata!E18="",FALSE,TRUE),EXACT(metadata!E18,"built environment"))</f>
        <v>0</v>
      </c>
      <c r="U18" t="b">
        <f>OR(AND(IF(metadata!F18="",FALSE,TRUE),EXACT(metadata!F18,"not applicable")),AND(IF(metadata!F18="",FALSE,TRUE),EXACT(metadata!F18,"anaerobic digester content")))</f>
        <v>0</v>
      </c>
    </row>
    <row r="19" spans="1:21" x14ac:dyDescent="0.2">
      <c r="A19" s="4" t="str">
        <f ca="1">IF(B19=" "," ",HYPERLINK(CONCATENATE("#metadata!",ADDRESS(INDEX($L$2:$L$1001,MATCH(ROWS($J$2:J19),$J$2:$J$1001,0),0),1)),INDEX($O$2:$O$1001,MATCH(ROWS($J$2:J19),$J$2:$J$1001,0),0)))</f>
        <v xml:space="preserve"> </v>
      </c>
      <c r="B19" s="3" t="str">
        <f ca="1">IF(OR(INDEX($K$2:$K$1001,MATCH(ROWS($J$2:J19),$J$2:$J$1001,0),1)&gt;=100000,INDEX($Q$1005:$U$1005,1,MATCH(COLUMNS($Q$1006:Q1006),$Q$1006:$U$1006,0))&gt;=100000), " ",IF(INDEX($Q$2:$U$1001,MATCH(ROWS($J$2:J19),$J$2:$J$1001,0),MATCH(COLUMNS($Q$1006:Q1006),$Q$1006:$U$1006,0)), HYPERLINK("#",""), HYPERLINK(CONCATENATE("#metadata!", ADDRESS(INDEX($L$2:$L$1001,MATCH(ROWS($J$2:J19),$J$2:$J$1001,0),0), INDEX($Q$1004:$U$1004,1,MATCH(COLUMNS($Q$1006:Q1006),$Q$1006:$U$1006,0)))),"Fix")))</f>
        <v xml:space="preserve"> </v>
      </c>
      <c r="C19" s="3" t="str">
        <f ca="1">IF(OR(INDEX($K$2:$K$1001,MATCH(ROWS($J$2:J19),$J$2:$J$1001,0),1)&gt;=100000,INDEX($Q$1005:$U$1005,1,MATCH(COLUMNS($Q$1006:R1006),$Q$1006:$U$1006,0))&gt;=100000), " ",IF(INDEX($Q$2:$U$1001,MATCH(ROWS($J$2:J19),$J$2:$J$1001,0),MATCH(COLUMNS($Q$1006:R1006),$Q$1006:$U$1006,0)), HYPERLINK("#",""), HYPERLINK(CONCATENATE("#metadata!", ADDRESS(INDEX($L$2:$L$1001,MATCH(ROWS($J$2:J19),$J$2:$J$1001,0),0), INDEX($Q$1004:$U$1004,1,MATCH(COLUMNS($Q$1006:R1006),$Q$1006:$U$1006,0)))),"Fix")))</f>
        <v xml:space="preserve"> </v>
      </c>
      <c r="D19" s="3" t="str">
        <f ca="1">IF(OR(INDEX($K$2:$K$1001,MATCH(ROWS($J$2:J19),$J$2:$J$1001,0),1)&gt;=100000,INDEX($Q$1005:$U$1005,1,MATCH(COLUMNS($Q$1006:S1006),$Q$1006:$U$1006,0))&gt;=100000), " ",IF(INDEX($Q$2:$U$1001,MATCH(ROWS($J$2:J19),$J$2:$J$1001,0),MATCH(COLUMNS($Q$1006:S1006),$Q$1006:$U$1006,0)), HYPERLINK("#",""), HYPERLINK(CONCATENATE("#metadata!", ADDRESS(INDEX($L$2:$L$1001,MATCH(ROWS($J$2:J19),$J$2:$J$1001,0),0), INDEX($Q$1004:$U$1004,1,MATCH(COLUMNS($Q$1006:S1006),$Q$1006:$U$1006,0)))),"Fix")))</f>
        <v xml:space="preserve"> </v>
      </c>
      <c r="E19" s="3" t="str">
        <f ca="1">IF(OR(INDEX($K$2:$K$1001,MATCH(ROWS($J$2:J19),$J$2:$J$1001,0),1)&gt;=100000,INDEX($Q$1005:$U$1005,1,MATCH(COLUMNS($Q$1006:T1006),$Q$1006:$U$1006,0))&gt;=100000), " ",IF(INDEX($Q$2:$U$1001,MATCH(ROWS($J$2:J19),$J$2:$J$1001,0),MATCH(COLUMNS($Q$1006:T1006),$Q$1006:$U$1006,0)), HYPERLINK("#",""), HYPERLINK(CONCATENATE("#metadata!", ADDRESS(INDEX($L$2:$L$1001,MATCH(ROWS($J$2:J19),$J$2:$J$1001,0),0), INDEX($Q$1004:$U$1004,1,MATCH(COLUMNS($Q$1006:T1006),$Q$1006:$U$1006,0)))),"Fix")))</f>
        <v xml:space="preserve"> </v>
      </c>
      <c r="F19" s="3" t="str">
        <f ca="1">IF(OR(INDEX($K$2:$K$1001,MATCH(ROWS($J$2:J19),$J$2:$J$1001,0),1)&gt;=100000,INDEX($Q$1005:$U$1005,1,MATCH(COLUMNS($Q$1006:U1006),$Q$1006:$U$1006,0))&gt;=100000), " ",IF(INDEX($Q$2:$U$1001,MATCH(ROWS($J$2:J19),$J$2:$J$1001,0),MATCH(COLUMNS($Q$1006:U1006),$Q$1006:$U$1006,0)), HYPERLINK("#",""), HYPERLINK(CONCATENATE("#metadata!", ADDRESS(INDEX($L$2:$L$1001,MATCH(ROWS($J$2:J19),$J$2:$J$1001,0),0), INDEX($Q$1004:$U$1004,1,MATCH(COLUMNS($Q$1006:U1006),$Q$1006:$U$1006,0)))),"Fix")))</f>
        <v xml:space="preserve"> </v>
      </c>
      <c r="J19">
        <v>18</v>
      </c>
      <c r="K19">
        <v>100019</v>
      </c>
      <c r="L19">
        <v>19</v>
      </c>
      <c r="M19" t="b">
        <f t="shared" si="0"/>
        <v>1</v>
      </c>
      <c r="N19" t="b">
        <f>COUNTBLANK(metadata!B19:F19)=COLUMNS(metadata!B19:F19)</f>
        <v>1</v>
      </c>
      <c r="O19" t="str">
        <v/>
      </c>
      <c r="Q19" t="b">
        <f ca="1">AND(IF(metadata!B19="",FALSE,TRUE),COUNTIF(metadata!B:B, metadata!B19) = 1,NOT(ISERROR(SUMPRODUCT(SEARCH(MID(metadata!B19,ROW(INDIRECT("1:"&amp;LEN(metadata!B19))), 1),"0123456789abcdefghijklmnopqrstuvwxyzABCDEFGHIJKLMNOPQRSTUVWXYZ.")))))</f>
        <v>0</v>
      </c>
      <c r="R19" t="b">
        <f>AND(IF(metadata!C19="",FALSE,TRUE),OR(EXACT(metadata!C19,"saline"),EXACT(metadata!C19,"non-saline")))</f>
        <v>0</v>
      </c>
      <c r="S19" t="b">
        <f>AND(IF(metadata!D19="",FALSE,TRUE),OR(EXACT(metadata!D19,"surface (non-saline)"),EXACT(metadata!D19,"aerosol (non-saline)"),EXACT(metadata!D19,"sediment (non-saline)"),EXACT(metadata!D19,"surface (saline)"),EXACT(metadata!D19,"aerosol (saline)"),EXACT(metadata!D19,"sediment (saline)")))</f>
        <v>0</v>
      </c>
      <c r="T19" t="b">
        <f>AND(IF(metadata!E19="",FALSE,TRUE),EXACT(metadata!E19,"built environment"))</f>
        <v>0</v>
      </c>
      <c r="U19" t="b">
        <f>OR(AND(IF(metadata!F19="",FALSE,TRUE),EXACT(metadata!F19,"not applicable")),AND(IF(metadata!F19="",FALSE,TRUE),EXACT(metadata!F19,"anaerobic digester content")))</f>
        <v>0</v>
      </c>
    </row>
    <row r="20" spans="1:21" x14ac:dyDescent="0.2">
      <c r="A20" s="4" t="str">
        <f ca="1">IF(B20=" "," ",HYPERLINK(CONCATENATE("#metadata!",ADDRESS(INDEX($L$2:$L$1001,MATCH(ROWS($J$2:J20),$J$2:$J$1001,0),0),1)),INDEX($O$2:$O$1001,MATCH(ROWS($J$2:J20),$J$2:$J$1001,0),0)))</f>
        <v xml:space="preserve"> </v>
      </c>
      <c r="B20" s="3" t="str">
        <f ca="1">IF(OR(INDEX($K$2:$K$1001,MATCH(ROWS($J$2:J20),$J$2:$J$1001,0),1)&gt;=100000,INDEX($Q$1005:$U$1005,1,MATCH(COLUMNS($Q$1006:Q1006),$Q$1006:$U$1006,0))&gt;=100000), " ",IF(INDEX($Q$2:$U$1001,MATCH(ROWS($J$2:J20),$J$2:$J$1001,0),MATCH(COLUMNS($Q$1006:Q1006),$Q$1006:$U$1006,0)), HYPERLINK("#",""), HYPERLINK(CONCATENATE("#metadata!", ADDRESS(INDEX($L$2:$L$1001,MATCH(ROWS($J$2:J20),$J$2:$J$1001,0),0), INDEX($Q$1004:$U$1004,1,MATCH(COLUMNS($Q$1006:Q1006),$Q$1006:$U$1006,0)))),"Fix")))</f>
        <v xml:space="preserve"> </v>
      </c>
      <c r="C20" s="3" t="str">
        <f ca="1">IF(OR(INDEX($K$2:$K$1001,MATCH(ROWS($J$2:J20),$J$2:$J$1001,0),1)&gt;=100000,INDEX($Q$1005:$U$1005,1,MATCH(COLUMNS($Q$1006:R1006),$Q$1006:$U$1006,0))&gt;=100000), " ",IF(INDEX($Q$2:$U$1001,MATCH(ROWS($J$2:J20),$J$2:$J$1001,0),MATCH(COLUMNS($Q$1006:R1006),$Q$1006:$U$1006,0)), HYPERLINK("#",""), HYPERLINK(CONCATENATE("#metadata!", ADDRESS(INDEX($L$2:$L$1001,MATCH(ROWS($J$2:J20),$J$2:$J$1001,0),0), INDEX($Q$1004:$U$1004,1,MATCH(COLUMNS($Q$1006:R1006),$Q$1006:$U$1006,0)))),"Fix")))</f>
        <v xml:space="preserve"> </v>
      </c>
      <c r="D20" s="3" t="str">
        <f ca="1">IF(OR(INDEX($K$2:$K$1001,MATCH(ROWS($J$2:J20),$J$2:$J$1001,0),1)&gt;=100000,INDEX($Q$1005:$U$1005,1,MATCH(COLUMNS($Q$1006:S1006),$Q$1006:$U$1006,0))&gt;=100000), " ",IF(INDEX($Q$2:$U$1001,MATCH(ROWS($J$2:J20),$J$2:$J$1001,0),MATCH(COLUMNS($Q$1006:S1006),$Q$1006:$U$1006,0)), HYPERLINK("#",""), HYPERLINK(CONCATENATE("#metadata!", ADDRESS(INDEX($L$2:$L$1001,MATCH(ROWS($J$2:J20),$J$2:$J$1001,0),0), INDEX($Q$1004:$U$1004,1,MATCH(COLUMNS($Q$1006:S1006),$Q$1006:$U$1006,0)))),"Fix")))</f>
        <v xml:space="preserve"> </v>
      </c>
      <c r="E20" s="3" t="str">
        <f ca="1">IF(OR(INDEX($K$2:$K$1001,MATCH(ROWS($J$2:J20),$J$2:$J$1001,0),1)&gt;=100000,INDEX($Q$1005:$U$1005,1,MATCH(COLUMNS($Q$1006:T1006),$Q$1006:$U$1006,0))&gt;=100000), " ",IF(INDEX($Q$2:$U$1001,MATCH(ROWS($J$2:J20),$J$2:$J$1001,0),MATCH(COLUMNS($Q$1006:T1006),$Q$1006:$U$1006,0)), HYPERLINK("#",""), HYPERLINK(CONCATENATE("#metadata!", ADDRESS(INDEX($L$2:$L$1001,MATCH(ROWS($J$2:J20),$J$2:$J$1001,0),0), INDEX($Q$1004:$U$1004,1,MATCH(COLUMNS($Q$1006:T1006),$Q$1006:$U$1006,0)))),"Fix")))</f>
        <v xml:space="preserve"> </v>
      </c>
      <c r="F20" s="3" t="str">
        <f ca="1">IF(OR(INDEX($K$2:$K$1001,MATCH(ROWS($J$2:J20),$J$2:$J$1001,0),1)&gt;=100000,INDEX($Q$1005:$U$1005,1,MATCH(COLUMNS($Q$1006:U1006),$Q$1006:$U$1006,0))&gt;=100000), " ",IF(INDEX($Q$2:$U$1001,MATCH(ROWS($J$2:J20),$J$2:$J$1001,0),MATCH(COLUMNS($Q$1006:U1006),$Q$1006:$U$1006,0)), HYPERLINK("#",""), HYPERLINK(CONCATENATE("#metadata!", ADDRESS(INDEX($L$2:$L$1001,MATCH(ROWS($J$2:J20),$J$2:$J$1001,0),0), INDEX($Q$1004:$U$1004,1,MATCH(COLUMNS($Q$1006:U1006),$Q$1006:$U$1006,0)))),"Fix")))</f>
        <v xml:space="preserve"> </v>
      </c>
      <c r="J20">
        <v>19</v>
      </c>
      <c r="K20">
        <v>100020</v>
      </c>
      <c r="L20">
        <v>20</v>
      </c>
      <c r="M20" t="b">
        <f t="shared" si="0"/>
        <v>1</v>
      </c>
      <c r="N20" t="b">
        <f>COUNTBLANK(metadata!B20:F20)=COLUMNS(metadata!B20:F20)</f>
        <v>1</v>
      </c>
      <c r="O20" t="str">
        <v/>
      </c>
      <c r="Q20" t="b">
        <f ca="1">AND(IF(metadata!B20="",FALSE,TRUE),COUNTIF(metadata!B:B, metadata!B20) = 1,NOT(ISERROR(SUMPRODUCT(SEARCH(MID(metadata!B20,ROW(INDIRECT("1:"&amp;LEN(metadata!B20))), 1),"0123456789abcdefghijklmnopqrstuvwxyzABCDEFGHIJKLMNOPQRSTUVWXYZ.")))))</f>
        <v>0</v>
      </c>
      <c r="R20" t="b">
        <f>AND(IF(metadata!C20="",FALSE,TRUE),OR(EXACT(metadata!C20,"saline"),EXACT(metadata!C20,"non-saline")))</f>
        <v>0</v>
      </c>
      <c r="S20" t="b">
        <f>AND(IF(metadata!D20="",FALSE,TRUE),OR(EXACT(metadata!D20,"surface (non-saline)"),EXACT(metadata!D20,"aerosol (non-saline)"),EXACT(metadata!D20,"sediment (non-saline)"),EXACT(metadata!D20,"surface (saline)"),EXACT(metadata!D20,"aerosol (saline)"),EXACT(metadata!D20,"sediment (saline)")))</f>
        <v>0</v>
      </c>
      <c r="T20" t="b">
        <f>AND(IF(metadata!E20="",FALSE,TRUE),EXACT(metadata!E20,"built environment"))</f>
        <v>0</v>
      </c>
      <c r="U20" t="b">
        <f>OR(AND(IF(metadata!F20="",FALSE,TRUE),EXACT(metadata!F20,"not applicable")),AND(IF(metadata!F20="",FALSE,TRUE),EXACT(metadata!F20,"anaerobic digester content")))</f>
        <v>0</v>
      </c>
    </row>
    <row r="21" spans="1:21" x14ac:dyDescent="0.2">
      <c r="A21" s="4" t="str">
        <f ca="1">IF(B21=" "," ",HYPERLINK(CONCATENATE("#metadata!",ADDRESS(INDEX($L$2:$L$1001,MATCH(ROWS($J$2:J21),$J$2:$J$1001,0),0),1)),INDEX($O$2:$O$1001,MATCH(ROWS($J$2:J21),$J$2:$J$1001,0),0)))</f>
        <v xml:space="preserve"> </v>
      </c>
      <c r="B21" s="3" t="str">
        <f ca="1">IF(OR(INDEX($K$2:$K$1001,MATCH(ROWS($J$2:J21),$J$2:$J$1001,0),1)&gt;=100000,INDEX($Q$1005:$U$1005,1,MATCH(COLUMNS($Q$1006:Q1006),$Q$1006:$U$1006,0))&gt;=100000), " ",IF(INDEX($Q$2:$U$1001,MATCH(ROWS($J$2:J21),$J$2:$J$1001,0),MATCH(COLUMNS($Q$1006:Q1006),$Q$1006:$U$1006,0)), HYPERLINK("#",""), HYPERLINK(CONCATENATE("#metadata!", ADDRESS(INDEX($L$2:$L$1001,MATCH(ROWS($J$2:J21),$J$2:$J$1001,0),0), INDEX($Q$1004:$U$1004,1,MATCH(COLUMNS($Q$1006:Q1006),$Q$1006:$U$1006,0)))),"Fix")))</f>
        <v xml:space="preserve"> </v>
      </c>
      <c r="C21" s="3" t="str">
        <f ca="1">IF(OR(INDEX($K$2:$K$1001,MATCH(ROWS($J$2:J21),$J$2:$J$1001,0),1)&gt;=100000,INDEX($Q$1005:$U$1005,1,MATCH(COLUMNS($Q$1006:R1006),$Q$1006:$U$1006,0))&gt;=100000), " ",IF(INDEX($Q$2:$U$1001,MATCH(ROWS($J$2:J21),$J$2:$J$1001,0),MATCH(COLUMNS($Q$1006:R1006),$Q$1006:$U$1006,0)), HYPERLINK("#",""), HYPERLINK(CONCATENATE("#metadata!", ADDRESS(INDEX($L$2:$L$1001,MATCH(ROWS($J$2:J21),$J$2:$J$1001,0),0), INDEX($Q$1004:$U$1004,1,MATCH(COLUMNS($Q$1006:R1006),$Q$1006:$U$1006,0)))),"Fix")))</f>
        <v xml:space="preserve"> </v>
      </c>
      <c r="D21" s="3" t="str">
        <f ca="1">IF(OR(INDEX($K$2:$K$1001,MATCH(ROWS($J$2:J21),$J$2:$J$1001,0),1)&gt;=100000,INDEX($Q$1005:$U$1005,1,MATCH(COLUMNS($Q$1006:S1006),$Q$1006:$U$1006,0))&gt;=100000), " ",IF(INDEX($Q$2:$U$1001,MATCH(ROWS($J$2:J21),$J$2:$J$1001,0),MATCH(COLUMNS($Q$1006:S1006),$Q$1006:$U$1006,0)), HYPERLINK("#",""), HYPERLINK(CONCATENATE("#metadata!", ADDRESS(INDEX($L$2:$L$1001,MATCH(ROWS($J$2:J21),$J$2:$J$1001,0),0), INDEX($Q$1004:$U$1004,1,MATCH(COLUMNS($Q$1006:S1006),$Q$1006:$U$1006,0)))),"Fix")))</f>
        <v xml:space="preserve"> </v>
      </c>
      <c r="E21" s="3" t="str">
        <f ca="1">IF(OR(INDEX($K$2:$K$1001,MATCH(ROWS($J$2:J21),$J$2:$J$1001,0),1)&gt;=100000,INDEX($Q$1005:$U$1005,1,MATCH(COLUMNS($Q$1006:T1006),$Q$1006:$U$1006,0))&gt;=100000), " ",IF(INDEX($Q$2:$U$1001,MATCH(ROWS($J$2:J21),$J$2:$J$1001,0),MATCH(COLUMNS($Q$1006:T1006),$Q$1006:$U$1006,0)), HYPERLINK("#",""), HYPERLINK(CONCATENATE("#metadata!", ADDRESS(INDEX($L$2:$L$1001,MATCH(ROWS($J$2:J21),$J$2:$J$1001,0),0), INDEX($Q$1004:$U$1004,1,MATCH(COLUMNS($Q$1006:T1006),$Q$1006:$U$1006,0)))),"Fix")))</f>
        <v xml:space="preserve"> </v>
      </c>
      <c r="F21" s="3" t="str">
        <f ca="1">IF(OR(INDEX($K$2:$K$1001,MATCH(ROWS($J$2:J21),$J$2:$J$1001,0),1)&gt;=100000,INDEX($Q$1005:$U$1005,1,MATCH(COLUMNS($Q$1006:U1006),$Q$1006:$U$1006,0))&gt;=100000), " ",IF(INDEX($Q$2:$U$1001,MATCH(ROWS($J$2:J21),$J$2:$J$1001,0),MATCH(COLUMNS($Q$1006:U1006),$Q$1006:$U$1006,0)), HYPERLINK("#",""), HYPERLINK(CONCATENATE("#metadata!", ADDRESS(INDEX($L$2:$L$1001,MATCH(ROWS($J$2:J21),$J$2:$J$1001,0),0), INDEX($Q$1004:$U$1004,1,MATCH(COLUMNS($Q$1006:U1006),$Q$1006:$U$1006,0)))),"Fix")))</f>
        <v xml:space="preserve"> </v>
      </c>
      <c r="J21">
        <v>20</v>
      </c>
      <c r="K21">
        <v>100021</v>
      </c>
      <c r="L21">
        <v>21</v>
      </c>
      <c r="M21" t="b">
        <f t="shared" si="0"/>
        <v>1</v>
      </c>
      <c r="N21" t="b">
        <f>COUNTBLANK(metadata!B21:F21)=COLUMNS(metadata!B21:F21)</f>
        <v>1</v>
      </c>
      <c r="O21" t="str">
        <v/>
      </c>
      <c r="Q21" t="b">
        <f ca="1">AND(IF(metadata!B21="",FALSE,TRUE),COUNTIF(metadata!B:B, metadata!B21) = 1,NOT(ISERROR(SUMPRODUCT(SEARCH(MID(metadata!B21,ROW(INDIRECT("1:"&amp;LEN(metadata!B21))), 1),"0123456789abcdefghijklmnopqrstuvwxyzABCDEFGHIJKLMNOPQRSTUVWXYZ.")))))</f>
        <v>0</v>
      </c>
      <c r="R21" t="b">
        <f>AND(IF(metadata!C21="",FALSE,TRUE),OR(EXACT(metadata!C21,"saline"),EXACT(metadata!C21,"non-saline")))</f>
        <v>0</v>
      </c>
      <c r="S21" t="b">
        <f>AND(IF(metadata!D21="",FALSE,TRUE),OR(EXACT(metadata!D21,"surface (non-saline)"),EXACT(metadata!D21,"aerosol (non-saline)"),EXACT(metadata!D21,"sediment (non-saline)"),EXACT(metadata!D21,"surface (saline)"),EXACT(metadata!D21,"aerosol (saline)"),EXACT(metadata!D21,"sediment (saline)")))</f>
        <v>0</v>
      </c>
      <c r="T21" t="b">
        <f>AND(IF(metadata!E21="",FALSE,TRUE),EXACT(metadata!E21,"built environment"))</f>
        <v>0</v>
      </c>
      <c r="U21" t="b">
        <f>OR(AND(IF(metadata!F21="",FALSE,TRUE),EXACT(metadata!F21,"not applicable")),AND(IF(metadata!F21="",FALSE,TRUE),EXACT(metadata!F21,"anaerobic digester content")))</f>
        <v>0</v>
      </c>
    </row>
    <row r="22" spans="1:21" x14ac:dyDescent="0.2">
      <c r="A22" s="4" t="str">
        <f ca="1">IF(B22=" "," ",HYPERLINK(CONCATENATE("#metadata!",ADDRESS(INDEX($L$2:$L$1001,MATCH(ROWS($J$2:J22),$J$2:$J$1001,0),0),1)),INDEX($O$2:$O$1001,MATCH(ROWS($J$2:J22),$J$2:$J$1001,0),0)))</f>
        <v xml:space="preserve"> </v>
      </c>
      <c r="B22" s="3" t="str">
        <f ca="1">IF(OR(INDEX($K$2:$K$1001,MATCH(ROWS($J$2:J22),$J$2:$J$1001,0),1)&gt;=100000,INDEX($Q$1005:$U$1005,1,MATCH(COLUMNS($Q$1006:Q1006),$Q$1006:$U$1006,0))&gt;=100000), " ",IF(INDEX($Q$2:$U$1001,MATCH(ROWS($J$2:J22),$J$2:$J$1001,0),MATCH(COLUMNS($Q$1006:Q1006),$Q$1006:$U$1006,0)), HYPERLINK("#",""), HYPERLINK(CONCATENATE("#metadata!", ADDRESS(INDEX($L$2:$L$1001,MATCH(ROWS($J$2:J22),$J$2:$J$1001,0),0), INDEX($Q$1004:$U$1004,1,MATCH(COLUMNS($Q$1006:Q1006),$Q$1006:$U$1006,0)))),"Fix")))</f>
        <v xml:space="preserve"> </v>
      </c>
      <c r="C22" s="3" t="str">
        <f ca="1">IF(OR(INDEX($K$2:$K$1001,MATCH(ROWS($J$2:J22),$J$2:$J$1001,0),1)&gt;=100000,INDEX($Q$1005:$U$1005,1,MATCH(COLUMNS($Q$1006:R1006),$Q$1006:$U$1006,0))&gt;=100000), " ",IF(INDEX($Q$2:$U$1001,MATCH(ROWS($J$2:J22),$J$2:$J$1001,0),MATCH(COLUMNS($Q$1006:R1006),$Q$1006:$U$1006,0)), HYPERLINK("#",""), HYPERLINK(CONCATENATE("#metadata!", ADDRESS(INDEX($L$2:$L$1001,MATCH(ROWS($J$2:J22),$J$2:$J$1001,0),0), INDEX($Q$1004:$U$1004,1,MATCH(COLUMNS($Q$1006:R1006),$Q$1006:$U$1006,0)))),"Fix")))</f>
        <v xml:space="preserve"> </v>
      </c>
      <c r="D22" s="3" t="str">
        <f ca="1">IF(OR(INDEX($K$2:$K$1001,MATCH(ROWS($J$2:J22),$J$2:$J$1001,0),1)&gt;=100000,INDEX($Q$1005:$U$1005,1,MATCH(COLUMNS($Q$1006:S1006),$Q$1006:$U$1006,0))&gt;=100000), " ",IF(INDEX($Q$2:$U$1001,MATCH(ROWS($J$2:J22),$J$2:$J$1001,0),MATCH(COLUMNS($Q$1006:S1006),$Q$1006:$U$1006,0)), HYPERLINK("#",""), HYPERLINK(CONCATENATE("#metadata!", ADDRESS(INDEX($L$2:$L$1001,MATCH(ROWS($J$2:J22),$J$2:$J$1001,0),0), INDEX($Q$1004:$U$1004,1,MATCH(COLUMNS($Q$1006:S1006),$Q$1006:$U$1006,0)))),"Fix")))</f>
        <v xml:space="preserve"> </v>
      </c>
      <c r="E22" s="3" t="str">
        <f ca="1">IF(OR(INDEX($K$2:$K$1001,MATCH(ROWS($J$2:J22),$J$2:$J$1001,0),1)&gt;=100000,INDEX($Q$1005:$U$1005,1,MATCH(COLUMNS($Q$1006:T1006),$Q$1006:$U$1006,0))&gt;=100000), " ",IF(INDEX($Q$2:$U$1001,MATCH(ROWS($J$2:J22),$J$2:$J$1001,0),MATCH(COLUMNS($Q$1006:T1006),$Q$1006:$U$1006,0)), HYPERLINK("#",""), HYPERLINK(CONCATENATE("#metadata!", ADDRESS(INDEX($L$2:$L$1001,MATCH(ROWS($J$2:J22),$J$2:$J$1001,0),0), INDEX($Q$1004:$U$1004,1,MATCH(COLUMNS($Q$1006:T1006),$Q$1006:$U$1006,0)))),"Fix")))</f>
        <v xml:space="preserve"> </v>
      </c>
      <c r="F22" s="3" t="str">
        <f ca="1">IF(OR(INDEX($K$2:$K$1001,MATCH(ROWS($J$2:J22),$J$2:$J$1001,0),1)&gt;=100000,INDEX($Q$1005:$U$1005,1,MATCH(COLUMNS($Q$1006:U1006),$Q$1006:$U$1006,0))&gt;=100000), " ",IF(INDEX($Q$2:$U$1001,MATCH(ROWS($J$2:J22),$J$2:$J$1001,0),MATCH(COLUMNS($Q$1006:U1006),$Q$1006:$U$1006,0)), HYPERLINK("#",""), HYPERLINK(CONCATENATE("#metadata!", ADDRESS(INDEX($L$2:$L$1001,MATCH(ROWS($J$2:J22),$J$2:$J$1001,0),0), INDEX($Q$1004:$U$1004,1,MATCH(COLUMNS($Q$1006:U1006),$Q$1006:$U$1006,0)))),"Fix")))</f>
        <v xml:space="preserve"> </v>
      </c>
      <c r="J22">
        <v>21</v>
      </c>
      <c r="K22">
        <v>100022</v>
      </c>
      <c r="L22">
        <v>22</v>
      </c>
      <c r="M22" t="b">
        <f t="shared" si="0"/>
        <v>1</v>
      </c>
      <c r="N22" t="b">
        <f>COUNTBLANK(metadata!B22:F22)=COLUMNS(metadata!B22:F22)</f>
        <v>1</v>
      </c>
      <c r="O22" t="str">
        <v/>
      </c>
      <c r="Q22" t="b">
        <f ca="1">AND(IF(metadata!B22="",FALSE,TRUE),COUNTIF(metadata!B:B, metadata!B22) = 1,NOT(ISERROR(SUMPRODUCT(SEARCH(MID(metadata!B22,ROW(INDIRECT("1:"&amp;LEN(metadata!B22))), 1),"0123456789abcdefghijklmnopqrstuvwxyzABCDEFGHIJKLMNOPQRSTUVWXYZ.")))))</f>
        <v>0</v>
      </c>
      <c r="R22" t="b">
        <f>AND(IF(metadata!C22="",FALSE,TRUE),OR(EXACT(metadata!C22,"saline"),EXACT(metadata!C22,"non-saline")))</f>
        <v>0</v>
      </c>
      <c r="S22" t="b">
        <f>AND(IF(metadata!D22="",FALSE,TRUE),OR(EXACT(metadata!D22,"surface (non-saline)"),EXACT(metadata!D22,"aerosol (non-saline)"),EXACT(metadata!D22,"sediment (non-saline)"),EXACT(metadata!D22,"surface (saline)"),EXACT(metadata!D22,"aerosol (saline)"),EXACT(metadata!D22,"sediment (saline)")))</f>
        <v>0</v>
      </c>
      <c r="T22" t="b">
        <f>AND(IF(metadata!E22="",FALSE,TRUE),EXACT(metadata!E22,"built environment"))</f>
        <v>0</v>
      </c>
      <c r="U22" t="b">
        <f>OR(AND(IF(metadata!F22="",FALSE,TRUE),EXACT(metadata!F22,"not applicable")),AND(IF(metadata!F22="",FALSE,TRUE),EXACT(metadata!F22,"anaerobic digester content")))</f>
        <v>0</v>
      </c>
    </row>
    <row r="23" spans="1:21" x14ac:dyDescent="0.2">
      <c r="A23" s="4" t="str">
        <f ca="1">IF(B23=" "," ",HYPERLINK(CONCATENATE("#metadata!",ADDRESS(INDEX($L$2:$L$1001,MATCH(ROWS($J$2:J23),$J$2:$J$1001,0),0),1)),INDEX($O$2:$O$1001,MATCH(ROWS($J$2:J23),$J$2:$J$1001,0),0)))</f>
        <v xml:space="preserve"> </v>
      </c>
      <c r="B23" s="3" t="str">
        <f ca="1">IF(OR(INDEX($K$2:$K$1001,MATCH(ROWS($J$2:J23),$J$2:$J$1001,0),1)&gt;=100000,INDEX($Q$1005:$U$1005,1,MATCH(COLUMNS($Q$1006:Q1006),$Q$1006:$U$1006,0))&gt;=100000), " ",IF(INDEX($Q$2:$U$1001,MATCH(ROWS($J$2:J23),$J$2:$J$1001,0),MATCH(COLUMNS($Q$1006:Q1006),$Q$1006:$U$1006,0)), HYPERLINK("#",""), HYPERLINK(CONCATENATE("#metadata!", ADDRESS(INDEX($L$2:$L$1001,MATCH(ROWS($J$2:J23),$J$2:$J$1001,0),0), INDEX($Q$1004:$U$1004,1,MATCH(COLUMNS($Q$1006:Q1006),$Q$1006:$U$1006,0)))),"Fix")))</f>
        <v xml:space="preserve"> </v>
      </c>
      <c r="C23" s="3" t="str">
        <f ca="1">IF(OR(INDEX($K$2:$K$1001,MATCH(ROWS($J$2:J23),$J$2:$J$1001,0),1)&gt;=100000,INDEX($Q$1005:$U$1005,1,MATCH(COLUMNS($Q$1006:R1006),$Q$1006:$U$1006,0))&gt;=100000), " ",IF(INDEX($Q$2:$U$1001,MATCH(ROWS($J$2:J23),$J$2:$J$1001,0),MATCH(COLUMNS($Q$1006:R1006),$Q$1006:$U$1006,0)), HYPERLINK("#",""), HYPERLINK(CONCATENATE("#metadata!", ADDRESS(INDEX($L$2:$L$1001,MATCH(ROWS($J$2:J23),$J$2:$J$1001,0),0), INDEX($Q$1004:$U$1004,1,MATCH(COLUMNS($Q$1006:R1006),$Q$1006:$U$1006,0)))),"Fix")))</f>
        <v xml:space="preserve"> </v>
      </c>
      <c r="D23" s="3" t="str">
        <f ca="1">IF(OR(INDEX($K$2:$K$1001,MATCH(ROWS($J$2:J23),$J$2:$J$1001,0),1)&gt;=100000,INDEX($Q$1005:$U$1005,1,MATCH(COLUMNS($Q$1006:S1006),$Q$1006:$U$1006,0))&gt;=100000), " ",IF(INDEX($Q$2:$U$1001,MATCH(ROWS($J$2:J23),$J$2:$J$1001,0),MATCH(COLUMNS($Q$1006:S1006),$Q$1006:$U$1006,0)), HYPERLINK("#",""), HYPERLINK(CONCATENATE("#metadata!", ADDRESS(INDEX($L$2:$L$1001,MATCH(ROWS($J$2:J23),$J$2:$J$1001,0),0), INDEX($Q$1004:$U$1004,1,MATCH(COLUMNS($Q$1006:S1006),$Q$1006:$U$1006,0)))),"Fix")))</f>
        <v xml:space="preserve"> </v>
      </c>
      <c r="E23" s="3" t="str">
        <f ca="1">IF(OR(INDEX($K$2:$K$1001,MATCH(ROWS($J$2:J23),$J$2:$J$1001,0),1)&gt;=100000,INDEX($Q$1005:$U$1005,1,MATCH(COLUMNS($Q$1006:T1006),$Q$1006:$U$1006,0))&gt;=100000), " ",IF(INDEX($Q$2:$U$1001,MATCH(ROWS($J$2:J23),$J$2:$J$1001,0),MATCH(COLUMNS($Q$1006:T1006),$Q$1006:$U$1006,0)), HYPERLINK("#",""), HYPERLINK(CONCATENATE("#metadata!", ADDRESS(INDEX($L$2:$L$1001,MATCH(ROWS($J$2:J23),$J$2:$J$1001,0),0), INDEX($Q$1004:$U$1004,1,MATCH(COLUMNS($Q$1006:T1006),$Q$1006:$U$1006,0)))),"Fix")))</f>
        <v xml:space="preserve"> </v>
      </c>
      <c r="F23" s="3" t="str">
        <f ca="1">IF(OR(INDEX($K$2:$K$1001,MATCH(ROWS($J$2:J23),$J$2:$J$1001,0),1)&gt;=100000,INDEX($Q$1005:$U$1005,1,MATCH(COLUMNS($Q$1006:U1006),$Q$1006:$U$1006,0))&gt;=100000), " ",IF(INDEX($Q$2:$U$1001,MATCH(ROWS($J$2:J23),$J$2:$J$1001,0),MATCH(COLUMNS($Q$1006:U1006),$Q$1006:$U$1006,0)), HYPERLINK("#",""), HYPERLINK(CONCATENATE("#metadata!", ADDRESS(INDEX($L$2:$L$1001,MATCH(ROWS($J$2:J23),$J$2:$J$1001,0),0), INDEX($Q$1004:$U$1004,1,MATCH(COLUMNS($Q$1006:U1006),$Q$1006:$U$1006,0)))),"Fix")))</f>
        <v xml:space="preserve"> </v>
      </c>
      <c r="J23">
        <v>22</v>
      </c>
      <c r="K23">
        <v>100023</v>
      </c>
      <c r="L23">
        <v>23</v>
      </c>
      <c r="M23" t="b">
        <f t="shared" si="0"/>
        <v>1</v>
      </c>
      <c r="N23" t="b">
        <f>COUNTBLANK(metadata!B23:F23)=COLUMNS(metadata!B23:F23)</f>
        <v>1</v>
      </c>
      <c r="O23" t="str">
        <v/>
      </c>
      <c r="Q23" t="b">
        <f ca="1">AND(IF(metadata!B23="",FALSE,TRUE),COUNTIF(metadata!B:B, metadata!B23) = 1,NOT(ISERROR(SUMPRODUCT(SEARCH(MID(metadata!B23,ROW(INDIRECT("1:"&amp;LEN(metadata!B23))), 1),"0123456789abcdefghijklmnopqrstuvwxyzABCDEFGHIJKLMNOPQRSTUVWXYZ.")))))</f>
        <v>0</v>
      </c>
      <c r="R23" t="b">
        <f>AND(IF(metadata!C23="",FALSE,TRUE),OR(EXACT(metadata!C23,"saline"),EXACT(metadata!C23,"non-saline")))</f>
        <v>0</v>
      </c>
      <c r="S23" t="b">
        <f>AND(IF(metadata!D23="",FALSE,TRUE),OR(EXACT(metadata!D23,"surface (non-saline)"),EXACT(metadata!D23,"aerosol (non-saline)"),EXACT(metadata!D23,"sediment (non-saline)"),EXACT(metadata!D23,"surface (saline)"),EXACT(metadata!D23,"aerosol (saline)"),EXACT(metadata!D23,"sediment (saline)")))</f>
        <v>0</v>
      </c>
      <c r="T23" t="b">
        <f>AND(IF(metadata!E23="",FALSE,TRUE),EXACT(metadata!E23,"built environment"))</f>
        <v>0</v>
      </c>
      <c r="U23" t="b">
        <f>OR(AND(IF(metadata!F23="",FALSE,TRUE),EXACT(metadata!F23,"not applicable")),AND(IF(metadata!F23="",FALSE,TRUE),EXACT(metadata!F23,"anaerobic digester content")))</f>
        <v>0</v>
      </c>
    </row>
    <row r="24" spans="1:21" x14ac:dyDescent="0.2">
      <c r="A24" s="4" t="str">
        <f ca="1">IF(B24=" "," ",HYPERLINK(CONCATENATE("#metadata!",ADDRESS(INDEX($L$2:$L$1001,MATCH(ROWS($J$2:J24),$J$2:$J$1001,0),0),1)),INDEX($O$2:$O$1001,MATCH(ROWS($J$2:J24),$J$2:$J$1001,0),0)))</f>
        <v xml:space="preserve"> </v>
      </c>
      <c r="B24" s="3" t="str">
        <f ca="1">IF(OR(INDEX($K$2:$K$1001,MATCH(ROWS($J$2:J24),$J$2:$J$1001,0),1)&gt;=100000,INDEX($Q$1005:$U$1005,1,MATCH(COLUMNS($Q$1006:Q1006),$Q$1006:$U$1006,0))&gt;=100000), " ",IF(INDEX($Q$2:$U$1001,MATCH(ROWS($J$2:J24),$J$2:$J$1001,0),MATCH(COLUMNS($Q$1006:Q1006),$Q$1006:$U$1006,0)), HYPERLINK("#",""), HYPERLINK(CONCATENATE("#metadata!", ADDRESS(INDEX($L$2:$L$1001,MATCH(ROWS($J$2:J24),$J$2:$J$1001,0),0), INDEX($Q$1004:$U$1004,1,MATCH(COLUMNS($Q$1006:Q1006),$Q$1006:$U$1006,0)))),"Fix")))</f>
        <v xml:space="preserve"> </v>
      </c>
      <c r="C24" s="3" t="str">
        <f ca="1">IF(OR(INDEX($K$2:$K$1001,MATCH(ROWS($J$2:J24),$J$2:$J$1001,0),1)&gt;=100000,INDEX($Q$1005:$U$1005,1,MATCH(COLUMNS($Q$1006:R1006),$Q$1006:$U$1006,0))&gt;=100000), " ",IF(INDEX($Q$2:$U$1001,MATCH(ROWS($J$2:J24),$J$2:$J$1001,0),MATCH(COLUMNS($Q$1006:R1006),$Q$1006:$U$1006,0)), HYPERLINK("#",""), HYPERLINK(CONCATENATE("#metadata!", ADDRESS(INDEX($L$2:$L$1001,MATCH(ROWS($J$2:J24),$J$2:$J$1001,0),0), INDEX($Q$1004:$U$1004,1,MATCH(COLUMNS($Q$1006:R1006),$Q$1006:$U$1006,0)))),"Fix")))</f>
        <v xml:space="preserve"> </v>
      </c>
      <c r="D24" s="3" t="str">
        <f ca="1">IF(OR(INDEX($K$2:$K$1001,MATCH(ROWS($J$2:J24),$J$2:$J$1001,0),1)&gt;=100000,INDEX($Q$1005:$U$1005,1,MATCH(COLUMNS($Q$1006:S1006),$Q$1006:$U$1006,0))&gt;=100000), " ",IF(INDEX($Q$2:$U$1001,MATCH(ROWS($J$2:J24),$J$2:$J$1001,0),MATCH(COLUMNS($Q$1006:S1006),$Q$1006:$U$1006,0)), HYPERLINK("#",""), HYPERLINK(CONCATENATE("#metadata!", ADDRESS(INDEX($L$2:$L$1001,MATCH(ROWS($J$2:J24),$J$2:$J$1001,0),0), INDEX($Q$1004:$U$1004,1,MATCH(COLUMNS($Q$1006:S1006),$Q$1006:$U$1006,0)))),"Fix")))</f>
        <v xml:space="preserve"> </v>
      </c>
      <c r="E24" s="3" t="str">
        <f ca="1">IF(OR(INDEX($K$2:$K$1001,MATCH(ROWS($J$2:J24),$J$2:$J$1001,0),1)&gt;=100000,INDEX($Q$1005:$U$1005,1,MATCH(COLUMNS($Q$1006:T1006),$Q$1006:$U$1006,0))&gt;=100000), " ",IF(INDEX($Q$2:$U$1001,MATCH(ROWS($J$2:J24),$J$2:$J$1001,0),MATCH(COLUMNS($Q$1006:T1006),$Q$1006:$U$1006,0)), HYPERLINK("#",""), HYPERLINK(CONCATENATE("#metadata!", ADDRESS(INDEX($L$2:$L$1001,MATCH(ROWS($J$2:J24),$J$2:$J$1001,0),0), INDEX($Q$1004:$U$1004,1,MATCH(COLUMNS($Q$1006:T1006),$Q$1006:$U$1006,0)))),"Fix")))</f>
        <v xml:space="preserve"> </v>
      </c>
      <c r="F24" s="3" t="str">
        <f ca="1">IF(OR(INDEX($K$2:$K$1001,MATCH(ROWS($J$2:J24),$J$2:$J$1001,0),1)&gt;=100000,INDEX($Q$1005:$U$1005,1,MATCH(COLUMNS($Q$1006:U1006),$Q$1006:$U$1006,0))&gt;=100000), " ",IF(INDEX($Q$2:$U$1001,MATCH(ROWS($J$2:J24),$J$2:$J$1001,0),MATCH(COLUMNS($Q$1006:U1006),$Q$1006:$U$1006,0)), HYPERLINK("#",""), HYPERLINK(CONCATENATE("#metadata!", ADDRESS(INDEX($L$2:$L$1001,MATCH(ROWS($J$2:J24),$J$2:$J$1001,0),0), INDEX($Q$1004:$U$1004,1,MATCH(COLUMNS($Q$1006:U1006),$Q$1006:$U$1006,0)))),"Fix")))</f>
        <v xml:space="preserve"> </v>
      </c>
      <c r="J24">
        <v>23</v>
      </c>
      <c r="K24">
        <v>100024</v>
      </c>
      <c r="L24">
        <v>24</v>
      </c>
      <c r="M24" t="b">
        <f t="shared" si="0"/>
        <v>1</v>
      </c>
      <c r="N24" t="b">
        <f>COUNTBLANK(metadata!B24:F24)=COLUMNS(metadata!B24:F24)</f>
        <v>1</v>
      </c>
      <c r="O24" t="str">
        <v/>
      </c>
      <c r="Q24" t="b">
        <f ca="1">AND(IF(metadata!B24="",FALSE,TRUE),COUNTIF(metadata!B:B, metadata!B24) = 1,NOT(ISERROR(SUMPRODUCT(SEARCH(MID(metadata!B24,ROW(INDIRECT("1:"&amp;LEN(metadata!B24))), 1),"0123456789abcdefghijklmnopqrstuvwxyzABCDEFGHIJKLMNOPQRSTUVWXYZ.")))))</f>
        <v>0</v>
      </c>
      <c r="R24" t="b">
        <f>AND(IF(metadata!C24="",FALSE,TRUE),OR(EXACT(metadata!C24,"saline"),EXACT(metadata!C24,"non-saline")))</f>
        <v>0</v>
      </c>
      <c r="S24" t="b">
        <f>AND(IF(metadata!D24="",FALSE,TRUE),OR(EXACT(metadata!D24,"surface (non-saline)"),EXACT(metadata!D24,"aerosol (non-saline)"),EXACT(metadata!D24,"sediment (non-saline)"),EXACT(metadata!D24,"surface (saline)"),EXACT(metadata!D24,"aerosol (saline)"),EXACT(metadata!D24,"sediment (saline)")))</f>
        <v>0</v>
      </c>
      <c r="T24" t="b">
        <f>AND(IF(metadata!E24="",FALSE,TRUE),EXACT(metadata!E24,"built environment"))</f>
        <v>0</v>
      </c>
      <c r="U24" t="b">
        <f>OR(AND(IF(metadata!F24="",FALSE,TRUE),EXACT(metadata!F24,"not applicable")),AND(IF(metadata!F24="",FALSE,TRUE),EXACT(metadata!F24,"anaerobic digester content")))</f>
        <v>0</v>
      </c>
    </row>
    <row r="25" spans="1:21" x14ac:dyDescent="0.2">
      <c r="A25" s="4" t="str">
        <f ca="1">IF(B25=" "," ",HYPERLINK(CONCATENATE("#metadata!",ADDRESS(INDEX($L$2:$L$1001,MATCH(ROWS($J$2:J25),$J$2:$J$1001,0),0),1)),INDEX($O$2:$O$1001,MATCH(ROWS($J$2:J25),$J$2:$J$1001,0),0)))</f>
        <v xml:space="preserve"> </v>
      </c>
      <c r="B25" s="3" t="str">
        <f ca="1">IF(OR(INDEX($K$2:$K$1001,MATCH(ROWS($J$2:J25),$J$2:$J$1001,0),1)&gt;=100000,INDEX($Q$1005:$U$1005,1,MATCH(COLUMNS($Q$1006:Q1006),$Q$1006:$U$1006,0))&gt;=100000), " ",IF(INDEX($Q$2:$U$1001,MATCH(ROWS($J$2:J25),$J$2:$J$1001,0),MATCH(COLUMNS($Q$1006:Q1006),$Q$1006:$U$1006,0)), HYPERLINK("#",""), HYPERLINK(CONCATENATE("#metadata!", ADDRESS(INDEX($L$2:$L$1001,MATCH(ROWS($J$2:J25),$J$2:$J$1001,0),0), INDEX($Q$1004:$U$1004,1,MATCH(COLUMNS($Q$1006:Q1006),$Q$1006:$U$1006,0)))),"Fix")))</f>
        <v xml:space="preserve"> </v>
      </c>
      <c r="C25" s="3" t="str">
        <f ca="1">IF(OR(INDEX($K$2:$K$1001,MATCH(ROWS($J$2:J25),$J$2:$J$1001,0),1)&gt;=100000,INDEX($Q$1005:$U$1005,1,MATCH(COLUMNS($Q$1006:R1006),$Q$1006:$U$1006,0))&gt;=100000), " ",IF(INDEX($Q$2:$U$1001,MATCH(ROWS($J$2:J25),$J$2:$J$1001,0),MATCH(COLUMNS($Q$1006:R1006),$Q$1006:$U$1006,0)), HYPERLINK("#",""), HYPERLINK(CONCATENATE("#metadata!", ADDRESS(INDEX($L$2:$L$1001,MATCH(ROWS($J$2:J25),$J$2:$J$1001,0),0), INDEX($Q$1004:$U$1004,1,MATCH(COLUMNS($Q$1006:R1006),$Q$1006:$U$1006,0)))),"Fix")))</f>
        <v xml:space="preserve"> </v>
      </c>
      <c r="D25" s="3" t="str">
        <f ca="1">IF(OR(INDEX($K$2:$K$1001,MATCH(ROWS($J$2:J25),$J$2:$J$1001,0),1)&gt;=100000,INDEX($Q$1005:$U$1005,1,MATCH(COLUMNS($Q$1006:S1006),$Q$1006:$U$1006,0))&gt;=100000), " ",IF(INDEX($Q$2:$U$1001,MATCH(ROWS($J$2:J25),$J$2:$J$1001,0),MATCH(COLUMNS($Q$1006:S1006),$Q$1006:$U$1006,0)), HYPERLINK("#",""), HYPERLINK(CONCATENATE("#metadata!", ADDRESS(INDEX($L$2:$L$1001,MATCH(ROWS($J$2:J25),$J$2:$J$1001,0),0), INDEX($Q$1004:$U$1004,1,MATCH(COLUMNS($Q$1006:S1006),$Q$1006:$U$1006,0)))),"Fix")))</f>
        <v xml:space="preserve"> </v>
      </c>
      <c r="E25" s="3" t="str">
        <f ca="1">IF(OR(INDEX($K$2:$K$1001,MATCH(ROWS($J$2:J25),$J$2:$J$1001,0),1)&gt;=100000,INDEX($Q$1005:$U$1005,1,MATCH(COLUMNS($Q$1006:T1006),$Q$1006:$U$1006,0))&gt;=100000), " ",IF(INDEX($Q$2:$U$1001,MATCH(ROWS($J$2:J25),$J$2:$J$1001,0),MATCH(COLUMNS($Q$1006:T1006),$Q$1006:$U$1006,0)), HYPERLINK("#",""), HYPERLINK(CONCATENATE("#metadata!", ADDRESS(INDEX($L$2:$L$1001,MATCH(ROWS($J$2:J25),$J$2:$J$1001,0),0), INDEX($Q$1004:$U$1004,1,MATCH(COLUMNS($Q$1006:T1006),$Q$1006:$U$1006,0)))),"Fix")))</f>
        <v xml:space="preserve"> </v>
      </c>
      <c r="F25" s="3" t="str">
        <f ca="1">IF(OR(INDEX($K$2:$K$1001,MATCH(ROWS($J$2:J25),$J$2:$J$1001,0),1)&gt;=100000,INDEX($Q$1005:$U$1005,1,MATCH(COLUMNS($Q$1006:U1006),$Q$1006:$U$1006,0))&gt;=100000), " ",IF(INDEX($Q$2:$U$1001,MATCH(ROWS($J$2:J25),$J$2:$J$1001,0),MATCH(COLUMNS($Q$1006:U1006),$Q$1006:$U$1006,0)), HYPERLINK("#",""), HYPERLINK(CONCATENATE("#metadata!", ADDRESS(INDEX($L$2:$L$1001,MATCH(ROWS($J$2:J25),$J$2:$J$1001,0),0), INDEX($Q$1004:$U$1004,1,MATCH(COLUMNS($Q$1006:U1006),$Q$1006:$U$1006,0)))),"Fix")))</f>
        <v xml:space="preserve"> </v>
      </c>
      <c r="J25">
        <v>24</v>
      </c>
      <c r="K25">
        <v>100025</v>
      </c>
      <c r="L25">
        <v>25</v>
      </c>
      <c r="M25" t="b">
        <f t="shared" si="0"/>
        <v>1</v>
      </c>
      <c r="N25" t="b">
        <f>COUNTBLANK(metadata!B25:F25)=COLUMNS(metadata!B25:F25)</f>
        <v>1</v>
      </c>
      <c r="O25" t="str">
        <v/>
      </c>
      <c r="Q25" t="b">
        <f ca="1">AND(IF(metadata!B25="",FALSE,TRUE),COUNTIF(metadata!B:B, metadata!B25) = 1,NOT(ISERROR(SUMPRODUCT(SEARCH(MID(metadata!B25,ROW(INDIRECT("1:"&amp;LEN(metadata!B25))), 1),"0123456789abcdefghijklmnopqrstuvwxyzABCDEFGHIJKLMNOPQRSTUVWXYZ.")))))</f>
        <v>0</v>
      </c>
      <c r="R25" t="b">
        <f>AND(IF(metadata!C25="",FALSE,TRUE),OR(EXACT(metadata!C25,"saline"),EXACT(metadata!C25,"non-saline")))</f>
        <v>0</v>
      </c>
      <c r="S25" t="b">
        <f>AND(IF(metadata!D25="",FALSE,TRUE),OR(EXACT(metadata!D25,"surface (non-saline)"),EXACT(metadata!D25,"aerosol (non-saline)"),EXACT(metadata!D25,"sediment (non-saline)"),EXACT(metadata!D25,"surface (saline)"),EXACT(metadata!D25,"aerosol (saline)"),EXACT(metadata!D25,"sediment (saline)")))</f>
        <v>0</v>
      </c>
      <c r="T25" t="b">
        <f>AND(IF(metadata!E25="",FALSE,TRUE),EXACT(metadata!E25,"built environment"))</f>
        <v>0</v>
      </c>
      <c r="U25" t="b">
        <f>OR(AND(IF(metadata!F25="",FALSE,TRUE),EXACT(metadata!F25,"not applicable")),AND(IF(metadata!F25="",FALSE,TRUE),EXACT(metadata!F25,"anaerobic digester content")))</f>
        <v>0</v>
      </c>
    </row>
    <row r="26" spans="1:21" x14ac:dyDescent="0.2">
      <c r="A26" s="4" t="str">
        <f ca="1">IF(B26=" "," ",HYPERLINK(CONCATENATE("#metadata!",ADDRESS(INDEX($L$2:$L$1001,MATCH(ROWS($J$2:J26),$J$2:$J$1001,0),0),1)),INDEX($O$2:$O$1001,MATCH(ROWS($J$2:J26),$J$2:$J$1001,0),0)))</f>
        <v xml:space="preserve"> </v>
      </c>
      <c r="B26" s="3" t="str">
        <f ca="1">IF(OR(INDEX($K$2:$K$1001,MATCH(ROWS($J$2:J26),$J$2:$J$1001,0),1)&gt;=100000,INDEX($Q$1005:$U$1005,1,MATCH(COLUMNS($Q$1006:Q1006),$Q$1006:$U$1006,0))&gt;=100000), " ",IF(INDEX($Q$2:$U$1001,MATCH(ROWS($J$2:J26),$J$2:$J$1001,0),MATCH(COLUMNS($Q$1006:Q1006),$Q$1006:$U$1006,0)), HYPERLINK("#",""), HYPERLINK(CONCATENATE("#metadata!", ADDRESS(INDEX($L$2:$L$1001,MATCH(ROWS($J$2:J26),$J$2:$J$1001,0),0), INDEX($Q$1004:$U$1004,1,MATCH(COLUMNS($Q$1006:Q1006),$Q$1006:$U$1006,0)))),"Fix")))</f>
        <v xml:space="preserve"> </v>
      </c>
      <c r="C26" s="3" t="str">
        <f ca="1">IF(OR(INDEX($K$2:$K$1001,MATCH(ROWS($J$2:J26),$J$2:$J$1001,0),1)&gt;=100000,INDEX($Q$1005:$U$1005,1,MATCH(COLUMNS($Q$1006:R1006),$Q$1006:$U$1006,0))&gt;=100000), " ",IF(INDEX($Q$2:$U$1001,MATCH(ROWS($J$2:J26),$J$2:$J$1001,0),MATCH(COLUMNS($Q$1006:R1006),$Q$1006:$U$1006,0)), HYPERLINK("#",""), HYPERLINK(CONCATENATE("#metadata!", ADDRESS(INDEX($L$2:$L$1001,MATCH(ROWS($J$2:J26),$J$2:$J$1001,0),0), INDEX($Q$1004:$U$1004,1,MATCH(COLUMNS($Q$1006:R1006),$Q$1006:$U$1006,0)))),"Fix")))</f>
        <v xml:space="preserve"> </v>
      </c>
      <c r="D26" s="3" t="str">
        <f ca="1">IF(OR(INDEX($K$2:$K$1001,MATCH(ROWS($J$2:J26),$J$2:$J$1001,0),1)&gt;=100000,INDEX($Q$1005:$U$1005,1,MATCH(COLUMNS($Q$1006:S1006),$Q$1006:$U$1006,0))&gt;=100000), " ",IF(INDEX($Q$2:$U$1001,MATCH(ROWS($J$2:J26),$J$2:$J$1001,0),MATCH(COLUMNS($Q$1006:S1006),$Q$1006:$U$1006,0)), HYPERLINK("#",""), HYPERLINK(CONCATENATE("#metadata!", ADDRESS(INDEX($L$2:$L$1001,MATCH(ROWS($J$2:J26),$J$2:$J$1001,0),0), INDEX($Q$1004:$U$1004,1,MATCH(COLUMNS($Q$1006:S1006),$Q$1006:$U$1006,0)))),"Fix")))</f>
        <v xml:space="preserve"> </v>
      </c>
      <c r="E26" s="3" t="str">
        <f ca="1">IF(OR(INDEX($K$2:$K$1001,MATCH(ROWS($J$2:J26),$J$2:$J$1001,0),1)&gt;=100000,INDEX($Q$1005:$U$1005,1,MATCH(COLUMNS($Q$1006:T1006),$Q$1006:$U$1006,0))&gt;=100000), " ",IF(INDEX($Q$2:$U$1001,MATCH(ROWS($J$2:J26),$J$2:$J$1001,0),MATCH(COLUMNS($Q$1006:T1006),$Q$1006:$U$1006,0)), HYPERLINK("#",""), HYPERLINK(CONCATENATE("#metadata!", ADDRESS(INDEX($L$2:$L$1001,MATCH(ROWS($J$2:J26),$J$2:$J$1001,0),0), INDEX($Q$1004:$U$1004,1,MATCH(COLUMNS($Q$1006:T1006),$Q$1006:$U$1006,0)))),"Fix")))</f>
        <v xml:space="preserve"> </v>
      </c>
      <c r="F26" s="3" t="str">
        <f ca="1">IF(OR(INDEX($K$2:$K$1001,MATCH(ROWS($J$2:J26),$J$2:$J$1001,0),1)&gt;=100000,INDEX($Q$1005:$U$1005,1,MATCH(COLUMNS($Q$1006:U1006),$Q$1006:$U$1006,0))&gt;=100000), " ",IF(INDEX($Q$2:$U$1001,MATCH(ROWS($J$2:J26),$J$2:$J$1001,0),MATCH(COLUMNS($Q$1006:U1006),$Q$1006:$U$1006,0)), HYPERLINK("#",""), HYPERLINK(CONCATENATE("#metadata!", ADDRESS(INDEX($L$2:$L$1001,MATCH(ROWS($J$2:J26),$J$2:$J$1001,0),0), INDEX($Q$1004:$U$1004,1,MATCH(COLUMNS($Q$1006:U1006),$Q$1006:$U$1006,0)))),"Fix")))</f>
        <v xml:space="preserve"> </v>
      </c>
      <c r="J26">
        <v>25</v>
      </c>
      <c r="K26">
        <v>100026</v>
      </c>
      <c r="L26">
        <v>26</v>
      </c>
      <c r="M26" t="b">
        <f t="shared" si="0"/>
        <v>1</v>
      </c>
      <c r="N26" t="b">
        <f>COUNTBLANK(metadata!B26:F26)=COLUMNS(metadata!B26:F26)</f>
        <v>1</v>
      </c>
      <c r="O26" t="str">
        <v/>
      </c>
      <c r="Q26" t="b">
        <f ca="1">AND(IF(metadata!B26="",FALSE,TRUE),COUNTIF(metadata!B:B, metadata!B26) = 1,NOT(ISERROR(SUMPRODUCT(SEARCH(MID(metadata!B26,ROW(INDIRECT("1:"&amp;LEN(metadata!B26))), 1),"0123456789abcdefghijklmnopqrstuvwxyzABCDEFGHIJKLMNOPQRSTUVWXYZ.")))))</f>
        <v>0</v>
      </c>
      <c r="R26" t="b">
        <f>AND(IF(metadata!C26="",FALSE,TRUE),OR(EXACT(metadata!C26,"saline"),EXACT(metadata!C26,"non-saline")))</f>
        <v>0</v>
      </c>
      <c r="S26" t="b">
        <f>AND(IF(metadata!D26="",FALSE,TRUE),OR(EXACT(metadata!D26,"surface (non-saline)"),EXACT(metadata!D26,"aerosol (non-saline)"),EXACT(metadata!D26,"sediment (non-saline)"),EXACT(metadata!D26,"surface (saline)"),EXACT(metadata!D26,"aerosol (saline)"),EXACT(metadata!D26,"sediment (saline)")))</f>
        <v>0</v>
      </c>
      <c r="T26" t="b">
        <f>AND(IF(metadata!E26="",FALSE,TRUE),EXACT(metadata!E26,"built environment"))</f>
        <v>0</v>
      </c>
      <c r="U26" t="b">
        <f>OR(AND(IF(metadata!F26="",FALSE,TRUE),EXACT(metadata!F26,"not applicable")),AND(IF(metadata!F26="",FALSE,TRUE),EXACT(metadata!F26,"anaerobic digester content")))</f>
        <v>0</v>
      </c>
    </row>
    <row r="27" spans="1:21" x14ac:dyDescent="0.2">
      <c r="A27" s="4" t="str">
        <f ca="1">IF(B27=" "," ",HYPERLINK(CONCATENATE("#metadata!",ADDRESS(INDEX($L$2:$L$1001,MATCH(ROWS($J$2:J27),$J$2:$J$1001,0),0),1)),INDEX($O$2:$O$1001,MATCH(ROWS($J$2:J27),$J$2:$J$1001,0),0)))</f>
        <v xml:space="preserve"> </v>
      </c>
      <c r="B27" s="3" t="str">
        <f ca="1">IF(OR(INDEX($K$2:$K$1001,MATCH(ROWS($J$2:J27),$J$2:$J$1001,0),1)&gt;=100000,INDEX($Q$1005:$U$1005,1,MATCH(COLUMNS($Q$1006:Q1006),$Q$1006:$U$1006,0))&gt;=100000), " ",IF(INDEX($Q$2:$U$1001,MATCH(ROWS($J$2:J27),$J$2:$J$1001,0),MATCH(COLUMNS($Q$1006:Q1006),$Q$1006:$U$1006,0)), HYPERLINK("#",""), HYPERLINK(CONCATENATE("#metadata!", ADDRESS(INDEX($L$2:$L$1001,MATCH(ROWS($J$2:J27),$J$2:$J$1001,0),0), INDEX($Q$1004:$U$1004,1,MATCH(COLUMNS($Q$1006:Q1006),$Q$1006:$U$1006,0)))),"Fix")))</f>
        <v xml:space="preserve"> </v>
      </c>
      <c r="C27" s="3" t="str">
        <f ca="1">IF(OR(INDEX($K$2:$K$1001,MATCH(ROWS($J$2:J27),$J$2:$J$1001,0),1)&gt;=100000,INDEX($Q$1005:$U$1005,1,MATCH(COLUMNS($Q$1006:R1006),$Q$1006:$U$1006,0))&gt;=100000), " ",IF(INDEX($Q$2:$U$1001,MATCH(ROWS($J$2:J27),$J$2:$J$1001,0),MATCH(COLUMNS($Q$1006:R1006),$Q$1006:$U$1006,0)), HYPERLINK("#",""), HYPERLINK(CONCATENATE("#metadata!", ADDRESS(INDEX($L$2:$L$1001,MATCH(ROWS($J$2:J27),$J$2:$J$1001,0),0), INDEX($Q$1004:$U$1004,1,MATCH(COLUMNS($Q$1006:R1006),$Q$1006:$U$1006,0)))),"Fix")))</f>
        <v xml:space="preserve"> </v>
      </c>
      <c r="D27" s="3" t="str">
        <f ca="1">IF(OR(INDEX($K$2:$K$1001,MATCH(ROWS($J$2:J27),$J$2:$J$1001,0),1)&gt;=100000,INDEX($Q$1005:$U$1005,1,MATCH(COLUMNS($Q$1006:S1006),$Q$1006:$U$1006,0))&gt;=100000), " ",IF(INDEX($Q$2:$U$1001,MATCH(ROWS($J$2:J27),$J$2:$J$1001,0),MATCH(COLUMNS($Q$1006:S1006),$Q$1006:$U$1006,0)), HYPERLINK("#",""), HYPERLINK(CONCATENATE("#metadata!", ADDRESS(INDEX($L$2:$L$1001,MATCH(ROWS($J$2:J27),$J$2:$J$1001,0),0), INDEX($Q$1004:$U$1004,1,MATCH(COLUMNS($Q$1006:S1006),$Q$1006:$U$1006,0)))),"Fix")))</f>
        <v xml:space="preserve"> </v>
      </c>
      <c r="E27" s="3" t="str">
        <f ca="1">IF(OR(INDEX($K$2:$K$1001,MATCH(ROWS($J$2:J27),$J$2:$J$1001,0),1)&gt;=100000,INDEX($Q$1005:$U$1005,1,MATCH(COLUMNS($Q$1006:T1006),$Q$1006:$U$1006,0))&gt;=100000), " ",IF(INDEX($Q$2:$U$1001,MATCH(ROWS($J$2:J27),$J$2:$J$1001,0),MATCH(COLUMNS($Q$1006:T1006),$Q$1006:$U$1006,0)), HYPERLINK("#",""), HYPERLINK(CONCATENATE("#metadata!", ADDRESS(INDEX($L$2:$L$1001,MATCH(ROWS($J$2:J27),$J$2:$J$1001,0),0), INDEX($Q$1004:$U$1004,1,MATCH(COLUMNS($Q$1006:T1006),$Q$1006:$U$1006,0)))),"Fix")))</f>
        <v xml:space="preserve"> </v>
      </c>
      <c r="F27" s="3" t="str">
        <f ca="1">IF(OR(INDEX($K$2:$K$1001,MATCH(ROWS($J$2:J27),$J$2:$J$1001,0),1)&gt;=100000,INDEX($Q$1005:$U$1005,1,MATCH(COLUMNS($Q$1006:U1006),$Q$1006:$U$1006,0))&gt;=100000), " ",IF(INDEX($Q$2:$U$1001,MATCH(ROWS($J$2:J27),$J$2:$J$1001,0),MATCH(COLUMNS($Q$1006:U1006),$Q$1006:$U$1006,0)), HYPERLINK("#",""), HYPERLINK(CONCATENATE("#metadata!", ADDRESS(INDEX($L$2:$L$1001,MATCH(ROWS($J$2:J27),$J$2:$J$1001,0),0), INDEX($Q$1004:$U$1004,1,MATCH(COLUMNS($Q$1006:U1006),$Q$1006:$U$1006,0)))),"Fix")))</f>
        <v xml:space="preserve"> </v>
      </c>
      <c r="J27">
        <v>26</v>
      </c>
      <c r="K27">
        <v>100027</v>
      </c>
      <c r="L27">
        <v>27</v>
      </c>
      <c r="M27" t="b">
        <f t="shared" si="0"/>
        <v>1</v>
      </c>
      <c r="N27" t="b">
        <f>COUNTBLANK(metadata!B27:F27)=COLUMNS(metadata!B27:F27)</f>
        <v>1</v>
      </c>
      <c r="O27" t="str">
        <v/>
      </c>
      <c r="Q27" t="b">
        <f ca="1">AND(IF(metadata!B27="",FALSE,TRUE),COUNTIF(metadata!B:B, metadata!B27) = 1,NOT(ISERROR(SUMPRODUCT(SEARCH(MID(metadata!B27,ROW(INDIRECT("1:"&amp;LEN(metadata!B27))), 1),"0123456789abcdefghijklmnopqrstuvwxyzABCDEFGHIJKLMNOPQRSTUVWXYZ.")))))</f>
        <v>0</v>
      </c>
      <c r="R27" t="b">
        <f>AND(IF(metadata!C27="",FALSE,TRUE),OR(EXACT(metadata!C27,"saline"),EXACT(metadata!C27,"non-saline")))</f>
        <v>0</v>
      </c>
      <c r="S27" t="b">
        <f>AND(IF(metadata!D27="",FALSE,TRUE),OR(EXACT(metadata!D27,"surface (non-saline)"),EXACT(metadata!D27,"aerosol (non-saline)"),EXACT(metadata!D27,"sediment (non-saline)"),EXACT(metadata!D27,"surface (saline)"),EXACT(metadata!D27,"aerosol (saline)"),EXACT(metadata!D27,"sediment (saline)")))</f>
        <v>0</v>
      </c>
      <c r="T27" t="b">
        <f>AND(IF(metadata!E27="",FALSE,TRUE),EXACT(metadata!E27,"built environment"))</f>
        <v>0</v>
      </c>
      <c r="U27" t="b">
        <f>OR(AND(IF(metadata!F27="",FALSE,TRUE),EXACT(metadata!F27,"not applicable")),AND(IF(metadata!F27="",FALSE,TRUE),EXACT(metadata!F27,"anaerobic digester content")))</f>
        <v>0</v>
      </c>
    </row>
    <row r="28" spans="1:21" x14ac:dyDescent="0.2">
      <c r="A28" s="4" t="str">
        <f ca="1">IF(B28=" "," ",HYPERLINK(CONCATENATE("#metadata!",ADDRESS(INDEX($L$2:$L$1001,MATCH(ROWS($J$2:J28),$J$2:$J$1001,0),0),1)),INDEX($O$2:$O$1001,MATCH(ROWS($J$2:J28),$J$2:$J$1001,0),0)))</f>
        <v xml:space="preserve"> </v>
      </c>
      <c r="B28" s="3" t="str">
        <f ca="1">IF(OR(INDEX($K$2:$K$1001,MATCH(ROWS($J$2:J28),$J$2:$J$1001,0),1)&gt;=100000,INDEX($Q$1005:$U$1005,1,MATCH(COLUMNS($Q$1006:Q1006),$Q$1006:$U$1006,0))&gt;=100000), " ",IF(INDEX($Q$2:$U$1001,MATCH(ROWS($J$2:J28),$J$2:$J$1001,0),MATCH(COLUMNS($Q$1006:Q1006),$Q$1006:$U$1006,0)), HYPERLINK("#",""), HYPERLINK(CONCATENATE("#metadata!", ADDRESS(INDEX($L$2:$L$1001,MATCH(ROWS($J$2:J28),$J$2:$J$1001,0),0), INDEX($Q$1004:$U$1004,1,MATCH(COLUMNS($Q$1006:Q1006),$Q$1006:$U$1006,0)))),"Fix")))</f>
        <v xml:space="preserve"> </v>
      </c>
      <c r="C28" s="3" t="str">
        <f ca="1">IF(OR(INDEX($K$2:$K$1001,MATCH(ROWS($J$2:J28),$J$2:$J$1001,0),1)&gt;=100000,INDEX($Q$1005:$U$1005,1,MATCH(COLUMNS($Q$1006:R1006),$Q$1006:$U$1006,0))&gt;=100000), " ",IF(INDEX($Q$2:$U$1001,MATCH(ROWS($J$2:J28),$J$2:$J$1001,0),MATCH(COLUMNS($Q$1006:R1006),$Q$1006:$U$1006,0)), HYPERLINK("#",""), HYPERLINK(CONCATENATE("#metadata!", ADDRESS(INDEX($L$2:$L$1001,MATCH(ROWS($J$2:J28),$J$2:$J$1001,0),0), INDEX($Q$1004:$U$1004,1,MATCH(COLUMNS($Q$1006:R1006),$Q$1006:$U$1006,0)))),"Fix")))</f>
        <v xml:space="preserve"> </v>
      </c>
      <c r="D28" s="3" t="str">
        <f ca="1">IF(OR(INDEX($K$2:$K$1001,MATCH(ROWS($J$2:J28),$J$2:$J$1001,0),1)&gt;=100000,INDEX($Q$1005:$U$1005,1,MATCH(COLUMNS($Q$1006:S1006),$Q$1006:$U$1006,0))&gt;=100000), " ",IF(INDEX($Q$2:$U$1001,MATCH(ROWS($J$2:J28),$J$2:$J$1001,0),MATCH(COLUMNS($Q$1006:S1006),$Q$1006:$U$1006,0)), HYPERLINK("#",""), HYPERLINK(CONCATENATE("#metadata!", ADDRESS(INDEX($L$2:$L$1001,MATCH(ROWS($J$2:J28),$J$2:$J$1001,0),0), INDEX($Q$1004:$U$1004,1,MATCH(COLUMNS($Q$1006:S1006),$Q$1006:$U$1006,0)))),"Fix")))</f>
        <v xml:space="preserve"> </v>
      </c>
      <c r="E28" s="3" t="str">
        <f ca="1">IF(OR(INDEX($K$2:$K$1001,MATCH(ROWS($J$2:J28),$J$2:$J$1001,0),1)&gt;=100000,INDEX($Q$1005:$U$1005,1,MATCH(COLUMNS($Q$1006:T1006),$Q$1006:$U$1006,0))&gt;=100000), " ",IF(INDEX($Q$2:$U$1001,MATCH(ROWS($J$2:J28),$J$2:$J$1001,0),MATCH(COLUMNS($Q$1006:T1006),$Q$1006:$U$1006,0)), HYPERLINK("#",""), HYPERLINK(CONCATENATE("#metadata!", ADDRESS(INDEX($L$2:$L$1001,MATCH(ROWS($J$2:J28),$J$2:$J$1001,0),0), INDEX($Q$1004:$U$1004,1,MATCH(COLUMNS($Q$1006:T1006),$Q$1006:$U$1006,0)))),"Fix")))</f>
        <v xml:space="preserve"> </v>
      </c>
      <c r="F28" s="3" t="str">
        <f ca="1">IF(OR(INDEX($K$2:$K$1001,MATCH(ROWS($J$2:J28),$J$2:$J$1001,0),1)&gt;=100000,INDEX($Q$1005:$U$1005,1,MATCH(COLUMNS($Q$1006:U1006),$Q$1006:$U$1006,0))&gt;=100000), " ",IF(INDEX($Q$2:$U$1001,MATCH(ROWS($J$2:J28),$J$2:$J$1001,0),MATCH(COLUMNS($Q$1006:U1006),$Q$1006:$U$1006,0)), HYPERLINK("#",""), HYPERLINK(CONCATENATE("#metadata!", ADDRESS(INDEX($L$2:$L$1001,MATCH(ROWS($J$2:J28),$J$2:$J$1001,0),0), INDEX($Q$1004:$U$1004,1,MATCH(COLUMNS($Q$1006:U1006),$Q$1006:$U$1006,0)))),"Fix")))</f>
        <v xml:space="preserve"> </v>
      </c>
      <c r="J28">
        <v>27</v>
      </c>
      <c r="K28">
        <v>100028</v>
      </c>
      <c r="L28">
        <v>28</v>
      </c>
      <c r="M28" t="b">
        <f t="shared" si="0"/>
        <v>1</v>
      </c>
      <c r="N28" t="b">
        <f>COUNTBLANK(metadata!B28:F28)=COLUMNS(metadata!B28:F28)</f>
        <v>1</v>
      </c>
      <c r="O28" t="str">
        <v/>
      </c>
      <c r="Q28" t="b">
        <f ca="1">AND(IF(metadata!B28="",FALSE,TRUE),COUNTIF(metadata!B:B, metadata!B28) = 1,NOT(ISERROR(SUMPRODUCT(SEARCH(MID(metadata!B28,ROW(INDIRECT("1:"&amp;LEN(metadata!B28))), 1),"0123456789abcdefghijklmnopqrstuvwxyzABCDEFGHIJKLMNOPQRSTUVWXYZ.")))))</f>
        <v>0</v>
      </c>
      <c r="R28" t="b">
        <f>AND(IF(metadata!C28="",FALSE,TRUE),OR(EXACT(metadata!C28,"saline"),EXACT(metadata!C28,"non-saline")))</f>
        <v>0</v>
      </c>
      <c r="S28" t="b">
        <f>AND(IF(metadata!D28="",FALSE,TRUE),OR(EXACT(metadata!D28,"surface (non-saline)"),EXACT(metadata!D28,"aerosol (non-saline)"),EXACT(metadata!D28,"sediment (non-saline)"),EXACT(metadata!D28,"surface (saline)"),EXACT(metadata!D28,"aerosol (saline)"),EXACT(metadata!D28,"sediment (saline)")))</f>
        <v>0</v>
      </c>
      <c r="T28" t="b">
        <f>AND(IF(metadata!E28="",FALSE,TRUE),EXACT(metadata!E28,"built environment"))</f>
        <v>0</v>
      </c>
      <c r="U28" t="b">
        <f>OR(AND(IF(metadata!F28="",FALSE,TRUE),EXACT(metadata!F28,"not applicable")),AND(IF(metadata!F28="",FALSE,TRUE),EXACT(metadata!F28,"anaerobic digester content")))</f>
        <v>0</v>
      </c>
    </row>
    <row r="29" spans="1:21" x14ac:dyDescent="0.2">
      <c r="A29" s="4" t="str">
        <f ca="1">IF(B29=" "," ",HYPERLINK(CONCATENATE("#metadata!",ADDRESS(INDEX($L$2:$L$1001,MATCH(ROWS($J$2:J29),$J$2:$J$1001,0),0),1)),INDEX($O$2:$O$1001,MATCH(ROWS($J$2:J29),$J$2:$J$1001,0),0)))</f>
        <v xml:space="preserve"> </v>
      </c>
      <c r="B29" s="3" t="str">
        <f ca="1">IF(OR(INDEX($K$2:$K$1001,MATCH(ROWS($J$2:J29),$J$2:$J$1001,0),1)&gt;=100000,INDEX($Q$1005:$U$1005,1,MATCH(COLUMNS($Q$1006:Q1006),$Q$1006:$U$1006,0))&gt;=100000), " ",IF(INDEX($Q$2:$U$1001,MATCH(ROWS($J$2:J29),$J$2:$J$1001,0),MATCH(COLUMNS($Q$1006:Q1006),$Q$1006:$U$1006,0)), HYPERLINK("#",""), HYPERLINK(CONCATENATE("#metadata!", ADDRESS(INDEX($L$2:$L$1001,MATCH(ROWS($J$2:J29),$J$2:$J$1001,0),0), INDEX($Q$1004:$U$1004,1,MATCH(COLUMNS($Q$1006:Q1006),$Q$1006:$U$1006,0)))),"Fix")))</f>
        <v xml:space="preserve"> </v>
      </c>
      <c r="C29" s="3" t="str">
        <f ca="1">IF(OR(INDEX($K$2:$K$1001,MATCH(ROWS($J$2:J29),$J$2:$J$1001,0),1)&gt;=100000,INDEX($Q$1005:$U$1005,1,MATCH(COLUMNS($Q$1006:R1006),$Q$1006:$U$1006,0))&gt;=100000), " ",IF(INDEX($Q$2:$U$1001,MATCH(ROWS($J$2:J29),$J$2:$J$1001,0),MATCH(COLUMNS($Q$1006:R1006),$Q$1006:$U$1006,0)), HYPERLINK("#",""), HYPERLINK(CONCATENATE("#metadata!", ADDRESS(INDEX($L$2:$L$1001,MATCH(ROWS($J$2:J29),$J$2:$J$1001,0),0), INDEX($Q$1004:$U$1004,1,MATCH(COLUMNS($Q$1006:R1006),$Q$1006:$U$1006,0)))),"Fix")))</f>
        <v xml:space="preserve"> </v>
      </c>
      <c r="D29" s="3" t="str">
        <f ca="1">IF(OR(INDEX($K$2:$K$1001,MATCH(ROWS($J$2:J29),$J$2:$J$1001,0),1)&gt;=100000,INDEX($Q$1005:$U$1005,1,MATCH(COLUMNS($Q$1006:S1006),$Q$1006:$U$1006,0))&gt;=100000), " ",IF(INDEX($Q$2:$U$1001,MATCH(ROWS($J$2:J29),$J$2:$J$1001,0),MATCH(COLUMNS($Q$1006:S1006),$Q$1006:$U$1006,0)), HYPERLINK("#",""), HYPERLINK(CONCATENATE("#metadata!", ADDRESS(INDEX($L$2:$L$1001,MATCH(ROWS($J$2:J29),$J$2:$J$1001,0),0), INDEX($Q$1004:$U$1004,1,MATCH(COLUMNS($Q$1006:S1006),$Q$1006:$U$1006,0)))),"Fix")))</f>
        <v xml:space="preserve"> </v>
      </c>
      <c r="E29" s="3" t="str">
        <f ca="1">IF(OR(INDEX($K$2:$K$1001,MATCH(ROWS($J$2:J29),$J$2:$J$1001,0),1)&gt;=100000,INDEX($Q$1005:$U$1005,1,MATCH(COLUMNS($Q$1006:T1006),$Q$1006:$U$1006,0))&gt;=100000), " ",IF(INDEX($Q$2:$U$1001,MATCH(ROWS($J$2:J29),$J$2:$J$1001,0),MATCH(COLUMNS($Q$1006:T1006),$Q$1006:$U$1006,0)), HYPERLINK("#",""), HYPERLINK(CONCATENATE("#metadata!", ADDRESS(INDEX($L$2:$L$1001,MATCH(ROWS($J$2:J29),$J$2:$J$1001,0),0), INDEX($Q$1004:$U$1004,1,MATCH(COLUMNS($Q$1006:T1006),$Q$1006:$U$1006,0)))),"Fix")))</f>
        <v xml:space="preserve"> </v>
      </c>
      <c r="F29" s="3" t="str">
        <f ca="1">IF(OR(INDEX($K$2:$K$1001,MATCH(ROWS($J$2:J29),$J$2:$J$1001,0),1)&gt;=100000,INDEX($Q$1005:$U$1005,1,MATCH(COLUMNS($Q$1006:U1006),$Q$1006:$U$1006,0))&gt;=100000), " ",IF(INDEX($Q$2:$U$1001,MATCH(ROWS($J$2:J29),$J$2:$J$1001,0),MATCH(COLUMNS($Q$1006:U1006),$Q$1006:$U$1006,0)), HYPERLINK("#",""), HYPERLINK(CONCATENATE("#metadata!", ADDRESS(INDEX($L$2:$L$1001,MATCH(ROWS($J$2:J29),$J$2:$J$1001,0),0), INDEX($Q$1004:$U$1004,1,MATCH(COLUMNS($Q$1006:U1006),$Q$1006:$U$1006,0)))),"Fix")))</f>
        <v xml:space="preserve"> </v>
      </c>
      <c r="J29">
        <v>28</v>
      </c>
      <c r="K29">
        <v>100029</v>
      </c>
      <c r="L29">
        <v>29</v>
      </c>
      <c r="M29" t="b">
        <f t="shared" si="0"/>
        <v>1</v>
      </c>
      <c r="N29" t="b">
        <f>COUNTBLANK(metadata!B29:F29)=COLUMNS(metadata!B29:F29)</f>
        <v>1</v>
      </c>
      <c r="O29" t="str">
        <v/>
      </c>
      <c r="Q29" t="b">
        <f ca="1">AND(IF(metadata!B29="",FALSE,TRUE),COUNTIF(metadata!B:B, metadata!B29) = 1,NOT(ISERROR(SUMPRODUCT(SEARCH(MID(metadata!B29,ROW(INDIRECT("1:"&amp;LEN(metadata!B29))), 1),"0123456789abcdefghijklmnopqrstuvwxyzABCDEFGHIJKLMNOPQRSTUVWXYZ.")))))</f>
        <v>0</v>
      </c>
      <c r="R29" t="b">
        <f>AND(IF(metadata!C29="",FALSE,TRUE),OR(EXACT(metadata!C29,"saline"),EXACT(metadata!C29,"non-saline")))</f>
        <v>0</v>
      </c>
      <c r="S29" t="b">
        <f>AND(IF(metadata!D29="",FALSE,TRUE),OR(EXACT(metadata!D29,"surface (non-saline)"),EXACT(metadata!D29,"aerosol (non-saline)"),EXACT(metadata!D29,"sediment (non-saline)"),EXACT(metadata!D29,"surface (saline)"),EXACT(metadata!D29,"aerosol (saline)"),EXACT(metadata!D29,"sediment (saline)")))</f>
        <v>0</v>
      </c>
      <c r="T29" t="b">
        <f>AND(IF(metadata!E29="",FALSE,TRUE),EXACT(metadata!E29,"built environment"))</f>
        <v>0</v>
      </c>
      <c r="U29" t="b">
        <f>OR(AND(IF(metadata!F29="",FALSE,TRUE),EXACT(metadata!F29,"not applicable")),AND(IF(metadata!F29="",FALSE,TRUE),EXACT(metadata!F29,"anaerobic digester content")))</f>
        <v>0</v>
      </c>
    </row>
    <row r="30" spans="1:21" x14ac:dyDescent="0.2">
      <c r="A30" s="4" t="str">
        <f ca="1">IF(B30=" "," ",HYPERLINK(CONCATENATE("#metadata!",ADDRESS(INDEX($L$2:$L$1001,MATCH(ROWS($J$2:J30),$J$2:$J$1001,0),0),1)),INDEX($O$2:$O$1001,MATCH(ROWS($J$2:J30),$J$2:$J$1001,0),0)))</f>
        <v xml:space="preserve"> </v>
      </c>
      <c r="B30" s="3" t="str">
        <f ca="1">IF(OR(INDEX($K$2:$K$1001,MATCH(ROWS($J$2:J30),$J$2:$J$1001,0),1)&gt;=100000,INDEX($Q$1005:$U$1005,1,MATCH(COLUMNS($Q$1006:Q1006),$Q$1006:$U$1006,0))&gt;=100000), " ",IF(INDEX($Q$2:$U$1001,MATCH(ROWS($J$2:J30),$J$2:$J$1001,0),MATCH(COLUMNS($Q$1006:Q1006),$Q$1006:$U$1006,0)), HYPERLINK("#",""), HYPERLINK(CONCATENATE("#metadata!", ADDRESS(INDEX($L$2:$L$1001,MATCH(ROWS($J$2:J30),$J$2:$J$1001,0),0), INDEX($Q$1004:$U$1004,1,MATCH(COLUMNS($Q$1006:Q1006),$Q$1006:$U$1006,0)))),"Fix")))</f>
        <v xml:space="preserve"> </v>
      </c>
      <c r="C30" s="3" t="str">
        <f ca="1">IF(OR(INDEX($K$2:$K$1001,MATCH(ROWS($J$2:J30),$J$2:$J$1001,0),1)&gt;=100000,INDEX($Q$1005:$U$1005,1,MATCH(COLUMNS($Q$1006:R1006),$Q$1006:$U$1006,0))&gt;=100000), " ",IF(INDEX($Q$2:$U$1001,MATCH(ROWS($J$2:J30),$J$2:$J$1001,0),MATCH(COLUMNS($Q$1006:R1006),$Q$1006:$U$1006,0)), HYPERLINK("#",""), HYPERLINK(CONCATENATE("#metadata!", ADDRESS(INDEX($L$2:$L$1001,MATCH(ROWS($J$2:J30),$J$2:$J$1001,0),0), INDEX($Q$1004:$U$1004,1,MATCH(COLUMNS($Q$1006:R1006),$Q$1006:$U$1006,0)))),"Fix")))</f>
        <v xml:space="preserve"> </v>
      </c>
      <c r="D30" s="3" t="str">
        <f ca="1">IF(OR(INDEX($K$2:$K$1001,MATCH(ROWS($J$2:J30),$J$2:$J$1001,0),1)&gt;=100000,INDEX($Q$1005:$U$1005,1,MATCH(COLUMNS($Q$1006:S1006),$Q$1006:$U$1006,0))&gt;=100000), " ",IF(INDEX($Q$2:$U$1001,MATCH(ROWS($J$2:J30),$J$2:$J$1001,0),MATCH(COLUMNS($Q$1006:S1006),$Q$1006:$U$1006,0)), HYPERLINK("#",""), HYPERLINK(CONCATENATE("#metadata!", ADDRESS(INDEX($L$2:$L$1001,MATCH(ROWS($J$2:J30),$J$2:$J$1001,0),0), INDEX($Q$1004:$U$1004,1,MATCH(COLUMNS($Q$1006:S1006),$Q$1006:$U$1006,0)))),"Fix")))</f>
        <v xml:space="preserve"> </v>
      </c>
      <c r="E30" s="3" t="str">
        <f ca="1">IF(OR(INDEX($K$2:$K$1001,MATCH(ROWS($J$2:J30),$J$2:$J$1001,0),1)&gt;=100000,INDEX($Q$1005:$U$1005,1,MATCH(COLUMNS($Q$1006:T1006),$Q$1006:$U$1006,0))&gt;=100000), " ",IF(INDEX($Q$2:$U$1001,MATCH(ROWS($J$2:J30),$J$2:$J$1001,0),MATCH(COLUMNS($Q$1006:T1006),$Q$1006:$U$1006,0)), HYPERLINK("#",""), HYPERLINK(CONCATENATE("#metadata!", ADDRESS(INDEX($L$2:$L$1001,MATCH(ROWS($J$2:J30),$J$2:$J$1001,0),0), INDEX($Q$1004:$U$1004,1,MATCH(COLUMNS($Q$1006:T1006),$Q$1006:$U$1006,0)))),"Fix")))</f>
        <v xml:space="preserve"> </v>
      </c>
      <c r="F30" s="3" t="str">
        <f ca="1">IF(OR(INDEX($K$2:$K$1001,MATCH(ROWS($J$2:J30),$J$2:$J$1001,0),1)&gt;=100000,INDEX($Q$1005:$U$1005,1,MATCH(COLUMNS($Q$1006:U1006),$Q$1006:$U$1006,0))&gt;=100000), " ",IF(INDEX($Q$2:$U$1001,MATCH(ROWS($J$2:J30),$J$2:$J$1001,0),MATCH(COLUMNS($Q$1006:U1006),$Q$1006:$U$1006,0)), HYPERLINK("#",""), HYPERLINK(CONCATENATE("#metadata!", ADDRESS(INDEX($L$2:$L$1001,MATCH(ROWS($J$2:J30),$J$2:$J$1001,0),0), INDEX($Q$1004:$U$1004,1,MATCH(COLUMNS($Q$1006:U1006),$Q$1006:$U$1006,0)))),"Fix")))</f>
        <v xml:space="preserve"> </v>
      </c>
      <c r="J30">
        <v>29</v>
      </c>
      <c r="K30">
        <v>100030</v>
      </c>
      <c r="L30">
        <v>30</v>
      </c>
      <c r="M30" t="b">
        <f t="shared" si="0"/>
        <v>1</v>
      </c>
      <c r="N30" t="b">
        <f>COUNTBLANK(metadata!B30:F30)=COLUMNS(metadata!B30:F30)</f>
        <v>1</v>
      </c>
      <c r="O30" t="str">
        <v/>
      </c>
      <c r="Q30" t="b">
        <f ca="1">AND(IF(metadata!B30="",FALSE,TRUE),COUNTIF(metadata!B:B, metadata!B30) = 1,NOT(ISERROR(SUMPRODUCT(SEARCH(MID(metadata!B30,ROW(INDIRECT("1:"&amp;LEN(metadata!B30))), 1),"0123456789abcdefghijklmnopqrstuvwxyzABCDEFGHIJKLMNOPQRSTUVWXYZ.")))))</f>
        <v>0</v>
      </c>
      <c r="R30" t="b">
        <f>AND(IF(metadata!C30="",FALSE,TRUE),OR(EXACT(metadata!C30,"saline"),EXACT(metadata!C30,"non-saline")))</f>
        <v>0</v>
      </c>
      <c r="S30" t="b">
        <f>AND(IF(metadata!D30="",FALSE,TRUE),OR(EXACT(metadata!D30,"surface (non-saline)"),EXACT(metadata!D30,"aerosol (non-saline)"),EXACT(metadata!D30,"sediment (non-saline)"),EXACT(metadata!D30,"surface (saline)"),EXACT(metadata!D30,"aerosol (saline)"),EXACT(metadata!D30,"sediment (saline)")))</f>
        <v>0</v>
      </c>
      <c r="T30" t="b">
        <f>AND(IF(metadata!E30="",FALSE,TRUE),EXACT(metadata!E30,"built environment"))</f>
        <v>0</v>
      </c>
      <c r="U30" t="b">
        <f>OR(AND(IF(metadata!F30="",FALSE,TRUE),EXACT(metadata!F30,"not applicable")),AND(IF(metadata!F30="",FALSE,TRUE),EXACT(metadata!F30,"anaerobic digester content")))</f>
        <v>0</v>
      </c>
    </row>
    <row r="31" spans="1:21" x14ac:dyDescent="0.2">
      <c r="A31" s="4" t="str">
        <f ca="1">IF(B31=" "," ",HYPERLINK(CONCATENATE("#metadata!",ADDRESS(INDEX($L$2:$L$1001,MATCH(ROWS($J$2:J31),$J$2:$J$1001,0),0),1)),INDEX($O$2:$O$1001,MATCH(ROWS($J$2:J31),$J$2:$J$1001,0),0)))</f>
        <v xml:space="preserve"> </v>
      </c>
      <c r="B31" s="3" t="str">
        <f ca="1">IF(OR(INDEX($K$2:$K$1001,MATCH(ROWS($J$2:J31),$J$2:$J$1001,0),1)&gt;=100000,INDEX($Q$1005:$U$1005,1,MATCH(COLUMNS($Q$1006:Q1006),$Q$1006:$U$1006,0))&gt;=100000), " ",IF(INDEX($Q$2:$U$1001,MATCH(ROWS($J$2:J31),$J$2:$J$1001,0),MATCH(COLUMNS($Q$1006:Q1006),$Q$1006:$U$1006,0)), HYPERLINK("#",""), HYPERLINK(CONCATENATE("#metadata!", ADDRESS(INDEX($L$2:$L$1001,MATCH(ROWS($J$2:J31),$J$2:$J$1001,0),0), INDEX($Q$1004:$U$1004,1,MATCH(COLUMNS($Q$1006:Q1006),$Q$1006:$U$1006,0)))),"Fix")))</f>
        <v xml:space="preserve"> </v>
      </c>
      <c r="C31" s="3" t="str">
        <f ca="1">IF(OR(INDEX($K$2:$K$1001,MATCH(ROWS($J$2:J31),$J$2:$J$1001,0),1)&gt;=100000,INDEX($Q$1005:$U$1005,1,MATCH(COLUMNS($Q$1006:R1006),$Q$1006:$U$1006,0))&gt;=100000), " ",IF(INDEX($Q$2:$U$1001,MATCH(ROWS($J$2:J31),$J$2:$J$1001,0),MATCH(COLUMNS($Q$1006:R1006),$Q$1006:$U$1006,0)), HYPERLINK("#",""), HYPERLINK(CONCATENATE("#metadata!", ADDRESS(INDEX($L$2:$L$1001,MATCH(ROWS($J$2:J31),$J$2:$J$1001,0),0), INDEX($Q$1004:$U$1004,1,MATCH(COLUMNS($Q$1006:R1006),$Q$1006:$U$1006,0)))),"Fix")))</f>
        <v xml:space="preserve"> </v>
      </c>
      <c r="D31" s="3" t="str">
        <f ca="1">IF(OR(INDEX($K$2:$K$1001,MATCH(ROWS($J$2:J31),$J$2:$J$1001,0),1)&gt;=100000,INDEX($Q$1005:$U$1005,1,MATCH(COLUMNS($Q$1006:S1006),$Q$1006:$U$1006,0))&gt;=100000), " ",IF(INDEX($Q$2:$U$1001,MATCH(ROWS($J$2:J31),$J$2:$J$1001,0),MATCH(COLUMNS($Q$1006:S1006),$Q$1006:$U$1006,0)), HYPERLINK("#",""), HYPERLINK(CONCATENATE("#metadata!", ADDRESS(INDEX($L$2:$L$1001,MATCH(ROWS($J$2:J31),$J$2:$J$1001,0),0), INDEX($Q$1004:$U$1004,1,MATCH(COLUMNS($Q$1006:S1006),$Q$1006:$U$1006,0)))),"Fix")))</f>
        <v xml:space="preserve"> </v>
      </c>
      <c r="E31" s="3" t="str">
        <f ca="1">IF(OR(INDEX($K$2:$K$1001,MATCH(ROWS($J$2:J31),$J$2:$J$1001,0),1)&gt;=100000,INDEX($Q$1005:$U$1005,1,MATCH(COLUMNS($Q$1006:T1006),$Q$1006:$U$1006,0))&gt;=100000), " ",IF(INDEX($Q$2:$U$1001,MATCH(ROWS($J$2:J31),$J$2:$J$1001,0),MATCH(COLUMNS($Q$1006:T1006),$Q$1006:$U$1006,0)), HYPERLINK("#",""), HYPERLINK(CONCATENATE("#metadata!", ADDRESS(INDEX($L$2:$L$1001,MATCH(ROWS($J$2:J31),$J$2:$J$1001,0),0), INDEX($Q$1004:$U$1004,1,MATCH(COLUMNS($Q$1006:T1006),$Q$1006:$U$1006,0)))),"Fix")))</f>
        <v xml:space="preserve"> </v>
      </c>
      <c r="F31" s="3" t="str">
        <f ca="1">IF(OR(INDEX($K$2:$K$1001,MATCH(ROWS($J$2:J31),$J$2:$J$1001,0),1)&gt;=100000,INDEX($Q$1005:$U$1005,1,MATCH(COLUMNS($Q$1006:U1006),$Q$1006:$U$1006,0))&gt;=100000), " ",IF(INDEX($Q$2:$U$1001,MATCH(ROWS($J$2:J31),$J$2:$J$1001,0),MATCH(COLUMNS($Q$1006:U1006),$Q$1006:$U$1006,0)), HYPERLINK("#",""), HYPERLINK(CONCATENATE("#metadata!", ADDRESS(INDEX($L$2:$L$1001,MATCH(ROWS($J$2:J31),$J$2:$J$1001,0),0), INDEX($Q$1004:$U$1004,1,MATCH(COLUMNS($Q$1006:U1006),$Q$1006:$U$1006,0)))),"Fix")))</f>
        <v xml:space="preserve"> </v>
      </c>
      <c r="J31">
        <v>30</v>
      </c>
      <c r="K31">
        <v>100031</v>
      </c>
      <c r="L31">
        <v>31</v>
      </c>
      <c r="M31" t="b">
        <f t="shared" si="0"/>
        <v>1</v>
      </c>
      <c r="N31" t="b">
        <f>COUNTBLANK(metadata!B31:F31)=COLUMNS(metadata!B31:F31)</f>
        <v>1</v>
      </c>
      <c r="O31" t="str">
        <v/>
      </c>
      <c r="Q31" t="b">
        <f ca="1">AND(IF(metadata!B31="",FALSE,TRUE),COUNTIF(metadata!B:B, metadata!B31) = 1,NOT(ISERROR(SUMPRODUCT(SEARCH(MID(metadata!B31,ROW(INDIRECT("1:"&amp;LEN(metadata!B31))), 1),"0123456789abcdefghijklmnopqrstuvwxyzABCDEFGHIJKLMNOPQRSTUVWXYZ.")))))</f>
        <v>0</v>
      </c>
      <c r="R31" t="b">
        <f>AND(IF(metadata!C31="",FALSE,TRUE),OR(EXACT(metadata!C31,"saline"),EXACT(metadata!C31,"non-saline")))</f>
        <v>0</v>
      </c>
      <c r="S31" t="b">
        <f>AND(IF(metadata!D31="",FALSE,TRUE),OR(EXACT(metadata!D31,"surface (non-saline)"),EXACT(metadata!D31,"aerosol (non-saline)"),EXACT(metadata!D31,"sediment (non-saline)"),EXACT(metadata!D31,"surface (saline)"),EXACT(metadata!D31,"aerosol (saline)"),EXACT(metadata!D31,"sediment (saline)")))</f>
        <v>0</v>
      </c>
      <c r="T31" t="b">
        <f>AND(IF(metadata!E31="",FALSE,TRUE),EXACT(metadata!E31,"built environment"))</f>
        <v>0</v>
      </c>
      <c r="U31" t="b">
        <f>OR(AND(IF(metadata!F31="",FALSE,TRUE),EXACT(metadata!F31,"not applicable")),AND(IF(metadata!F31="",FALSE,TRUE),EXACT(metadata!F31,"anaerobic digester content")))</f>
        <v>0</v>
      </c>
    </row>
    <row r="32" spans="1:21" x14ac:dyDescent="0.2">
      <c r="A32" s="4" t="str">
        <f ca="1">IF(B32=" "," ",HYPERLINK(CONCATENATE("#metadata!",ADDRESS(INDEX($L$2:$L$1001,MATCH(ROWS($J$2:J32),$J$2:$J$1001,0),0),1)),INDEX($O$2:$O$1001,MATCH(ROWS($J$2:J32),$J$2:$J$1001,0),0)))</f>
        <v xml:space="preserve"> </v>
      </c>
      <c r="B32" s="3" t="str">
        <f ca="1">IF(OR(INDEX($K$2:$K$1001,MATCH(ROWS($J$2:J32),$J$2:$J$1001,0),1)&gt;=100000,INDEX($Q$1005:$U$1005,1,MATCH(COLUMNS($Q$1006:Q1006),$Q$1006:$U$1006,0))&gt;=100000), " ",IF(INDEX($Q$2:$U$1001,MATCH(ROWS($J$2:J32),$J$2:$J$1001,0),MATCH(COLUMNS($Q$1006:Q1006),$Q$1006:$U$1006,0)), HYPERLINK("#",""), HYPERLINK(CONCATENATE("#metadata!", ADDRESS(INDEX($L$2:$L$1001,MATCH(ROWS($J$2:J32),$J$2:$J$1001,0),0), INDEX($Q$1004:$U$1004,1,MATCH(COLUMNS($Q$1006:Q1006),$Q$1006:$U$1006,0)))),"Fix")))</f>
        <v xml:space="preserve"> </v>
      </c>
      <c r="C32" s="3" t="str">
        <f ca="1">IF(OR(INDEX($K$2:$K$1001,MATCH(ROWS($J$2:J32),$J$2:$J$1001,0),1)&gt;=100000,INDEX($Q$1005:$U$1005,1,MATCH(COLUMNS($Q$1006:R1006),$Q$1006:$U$1006,0))&gt;=100000), " ",IF(INDEX($Q$2:$U$1001,MATCH(ROWS($J$2:J32),$J$2:$J$1001,0),MATCH(COLUMNS($Q$1006:R1006),$Q$1006:$U$1006,0)), HYPERLINK("#",""), HYPERLINK(CONCATENATE("#metadata!", ADDRESS(INDEX($L$2:$L$1001,MATCH(ROWS($J$2:J32),$J$2:$J$1001,0),0), INDEX($Q$1004:$U$1004,1,MATCH(COLUMNS($Q$1006:R1006),$Q$1006:$U$1006,0)))),"Fix")))</f>
        <v xml:space="preserve"> </v>
      </c>
      <c r="D32" s="3" t="str">
        <f ca="1">IF(OR(INDEX($K$2:$K$1001,MATCH(ROWS($J$2:J32),$J$2:$J$1001,0),1)&gt;=100000,INDEX($Q$1005:$U$1005,1,MATCH(COLUMNS($Q$1006:S1006),$Q$1006:$U$1006,0))&gt;=100000), " ",IF(INDEX($Q$2:$U$1001,MATCH(ROWS($J$2:J32),$J$2:$J$1001,0),MATCH(COLUMNS($Q$1006:S1006),$Q$1006:$U$1006,0)), HYPERLINK("#",""), HYPERLINK(CONCATENATE("#metadata!", ADDRESS(INDEX($L$2:$L$1001,MATCH(ROWS($J$2:J32),$J$2:$J$1001,0),0), INDEX($Q$1004:$U$1004,1,MATCH(COLUMNS($Q$1006:S1006),$Q$1006:$U$1006,0)))),"Fix")))</f>
        <v xml:space="preserve"> </v>
      </c>
      <c r="E32" s="3" t="str">
        <f ca="1">IF(OR(INDEX($K$2:$K$1001,MATCH(ROWS($J$2:J32),$J$2:$J$1001,0),1)&gt;=100000,INDEX($Q$1005:$U$1005,1,MATCH(COLUMNS($Q$1006:T1006),$Q$1006:$U$1006,0))&gt;=100000), " ",IF(INDEX($Q$2:$U$1001,MATCH(ROWS($J$2:J32),$J$2:$J$1001,0),MATCH(COLUMNS($Q$1006:T1006),$Q$1006:$U$1006,0)), HYPERLINK("#",""), HYPERLINK(CONCATENATE("#metadata!", ADDRESS(INDEX($L$2:$L$1001,MATCH(ROWS($J$2:J32),$J$2:$J$1001,0),0), INDEX($Q$1004:$U$1004,1,MATCH(COLUMNS($Q$1006:T1006),$Q$1006:$U$1006,0)))),"Fix")))</f>
        <v xml:space="preserve"> </v>
      </c>
      <c r="F32" s="3" t="str">
        <f ca="1">IF(OR(INDEX($K$2:$K$1001,MATCH(ROWS($J$2:J32),$J$2:$J$1001,0),1)&gt;=100000,INDEX($Q$1005:$U$1005,1,MATCH(COLUMNS($Q$1006:U1006),$Q$1006:$U$1006,0))&gt;=100000), " ",IF(INDEX($Q$2:$U$1001,MATCH(ROWS($J$2:J32),$J$2:$J$1001,0),MATCH(COLUMNS($Q$1006:U1006),$Q$1006:$U$1006,0)), HYPERLINK("#",""), HYPERLINK(CONCATENATE("#metadata!", ADDRESS(INDEX($L$2:$L$1001,MATCH(ROWS($J$2:J32),$J$2:$J$1001,0),0), INDEX($Q$1004:$U$1004,1,MATCH(COLUMNS($Q$1006:U1006),$Q$1006:$U$1006,0)))),"Fix")))</f>
        <v xml:space="preserve"> </v>
      </c>
      <c r="J32">
        <v>31</v>
      </c>
      <c r="K32">
        <v>100032</v>
      </c>
      <c r="L32">
        <v>32</v>
      </c>
      <c r="M32" t="b">
        <f t="shared" si="0"/>
        <v>1</v>
      </c>
      <c r="N32" t="b">
        <f>COUNTBLANK(metadata!B32:F32)=COLUMNS(metadata!B32:F32)</f>
        <v>1</v>
      </c>
      <c r="O32" t="str">
        <v/>
      </c>
      <c r="Q32" t="b">
        <f ca="1">AND(IF(metadata!B32="",FALSE,TRUE),COUNTIF(metadata!B:B, metadata!B32) = 1,NOT(ISERROR(SUMPRODUCT(SEARCH(MID(metadata!B32,ROW(INDIRECT("1:"&amp;LEN(metadata!B32))), 1),"0123456789abcdefghijklmnopqrstuvwxyzABCDEFGHIJKLMNOPQRSTUVWXYZ.")))))</f>
        <v>0</v>
      </c>
      <c r="R32" t="b">
        <f>AND(IF(metadata!C32="",FALSE,TRUE),OR(EXACT(metadata!C32,"saline"),EXACT(metadata!C32,"non-saline")))</f>
        <v>0</v>
      </c>
      <c r="S32" t="b">
        <f>AND(IF(metadata!D32="",FALSE,TRUE),OR(EXACT(metadata!D32,"surface (non-saline)"),EXACT(metadata!D32,"aerosol (non-saline)"),EXACT(metadata!D32,"sediment (non-saline)"),EXACT(metadata!D32,"surface (saline)"),EXACT(metadata!D32,"aerosol (saline)"),EXACT(metadata!D32,"sediment (saline)")))</f>
        <v>0</v>
      </c>
      <c r="T32" t="b">
        <f>AND(IF(metadata!E32="",FALSE,TRUE),EXACT(metadata!E32,"built environment"))</f>
        <v>0</v>
      </c>
      <c r="U32" t="b">
        <f>OR(AND(IF(metadata!F32="",FALSE,TRUE),EXACT(metadata!F32,"not applicable")),AND(IF(metadata!F32="",FALSE,TRUE),EXACT(metadata!F32,"anaerobic digester content")))</f>
        <v>0</v>
      </c>
    </row>
    <row r="33" spans="1:21" x14ac:dyDescent="0.2">
      <c r="A33" s="4" t="str">
        <f ca="1">IF(B33=" "," ",HYPERLINK(CONCATENATE("#metadata!",ADDRESS(INDEX($L$2:$L$1001,MATCH(ROWS($J$2:J33),$J$2:$J$1001,0),0),1)),INDEX($O$2:$O$1001,MATCH(ROWS($J$2:J33),$J$2:$J$1001,0),0)))</f>
        <v xml:space="preserve"> </v>
      </c>
      <c r="B33" s="3" t="str">
        <f ca="1">IF(OR(INDEX($K$2:$K$1001,MATCH(ROWS($J$2:J33),$J$2:$J$1001,0),1)&gt;=100000,INDEX($Q$1005:$U$1005,1,MATCH(COLUMNS($Q$1006:Q1006),$Q$1006:$U$1006,0))&gt;=100000), " ",IF(INDEX($Q$2:$U$1001,MATCH(ROWS($J$2:J33),$J$2:$J$1001,0),MATCH(COLUMNS($Q$1006:Q1006),$Q$1006:$U$1006,0)), HYPERLINK("#",""), HYPERLINK(CONCATENATE("#metadata!", ADDRESS(INDEX($L$2:$L$1001,MATCH(ROWS($J$2:J33),$J$2:$J$1001,0),0), INDEX($Q$1004:$U$1004,1,MATCH(COLUMNS($Q$1006:Q1006),$Q$1006:$U$1006,0)))),"Fix")))</f>
        <v xml:space="preserve"> </v>
      </c>
      <c r="C33" s="3" t="str">
        <f ca="1">IF(OR(INDEX($K$2:$K$1001,MATCH(ROWS($J$2:J33),$J$2:$J$1001,0),1)&gt;=100000,INDEX($Q$1005:$U$1005,1,MATCH(COLUMNS($Q$1006:R1006),$Q$1006:$U$1006,0))&gt;=100000), " ",IF(INDEX($Q$2:$U$1001,MATCH(ROWS($J$2:J33),$J$2:$J$1001,0),MATCH(COLUMNS($Q$1006:R1006),$Q$1006:$U$1006,0)), HYPERLINK("#",""), HYPERLINK(CONCATENATE("#metadata!", ADDRESS(INDEX($L$2:$L$1001,MATCH(ROWS($J$2:J33),$J$2:$J$1001,0),0), INDEX($Q$1004:$U$1004,1,MATCH(COLUMNS($Q$1006:R1006),$Q$1006:$U$1006,0)))),"Fix")))</f>
        <v xml:space="preserve"> </v>
      </c>
      <c r="D33" s="3" t="str">
        <f ca="1">IF(OR(INDEX($K$2:$K$1001,MATCH(ROWS($J$2:J33),$J$2:$J$1001,0),1)&gt;=100000,INDEX($Q$1005:$U$1005,1,MATCH(COLUMNS($Q$1006:S1006),$Q$1006:$U$1006,0))&gt;=100000), " ",IF(INDEX($Q$2:$U$1001,MATCH(ROWS($J$2:J33),$J$2:$J$1001,0),MATCH(COLUMNS($Q$1006:S1006),$Q$1006:$U$1006,0)), HYPERLINK("#",""), HYPERLINK(CONCATENATE("#metadata!", ADDRESS(INDEX($L$2:$L$1001,MATCH(ROWS($J$2:J33),$J$2:$J$1001,0),0), INDEX($Q$1004:$U$1004,1,MATCH(COLUMNS($Q$1006:S1006),$Q$1006:$U$1006,0)))),"Fix")))</f>
        <v xml:space="preserve"> </v>
      </c>
      <c r="E33" s="3" t="str">
        <f ca="1">IF(OR(INDEX($K$2:$K$1001,MATCH(ROWS($J$2:J33),$J$2:$J$1001,0),1)&gt;=100000,INDEX($Q$1005:$U$1005,1,MATCH(COLUMNS($Q$1006:T1006),$Q$1006:$U$1006,0))&gt;=100000), " ",IF(INDEX($Q$2:$U$1001,MATCH(ROWS($J$2:J33),$J$2:$J$1001,0),MATCH(COLUMNS($Q$1006:T1006),$Q$1006:$U$1006,0)), HYPERLINK("#",""), HYPERLINK(CONCATENATE("#metadata!", ADDRESS(INDEX($L$2:$L$1001,MATCH(ROWS($J$2:J33),$J$2:$J$1001,0),0), INDEX($Q$1004:$U$1004,1,MATCH(COLUMNS($Q$1006:T1006),$Q$1006:$U$1006,0)))),"Fix")))</f>
        <v xml:space="preserve"> </v>
      </c>
      <c r="F33" s="3" t="str">
        <f ca="1">IF(OR(INDEX($K$2:$K$1001,MATCH(ROWS($J$2:J33),$J$2:$J$1001,0),1)&gt;=100000,INDEX($Q$1005:$U$1005,1,MATCH(COLUMNS($Q$1006:U1006),$Q$1006:$U$1006,0))&gt;=100000), " ",IF(INDEX($Q$2:$U$1001,MATCH(ROWS($J$2:J33),$J$2:$J$1001,0),MATCH(COLUMNS($Q$1006:U1006),$Q$1006:$U$1006,0)), HYPERLINK("#",""), HYPERLINK(CONCATENATE("#metadata!", ADDRESS(INDEX($L$2:$L$1001,MATCH(ROWS($J$2:J33),$J$2:$J$1001,0),0), INDEX($Q$1004:$U$1004,1,MATCH(COLUMNS($Q$1006:U1006),$Q$1006:$U$1006,0)))),"Fix")))</f>
        <v xml:space="preserve"> </v>
      </c>
      <c r="J33">
        <v>32</v>
      </c>
      <c r="K33">
        <v>100033</v>
      </c>
      <c r="L33">
        <v>33</v>
      </c>
      <c r="M33" t="b">
        <f t="shared" si="0"/>
        <v>1</v>
      </c>
      <c r="N33" t="b">
        <f>COUNTBLANK(metadata!B33:F33)=COLUMNS(metadata!B33:F33)</f>
        <v>1</v>
      </c>
      <c r="O33" t="str">
        <v/>
      </c>
      <c r="Q33" t="b">
        <f ca="1">AND(IF(metadata!B33="",FALSE,TRUE),COUNTIF(metadata!B:B, metadata!B33) = 1,NOT(ISERROR(SUMPRODUCT(SEARCH(MID(metadata!B33,ROW(INDIRECT("1:"&amp;LEN(metadata!B33))), 1),"0123456789abcdefghijklmnopqrstuvwxyzABCDEFGHIJKLMNOPQRSTUVWXYZ.")))))</f>
        <v>0</v>
      </c>
      <c r="R33" t="b">
        <f>AND(IF(metadata!C33="",FALSE,TRUE),OR(EXACT(metadata!C33,"saline"),EXACT(metadata!C33,"non-saline")))</f>
        <v>0</v>
      </c>
      <c r="S33" t="b">
        <f>AND(IF(metadata!D33="",FALSE,TRUE),OR(EXACT(metadata!D33,"surface (non-saline)"),EXACT(metadata!D33,"aerosol (non-saline)"),EXACT(metadata!D33,"sediment (non-saline)"),EXACT(metadata!D33,"surface (saline)"),EXACT(metadata!D33,"aerosol (saline)"),EXACT(metadata!D33,"sediment (saline)")))</f>
        <v>0</v>
      </c>
      <c r="T33" t="b">
        <f>AND(IF(metadata!E33="",FALSE,TRUE),EXACT(metadata!E33,"built environment"))</f>
        <v>0</v>
      </c>
      <c r="U33" t="b">
        <f>OR(AND(IF(metadata!F33="",FALSE,TRUE),EXACT(metadata!F33,"not applicable")),AND(IF(metadata!F33="",FALSE,TRUE),EXACT(metadata!F33,"anaerobic digester content")))</f>
        <v>0</v>
      </c>
    </row>
    <row r="34" spans="1:21" x14ac:dyDescent="0.2">
      <c r="A34" s="4" t="str">
        <f ca="1">IF(B34=" "," ",HYPERLINK(CONCATENATE("#metadata!",ADDRESS(INDEX($L$2:$L$1001,MATCH(ROWS($J$2:J34),$J$2:$J$1001,0),0),1)),INDEX($O$2:$O$1001,MATCH(ROWS($J$2:J34),$J$2:$J$1001,0),0)))</f>
        <v xml:space="preserve"> </v>
      </c>
      <c r="B34" s="3" t="str">
        <f ca="1">IF(OR(INDEX($K$2:$K$1001,MATCH(ROWS($J$2:J34),$J$2:$J$1001,0),1)&gt;=100000,INDEX($Q$1005:$U$1005,1,MATCH(COLUMNS($Q$1006:Q1006),$Q$1006:$U$1006,0))&gt;=100000), " ",IF(INDEX($Q$2:$U$1001,MATCH(ROWS($J$2:J34),$J$2:$J$1001,0),MATCH(COLUMNS($Q$1006:Q1006),$Q$1006:$U$1006,0)), HYPERLINK("#",""), HYPERLINK(CONCATENATE("#metadata!", ADDRESS(INDEX($L$2:$L$1001,MATCH(ROWS($J$2:J34),$J$2:$J$1001,0),0), INDEX($Q$1004:$U$1004,1,MATCH(COLUMNS($Q$1006:Q1006),$Q$1006:$U$1006,0)))),"Fix")))</f>
        <v xml:space="preserve"> </v>
      </c>
      <c r="C34" s="3" t="str">
        <f ca="1">IF(OR(INDEX($K$2:$K$1001,MATCH(ROWS($J$2:J34),$J$2:$J$1001,0),1)&gt;=100000,INDEX($Q$1005:$U$1005,1,MATCH(COLUMNS($Q$1006:R1006),$Q$1006:$U$1006,0))&gt;=100000), " ",IF(INDEX($Q$2:$U$1001,MATCH(ROWS($J$2:J34),$J$2:$J$1001,0),MATCH(COLUMNS($Q$1006:R1006),$Q$1006:$U$1006,0)), HYPERLINK("#",""), HYPERLINK(CONCATENATE("#metadata!", ADDRESS(INDEX($L$2:$L$1001,MATCH(ROWS($J$2:J34),$J$2:$J$1001,0),0), INDEX($Q$1004:$U$1004,1,MATCH(COLUMNS($Q$1006:R1006),$Q$1006:$U$1006,0)))),"Fix")))</f>
        <v xml:space="preserve"> </v>
      </c>
      <c r="D34" s="3" t="str">
        <f ca="1">IF(OR(INDEX($K$2:$K$1001,MATCH(ROWS($J$2:J34),$J$2:$J$1001,0),1)&gt;=100000,INDEX($Q$1005:$U$1005,1,MATCH(COLUMNS($Q$1006:S1006),$Q$1006:$U$1006,0))&gt;=100000), " ",IF(INDEX($Q$2:$U$1001,MATCH(ROWS($J$2:J34),$J$2:$J$1001,0),MATCH(COLUMNS($Q$1006:S1006),$Q$1006:$U$1006,0)), HYPERLINK("#",""), HYPERLINK(CONCATENATE("#metadata!", ADDRESS(INDEX($L$2:$L$1001,MATCH(ROWS($J$2:J34),$J$2:$J$1001,0),0), INDEX($Q$1004:$U$1004,1,MATCH(COLUMNS($Q$1006:S1006),$Q$1006:$U$1006,0)))),"Fix")))</f>
        <v xml:space="preserve"> </v>
      </c>
      <c r="E34" s="3" t="str">
        <f ca="1">IF(OR(INDEX($K$2:$K$1001,MATCH(ROWS($J$2:J34),$J$2:$J$1001,0),1)&gt;=100000,INDEX($Q$1005:$U$1005,1,MATCH(COLUMNS($Q$1006:T1006),$Q$1006:$U$1006,0))&gt;=100000), " ",IF(INDEX($Q$2:$U$1001,MATCH(ROWS($J$2:J34),$J$2:$J$1001,0),MATCH(COLUMNS($Q$1006:T1006),$Q$1006:$U$1006,0)), HYPERLINK("#",""), HYPERLINK(CONCATENATE("#metadata!", ADDRESS(INDEX($L$2:$L$1001,MATCH(ROWS($J$2:J34),$J$2:$J$1001,0),0), INDEX($Q$1004:$U$1004,1,MATCH(COLUMNS($Q$1006:T1006),$Q$1006:$U$1006,0)))),"Fix")))</f>
        <v xml:space="preserve"> </v>
      </c>
      <c r="F34" s="3" t="str">
        <f ca="1">IF(OR(INDEX($K$2:$K$1001,MATCH(ROWS($J$2:J34),$J$2:$J$1001,0),1)&gt;=100000,INDEX($Q$1005:$U$1005,1,MATCH(COLUMNS($Q$1006:U1006),$Q$1006:$U$1006,0))&gt;=100000), " ",IF(INDEX($Q$2:$U$1001,MATCH(ROWS($J$2:J34),$J$2:$J$1001,0),MATCH(COLUMNS($Q$1006:U1006),$Q$1006:$U$1006,0)), HYPERLINK("#",""), HYPERLINK(CONCATENATE("#metadata!", ADDRESS(INDEX($L$2:$L$1001,MATCH(ROWS($J$2:J34),$J$2:$J$1001,0),0), INDEX($Q$1004:$U$1004,1,MATCH(COLUMNS($Q$1006:U1006),$Q$1006:$U$1006,0)))),"Fix")))</f>
        <v xml:space="preserve"> </v>
      </c>
      <c r="J34">
        <v>33</v>
      </c>
      <c r="K34">
        <v>100034</v>
      </c>
      <c r="L34">
        <v>34</v>
      </c>
      <c r="M34" t="b">
        <f t="shared" si="0"/>
        <v>1</v>
      </c>
      <c r="N34" t="b">
        <f>COUNTBLANK(metadata!B34:F34)=COLUMNS(metadata!B34:F34)</f>
        <v>1</v>
      </c>
      <c r="O34" t="str">
        <v/>
      </c>
      <c r="Q34" t="b">
        <f ca="1">AND(IF(metadata!B34="",FALSE,TRUE),COUNTIF(metadata!B:B, metadata!B34) = 1,NOT(ISERROR(SUMPRODUCT(SEARCH(MID(metadata!B34,ROW(INDIRECT("1:"&amp;LEN(metadata!B34))), 1),"0123456789abcdefghijklmnopqrstuvwxyzABCDEFGHIJKLMNOPQRSTUVWXYZ.")))))</f>
        <v>0</v>
      </c>
      <c r="R34" t="b">
        <f>AND(IF(metadata!C34="",FALSE,TRUE),OR(EXACT(metadata!C34,"saline"),EXACT(metadata!C34,"non-saline")))</f>
        <v>0</v>
      </c>
      <c r="S34" t="b">
        <f>AND(IF(metadata!D34="",FALSE,TRUE),OR(EXACT(metadata!D34,"surface (non-saline)"),EXACT(metadata!D34,"aerosol (non-saline)"),EXACT(metadata!D34,"sediment (non-saline)"),EXACT(metadata!D34,"surface (saline)"),EXACT(metadata!D34,"aerosol (saline)"),EXACT(metadata!D34,"sediment (saline)")))</f>
        <v>0</v>
      </c>
      <c r="T34" t="b">
        <f>AND(IF(metadata!E34="",FALSE,TRUE),EXACT(metadata!E34,"built environment"))</f>
        <v>0</v>
      </c>
      <c r="U34" t="b">
        <f>OR(AND(IF(metadata!F34="",FALSE,TRUE),EXACT(metadata!F34,"not applicable")),AND(IF(metadata!F34="",FALSE,TRUE),EXACT(metadata!F34,"anaerobic digester content")))</f>
        <v>0</v>
      </c>
    </row>
    <row r="35" spans="1:21" x14ac:dyDescent="0.2">
      <c r="A35" s="4" t="str">
        <f ca="1">IF(B35=" "," ",HYPERLINK(CONCATENATE("#metadata!",ADDRESS(INDEX($L$2:$L$1001,MATCH(ROWS($J$2:J35),$J$2:$J$1001,0),0),1)),INDEX($O$2:$O$1001,MATCH(ROWS($J$2:J35),$J$2:$J$1001,0),0)))</f>
        <v xml:space="preserve"> </v>
      </c>
      <c r="B35" s="3" t="str">
        <f ca="1">IF(OR(INDEX($K$2:$K$1001,MATCH(ROWS($J$2:J35),$J$2:$J$1001,0),1)&gt;=100000,INDEX($Q$1005:$U$1005,1,MATCH(COLUMNS($Q$1006:Q1006),$Q$1006:$U$1006,0))&gt;=100000), " ",IF(INDEX($Q$2:$U$1001,MATCH(ROWS($J$2:J35),$J$2:$J$1001,0),MATCH(COLUMNS($Q$1006:Q1006),$Q$1006:$U$1006,0)), HYPERLINK("#",""), HYPERLINK(CONCATENATE("#metadata!", ADDRESS(INDEX($L$2:$L$1001,MATCH(ROWS($J$2:J35),$J$2:$J$1001,0),0), INDEX($Q$1004:$U$1004,1,MATCH(COLUMNS($Q$1006:Q1006),$Q$1006:$U$1006,0)))),"Fix")))</f>
        <v xml:space="preserve"> </v>
      </c>
      <c r="C35" s="3" t="str">
        <f ca="1">IF(OR(INDEX($K$2:$K$1001,MATCH(ROWS($J$2:J35),$J$2:$J$1001,0),1)&gt;=100000,INDEX($Q$1005:$U$1005,1,MATCH(COLUMNS($Q$1006:R1006),$Q$1006:$U$1006,0))&gt;=100000), " ",IF(INDEX($Q$2:$U$1001,MATCH(ROWS($J$2:J35),$J$2:$J$1001,0),MATCH(COLUMNS($Q$1006:R1006),$Q$1006:$U$1006,0)), HYPERLINK("#",""), HYPERLINK(CONCATENATE("#metadata!", ADDRESS(INDEX($L$2:$L$1001,MATCH(ROWS($J$2:J35),$J$2:$J$1001,0),0), INDEX($Q$1004:$U$1004,1,MATCH(COLUMNS($Q$1006:R1006),$Q$1006:$U$1006,0)))),"Fix")))</f>
        <v xml:space="preserve"> </v>
      </c>
      <c r="D35" s="3" t="str">
        <f ca="1">IF(OR(INDEX($K$2:$K$1001,MATCH(ROWS($J$2:J35),$J$2:$J$1001,0),1)&gt;=100000,INDEX($Q$1005:$U$1005,1,MATCH(COLUMNS($Q$1006:S1006),$Q$1006:$U$1006,0))&gt;=100000), " ",IF(INDEX($Q$2:$U$1001,MATCH(ROWS($J$2:J35),$J$2:$J$1001,0),MATCH(COLUMNS($Q$1006:S1006),$Q$1006:$U$1006,0)), HYPERLINK("#",""), HYPERLINK(CONCATENATE("#metadata!", ADDRESS(INDEX($L$2:$L$1001,MATCH(ROWS($J$2:J35),$J$2:$J$1001,0),0), INDEX($Q$1004:$U$1004,1,MATCH(COLUMNS($Q$1006:S1006),$Q$1006:$U$1006,0)))),"Fix")))</f>
        <v xml:space="preserve"> </v>
      </c>
      <c r="E35" s="3" t="str">
        <f ca="1">IF(OR(INDEX($K$2:$K$1001,MATCH(ROWS($J$2:J35),$J$2:$J$1001,0),1)&gt;=100000,INDEX($Q$1005:$U$1005,1,MATCH(COLUMNS($Q$1006:T1006),$Q$1006:$U$1006,0))&gt;=100000), " ",IF(INDEX($Q$2:$U$1001,MATCH(ROWS($J$2:J35),$J$2:$J$1001,0),MATCH(COLUMNS($Q$1006:T1006),$Q$1006:$U$1006,0)), HYPERLINK("#",""), HYPERLINK(CONCATENATE("#metadata!", ADDRESS(INDEX($L$2:$L$1001,MATCH(ROWS($J$2:J35),$J$2:$J$1001,0),0), INDEX($Q$1004:$U$1004,1,MATCH(COLUMNS($Q$1006:T1006),$Q$1006:$U$1006,0)))),"Fix")))</f>
        <v xml:space="preserve"> </v>
      </c>
      <c r="F35" s="3" t="str">
        <f ca="1">IF(OR(INDEX($K$2:$K$1001,MATCH(ROWS($J$2:J35),$J$2:$J$1001,0),1)&gt;=100000,INDEX($Q$1005:$U$1005,1,MATCH(COLUMNS($Q$1006:U1006),$Q$1006:$U$1006,0))&gt;=100000), " ",IF(INDEX($Q$2:$U$1001,MATCH(ROWS($J$2:J35),$J$2:$J$1001,0),MATCH(COLUMNS($Q$1006:U1006),$Q$1006:$U$1006,0)), HYPERLINK("#",""), HYPERLINK(CONCATENATE("#metadata!", ADDRESS(INDEX($L$2:$L$1001,MATCH(ROWS($J$2:J35),$J$2:$J$1001,0),0), INDEX($Q$1004:$U$1004,1,MATCH(COLUMNS($Q$1006:U1006),$Q$1006:$U$1006,0)))),"Fix")))</f>
        <v xml:space="preserve"> </v>
      </c>
      <c r="J35">
        <v>34</v>
      </c>
      <c r="K35">
        <v>100035</v>
      </c>
      <c r="L35">
        <v>35</v>
      </c>
      <c r="M35" t="b">
        <f t="shared" si="0"/>
        <v>1</v>
      </c>
      <c r="N35" t="b">
        <f>COUNTBLANK(metadata!B35:F35)=COLUMNS(metadata!B35:F35)</f>
        <v>1</v>
      </c>
      <c r="O35" t="str">
        <v/>
      </c>
      <c r="Q35" t="b">
        <f ca="1">AND(IF(metadata!B35="",FALSE,TRUE),COUNTIF(metadata!B:B, metadata!B35) = 1,NOT(ISERROR(SUMPRODUCT(SEARCH(MID(metadata!B35,ROW(INDIRECT("1:"&amp;LEN(metadata!B35))), 1),"0123456789abcdefghijklmnopqrstuvwxyzABCDEFGHIJKLMNOPQRSTUVWXYZ.")))))</f>
        <v>0</v>
      </c>
      <c r="R35" t="b">
        <f>AND(IF(metadata!C35="",FALSE,TRUE),OR(EXACT(metadata!C35,"saline"),EXACT(metadata!C35,"non-saline")))</f>
        <v>0</v>
      </c>
      <c r="S35" t="b">
        <f>AND(IF(metadata!D35="",FALSE,TRUE),OR(EXACT(metadata!D35,"surface (non-saline)"),EXACT(metadata!D35,"aerosol (non-saline)"),EXACT(metadata!D35,"sediment (non-saline)"),EXACT(metadata!D35,"surface (saline)"),EXACT(metadata!D35,"aerosol (saline)"),EXACT(metadata!D35,"sediment (saline)")))</f>
        <v>0</v>
      </c>
      <c r="T35" t="b">
        <f>AND(IF(metadata!E35="",FALSE,TRUE),EXACT(metadata!E35,"built environment"))</f>
        <v>0</v>
      </c>
      <c r="U35" t="b">
        <f>OR(AND(IF(metadata!F35="",FALSE,TRUE),EXACT(metadata!F35,"not applicable")),AND(IF(metadata!F35="",FALSE,TRUE),EXACT(metadata!F35,"anaerobic digester content")))</f>
        <v>0</v>
      </c>
    </row>
    <row r="36" spans="1:21" x14ac:dyDescent="0.2">
      <c r="A36" s="4" t="str">
        <f ca="1">IF(B36=" "," ",HYPERLINK(CONCATENATE("#metadata!",ADDRESS(INDEX($L$2:$L$1001,MATCH(ROWS($J$2:J36),$J$2:$J$1001,0),0),1)),INDEX($O$2:$O$1001,MATCH(ROWS($J$2:J36),$J$2:$J$1001,0),0)))</f>
        <v xml:space="preserve"> </v>
      </c>
      <c r="B36" s="3" t="str">
        <f ca="1">IF(OR(INDEX($K$2:$K$1001,MATCH(ROWS($J$2:J36),$J$2:$J$1001,0),1)&gt;=100000,INDEX($Q$1005:$U$1005,1,MATCH(COLUMNS($Q$1006:Q1006),$Q$1006:$U$1006,0))&gt;=100000), " ",IF(INDEX($Q$2:$U$1001,MATCH(ROWS($J$2:J36),$J$2:$J$1001,0),MATCH(COLUMNS($Q$1006:Q1006),$Q$1006:$U$1006,0)), HYPERLINK("#",""), HYPERLINK(CONCATENATE("#metadata!", ADDRESS(INDEX($L$2:$L$1001,MATCH(ROWS($J$2:J36),$J$2:$J$1001,0),0), INDEX($Q$1004:$U$1004,1,MATCH(COLUMNS($Q$1006:Q1006),$Q$1006:$U$1006,0)))),"Fix")))</f>
        <v xml:space="preserve"> </v>
      </c>
      <c r="C36" s="3" t="str">
        <f ca="1">IF(OR(INDEX($K$2:$K$1001,MATCH(ROWS($J$2:J36),$J$2:$J$1001,0),1)&gt;=100000,INDEX($Q$1005:$U$1005,1,MATCH(COLUMNS($Q$1006:R1006),$Q$1006:$U$1006,0))&gt;=100000), " ",IF(INDEX($Q$2:$U$1001,MATCH(ROWS($J$2:J36),$J$2:$J$1001,0),MATCH(COLUMNS($Q$1006:R1006),$Q$1006:$U$1006,0)), HYPERLINK("#",""), HYPERLINK(CONCATENATE("#metadata!", ADDRESS(INDEX($L$2:$L$1001,MATCH(ROWS($J$2:J36),$J$2:$J$1001,0),0), INDEX($Q$1004:$U$1004,1,MATCH(COLUMNS($Q$1006:R1006),$Q$1006:$U$1006,0)))),"Fix")))</f>
        <v xml:space="preserve"> </v>
      </c>
      <c r="D36" s="3" t="str">
        <f ca="1">IF(OR(INDEX($K$2:$K$1001,MATCH(ROWS($J$2:J36),$J$2:$J$1001,0),1)&gt;=100000,INDEX($Q$1005:$U$1005,1,MATCH(COLUMNS($Q$1006:S1006),$Q$1006:$U$1006,0))&gt;=100000), " ",IF(INDEX($Q$2:$U$1001,MATCH(ROWS($J$2:J36),$J$2:$J$1001,0),MATCH(COLUMNS($Q$1006:S1006),$Q$1006:$U$1006,0)), HYPERLINK("#",""), HYPERLINK(CONCATENATE("#metadata!", ADDRESS(INDEX($L$2:$L$1001,MATCH(ROWS($J$2:J36),$J$2:$J$1001,0),0), INDEX($Q$1004:$U$1004,1,MATCH(COLUMNS($Q$1006:S1006),$Q$1006:$U$1006,0)))),"Fix")))</f>
        <v xml:space="preserve"> </v>
      </c>
      <c r="E36" s="3" t="str">
        <f ca="1">IF(OR(INDEX($K$2:$K$1001,MATCH(ROWS($J$2:J36),$J$2:$J$1001,0),1)&gt;=100000,INDEX($Q$1005:$U$1005,1,MATCH(COLUMNS($Q$1006:T1006),$Q$1006:$U$1006,0))&gt;=100000), " ",IF(INDEX($Q$2:$U$1001,MATCH(ROWS($J$2:J36),$J$2:$J$1001,0),MATCH(COLUMNS($Q$1006:T1006),$Q$1006:$U$1006,0)), HYPERLINK("#",""), HYPERLINK(CONCATENATE("#metadata!", ADDRESS(INDEX($L$2:$L$1001,MATCH(ROWS($J$2:J36),$J$2:$J$1001,0),0), INDEX($Q$1004:$U$1004,1,MATCH(COLUMNS($Q$1006:T1006),$Q$1006:$U$1006,0)))),"Fix")))</f>
        <v xml:space="preserve"> </v>
      </c>
      <c r="F36" s="3" t="str">
        <f ca="1">IF(OR(INDEX($K$2:$K$1001,MATCH(ROWS($J$2:J36),$J$2:$J$1001,0),1)&gt;=100000,INDEX($Q$1005:$U$1005,1,MATCH(COLUMNS($Q$1006:U1006),$Q$1006:$U$1006,0))&gt;=100000), " ",IF(INDEX($Q$2:$U$1001,MATCH(ROWS($J$2:J36),$J$2:$J$1001,0),MATCH(COLUMNS($Q$1006:U1006),$Q$1006:$U$1006,0)), HYPERLINK("#",""), HYPERLINK(CONCATENATE("#metadata!", ADDRESS(INDEX($L$2:$L$1001,MATCH(ROWS($J$2:J36),$J$2:$J$1001,0),0), INDEX($Q$1004:$U$1004,1,MATCH(COLUMNS($Q$1006:U1006),$Q$1006:$U$1006,0)))),"Fix")))</f>
        <v xml:space="preserve"> </v>
      </c>
      <c r="J36">
        <v>35</v>
      </c>
      <c r="K36">
        <v>100036</v>
      </c>
      <c r="L36">
        <v>36</v>
      </c>
      <c r="M36" t="b">
        <f t="shared" si="0"/>
        <v>1</v>
      </c>
      <c r="N36" t="b">
        <f>COUNTBLANK(metadata!B36:F36)=COLUMNS(metadata!B36:F36)</f>
        <v>1</v>
      </c>
      <c r="O36" t="str">
        <v/>
      </c>
      <c r="Q36" t="b">
        <f ca="1">AND(IF(metadata!B36="",FALSE,TRUE),COUNTIF(metadata!B:B, metadata!B36) = 1,NOT(ISERROR(SUMPRODUCT(SEARCH(MID(metadata!B36,ROW(INDIRECT("1:"&amp;LEN(metadata!B36))), 1),"0123456789abcdefghijklmnopqrstuvwxyzABCDEFGHIJKLMNOPQRSTUVWXYZ.")))))</f>
        <v>0</v>
      </c>
      <c r="R36" t="b">
        <f>AND(IF(metadata!C36="",FALSE,TRUE),OR(EXACT(metadata!C36,"saline"),EXACT(metadata!C36,"non-saline")))</f>
        <v>0</v>
      </c>
      <c r="S36" t="b">
        <f>AND(IF(metadata!D36="",FALSE,TRUE),OR(EXACT(metadata!D36,"surface (non-saline)"),EXACT(metadata!D36,"aerosol (non-saline)"),EXACT(metadata!D36,"sediment (non-saline)"),EXACT(metadata!D36,"surface (saline)"),EXACT(metadata!D36,"aerosol (saline)"),EXACT(metadata!D36,"sediment (saline)")))</f>
        <v>0</v>
      </c>
      <c r="T36" t="b">
        <f>AND(IF(metadata!E36="",FALSE,TRUE),EXACT(metadata!E36,"built environment"))</f>
        <v>0</v>
      </c>
      <c r="U36" t="b">
        <f>OR(AND(IF(metadata!F36="",FALSE,TRUE),EXACT(metadata!F36,"not applicable")),AND(IF(metadata!F36="",FALSE,TRUE),EXACT(metadata!F36,"anaerobic digester content")))</f>
        <v>0</v>
      </c>
    </row>
    <row r="37" spans="1:21" x14ac:dyDescent="0.2">
      <c r="A37" s="4" t="str">
        <f ca="1">IF(B37=" "," ",HYPERLINK(CONCATENATE("#metadata!",ADDRESS(INDEX($L$2:$L$1001,MATCH(ROWS($J$2:J37),$J$2:$J$1001,0),0),1)),INDEX($O$2:$O$1001,MATCH(ROWS($J$2:J37),$J$2:$J$1001,0),0)))</f>
        <v xml:space="preserve"> </v>
      </c>
      <c r="B37" s="3" t="str">
        <f ca="1">IF(OR(INDEX($K$2:$K$1001,MATCH(ROWS($J$2:J37),$J$2:$J$1001,0),1)&gt;=100000,INDEX($Q$1005:$U$1005,1,MATCH(COLUMNS($Q$1006:Q1006),$Q$1006:$U$1006,0))&gt;=100000), " ",IF(INDEX($Q$2:$U$1001,MATCH(ROWS($J$2:J37),$J$2:$J$1001,0),MATCH(COLUMNS($Q$1006:Q1006),$Q$1006:$U$1006,0)), HYPERLINK("#",""), HYPERLINK(CONCATENATE("#metadata!", ADDRESS(INDEX($L$2:$L$1001,MATCH(ROWS($J$2:J37),$J$2:$J$1001,0),0), INDEX($Q$1004:$U$1004,1,MATCH(COLUMNS($Q$1006:Q1006),$Q$1006:$U$1006,0)))),"Fix")))</f>
        <v xml:space="preserve"> </v>
      </c>
      <c r="C37" s="3" t="str">
        <f ca="1">IF(OR(INDEX($K$2:$K$1001,MATCH(ROWS($J$2:J37),$J$2:$J$1001,0),1)&gt;=100000,INDEX($Q$1005:$U$1005,1,MATCH(COLUMNS($Q$1006:R1006),$Q$1006:$U$1006,0))&gt;=100000), " ",IF(INDEX($Q$2:$U$1001,MATCH(ROWS($J$2:J37),$J$2:$J$1001,0),MATCH(COLUMNS($Q$1006:R1006),$Q$1006:$U$1006,0)), HYPERLINK("#",""), HYPERLINK(CONCATENATE("#metadata!", ADDRESS(INDEX($L$2:$L$1001,MATCH(ROWS($J$2:J37),$J$2:$J$1001,0),0), INDEX($Q$1004:$U$1004,1,MATCH(COLUMNS($Q$1006:R1006),$Q$1006:$U$1006,0)))),"Fix")))</f>
        <v xml:space="preserve"> </v>
      </c>
      <c r="D37" s="3" t="str">
        <f ca="1">IF(OR(INDEX($K$2:$K$1001,MATCH(ROWS($J$2:J37),$J$2:$J$1001,0),1)&gt;=100000,INDEX($Q$1005:$U$1005,1,MATCH(COLUMNS($Q$1006:S1006),$Q$1006:$U$1006,0))&gt;=100000), " ",IF(INDEX($Q$2:$U$1001,MATCH(ROWS($J$2:J37),$J$2:$J$1001,0),MATCH(COLUMNS($Q$1006:S1006),$Q$1006:$U$1006,0)), HYPERLINK("#",""), HYPERLINK(CONCATENATE("#metadata!", ADDRESS(INDEX($L$2:$L$1001,MATCH(ROWS($J$2:J37),$J$2:$J$1001,0),0), INDEX($Q$1004:$U$1004,1,MATCH(COLUMNS($Q$1006:S1006),$Q$1006:$U$1006,0)))),"Fix")))</f>
        <v xml:space="preserve"> </v>
      </c>
      <c r="E37" s="3" t="str">
        <f ca="1">IF(OR(INDEX($K$2:$K$1001,MATCH(ROWS($J$2:J37),$J$2:$J$1001,0),1)&gt;=100000,INDEX($Q$1005:$U$1005,1,MATCH(COLUMNS($Q$1006:T1006),$Q$1006:$U$1006,0))&gt;=100000), " ",IF(INDEX($Q$2:$U$1001,MATCH(ROWS($J$2:J37),$J$2:$J$1001,0),MATCH(COLUMNS($Q$1006:T1006),$Q$1006:$U$1006,0)), HYPERLINK("#",""), HYPERLINK(CONCATENATE("#metadata!", ADDRESS(INDEX($L$2:$L$1001,MATCH(ROWS($J$2:J37),$J$2:$J$1001,0),0), INDEX($Q$1004:$U$1004,1,MATCH(COLUMNS($Q$1006:T1006),$Q$1006:$U$1006,0)))),"Fix")))</f>
        <v xml:space="preserve"> </v>
      </c>
      <c r="F37" s="3" t="str">
        <f ca="1">IF(OR(INDEX($K$2:$K$1001,MATCH(ROWS($J$2:J37),$J$2:$J$1001,0),1)&gt;=100000,INDEX($Q$1005:$U$1005,1,MATCH(COLUMNS($Q$1006:U1006),$Q$1006:$U$1006,0))&gt;=100000), " ",IF(INDEX($Q$2:$U$1001,MATCH(ROWS($J$2:J37),$J$2:$J$1001,0),MATCH(COLUMNS($Q$1006:U1006),$Q$1006:$U$1006,0)), HYPERLINK("#",""), HYPERLINK(CONCATENATE("#metadata!", ADDRESS(INDEX($L$2:$L$1001,MATCH(ROWS($J$2:J37),$J$2:$J$1001,0),0), INDEX($Q$1004:$U$1004,1,MATCH(COLUMNS($Q$1006:U1006),$Q$1006:$U$1006,0)))),"Fix")))</f>
        <v xml:space="preserve"> </v>
      </c>
      <c r="J37">
        <v>36</v>
      </c>
      <c r="K37">
        <v>100037</v>
      </c>
      <c r="L37">
        <v>37</v>
      </c>
      <c r="M37" t="b">
        <f t="shared" si="0"/>
        <v>1</v>
      </c>
      <c r="N37" t="b">
        <f>COUNTBLANK(metadata!B37:F37)=COLUMNS(metadata!B37:F37)</f>
        <v>1</v>
      </c>
      <c r="O37" t="str">
        <v/>
      </c>
      <c r="Q37" t="b">
        <f ca="1">AND(IF(metadata!B37="",FALSE,TRUE),COUNTIF(metadata!B:B, metadata!B37) = 1,NOT(ISERROR(SUMPRODUCT(SEARCH(MID(metadata!B37,ROW(INDIRECT("1:"&amp;LEN(metadata!B37))), 1),"0123456789abcdefghijklmnopqrstuvwxyzABCDEFGHIJKLMNOPQRSTUVWXYZ.")))))</f>
        <v>0</v>
      </c>
      <c r="R37" t="b">
        <f>AND(IF(metadata!C37="",FALSE,TRUE),OR(EXACT(metadata!C37,"saline"),EXACT(metadata!C37,"non-saline")))</f>
        <v>0</v>
      </c>
      <c r="S37" t="b">
        <f>AND(IF(metadata!D37="",FALSE,TRUE),OR(EXACT(metadata!D37,"surface (non-saline)"),EXACT(metadata!D37,"aerosol (non-saline)"),EXACT(metadata!D37,"sediment (non-saline)"),EXACT(metadata!D37,"surface (saline)"),EXACT(metadata!D37,"aerosol (saline)"),EXACT(metadata!D37,"sediment (saline)")))</f>
        <v>0</v>
      </c>
      <c r="T37" t="b">
        <f>AND(IF(metadata!E37="",FALSE,TRUE),EXACT(metadata!E37,"built environment"))</f>
        <v>0</v>
      </c>
      <c r="U37" t="b">
        <f>OR(AND(IF(metadata!F37="",FALSE,TRUE),EXACT(metadata!F37,"not applicable")),AND(IF(metadata!F37="",FALSE,TRUE),EXACT(metadata!F37,"anaerobic digester content")))</f>
        <v>0</v>
      </c>
    </row>
    <row r="38" spans="1:21" x14ac:dyDescent="0.2">
      <c r="A38" s="4" t="str">
        <f ca="1">IF(B38=" "," ",HYPERLINK(CONCATENATE("#metadata!",ADDRESS(INDEX($L$2:$L$1001,MATCH(ROWS($J$2:J38),$J$2:$J$1001,0),0),1)),INDEX($O$2:$O$1001,MATCH(ROWS($J$2:J38),$J$2:$J$1001,0),0)))</f>
        <v xml:space="preserve"> </v>
      </c>
      <c r="B38" s="3" t="str">
        <f ca="1">IF(OR(INDEX($K$2:$K$1001,MATCH(ROWS($J$2:J38),$J$2:$J$1001,0),1)&gt;=100000,INDEX($Q$1005:$U$1005,1,MATCH(COLUMNS($Q$1006:Q1006),$Q$1006:$U$1006,0))&gt;=100000), " ",IF(INDEX($Q$2:$U$1001,MATCH(ROWS($J$2:J38),$J$2:$J$1001,0),MATCH(COLUMNS($Q$1006:Q1006),$Q$1006:$U$1006,0)), HYPERLINK("#",""), HYPERLINK(CONCATENATE("#metadata!", ADDRESS(INDEX($L$2:$L$1001,MATCH(ROWS($J$2:J38),$J$2:$J$1001,0),0), INDEX($Q$1004:$U$1004,1,MATCH(COLUMNS($Q$1006:Q1006),$Q$1006:$U$1006,0)))),"Fix")))</f>
        <v xml:space="preserve"> </v>
      </c>
      <c r="C38" s="3" t="str">
        <f ca="1">IF(OR(INDEX($K$2:$K$1001,MATCH(ROWS($J$2:J38),$J$2:$J$1001,0),1)&gt;=100000,INDEX($Q$1005:$U$1005,1,MATCH(COLUMNS($Q$1006:R1006),$Q$1006:$U$1006,0))&gt;=100000), " ",IF(INDEX($Q$2:$U$1001,MATCH(ROWS($J$2:J38),$J$2:$J$1001,0),MATCH(COLUMNS($Q$1006:R1006),$Q$1006:$U$1006,0)), HYPERLINK("#",""), HYPERLINK(CONCATENATE("#metadata!", ADDRESS(INDEX($L$2:$L$1001,MATCH(ROWS($J$2:J38),$J$2:$J$1001,0),0), INDEX($Q$1004:$U$1004,1,MATCH(COLUMNS($Q$1006:R1006),$Q$1006:$U$1006,0)))),"Fix")))</f>
        <v xml:space="preserve"> </v>
      </c>
      <c r="D38" s="3" t="str">
        <f ca="1">IF(OR(INDEX($K$2:$K$1001,MATCH(ROWS($J$2:J38),$J$2:$J$1001,0),1)&gt;=100000,INDEX($Q$1005:$U$1005,1,MATCH(COLUMNS($Q$1006:S1006),$Q$1006:$U$1006,0))&gt;=100000), " ",IF(INDEX($Q$2:$U$1001,MATCH(ROWS($J$2:J38),$J$2:$J$1001,0),MATCH(COLUMNS($Q$1006:S1006),$Q$1006:$U$1006,0)), HYPERLINK("#",""), HYPERLINK(CONCATENATE("#metadata!", ADDRESS(INDEX($L$2:$L$1001,MATCH(ROWS($J$2:J38),$J$2:$J$1001,0),0), INDEX($Q$1004:$U$1004,1,MATCH(COLUMNS($Q$1006:S1006),$Q$1006:$U$1006,0)))),"Fix")))</f>
        <v xml:space="preserve"> </v>
      </c>
      <c r="E38" s="3" t="str">
        <f ca="1">IF(OR(INDEX($K$2:$K$1001,MATCH(ROWS($J$2:J38),$J$2:$J$1001,0),1)&gt;=100000,INDEX($Q$1005:$U$1005,1,MATCH(COLUMNS($Q$1006:T1006),$Q$1006:$U$1006,0))&gt;=100000), " ",IF(INDEX($Q$2:$U$1001,MATCH(ROWS($J$2:J38),$J$2:$J$1001,0),MATCH(COLUMNS($Q$1006:T1006),$Q$1006:$U$1006,0)), HYPERLINK("#",""), HYPERLINK(CONCATENATE("#metadata!", ADDRESS(INDEX($L$2:$L$1001,MATCH(ROWS($J$2:J38),$J$2:$J$1001,0),0), INDEX($Q$1004:$U$1004,1,MATCH(COLUMNS($Q$1006:T1006),$Q$1006:$U$1006,0)))),"Fix")))</f>
        <v xml:space="preserve"> </v>
      </c>
      <c r="F38" s="3" t="str">
        <f ca="1">IF(OR(INDEX($K$2:$K$1001,MATCH(ROWS($J$2:J38),$J$2:$J$1001,0),1)&gt;=100000,INDEX($Q$1005:$U$1005,1,MATCH(COLUMNS($Q$1006:U1006),$Q$1006:$U$1006,0))&gt;=100000), " ",IF(INDEX($Q$2:$U$1001,MATCH(ROWS($J$2:J38),$J$2:$J$1001,0),MATCH(COLUMNS($Q$1006:U1006),$Q$1006:$U$1006,0)), HYPERLINK("#",""), HYPERLINK(CONCATENATE("#metadata!", ADDRESS(INDEX($L$2:$L$1001,MATCH(ROWS($J$2:J38),$J$2:$J$1001,0),0), INDEX($Q$1004:$U$1004,1,MATCH(COLUMNS($Q$1006:U1006),$Q$1006:$U$1006,0)))),"Fix")))</f>
        <v xml:space="preserve"> </v>
      </c>
      <c r="J38">
        <v>37</v>
      </c>
      <c r="K38">
        <v>100038</v>
      </c>
      <c r="L38">
        <v>38</v>
      </c>
      <c r="M38" t="b">
        <f t="shared" si="0"/>
        <v>1</v>
      </c>
      <c r="N38" t="b">
        <f>COUNTBLANK(metadata!B38:F38)=COLUMNS(metadata!B38:F38)</f>
        <v>1</v>
      </c>
      <c r="O38" t="str">
        <v/>
      </c>
      <c r="Q38" t="b">
        <f ca="1">AND(IF(metadata!B38="",FALSE,TRUE),COUNTIF(metadata!B:B, metadata!B38) = 1,NOT(ISERROR(SUMPRODUCT(SEARCH(MID(metadata!B38,ROW(INDIRECT("1:"&amp;LEN(metadata!B38))), 1),"0123456789abcdefghijklmnopqrstuvwxyzABCDEFGHIJKLMNOPQRSTUVWXYZ.")))))</f>
        <v>0</v>
      </c>
      <c r="R38" t="b">
        <f>AND(IF(metadata!C38="",FALSE,TRUE),OR(EXACT(metadata!C38,"saline"),EXACT(metadata!C38,"non-saline")))</f>
        <v>0</v>
      </c>
      <c r="S38" t="b">
        <f>AND(IF(metadata!D38="",FALSE,TRUE),OR(EXACT(metadata!D38,"surface (non-saline)"),EXACT(metadata!D38,"aerosol (non-saline)"),EXACT(metadata!D38,"sediment (non-saline)"),EXACT(metadata!D38,"surface (saline)"),EXACT(metadata!D38,"aerosol (saline)"),EXACT(metadata!D38,"sediment (saline)")))</f>
        <v>0</v>
      </c>
      <c r="T38" t="b">
        <f>AND(IF(metadata!E38="",FALSE,TRUE),EXACT(metadata!E38,"built environment"))</f>
        <v>0</v>
      </c>
      <c r="U38" t="b">
        <f>OR(AND(IF(metadata!F38="",FALSE,TRUE),EXACT(metadata!F38,"not applicable")),AND(IF(metadata!F38="",FALSE,TRUE),EXACT(metadata!F38,"anaerobic digester content")))</f>
        <v>0</v>
      </c>
    </row>
    <row r="39" spans="1:21" x14ac:dyDescent="0.2">
      <c r="A39" s="4" t="str">
        <f ca="1">IF(B39=" "," ",HYPERLINK(CONCATENATE("#metadata!",ADDRESS(INDEX($L$2:$L$1001,MATCH(ROWS($J$2:J39),$J$2:$J$1001,0),0),1)),INDEX($O$2:$O$1001,MATCH(ROWS($J$2:J39),$J$2:$J$1001,0),0)))</f>
        <v xml:space="preserve"> </v>
      </c>
      <c r="B39" s="3" t="str">
        <f ca="1">IF(OR(INDEX($K$2:$K$1001,MATCH(ROWS($J$2:J39),$J$2:$J$1001,0),1)&gt;=100000,INDEX($Q$1005:$U$1005,1,MATCH(COLUMNS($Q$1006:Q1006),$Q$1006:$U$1006,0))&gt;=100000), " ",IF(INDEX($Q$2:$U$1001,MATCH(ROWS($J$2:J39),$J$2:$J$1001,0),MATCH(COLUMNS($Q$1006:Q1006),$Q$1006:$U$1006,0)), HYPERLINK("#",""), HYPERLINK(CONCATENATE("#metadata!", ADDRESS(INDEX($L$2:$L$1001,MATCH(ROWS($J$2:J39),$J$2:$J$1001,0),0), INDEX($Q$1004:$U$1004,1,MATCH(COLUMNS($Q$1006:Q1006),$Q$1006:$U$1006,0)))),"Fix")))</f>
        <v xml:space="preserve"> </v>
      </c>
      <c r="C39" s="3" t="str">
        <f ca="1">IF(OR(INDEX($K$2:$K$1001,MATCH(ROWS($J$2:J39),$J$2:$J$1001,0),1)&gt;=100000,INDEX($Q$1005:$U$1005,1,MATCH(COLUMNS($Q$1006:R1006),$Q$1006:$U$1006,0))&gt;=100000), " ",IF(INDEX($Q$2:$U$1001,MATCH(ROWS($J$2:J39),$J$2:$J$1001,0),MATCH(COLUMNS($Q$1006:R1006),$Q$1006:$U$1006,0)), HYPERLINK("#",""), HYPERLINK(CONCATENATE("#metadata!", ADDRESS(INDEX($L$2:$L$1001,MATCH(ROWS($J$2:J39),$J$2:$J$1001,0),0), INDEX($Q$1004:$U$1004,1,MATCH(COLUMNS($Q$1006:R1006),$Q$1006:$U$1006,0)))),"Fix")))</f>
        <v xml:space="preserve"> </v>
      </c>
      <c r="D39" s="3" t="str">
        <f ca="1">IF(OR(INDEX($K$2:$K$1001,MATCH(ROWS($J$2:J39),$J$2:$J$1001,0),1)&gt;=100000,INDEX($Q$1005:$U$1005,1,MATCH(COLUMNS($Q$1006:S1006),$Q$1006:$U$1006,0))&gt;=100000), " ",IF(INDEX($Q$2:$U$1001,MATCH(ROWS($J$2:J39),$J$2:$J$1001,0),MATCH(COLUMNS($Q$1006:S1006),$Q$1006:$U$1006,0)), HYPERLINK("#",""), HYPERLINK(CONCATENATE("#metadata!", ADDRESS(INDEX($L$2:$L$1001,MATCH(ROWS($J$2:J39),$J$2:$J$1001,0),0), INDEX($Q$1004:$U$1004,1,MATCH(COLUMNS($Q$1006:S1006),$Q$1006:$U$1006,0)))),"Fix")))</f>
        <v xml:space="preserve"> </v>
      </c>
      <c r="E39" s="3" t="str">
        <f ca="1">IF(OR(INDEX($K$2:$K$1001,MATCH(ROWS($J$2:J39),$J$2:$J$1001,0),1)&gt;=100000,INDEX($Q$1005:$U$1005,1,MATCH(COLUMNS($Q$1006:T1006),$Q$1006:$U$1006,0))&gt;=100000), " ",IF(INDEX($Q$2:$U$1001,MATCH(ROWS($J$2:J39),$J$2:$J$1001,0),MATCH(COLUMNS($Q$1006:T1006),$Q$1006:$U$1006,0)), HYPERLINK("#",""), HYPERLINK(CONCATENATE("#metadata!", ADDRESS(INDEX($L$2:$L$1001,MATCH(ROWS($J$2:J39),$J$2:$J$1001,0),0), INDEX($Q$1004:$U$1004,1,MATCH(COLUMNS($Q$1006:T1006),$Q$1006:$U$1006,0)))),"Fix")))</f>
        <v xml:space="preserve"> </v>
      </c>
      <c r="F39" s="3" t="str">
        <f ca="1">IF(OR(INDEX($K$2:$K$1001,MATCH(ROWS($J$2:J39),$J$2:$J$1001,0),1)&gt;=100000,INDEX($Q$1005:$U$1005,1,MATCH(COLUMNS($Q$1006:U1006),$Q$1006:$U$1006,0))&gt;=100000), " ",IF(INDEX($Q$2:$U$1001,MATCH(ROWS($J$2:J39),$J$2:$J$1001,0),MATCH(COLUMNS($Q$1006:U1006),$Q$1006:$U$1006,0)), HYPERLINK("#",""), HYPERLINK(CONCATENATE("#metadata!", ADDRESS(INDEX($L$2:$L$1001,MATCH(ROWS($J$2:J39),$J$2:$J$1001,0),0), INDEX($Q$1004:$U$1004,1,MATCH(COLUMNS($Q$1006:U1006),$Q$1006:$U$1006,0)))),"Fix")))</f>
        <v xml:space="preserve"> </v>
      </c>
      <c r="J39">
        <v>38</v>
      </c>
      <c r="K39">
        <v>100039</v>
      </c>
      <c r="L39">
        <v>39</v>
      </c>
      <c r="M39" t="b">
        <f t="shared" si="0"/>
        <v>1</v>
      </c>
      <c r="N39" t="b">
        <f>COUNTBLANK(metadata!B39:F39)=COLUMNS(metadata!B39:F39)</f>
        <v>1</v>
      </c>
      <c r="O39" t="str">
        <v/>
      </c>
      <c r="Q39" t="b">
        <f ca="1">AND(IF(metadata!B39="",FALSE,TRUE),COUNTIF(metadata!B:B, metadata!B39) = 1,NOT(ISERROR(SUMPRODUCT(SEARCH(MID(metadata!B39,ROW(INDIRECT("1:"&amp;LEN(metadata!B39))), 1),"0123456789abcdefghijklmnopqrstuvwxyzABCDEFGHIJKLMNOPQRSTUVWXYZ.")))))</f>
        <v>0</v>
      </c>
      <c r="R39" t="b">
        <f>AND(IF(metadata!C39="",FALSE,TRUE),OR(EXACT(metadata!C39,"saline"),EXACT(metadata!C39,"non-saline")))</f>
        <v>0</v>
      </c>
      <c r="S39" t="b">
        <f>AND(IF(metadata!D39="",FALSE,TRUE),OR(EXACT(metadata!D39,"surface (non-saline)"),EXACT(metadata!D39,"aerosol (non-saline)"),EXACT(metadata!D39,"sediment (non-saline)"),EXACT(metadata!D39,"surface (saline)"),EXACT(metadata!D39,"aerosol (saline)"),EXACT(metadata!D39,"sediment (saline)")))</f>
        <v>0</v>
      </c>
      <c r="T39" t="b">
        <f>AND(IF(metadata!E39="",FALSE,TRUE),EXACT(metadata!E39,"built environment"))</f>
        <v>0</v>
      </c>
      <c r="U39" t="b">
        <f>OR(AND(IF(metadata!F39="",FALSE,TRUE),EXACT(metadata!F39,"not applicable")),AND(IF(metadata!F39="",FALSE,TRUE),EXACT(metadata!F39,"anaerobic digester content")))</f>
        <v>0</v>
      </c>
    </row>
    <row r="40" spans="1:21" x14ac:dyDescent="0.2">
      <c r="A40" s="4" t="str">
        <f ca="1">IF(B40=" "," ",HYPERLINK(CONCATENATE("#metadata!",ADDRESS(INDEX($L$2:$L$1001,MATCH(ROWS($J$2:J40),$J$2:$J$1001,0),0),1)),INDEX($O$2:$O$1001,MATCH(ROWS($J$2:J40),$J$2:$J$1001,0),0)))</f>
        <v xml:space="preserve"> </v>
      </c>
      <c r="B40" s="3" t="str">
        <f ca="1">IF(OR(INDEX($K$2:$K$1001,MATCH(ROWS($J$2:J40),$J$2:$J$1001,0),1)&gt;=100000,INDEX($Q$1005:$U$1005,1,MATCH(COLUMNS($Q$1006:Q1006),$Q$1006:$U$1006,0))&gt;=100000), " ",IF(INDEX($Q$2:$U$1001,MATCH(ROWS($J$2:J40),$J$2:$J$1001,0),MATCH(COLUMNS($Q$1006:Q1006),$Q$1006:$U$1006,0)), HYPERLINK("#",""), HYPERLINK(CONCATENATE("#metadata!", ADDRESS(INDEX($L$2:$L$1001,MATCH(ROWS($J$2:J40),$J$2:$J$1001,0),0), INDEX($Q$1004:$U$1004,1,MATCH(COLUMNS($Q$1006:Q1006),$Q$1006:$U$1006,0)))),"Fix")))</f>
        <v xml:space="preserve"> </v>
      </c>
      <c r="C40" s="3" t="str">
        <f ca="1">IF(OR(INDEX($K$2:$K$1001,MATCH(ROWS($J$2:J40),$J$2:$J$1001,0),1)&gt;=100000,INDEX($Q$1005:$U$1005,1,MATCH(COLUMNS($Q$1006:R1006),$Q$1006:$U$1006,0))&gt;=100000), " ",IF(INDEX($Q$2:$U$1001,MATCH(ROWS($J$2:J40),$J$2:$J$1001,0),MATCH(COLUMNS($Q$1006:R1006),$Q$1006:$U$1006,0)), HYPERLINK("#",""), HYPERLINK(CONCATENATE("#metadata!", ADDRESS(INDEX($L$2:$L$1001,MATCH(ROWS($J$2:J40),$J$2:$J$1001,0),0), INDEX($Q$1004:$U$1004,1,MATCH(COLUMNS($Q$1006:R1006),$Q$1006:$U$1006,0)))),"Fix")))</f>
        <v xml:space="preserve"> </v>
      </c>
      <c r="D40" s="3" t="str">
        <f ca="1">IF(OR(INDEX($K$2:$K$1001,MATCH(ROWS($J$2:J40),$J$2:$J$1001,0),1)&gt;=100000,INDEX($Q$1005:$U$1005,1,MATCH(COLUMNS($Q$1006:S1006),$Q$1006:$U$1006,0))&gt;=100000), " ",IF(INDEX($Q$2:$U$1001,MATCH(ROWS($J$2:J40),$J$2:$J$1001,0),MATCH(COLUMNS($Q$1006:S1006),$Q$1006:$U$1006,0)), HYPERLINK("#",""), HYPERLINK(CONCATENATE("#metadata!", ADDRESS(INDEX($L$2:$L$1001,MATCH(ROWS($J$2:J40),$J$2:$J$1001,0),0), INDEX($Q$1004:$U$1004,1,MATCH(COLUMNS($Q$1006:S1006),$Q$1006:$U$1006,0)))),"Fix")))</f>
        <v xml:space="preserve"> </v>
      </c>
      <c r="E40" s="3" t="str">
        <f ca="1">IF(OR(INDEX($K$2:$K$1001,MATCH(ROWS($J$2:J40),$J$2:$J$1001,0),1)&gt;=100000,INDEX($Q$1005:$U$1005,1,MATCH(COLUMNS($Q$1006:T1006),$Q$1006:$U$1006,0))&gt;=100000), " ",IF(INDEX($Q$2:$U$1001,MATCH(ROWS($J$2:J40),$J$2:$J$1001,0),MATCH(COLUMNS($Q$1006:T1006),$Q$1006:$U$1006,0)), HYPERLINK("#",""), HYPERLINK(CONCATENATE("#metadata!", ADDRESS(INDEX($L$2:$L$1001,MATCH(ROWS($J$2:J40),$J$2:$J$1001,0),0), INDEX($Q$1004:$U$1004,1,MATCH(COLUMNS($Q$1006:T1006),$Q$1006:$U$1006,0)))),"Fix")))</f>
        <v xml:space="preserve"> </v>
      </c>
      <c r="F40" s="3" t="str">
        <f ca="1">IF(OR(INDEX($K$2:$K$1001,MATCH(ROWS($J$2:J40),$J$2:$J$1001,0),1)&gt;=100000,INDEX($Q$1005:$U$1005,1,MATCH(COLUMNS($Q$1006:U1006),$Q$1006:$U$1006,0))&gt;=100000), " ",IF(INDEX($Q$2:$U$1001,MATCH(ROWS($J$2:J40),$J$2:$J$1001,0),MATCH(COLUMNS($Q$1006:U1006),$Q$1006:$U$1006,0)), HYPERLINK("#",""), HYPERLINK(CONCATENATE("#metadata!", ADDRESS(INDEX($L$2:$L$1001,MATCH(ROWS($J$2:J40),$J$2:$J$1001,0),0), INDEX($Q$1004:$U$1004,1,MATCH(COLUMNS($Q$1006:U1006),$Q$1006:$U$1006,0)))),"Fix")))</f>
        <v xml:space="preserve"> </v>
      </c>
      <c r="J40">
        <v>39</v>
      </c>
      <c r="K40">
        <v>100040</v>
      </c>
      <c r="L40">
        <v>40</v>
      </c>
      <c r="M40" t="b">
        <f t="shared" si="0"/>
        <v>1</v>
      </c>
      <c r="N40" t="b">
        <f>COUNTBLANK(metadata!B40:F40)=COLUMNS(metadata!B40:F40)</f>
        <v>1</v>
      </c>
      <c r="O40" t="str">
        <v/>
      </c>
      <c r="Q40" t="b">
        <f ca="1">AND(IF(metadata!B40="",FALSE,TRUE),COUNTIF(metadata!B:B, metadata!B40) = 1,NOT(ISERROR(SUMPRODUCT(SEARCH(MID(metadata!B40,ROW(INDIRECT("1:"&amp;LEN(metadata!B40))), 1),"0123456789abcdefghijklmnopqrstuvwxyzABCDEFGHIJKLMNOPQRSTUVWXYZ.")))))</f>
        <v>0</v>
      </c>
      <c r="R40" t="b">
        <f>AND(IF(metadata!C40="",FALSE,TRUE),OR(EXACT(metadata!C40,"saline"),EXACT(metadata!C40,"non-saline")))</f>
        <v>0</v>
      </c>
      <c r="S40" t="b">
        <f>AND(IF(metadata!D40="",FALSE,TRUE),OR(EXACT(metadata!D40,"surface (non-saline)"),EXACT(metadata!D40,"aerosol (non-saline)"),EXACT(metadata!D40,"sediment (non-saline)"),EXACT(metadata!D40,"surface (saline)"),EXACT(metadata!D40,"aerosol (saline)"),EXACT(metadata!D40,"sediment (saline)")))</f>
        <v>0</v>
      </c>
      <c r="T40" t="b">
        <f>AND(IF(metadata!E40="",FALSE,TRUE),EXACT(metadata!E40,"built environment"))</f>
        <v>0</v>
      </c>
      <c r="U40" t="b">
        <f>OR(AND(IF(metadata!F40="",FALSE,TRUE),EXACT(metadata!F40,"not applicable")),AND(IF(metadata!F40="",FALSE,TRUE),EXACT(metadata!F40,"anaerobic digester content")))</f>
        <v>0</v>
      </c>
    </row>
    <row r="41" spans="1:21" x14ac:dyDescent="0.2">
      <c r="A41" s="4" t="str">
        <f ca="1">IF(B41=" "," ",HYPERLINK(CONCATENATE("#metadata!",ADDRESS(INDEX($L$2:$L$1001,MATCH(ROWS($J$2:J41),$J$2:$J$1001,0),0),1)),INDEX($O$2:$O$1001,MATCH(ROWS($J$2:J41),$J$2:$J$1001,0),0)))</f>
        <v xml:space="preserve"> </v>
      </c>
      <c r="B41" s="3" t="str">
        <f ca="1">IF(OR(INDEX($K$2:$K$1001,MATCH(ROWS($J$2:J41),$J$2:$J$1001,0),1)&gt;=100000,INDEX($Q$1005:$U$1005,1,MATCH(COLUMNS($Q$1006:Q1006),$Q$1006:$U$1006,0))&gt;=100000), " ",IF(INDEX($Q$2:$U$1001,MATCH(ROWS($J$2:J41),$J$2:$J$1001,0),MATCH(COLUMNS($Q$1006:Q1006),$Q$1006:$U$1006,0)), HYPERLINK("#",""), HYPERLINK(CONCATENATE("#metadata!", ADDRESS(INDEX($L$2:$L$1001,MATCH(ROWS($J$2:J41),$J$2:$J$1001,0),0), INDEX($Q$1004:$U$1004,1,MATCH(COLUMNS($Q$1006:Q1006),$Q$1006:$U$1006,0)))),"Fix")))</f>
        <v xml:space="preserve"> </v>
      </c>
      <c r="C41" s="3" t="str">
        <f ca="1">IF(OR(INDEX($K$2:$K$1001,MATCH(ROWS($J$2:J41),$J$2:$J$1001,0),1)&gt;=100000,INDEX($Q$1005:$U$1005,1,MATCH(COLUMNS($Q$1006:R1006),$Q$1006:$U$1006,0))&gt;=100000), " ",IF(INDEX($Q$2:$U$1001,MATCH(ROWS($J$2:J41),$J$2:$J$1001,0),MATCH(COLUMNS($Q$1006:R1006),$Q$1006:$U$1006,0)), HYPERLINK("#",""), HYPERLINK(CONCATENATE("#metadata!", ADDRESS(INDEX($L$2:$L$1001,MATCH(ROWS($J$2:J41),$J$2:$J$1001,0),0), INDEX($Q$1004:$U$1004,1,MATCH(COLUMNS($Q$1006:R1006),$Q$1006:$U$1006,0)))),"Fix")))</f>
        <v xml:space="preserve"> </v>
      </c>
      <c r="D41" s="3" t="str">
        <f ca="1">IF(OR(INDEX($K$2:$K$1001,MATCH(ROWS($J$2:J41),$J$2:$J$1001,0),1)&gt;=100000,INDEX($Q$1005:$U$1005,1,MATCH(COLUMNS($Q$1006:S1006),$Q$1006:$U$1006,0))&gt;=100000), " ",IF(INDEX($Q$2:$U$1001,MATCH(ROWS($J$2:J41),$J$2:$J$1001,0),MATCH(COLUMNS($Q$1006:S1006),$Q$1006:$U$1006,0)), HYPERLINK("#",""), HYPERLINK(CONCATENATE("#metadata!", ADDRESS(INDEX($L$2:$L$1001,MATCH(ROWS($J$2:J41),$J$2:$J$1001,0),0), INDEX($Q$1004:$U$1004,1,MATCH(COLUMNS($Q$1006:S1006),$Q$1006:$U$1006,0)))),"Fix")))</f>
        <v xml:space="preserve"> </v>
      </c>
      <c r="E41" s="3" t="str">
        <f ca="1">IF(OR(INDEX($K$2:$K$1001,MATCH(ROWS($J$2:J41),$J$2:$J$1001,0),1)&gt;=100000,INDEX($Q$1005:$U$1005,1,MATCH(COLUMNS($Q$1006:T1006),$Q$1006:$U$1006,0))&gt;=100000), " ",IF(INDEX($Q$2:$U$1001,MATCH(ROWS($J$2:J41),$J$2:$J$1001,0),MATCH(COLUMNS($Q$1006:T1006),$Q$1006:$U$1006,0)), HYPERLINK("#",""), HYPERLINK(CONCATENATE("#metadata!", ADDRESS(INDEX($L$2:$L$1001,MATCH(ROWS($J$2:J41),$J$2:$J$1001,0),0), INDEX($Q$1004:$U$1004,1,MATCH(COLUMNS($Q$1006:T1006),$Q$1006:$U$1006,0)))),"Fix")))</f>
        <v xml:space="preserve"> </v>
      </c>
      <c r="F41" s="3" t="str">
        <f ca="1">IF(OR(INDEX($K$2:$K$1001,MATCH(ROWS($J$2:J41),$J$2:$J$1001,0),1)&gt;=100000,INDEX($Q$1005:$U$1005,1,MATCH(COLUMNS($Q$1006:U1006),$Q$1006:$U$1006,0))&gt;=100000), " ",IF(INDEX($Q$2:$U$1001,MATCH(ROWS($J$2:J41),$J$2:$J$1001,0),MATCH(COLUMNS($Q$1006:U1006),$Q$1006:$U$1006,0)), HYPERLINK("#",""), HYPERLINK(CONCATENATE("#metadata!", ADDRESS(INDEX($L$2:$L$1001,MATCH(ROWS($J$2:J41),$J$2:$J$1001,0),0), INDEX($Q$1004:$U$1004,1,MATCH(COLUMNS($Q$1006:U1006),$Q$1006:$U$1006,0)))),"Fix")))</f>
        <v xml:space="preserve"> </v>
      </c>
      <c r="J41">
        <v>40</v>
      </c>
      <c r="K41">
        <v>100041</v>
      </c>
      <c r="L41">
        <v>41</v>
      </c>
      <c r="M41" t="b">
        <f t="shared" si="0"/>
        <v>1</v>
      </c>
      <c r="N41" t="b">
        <f>COUNTBLANK(metadata!B41:F41)=COLUMNS(metadata!B41:F41)</f>
        <v>1</v>
      </c>
      <c r="O41" t="str">
        <v/>
      </c>
      <c r="Q41" t="b">
        <f ca="1">AND(IF(metadata!B41="",FALSE,TRUE),COUNTIF(metadata!B:B, metadata!B41) = 1,NOT(ISERROR(SUMPRODUCT(SEARCH(MID(metadata!B41,ROW(INDIRECT("1:"&amp;LEN(metadata!B41))), 1),"0123456789abcdefghijklmnopqrstuvwxyzABCDEFGHIJKLMNOPQRSTUVWXYZ.")))))</f>
        <v>0</v>
      </c>
      <c r="R41" t="b">
        <f>AND(IF(metadata!C41="",FALSE,TRUE),OR(EXACT(metadata!C41,"saline"),EXACT(metadata!C41,"non-saline")))</f>
        <v>0</v>
      </c>
      <c r="S41" t="b">
        <f>AND(IF(metadata!D41="",FALSE,TRUE),OR(EXACT(metadata!D41,"surface (non-saline)"),EXACT(metadata!D41,"aerosol (non-saline)"),EXACT(metadata!D41,"sediment (non-saline)"),EXACT(metadata!D41,"surface (saline)"),EXACT(metadata!D41,"aerosol (saline)"),EXACT(metadata!D41,"sediment (saline)")))</f>
        <v>0</v>
      </c>
      <c r="T41" t="b">
        <f>AND(IF(metadata!E41="",FALSE,TRUE),EXACT(metadata!E41,"built environment"))</f>
        <v>0</v>
      </c>
      <c r="U41" t="b">
        <f>OR(AND(IF(metadata!F41="",FALSE,TRUE),EXACT(metadata!F41,"not applicable")),AND(IF(metadata!F41="",FALSE,TRUE),EXACT(metadata!F41,"anaerobic digester content")))</f>
        <v>0</v>
      </c>
    </row>
    <row r="42" spans="1:21" x14ac:dyDescent="0.2">
      <c r="A42" s="4" t="str">
        <f ca="1">IF(B42=" "," ",HYPERLINK(CONCATENATE("#metadata!",ADDRESS(INDEX($L$2:$L$1001,MATCH(ROWS($J$2:J42),$J$2:$J$1001,0),0),1)),INDEX($O$2:$O$1001,MATCH(ROWS($J$2:J42),$J$2:$J$1001,0),0)))</f>
        <v xml:space="preserve"> </v>
      </c>
      <c r="B42" s="3" t="str">
        <f ca="1">IF(OR(INDEX($K$2:$K$1001,MATCH(ROWS($J$2:J42),$J$2:$J$1001,0),1)&gt;=100000,INDEX($Q$1005:$U$1005,1,MATCH(COLUMNS($Q$1006:Q1006),$Q$1006:$U$1006,0))&gt;=100000), " ",IF(INDEX($Q$2:$U$1001,MATCH(ROWS($J$2:J42),$J$2:$J$1001,0),MATCH(COLUMNS($Q$1006:Q1006),$Q$1006:$U$1006,0)), HYPERLINK("#",""), HYPERLINK(CONCATENATE("#metadata!", ADDRESS(INDEX($L$2:$L$1001,MATCH(ROWS($J$2:J42),$J$2:$J$1001,0),0), INDEX($Q$1004:$U$1004,1,MATCH(COLUMNS($Q$1006:Q1006),$Q$1006:$U$1006,0)))),"Fix")))</f>
        <v xml:space="preserve"> </v>
      </c>
      <c r="C42" s="3" t="str">
        <f ca="1">IF(OR(INDEX($K$2:$K$1001,MATCH(ROWS($J$2:J42),$J$2:$J$1001,0),1)&gt;=100000,INDEX($Q$1005:$U$1005,1,MATCH(COLUMNS($Q$1006:R1006),$Q$1006:$U$1006,0))&gt;=100000), " ",IF(INDEX($Q$2:$U$1001,MATCH(ROWS($J$2:J42),$J$2:$J$1001,0),MATCH(COLUMNS($Q$1006:R1006),$Q$1006:$U$1006,0)), HYPERLINK("#",""), HYPERLINK(CONCATENATE("#metadata!", ADDRESS(INDEX($L$2:$L$1001,MATCH(ROWS($J$2:J42),$J$2:$J$1001,0),0), INDEX($Q$1004:$U$1004,1,MATCH(COLUMNS($Q$1006:R1006),$Q$1006:$U$1006,0)))),"Fix")))</f>
        <v xml:space="preserve"> </v>
      </c>
      <c r="D42" s="3" t="str">
        <f ca="1">IF(OR(INDEX($K$2:$K$1001,MATCH(ROWS($J$2:J42),$J$2:$J$1001,0),1)&gt;=100000,INDEX($Q$1005:$U$1005,1,MATCH(COLUMNS($Q$1006:S1006),$Q$1006:$U$1006,0))&gt;=100000), " ",IF(INDEX($Q$2:$U$1001,MATCH(ROWS($J$2:J42),$J$2:$J$1001,0),MATCH(COLUMNS($Q$1006:S1006),$Q$1006:$U$1006,0)), HYPERLINK("#",""), HYPERLINK(CONCATENATE("#metadata!", ADDRESS(INDEX($L$2:$L$1001,MATCH(ROWS($J$2:J42),$J$2:$J$1001,0),0), INDEX($Q$1004:$U$1004,1,MATCH(COLUMNS($Q$1006:S1006),$Q$1006:$U$1006,0)))),"Fix")))</f>
        <v xml:space="preserve"> </v>
      </c>
      <c r="E42" s="3" t="str">
        <f ca="1">IF(OR(INDEX($K$2:$K$1001,MATCH(ROWS($J$2:J42),$J$2:$J$1001,0),1)&gt;=100000,INDEX($Q$1005:$U$1005,1,MATCH(COLUMNS($Q$1006:T1006),$Q$1006:$U$1006,0))&gt;=100000), " ",IF(INDEX($Q$2:$U$1001,MATCH(ROWS($J$2:J42),$J$2:$J$1001,0),MATCH(COLUMNS($Q$1006:T1006),$Q$1006:$U$1006,0)), HYPERLINK("#",""), HYPERLINK(CONCATENATE("#metadata!", ADDRESS(INDEX($L$2:$L$1001,MATCH(ROWS($J$2:J42),$J$2:$J$1001,0),0), INDEX($Q$1004:$U$1004,1,MATCH(COLUMNS($Q$1006:T1006),$Q$1006:$U$1006,0)))),"Fix")))</f>
        <v xml:space="preserve"> </v>
      </c>
      <c r="F42" s="3" t="str">
        <f ca="1">IF(OR(INDEX($K$2:$K$1001,MATCH(ROWS($J$2:J42),$J$2:$J$1001,0),1)&gt;=100000,INDEX($Q$1005:$U$1005,1,MATCH(COLUMNS($Q$1006:U1006),$Q$1006:$U$1006,0))&gt;=100000), " ",IF(INDEX($Q$2:$U$1001,MATCH(ROWS($J$2:J42),$J$2:$J$1001,0),MATCH(COLUMNS($Q$1006:U1006),$Q$1006:$U$1006,0)), HYPERLINK("#",""), HYPERLINK(CONCATENATE("#metadata!", ADDRESS(INDEX($L$2:$L$1001,MATCH(ROWS($J$2:J42),$J$2:$J$1001,0),0), INDEX($Q$1004:$U$1004,1,MATCH(COLUMNS($Q$1006:U1006),$Q$1006:$U$1006,0)))),"Fix")))</f>
        <v xml:space="preserve"> </v>
      </c>
      <c r="J42">
        <v>41</v>
      </c>
      <c r="K42">
        <v>100042</v>
      </c>
      <c r="L42">
        <v>42</v>
      </c>
      <c r="M42" t="b">
        <f t="shared" si="0"/>
        <v>1</v>
      </c>
      <c r="N42" t="b">
        <f>COUNTBLANK(metadata!B42:F42)=COLUMNS(metadata!B42:F42)</f>
        <v>1</v>
      </c>
      <c r="O42" t="str">
        <v/>
      </c>
      <c r="Q42" t="b">
        <f ca="1">AND(IF(metadata!B42="",FALSE,TRUE),COUNTIF(metadata!B:B, metadata!B42) = 1,NOT(ISERROR(SUMPRODUCT(SEARCH(MID(metadata!B42,ROW(INDIRECT("1:"&amp;LEN(metadata!B42))), 1),"0123456789abcdefghijklmnopqrstuvwxyzABCDEFGHIJKLMNOPQRSTUVWXYZ.")))))</f>
        <v>0</v>
      </c>
      <c r="R42" t="b">
        <f>AND(IF(metadata!C42="",FALSE,TRUE),OR(EXACT(metadata!C42,"saline"),EXACT(metadata!C42,"non-saline")))</f>
        <v>0</v>
      </c>
      <c r="S42" t="b">
        <f>AND(IF(metadata!D42="",FALSE,TRUE),OR(EXACT(metadata!D42,"surface (non-saline)"),EXACT(metadata!D42,"aerosol (non-saline)"),EXACT(metadata!D42,"sediment (non-saline)"),EXACT(metadata!D42,"surface (saline)"),EXACT(metadata!D42,"aerosol (saline)"),EXACT(metadata!D42,"sediment (saline)")))</f>
        <v>0</v>
      </c>
      <c r="T42" t="b">
        <f>AND(IF(metadata!E42="",FALSE,TRUE),EXACT(metadata!E42,"built environment"))</f>
        <v>0</v>
      </c>
      <c r="U42" t="b">
        <f>OR(AND(IF(metadata!F42="",FALSE,TRUE),EXACT(metadata!F42,"not applicable")),AND(IF(metadata!F42="",FALSE,TRUE),EXACT(metadata!F42,"anaerobic digester content")))</f>
        <v>0</v>
      </c>
    </row>
    <row r="43" spans="1:21" x14ac:dyDescent="0.2">
      <c r="A43" s="4" t="str">
        <f ca="1">IF(B43=" "," ",HYPERLINK(CONCATENATE("#metadata!",ADDRESS(INDEX($L$2:$L$1001,MATCH(ROWS($J$2:J43),$J$2:$J$1001,0),0),1)),INDEX($O$2:$O$1001,MATCH(ROWS($J$2:J43),$J$2:$J$1001,0),0)))</f>
        <v xml:space="preserve"> </v>
      </c>
      <c r="B43" s="3" t="str">
        <f ca="1">IF(OR(INDEX($K$2:$K$1001,MATCH(ROWS($J$2:J43),$J$2:$J$1001,0),1)&gt;=100000,INDEX($Q$1005:$U$1005,1,MATCH(COLUMNS($Q$1006:Q1006),$Q$1006:$U$1006,0))&gt;=100000), " ",IF(INDEX($Q$2:$U$1001,MATCH(ROWS($J$2:J43),$J$2:$J$1001,0),MATCH(COLUMNS($Q$1006:Q1006),$Q$1006:$U$1006,0)), HYPERLINK("#",""), HYPERLINK(CONCATENATE("#metadata!", ADDRESS(INDEX($L$2:$L$1001,MATCH(ROWS($J$2:J43),$J$2:$J$1001,0),0), INDEX($Q$1004:$U$1004,1,MATCH(COLUMNS($Q$1006:Q1006),$Q$1006:$U$1006,0)))),"Fix")))</f>
        <v xml:space="preserve"> </v>
      </c>
      <c r="C43" s="3" t="str">
        <f ca="1">IF(OR(INDEX($K$2:$K$1001,MATCH(ROWS($J$2:J43),$J$2:$J$1001,0),1)&gt;=100000,INDEX($Q$1005:$U$1005,1,MATCH(COLUMNS($Q$1006:R1006),$Q$1006:$U$1006,0))&gt;=100000), " ",IF(INDEX($Q$2:$U$1001,MATCH(ROWS($J$2:J43),$J$2:$J$1001,0),MATCH(COLUMNS($Q$1006:R1006),$Q$1006:$U$1006,0)), HYPERLINK("#",""), HYPERLINK(CONCATENATE("#metadata!", ADDRESS(INDEX($L$2:$L$1001,MATCH(ROWS($J$2:J43),$J$2:$J$1001,0),0), INDEX($Q$1004:$U$1004,1,MATCH(COLUMNS($Q$1006:R1006),$Q$1006:$U$1006,0)))),"Fix")))</f>
        <v xml:space="preserve"> </v>
      </c>
      <c r="D43" s="3" t="str">
        <f ca="1">IF(OR(INDEX($K$2:$K$1001,MATCH(ROWS($J$2:J43),$J$2:$J$1001,0),1)&gt;=100000,INDEX($Q$1005:$U$1005,1,MATCH(COLUMNS($Q$1006:S1006),$Q$1006:$U$1006,0))&gt;=100000), " ",IF(INDEX($Q$2:$U$1001,MATCH(ROWS($J$2:J43),$J$2:$J$1001,0),MATCH(COLUMNS($Q$1006:S1006),$Q$1006:$U$1006,0)), HYPERLINK("#",""), HYPERLINK(CONCATENATE("#metadata!", ADDRESS(INDEX($L$2:$L$1001,MATCH(ROWS($J$2:J43),$J$2:$J$1001,0),0), INDEX($Q$1004:$U$1004,1,MATCH(COLUMNS($Q$1006:S1006),$Q$1006:$U$1006,0)))),"Fix")))</f>
        <v xml:space="preserve"> </v>
      </c>
      <c r="E43" s="3" t="str">
        <f ca="1">IF(OR(INDEX($K$2:$K$1001,MATCH(ROWS($J$2:J43),$J$2:$J$1001,0),1)&gt;=100000,INDEX($Q$1005:$U$1005,1,MATCH(COLUMNS($Q$1006:T1006),$Q$1006:$U$1006,0))&gt;=100000), " ",IF(INDEX($Q$2:$U$1001,MATCH(ROWS($J$2:J43),$J$2:$J$1001,0),MATCH(COLUMNS($Q$1006:T1006),$Q$1006:$U$1006,0)), HYPERLINK("#",""), HYPERLINK(CONCATENATE("#metadata!", ADDRESS(INDEX($L$2:$L$1001,MATCH(ROWS($J$2:J43),$J$2:$J$1001,0),0), INDEX($Q$1004:$U$1004,1,MATCH(COLUMNS($Q$1006:T1006),$Q$1006:$U$1006,0)))),"Fix")))</f>
        <v xml:space="preserve"> </v>
      </c>
      <c r="F43" s="3" t="str">
        <f ca="1">IF(OR(INDEX($K$2:$K$1001,MATCH(ROWS($J$2:J43),$J$2:$J$1001,0),1)&gt;=100000,INDEX($Q$1005:$U$1005,1,MATCH(COLUMNS($Q$1006:U1006),$Q$1006:$U$1006,0))&gt;=100000), " ",IF(INDEX($Q$2:$U$1001,MATCH(ROWS($J$2:J43),$J$2:$J$1001,0),MATCH(COLUMNS($Q$1006:U1006),$Q$1006:$U$1006,0)), HYPERLINK("#",""), HYPERLINK(CONCATENATE("#metadata!", ADDRESS(INDEX($L$2:$L$1001,MATCH(ROWS($J$2:J43),$J$2:$J$1001,0),0), INDEX($Q$1004:$U$1004,1,MATCH(COLUMNS($Q$1006:U1006),$Q$1006:$U$1006,0)))),"Fix")))</f>
        <v xml:space="preserve"> </v>
      </c>
      <c r="J43">
        <v>42</v>
      </c>
      <c r="K43">
        <v>100043</v>
      </c>
      <c r="L43">
        <v>43</v>
      </c>
      <c r="M43" t="b">
        <f t="shared" si="0"/>
        <v>1</v>
      </c>
      <c r="N43" t="b">
        <f>COUNTBLANK(metadata!B43:F43)=COLUMNS(metadata!B43:F43)</f>
        <v>1</v>
      </c>
      <c r="O43" t="str">
        <v/>
      </c>
      <c r="Q43" t="b">
        <f ca="1">AND(IF(metadata!B43="",FALSE,TRUE),COUNTIF(metadata!B:B, metadata!B43) = 1,NOT(ISERROR(SUMPRODUCT(SEARCH(MID(metadata!B43,ROW(INDIRECT("1:"&amp;LEN(metadata!B43))), 1),"0123456789abcdefghijklmnopqrstuvwxyzABCDEFGHIJKLMNOPQRSTUVWXYZ.")))))</f>
        <v>0</v>
      </c>
      <c r="R43" t="b">
        <f>AND(IF(metadata!C43="",FALSE,TRUE),OR(EXACT(metadata!C43,"saline"),EXACT(metadata!C43,"non-saline")))</f>
        <v>0</v>
      </c>
      <c r="S43" t="b">
        <f>AND(IF(metadata!D43="",FALSE,TRUE),OR(EXACT(metadata!D43,"surface (non-saline)"),EXACT(metadata!D43,"aerosol (non-saline)"),EXACT(metadata!D43,"sediment (non-saline)"),EXACT(metadata!D43,"surface (saline)"),EXACT(metadata!D43,"aerosol (saline)"),EXACT(metadata!D43,"sediment (saline)")))</f>
        <v>0</v>
      </c>
      <c r="T43" t="b">
        <f>AND(IF(metadata!E43="",FALSE,TRUE),EXACT(metadata!E43,"built environment"))</f>
        <v>0</v>
      </c>
      <c r="U43" t="b">
        <f>OR(AND(IF(metadata!F43="",FALSE,TRUE),EXACT(metadata!F43,"not applicable")),AND(IF(metadata!F43="",FALSE,TRUE),EXACT(metadata!F43,"anaerobic digester content")))</f>
        <v>0</v>
      </c>
    </row>
    <row r="44" spans="1:21" x14ac:dyDescent="0.2">
      <c r="A44" s="4" t="str">
        <f ca="1">IF(B44=" "," ",HYPERLINK(CONCATENATE("#metadata!",ADDRESS(INDEX($L$2:$L$1001,MATCH(ROWS($J$2:J44),$J$2:$J$1001,0),0),1)),INDEX($O$2:$O$1001,MATCH(ROWS($J$2:J44),$J$2:$J$1001,0),0)))</f>
        <v xml:space="preserve"> </v>
      </c>
      <c r="B44" s="3" t="str">
        <f ca="1">IF(OR(INDEX($K$2:$K$1001,MATCH(ROWS($J$2:J44),$J$2:$J$1001,0),1)&gt;=100000,INDEX($Q$1005:$U$1005,1,MATCH(COLUMNS($Q$1006:Q1006),$Q$1006:$U$1006,0))&gt;=100000), " ",IF(INDEX($Q$2:$U$1001,MATCH(ROWS($J$2:J44),$J$2:$J$1001,0),MATCH(COLUMNS($Q$1006:Q1006),$Q$1006:$U$1006,0)), HYPERLINK("#",""), HYPERLINK(CONCATENATE("#metadata!", ADDRESS(INDEX($L$2:$L$1001,MATCH(ROWS($J$2:J44),$J$2:$J$1001,0),0), INDEX($Q$1004:$U$1004,1,MATCH(COLUMNS($Q$1006:Q1006),$Q$1006:$U$1006,0)))),"Fix")))</f>
        <v xml:space="preserve"> </v>
      </c>
      <c r="C44" s="3" t="str">
        <f ca="1">IF(OR(INDEX($K$2:$K$1001,MATCH(ROWS($J$2:J44),$J$2:$J$1001,0),1)&gt;=100000,INDEX($Q$1005:$U$1005,1,MATCH(COLUMNS($Q$1006:R1006),$Q$1006:$U$1006,0))&gt;=100000), " ",IF(INDEX($Q$2:$U$1001,MATCH(ROWS($J$2:J44),$J$2:$J$1001,0),MATCH(COLUMNS($Q$1006:R1006),$Q$1006:$U$1006,0)), HYPERLINK("#",""), HYPERLINK(CONCATENATE("#metadata!", ADDRESS(INDEX($L$2:$L$1001,MATCH(ROWS($J$2:J44),$J$2:$J$1001,0),0), INDEX($Q$1004:$U$1004,1,MATCH(COLUMNS($Q$1006:R1006),$Q$1006:$U$1006,0)))),"Fix")))</f>
        <v xml:space="preserve"> </v>
      </c>
      <c r="D44" s="3" t="str">
        <f ca="1">IF(OR(INDEX($K$2:$K$1001,MATCH(ROWS($J$2:J44),$J$2:$J$1001,0),1)&gt;=100000,INDEX($Q$1005:$U$1005,1,MATCH(COLUMNS($Q$1006:S1006),$Q$1006:$U$1006,0))&gt;=100000), " ",IF(INDEX($Q$2:$U$1001,MATCH(ROWS($J$2:J44),$J$2:$J$1001,0),MATCH(COLUMNS($Q$1006:S1006),$Q$1006:$U$1006,0)), HYPERLINK("#",""), HYPERLINK(CONCATENATE("#metadata!", ADDRESS(INDEX($L$2:$L$1001,MATCH(ROWS($J$2:J44),$J$2:$J$1001,0),0), INDEX($Q$1004:$U$1004,1,MATCH(COLUMNS($Q$1006:S1006),$Q$1006:$U$1006,0)))),"Fix")))</f>
        <v xml:space="preserve"> </v>
      </c>
      <c r="E44" s="3" t="str">
        <f ca="1">IF(OR(INDEX($K$2:$K$1001,MATCH(ROWS($J$2:J44),$J$2:$J$1001,0),1)&gt;=100000,INDEX($Q$1005:$U$1005,1,MATCH(COLUMNS($Q$1006:T1006),$Q$1006:$U$1006,0))&gt;=100000), " ",IF(INDEX($Q$2:$U$1001,MATCH(ROWS($J$2:J44),$J$2:$J$1001,0),MATCH(COLUMNS($Q$1006:T1006),$Q$1006:$U$1006,0)), HYPERLINK("#",""), HYPERLINK(CONCATENATE("#metadata!", ADDRESS(INDEX($L$2:$L$1001,MATCH(ROWS($J$2:J44),$J$2:$J$1001,0),0), INDEX($Q$1004:$U$1004,1,MATCH(COLUMNS($Q$1006:T1006),$Q$1006:$U$1006,0)))),"Fix")))</f>
        <v xml:space="preserve"> </v>
      </c>
      <c r="F44" s="3" t="str">
        <f ca="1">IF(OR(INDEX($K$2:$K$1001,MATCH(ROWS($J$2:J44),$J$2:$J$1001,0),1)&gt;=100000,INDEX($Q$1005:$U$1005,1,MATCH(COLUMNS($Q$1006:U1006),$Q$1006:$U$1006,0))&gt;=100000), " ",IF(INDEX($Q$2:$U$1001,MATCH(ROWS($J$2:J44),$J$2:$J$1001,0),MATCH(COLUMNS($Q$1006:U1006),$Q$1006:$U$1006,0)), HYPERLINK("#",""), HYPERLINK(CONCATENATE("#metadata!", ADDRESS(INDEX($L$2:$L$1001,MATCH(ROWS($J$2:J44),$J$2:$J$1001,0),0), INDEX($Q$1004:$U$1004,1,MATCH(COLUMNS($Q$1006:U1006),$Q$1006:$U$1006,0)))),"Fix")))</f>
        <v xml:space="preserve"> </v>
      </c>
      <c r="J44">
        <v>43</v>
      </c>
      <c r="K44">
        <v>100044</v>
      </c>
      <c r="L44">
        <v>44</v>
      </c>
      <c r="M44" t="b">
        <f t="shared" si="0"/>
        <v>1</v>
      </c>
      <c r="N44" t="b">
        <f>COUNTBLANK(metadata!B44:F44)=COLUMNS(metadata!B44:F44)</f>
        <v>1</v>
      </c>
      <c r="O44" t="str">
        <v/>
      </c>
      <c r="Q44" t="b">
        <f ca="1">AND(IF(metadata!B44="",FALSE,TRUE),COUNTIF(metadata!B:B, metadata!B44) = 1,NOT(ISERROR(SUMPRODUCT(SEARCH(MID(metadata!B44,ROW(INDIRECT("1:"&amp;LEN(metadata!B44))), 1),"0123456789abcdefghijklmnopqrstuvwxyzABCDEFGHIJKLMNOPQRSTUVWXYZ.")))))</f>
        <v>0</v>
      </c>
      <c r="R44" t="b">
        <f>AND(IF(metadata!C44="",FALSE,TRUE),OR(EXACT(metadata!C44,"saline"),EXACT(metadata!C44,"non-saline")))</f>
        <v>0</v>
      </c>
      <c r="S44" t="b">
        <f>AND(IF(metadata!D44="",FALSE,TRUE),OR(EXACT(metadata!D44,"surface (non-saline)"),EXACT(metadata!D44,"aerosol (non-saline)"),EXACT(metadata!D44,"sediment (non-saline)"),EXACT(metadata!D44,"surface (saline)"),EXACT(metadata!D44,"aerosol (saline)"),EXACT(metadata!D44,"sediment (saline)")))</f>
        <v>0</v>
      </c>
      <c r="T44" t="b">
        <f>AND(IF(metadata!E44="",FALSE,TRUE),EXACT(metadata!E44,"built environment"))</f>
        <v>0</v>
      </c>
      <c r="U44" t="b">
        <f>OR(AND(IF(metadata!F44="",FALSE,TRUE),EXACT(metadata!F44,"not applicable")),AND(IF(metadata!F44="",FALSE,TRUE),EXACT(metadata!F44,"anaerobic digester content")))</f>
        <v>0</v>
      </c>
    </row>
    <row r="45" spans="1:21" x14ac:dyDescent="0.2">
      <c r="A45" s="4" t="str">
        <f ca="1">IF(B45=" "," ",HYPERLINK(CONCATENATE("#metadata!",ADDRESS(INDEX($L$2:$L$1001,MATCH(ROWS($J$2:J45),$J$2:$J$1001,0),0),1)),INDEX($O$2:$O$1001,MATCH(ROWS($J$2:J45),$J$2:$J$1001,0),0)))</f>
        <v xml:space="preserve"> </v>
      </c>
      <c r="B45" s="3" t="str">
        <f ca="1">IF(OR(INDEX($K$2:$K$1001,MATCH(ROWS($J$2:J45),$J$2:$J$1001,0),1)&gt;=100000,INDEX($Q$1005:$U$1005,1,MATCH(COLUMNS($Q$1006:Q1006),$Q$1006:$U$1006,0))&gt;=100000), " ",IF(INDEX($Q$2:$U$1001,MATCH(ROWS($J$2:J45),$J$2:$J$1001,0),MATCH(COLUMNS($Q$1006:Q1006),$Q$1006:$U$1006,0)), HYPERLINK("#",""), HYPERLINK(CONCATENATE("#metadata!", ADDRESS(INDEX($L$2:$L$1001,MATCH(ROWS($J$2:J45),$J$2:$J$1001,0),0), INDEX($Q$1004:$U$1004,1,MATCH(COLUMNS($Q$1006:Q1006),$Q$1006:$U$1006,0)))),"Fix")))</f>
        <v xml:space="preserve"> </v>
      </c>
      <c r="C45" s="3" t="str">
        <f ca="1">IF(OR(INDEX($K$2:$K$1001,MATCH(ROWS($J$2:J45),$J$2:$J$1001,0),1)&gt;=100000,INDEX($Q$1005:$U$1005,1,MATCH(COLUMNS($Q$1006:R1006),$Q$1006:$U$1006,0))&gt;=100000), " ",IF(INDEX($Q$2:$U$1001,MATCH(ROWS($J$2:J45),$J$2:$J$1001,0),MATCH(COLUMNS($Q$1006:R1006),$Q$1006:$U$1006,0)), HYPERLINK("#",""), HYPERLINK(CONCATENATE("#metadata!", ADDRESS(INDEX($L$2:$L$1001,MATCH(ROWS($J$2:J45),$J$2:$J$1001,0),0), INDEX($Q$1004:$U$1004,1,MATCH(COLUMNS($Q$1006:R1006),$Q$1006:$U$1006,0)))),"Fix")))</f>
        <v xml:space="preserve"> </v>
      </c>
      <c r="D45" s="3" t="str">
        <f ca="1">IF(OR(INDEX($K$2:$K$1001,MATCH(ROWS($J$2:J45),$J$2:$J$1001,0),1)&gt;=100000,INDEX($Q$1005:$U$1005,1,MATCH(COLUMNS($Q$1006:S1006),$Q$1006:$U$1006,0))&gt;=100000), " ",IF(INDEX($Q$2:$U$1001,MATCH(ROWS($J$2:J45),$J$2:$J$1001,0),MATCH(COLUMNS($Q$1006:S1006),$Q$1006:$U$1006,0)), HYPERLINK("#",""), HYPERLINK(CONCATENATE("#metadata!", ADDRESS(INDEX($L$2:$L$1001,MATCH(ROWS($J$2:J45),$J$2:$J$1001,0),0), INDEX($Q$1004:$U$1004,1,MATCH(COLUMNS($Q$1006:S1006),$Q$1006:$U$1006,0)))),"Fix")))</f>
        <v xml:space="preserve"> </v>
      </c>
      <c r="E45" s="3" t="str">
        <f ca="1">IF(OR(INDEX($K$2:$K$1001,MATCH(ROWS($J$2:J45),$J$2:$J$1001,0),1)&gt;=100000,INDEX($Q$1005:$U$1005,1,MATCH(COLUMNS($Q$1006:T1006),$Q$1006:$U$1006,0))&gt;=100000), " ",IF(INDEX($Q$2:$U$1001,MATCH(ROWS($J$2:J45),$J$2:$J$1001,0),MATCH(COLUMNS($Q$1006:T1006),$Q$1006:$U$1006,0)), HYPERLINK("#",""), HYPERLINK(CONCATENATE("#metadata!", ADDRESS(INDEX($L$2:$L$1001,MATCH(ROWS($J$2:J45),$J$2:$J$1001,0),0), INDEX($Q$1004:$U$1004,1,MATCH(COLUMNS($Q$1006:T1006),$Q$1006:$U$1006,0)))),"Fix")))</f>
        <v xml:space="preserve"> </v>
      </c>
      <c r="F45" s="3" t="str">
        <f ca="1">IF(OR(INDEX($K$2:$K$1001,MATCH(ROWS($J$2:J45),$J$2:$J$1001,0),1)&gt;=100000,INDEX($Q$1005:$U$1005,1,MATCH(COLUMNS($Q$1006:U1006),$Q$1006:$U$1006,0))&gt;=100000), " ",IF(INDEX($Q$2:$U$1001,MATCH(ROWS($J$2:J45),$J$2:$J$1001,0),MATCH(COLUMNS($Q$1006:U1006),$Q$1006:$U$1006,0)), HYPERLINK("#",""), HYPERLINK(CONCATENATE("#metadata!", ADDRESS(INDEX($L$2:$L$1001,MATCH(ROWS($J$2:J45),$J$2:$J$1001,0),0), INDEX($Q$1004:$U$1004,1,MATCH(COLUMNS($Q$1006:U1006),$Q$1006:$U$1006,0)))),"Fix")))</f>
        <v xml:space="preserve"> </v>
      </c>
      <c r="J45">
        <v>44</v>
      </c>
      <c r="K45">
        <v>100045</v>
      </c>
      <c r="L45">
        <v>45</v>
      </c>
      <c r="M45" t="b">
        <f t="shared" si="0"/>
        <v>1</v>
      </c>
      <c r="N45" t="b">
        <f>COUNTBLANK(metadata!B45:F45)=COLUMNS(metadata!B45:F45)</f>
        <v>1</v>
      </c>
      <c r="O45" t="str">
        <v/>
      </c>
      <c r="Q45" t="b">
        <f ca="1">AND(IF(metadata!B45="",FALSE,TRUE),COUNTIF(metadata!B:B, metadata!B45) = 1,NOT(ISERROR(SUMPRODUCT(SEARCH(MID(metadata!B45,ROW(INDIRECT("1:"&amp;LEN(metadata!B45))), 1),"0123456789abcdefghijklmnopqrstuvwxyzABCDEFGHIJKLMNOPQRSTUVWXYZ.")))))</f>
        <v>0</v>
      </c>
      <c r="R45" t="b">
        <f>AND(IF(metadata!C45="",FALSE,TRUE),OR(EXACT(metadata!C45,"saline"),EXACT(metadata!C45,"non-saline")))</f>
        <v>0</v>
      </c>
      <c r="S45" t="b">
        <f>AND(IF(metadata!D45="",FALSE,TRUE),OR(EXACT(metadata!D45,"surface (non-saline)"),EXACT(metadata!D45,"aerosol (non-saline)"),EXACT(metadata!D45,"sediment (non-saline)"),EXACT(metadata!D45,"surface (saline)"),EXACT(metadata!D45,"aerosol (saline)"),EXACT(metadata!D45,"sediment (saline)")))</f>
        <v>0</v>
      </c>
      <c r="T45" t="b">
        <f>AND(IF(metadata!E45="",FALSE,TRUE),EXACT(metadata!E45,"built environment"))</f>
        <v>0</v>
      </c>
      <c r="U45" t="b">
        <f>OR(AND(IF(metadata!F45="",FALSE,TRUE),EXACT(metadata!F45,"not applicable")),AND(IF(metadata!F45="",FALSE,TRUE),EXACT(metadata!F45,"anaerobic digester content")))</f>
        <v>0</v>
      </c>
    </row>
    <row r="46" spans="1:21" x14ac:dyDescent="0.2">
      <c r="A46" s="4" t="str">
        <f ca="1">IF(B46=" "," ",HYPERLINK(CONCATENATE("#metadata!",ADDRESS(INDEX($L$2:$L$1001,MATCH(ROWS($J$2:J46),$J$2:$J$1001,0),0),1)),INDEX($O$2:$O$1001,MATCH(ROWS($J$2:J46),$J$2:$J$1001,0),0)))</f>
        <v xml:space="preserve"> </v>
      </c>
      <c r="B46" s="3" t="str">
        <f ca="1">IF(OR(INDEX($K$2:$K$1001,MATCH(ROWS($J$2:J46),$J$2:$J$1001,0),1)&gt;=100000,INDEX($Q$1005:$U$1005,1,MATCH(COLUMNS($Q$1006:Q1006),$Q$1006:$U$1006,0))&gt;=100000), " ",IF(INDEX($Q$2:$U$1001,MATCH(ROWS($J$2:J46),$J$2:$J$1001,0),MATCH(COLUMNS($Q$1006:Q1006),$Q$1006:$U$1006,0)), HYPERLINK("#",""), HYPERLINK(CONCATENATE("#metadata!", ADDRESS(INDEX($L$2:$L$1001,MATCH(ROWS($J$2:J46),$J$2:$J$1001,0),0), INDEX($Q$1004:$U$1004,1,MATCH(COLUMNS($Q$1006:Q1006),$Q$1006:$U$1006,0)))),"Fix")))</f>
        <v xml:space="preserve"> </v>
      </c>
      <c r="C46" s="3" t="str">
        <f ca="1">IF(OR(INDEX($K$2:$K$1001,MATCH(ROWS($J$2:J46),$J$2:$J$1001,0),1)&gt;=100000,INDEX($Q$1005:$U$1005,1,MATCH(COLUMNS($Q$1006:R1006),$Q$1006:$U$1006,0))&gt;=100000), " ",IF(INDEX($Q$2:$U$1001,MATCH(ROWS($J$2:J46),$J$2:$J$1001,0),MATCH(COLUMNS($Q$1006:R1006),$Q$1006:$U$1006,0)), HYPERLINK("#",""), HYPERLINK(CONCATENATE("#metadata!", ADDRESS(INDEX($L$2:$L$1001,MATCH(ROWS($J$2:J46),$J$2:$J$1001,0),0), INDEX($Q$1004:$U$1004,1,MATCH(COLUMNS($Q$1006:R1006),$Q$1006:$U$1006,0)))),"Fix")))</f>
        <v xml:space="preserve"> </v>
      </c>
      <c r="D46" s="3" t="str">
        <f ca="1">IF(OR(INDEX($K$2:$K$1001,MATCH(ROWS($J$2:J46),$J$2:$J$1001,0),1)&gt;=100000,INDEX($Q$1005:$U$1005,1,MATCH(COLUMNS($Q$1006:S1006),$Q$1006:$U$1006,0))&gt;=100000), " ",IF(INDEX($Q$2:$U$1001,MATCH(ROWS($J$2:J46),$J$2:$J$1001,0),MATCH(COLUMNS($Q$1006:S1006),$Q$1006:$U$1006,0)), HYPERLINK("#",""), HYPERLINK(CONCATENATE("#metadata!", ADDRESS(INDEX($L$2:$L$1001,MATCH(ROWS($J$2:J46),$J$2:$J$1001,0),0), INDEX($Q$1004:$U$1004,1,MATCH(COLUMNS($Q$1006:S1006),$Q$1006:$U$1006,0)))),"Fix")))</f>
        <v xml:space="preserve"> </v>
      </c>
      <c r="E46" s="3" t="str">
        <f ca="1">IF(OR(INDEX($K$2:$K$1001,MATCH(ROWS($J$2:J46),$J$2:$J$1001,0),1)&gt;=100000,INDEX($Q$1005:$U$1005,1,MATCH(COLUMNS($Q$1006:T1006),$Q$1006:$U$1006,0))&gt;=100000), " ",IF(INDEX($Q$2:$U$1001,MATCH(ROWS($J$2:J46),$J$2:$J$1001,0),MATCH(COLUMNS($Q$1006:T1006),$Q$1006:$U$1006,0)), HYPERLINK("#",""), HYPERLINK(CONCATENATE("#metadata!", ADDRESS(INDEX($L$2:$L$1001,MATCH(ROWS($J$2:J46),$J$2:$J$1001,0),0), INDEX($Q$1004:$U$1004,1,MATCH(COLUMNS($Q$1006:T1006),$Q$1006:$U$1006,0)))),"Fix")))</f>
        <v xml:space="preserve"> </v>
      </c>
      <c r="F46" s="3" t="str">
        <f ca="1">IF(OR(INDEX($K$2:$K$1001,MATCH(ROWS($J$2:J46),$J$2:$J$1001,0),1)&gt;=100000,INDEX($Q$1005:$U$1005,1,MATCH(COLUMNS($Q$1006:U1006),$Q$1006:$U$1006,0))&gt;=100000), " ",IF(INDEX($Q$2:$U$1001,MATCH(ROWS($J$2:J46),$J$2:$J$1001,0),MATCH(COLUMNS($Q$1006:U1006),$Q$1006:$U$1006,0)), HYPERLINK("#",""), HYPERLINK(CONCATENATE("#metadata!", ADDRESS(INDEX($L$2:$L$1001,MATCH(ROWS($J$2:J46),$J$2:$J$1001,0),0), INDEX($Q$1004:$U$1004,1,MATCH(COLUMNS($Q$1006:U1006),$Q$1006:$U$1006,0)))),"Fix")))</f>
        <v xml:space="preserve"> </v>
      </c>
      <c r="J46">
        <v>45</v>
      </c>
      <c r="K46">
        <v>100046</v>
      </c>
      <c r="L46">
        <v>46</v>
      </c>
      <c r="M46" t="b">
        <f t="shared" si="0"/>
        <v>1</v>
      </c>
      <c r="N46" t="b">
        <f>COUNTBLANK(metadata!B46:F46)=COLUMNS(metadata!B46:F46)</f>
        <v>1</v>
      </c>
      <c r="O46" t="str">
        <v/>
      </c>
      <c r="Q46" t="b">
        <f ca="1">AND(IF(metadata!B46="",FALSE,TRUE),COUNTIF(metadata!B:B, metadata!B46) = 1,NOT(ISERROR(SUMPRODUCT(SEARCH(MID(metadata!B46,ROW(INDIRECT("1:"&amp;LEN(metadata!B46))), 1),"0123456789abcdefghijklmnopqrstuvwxyzABCDEFGHIJKLMNOPQRSTUVWXYZ.")))))</f>
        <v>0</v>
      </c>
      <c r="R46" t="b">
        <f>AND(IF(metadata!C46="",FALSE,TRUE),OR(EXACT(metadata!C46,"saline"),EXACT(metadata!C46,"non-saline")))</f>
        <v>0</v>
      </c>
      <c r="S46" t="b">
        <f>AND(IF(metadata!D46="",FALSE,TRUE),OR(EXACT(metadata!D46,"surface (non-saline)"),EXACT(metadata!D46,"aerosol (non-saline)"),EXACT(metadata!D46,"sediment (non-saline)"),EXACT(metadata!D46,"surface (saline)"),EXACT(metadata!D46,"aerosol (saline)"),EXACT(metadata!D46,"sediment (saline)")))</f>
        <v>0</v>
      </c>
      <c r="T46" t="b">
        <f>AND(IF(metadata!E46="",FALSE,TRUE),EXACT(metadata!E46,"built environment"))</f>
        <v>0</v>
      </c>
      <c r="U46" t="b">
        <f>OR(AND(IF(metadata!F46="",FALSE,TRUE),EXACT(metadata!F46,"not applicable")),AND(IF(metadata!F46="",FALSE,TRUE),EXACT(metadata!F46,"anaerobic digester content")))</f>
        <v>0</v>
      </c>
    </row>
    <row r="47" spans="1:21" x14ac:dyDescent="0.2">
      <c r="A47" s="4" t="str">
        <f ca="1">IF(B47=" "," ",HYPERLINK(CONCATENATE("#metadata!",ADDRESS(INDEX($L$2:$L$1001,MATCH(ROWS($J$2:J47),$J$2:$J$1001,0),0),1)),INDEX($O$2:$O$1001,MATCH(ROWS($J$2:J47),$J$2:$J$1001,0),0)))</f>
        <v xml:space="preserve"> </v>
      </c>
      <c r="B47" s="3" t="str">
        <f ca="1">IF(OR(INDEX($K$2:$K$1001,MATCH(ROWS($J$2:J47),$J$2:$J$1001,0),1)&gt;=100000,INDEX($Q$1005:$U$1005,1,MATCH(COLUMNS($Q$1006:Q1006),$Q$1006:$U$1006,0))&gt;=100000), " ",IF(INDEX($Q$2:$U$1001,MATCH(ROWS($J$2:J47),$J$2:$J$1001,0),MATCH(COLUMNS($Q$1006:Q1006),$Q$1006:$U$1006,0)), HYPERLINK("#",""), HYPERLINK(CONCATENATE("#metadata!", ADDRESS(INDEX($L$2:$L$1001,MATCH(ROWS($J$2:J47),$J$2:$J$1001,0),0), INDEX($Q$1004:$U$1004,1,MATCH(COLUMNS($Q$1006:Q1006),$Q$1006:$U$1006,0)))),"Fix")))</f>
        <v xml:space="preserve"> </v>
      </c>
      <c r="C47" s="3" t="str">
        <f ca="1">IF(OR(INDEX($K$2:$K$1001,MATCH(ROWS($J$2:J47),$J$2:$J$1001,0),1)&gt;=100000,INDEX($Q$1005:$U$1005,1,MATCH(COLUMNS($Q$1006:R1006),$Q$1006:$U$1006,0))&gt;=100000), " ",IF(INDEX($Q$2:$U$1001,MATCH(ROWS($J$2:J47),$J$2:$J$1001,0),MATCH(COLUMNS($Q$1006:R1006),$Q$1006:$U$1006,0)), HYPERLINK("#",""), HYPERLINK(CONCATENATE("#metadata!", ADDRESS(INDEX($L$2:$L$1001,MATCH(ROWS($J$2:J47),$J$2:$J$1001,0),0), INDEX($Q$1004:$U$1004,1,MATCH(COLUMNS($Q$1006:R1006),$Q$1006:$U$1006,0)))),"Fix")))</f>
        <v xml:space="preserve"> </v>
      </c>
      <c r="D47" s="3" t="str">
        <f ca="1">IF(OR(INDEX($K$2:$K$1001,MATCH(ROWS($J$2:J47),$J$2:$J$1001,0),1)&gt;=100000,INDEX($Q$1005:$U$1005,1,MATCH(COLUMNS($Q$1006:S1006),$Q$1006:$U$1006,0))&gt;=100000), " ",IF(INDEX($Q$2:$U$1001,MATCH(ROWS($J$2:J47),$J$2:$J$1001,0),MATCH(COLUMNS($Q$1006:S1006),$Q$1006:$U$1006,0)), HYPERLINK("#",""), HYPERLINK(CONCATENATE("#metadata!", ADDRESS(INDEX($L$2:$L$1001,MATCH(ROWS($J$2:J47),$J$2:$J$1001,0),0), INDEX($Q$1004:$U$1004,1,MATCH(COLUMNS($Q$1006:S1006),$Q$1006:$U$1006,0)))),"Fix")))</f>
        <v xml:space="preserve"> </v>
      </c>
      <c r="E47" s="3" t="str">
        <f ca="1">IF(OR(INDEX($K$2:$K$1001,MATCH(ROWS($J$2:J47),$J$2:$J$1001,0),1)&gt;=100000,INDEX($Q$1005:$U$1005,1,MATCH(COLUMNS($Q$1006:T1006),$Q$1006:$U$1006,0))&gt;=100000), " ",IF(INDEX($Q$2:$U$1001,MATCH(ROWS($J$2:J47),$J$2:$J$1001,0),MATCH(COLUMNS($Q$1006:T1006),$Q$1006:$U$1006,0)), HYPERLINK("#",""), HYPERLINK(CONCATENATE("#metadata!", ADDRESS(INDEX($L$2:$L$1001,MATCH(ROWS($J$2:J47),$J$2:$J$1001,0),0), INDEX($Q$1004:$U$1004,1,MATCH(COLUMNS($Q$1006:T1006),$Q$1006:$U$1006,0)))),"Fix")))</f>
        <v xml:space="preserve"> </v>
      </c>
      <c r="F47" s="3" t="str">
        <f ca="1">IF(OR(INDEX($K$2:$K$1001,MATCH(ROWS($J$2:J47),$J$2:$J$1001,0),1)&gt;=100000,INDEX($Q$1005:$U$1005,1,MATCH(COLUMNS($Q$1006:U1006),$Q$1006:$U$1006,0))&gt;=100000), " ",IF(INDEX($Q$2:$U$1001,MATCH(ROWS($J$2:J47),$J$2:$J$1001,0),MATCH(COLUMNS($Q$1006:U1006),$Q$1006:$U$1006,0)), HYPERLINK("#",""), HYPERLINK(CONCATENATE("#metadata!", ADDRESS(INDEX($L$2:$L$1001,MATCH(ROWS($J$2:J47),$J$2:$J$1001,0),0), INDEX($Q$1004:$U$1004,1,MATCH(COLUMNS($Q$1006:U1006),$Q$1006:$U$1006,0)))),"Fix")))</f>
        <v xml:space="preserve"> </v>
      </c>
      <c r="J47">
        <v>46</v>
      </c>
      <c r="K47">
        <v>100047</v>
      </c>
      <c r="L47">
        <v>47</v>
      </c>
      <c r="M47" t="b">
        <f t="shared" si="0"/>
        <v>1</v>
      </c>
      <c r="N47" t="b">
        <f>COUNTBLANK(metadata!B47:F47)=COLUMNS(metadata!B47:F47)</f>
        <v>1</v>
      </c>
      <c r="O47" t="str">
        <v/>
      </c>
      <c r="Q47" t="b">
        <f ca="1">AND(IF(metadata!B47="",FALSE,TRUE),COUNTIF(metadata!B:B, metadata!B47) = 1,NOT(ISERROR(SUMPRODUCT(SEARCH(MID(metadata!B47,ROW(INDIRECT("1:"&amp;LEN(metadata!B47))), 1),"0123456789abcdefghijklmnopqrstuvwxyzABCDEFGHIJKLMNOPQRSTUVWXYZ.")))))</f>
        <v>0</v>
      </c>
      <c r="R47" t="b">
        <f>AND(IF(metadata!C47="",FALSE,TRUE),OR(EXACT(metadata!C47,"saline"),EXACT(metadata!C47,"non-saline")))</f>
        <v>0</v>
      </c>
      <c r="S47" t="b">
        <f>AND(IF(metadata!D47="",FALSE,TRUE),OR(EXACT(metadata!D47,"surface (non-saline)"),EXACT(metadata!D47,"aerosol (non-saline)"),EXACT(metadata!D47,"sediment (non-saline)"),EXACT(metadata!D47,"surface (saline)"),EXACT(metadata!D47,"aerosol (saline)"),EXACT(metadata!D47,"sediment (saline)")))</f>
        <v>0</v>
      </c>
      <c r="T47" t="b">
        <f>AND(IF(metadata!E47="",FALSE,TRUE),EXACT(metadata!E47,"built environment"))</f>
        <v>0</v>
      </c>
      <c r="U47" t="b">
        <f>OR(AND(IF(metadata!F47="",FALSE,TRUE),EXACT(metadata!F47,"not applicable")),AND(IF(metadata!F47="",FALSE,TRUE),EXACT(metadata!F47,"anaerobic digester content")))</f>
        <v>0</v>
      </c>
    </row>
    <row r="48" spans="1:21" x14ac:dyDescent="0.2">
      <c r="A48" s="4" t="str">
        <f ca="1">IF(B48=" "," ",HYPERLINK(CONCATENATE("#metadata!",ADDRESS(INDEX($L$2:$L$1001,MATCH(ROWS($J$2:J48),$J$2:$J$1001,0),0),1)),INDEX($O$2:$O$1001,MATCH(ROWS($J$2:J48),$J$2:$J$1001,0),0)))</f>
        <v xml:space="preserve"> </v>
      </c>
      <c r="B48" s="3" t="str">
        <f ca="1">IF(OR(INDEX($K$2:$K$1001,MATCH(ROWS($J$2:J48),$J$2:$J$1001,0),1)&gt;=100000,INDEX($Q$1005:$U$1005,1,MATCH(COLUMNS($Q$1006:Q1006),$Q$1006:$U$1006,0))&gt;=100000), " ",IF(INDEX($Q$2:$U$1001,MATCH(ROWS($J$2:J48),$J$2:$J$1001,0),MATCH(COLUMNS($Q$1006:Q1006),$Q$1006:$U$1006,0)), HYPERLINK("#",""), HYPERLINK(CONCATENATE("#metadata!", ADDRESS(INDEX($L$2:$L$1001,MATCH(ROWS($J$2:J48),$J$2:$J$1001,0),0), INDEX($Q$1004:$U$1004,1,MATCH(COLUMNS($Q$1006:Q1006),$Q$1006:$U$1006,0)))),"Fix")))</f>
        <v xml:space="preserve"> </v>
      </c>
      <c r="C48" s="3" t="str">
        <f ca="1">IF(OR(INDEX($K$2:$K$1001,MATCH(ROWS($J$2:J48),$J$2:$J$1001,0),1)&gt;=100000,INDEX($Q$1005:$U$1005,1,MATCH(COLUMNS($Q$1006:R1006),$Q$1006:$U$1006,0))&gt;=100000), " ",IF(INDEX($Q$2:$U$1001,MATCH(ROWS($J$2:J48),$J$2:$J$1001,0),MATCH(COLUMNS($Q$1006:R1006),$Q$1006:$U$1006,0)), HYPERLINK("#",""), HYPERLINK(CONCATENATE("#metadata!", ADDRESS(INDEX($L$2:$L$1001,MATCH(ROWS($J$2:J48),$J$2:$J$1001,0),0), INDEX($Q$1004:$U$1004,1,MATCH(COLUMNS($Q$1006:R1006),$Q$1006:$U$1006,0)))),"Fix")))</f>
        <v xml:space="preserve"> </v>
      </c>
      <c r="D48" s="3" t="str">
        <f ca="1">IF(OR(INDEX($K$2:$K$1001,MATCH(ROWS($J$2:J48),$J$2:$J$1001,0),1)&gt;=100000,INDEX($Q$1005:$U$1005,1,MATCH(COLUMNS($Q$1006:S1006),$Q$1006:$U$1006,0))&gt;=100000), " ",IF(INDEX($Q$2:$U$1001,MATCH(ROWS($J$2:J48),$J$2:$J$1001,0),MATCH(COLUMNS($Q$1006:S1006),$Q$1006:$U$1006,0)), HYPERLINK("#",""), HYPERLINK(CONCATENATE("#metadata!", ADDRESS(INDEX($L$2:$L$1001,MATCH(ROWS($J$2:J48),$J$2:$J$1001,0),0), INDEX($Q$1004:$U$1004,1,MATCH(COLUMNS($Q$1006:S1006),$Q$1006:$U$1006,0)))),"Fix")))</f>
        <v xml:space="preserve"> </v>
      </c>
      <c r="E48" s="3" t="str">
        <f ca="1">IF(OR(INDEX($K$2:$K$1001,MATCH(ROWS($J$2:J48),$J$2:$J$1001,0),1)&gt;=100000,INDEX($Q$1005:$U$1005,1,MATCH(COLUMNS($Q$1006:T1006),$Q$1006:$U$1006,0))&gt;=100000), " ",IF(INDEX($Q$2:$U$1001,MATCH(ROWS($J$2:J48),$J$2:$J$1001,0),MATCH(COLUMNS($Q$1006:T1006),$Q$1006:$U$1006,0)), HYPERLINK("#",""), HYPERLINK(CONCATENATE("#metadata!", ADDRESS(INDEX($L$2:$L$1001,MATCH(ROWS($J$2:J48),$J$2:$J$1001,0),0), INDEX($Q$1004:$U$1004,1,MATCH(COLUMNS($Q$1006:T1006),$Q$1006:$U$1006,0)))),"Fix")))</f>
        <v xml:space="preserve"> </v>
      </c>
      <c r="F48" s="3" t="str">
        <f ca="1">IF(OR(INDEX($K$2:$K$1001,MATCH(ROWS($J$2:J48),$J$2:$J$1001,0),1)&gt;=100000,INDEX($Q$1005:$U$1005,1,MATCH(COLUMNS($Q$1006:U1006),$Q$1006:$U$1006,0))&gt;=100000), " ",IF(INDEX($Q$2:$U$1001,MATCH(ROWS($J$2:J48),$J$2:$J$1001,0),MATCH(COLUMNS($Q$1006:U1006),$Q$1006:$U$1006,0)), HYPERLINK("#",""), HYPERLINK(CONCATENATE("#metadata!", ADDRESS(INDEX($L$2:$L$1001,MATCH(ROWS($J$2:J48),$J$2:$J$1001,0),0), INDEX($Q$1004:$U$1004,1,MATCH(COLUMNS($Q$1006:U1006),$Q$1006:$U$1006,0)))),"Fix")))</f>
        <v xml:space="preserve"> </v>
      </c>
      <c r="J48">
        <v>47</v>
      </c>
      <c r="K48">
        <v>100048</v>
      </c>
      <c r="L48">
        <v>48</v>
      </c>
      <c r="M48" t="b">
        <f t="shared" si="0"/>
        <v>1</v>
      </c>
      <c r="N48" t="b">
        <f>COUNTBLANK(metadata!B48:F48)=COLUMNS(metadata!B48:F48)</f>
        <v>1</v>
      </c>
      <c r="O48" t="str">
        <v/>
      </c>
      <c r="Q48" t="b">
        <f ca="1">AND(IF(metadata!B48="",FALSE,TRUE),COUNTIF(metadata!B:B, metadata!B48) = 1,NOT(ISERROR(SUMPRODUCT(SEARCH(MID(metadata!B48,ROW(INDIRECT("1:"&amp;LEN(metadata!B48))), 1),"0123456789abcdefghijklmnopqrstuvwxyzABCDEFGHIJKLMNOPQRSTUVWXYZ.")))))</f>
        <v>0</v>
      </c>
      <c r="R48" t="b">
        <f>AND(IF(metadata!C48="",FALSE,TRUE),OR(EXACT(metadata!C48,"saline"),EXACT(metadata!C48,"non-saline")))</f>
        <v>0</v>
      </c>
      <c r="S48" t="b">
        <f>AND(IF(metadata!D48="",FALSE,TRUE),OR(EXACT(metadata!D48,"surface (non-saline)"),EXACT(metadata!D48,"aerosol (non-saline)"),EXACT(metadata!D48,"sediment (non-saline)"),EXACT(metadata!D48,"surface (saline)"),EXACT(metadata!D48,"aerosol (saline)"),EXACT(metadata!D48,"sediment (saline)")))</f>
        <v>0</v>
      </c>
      <c r="T48" t="b">
        <f>AND(IF(metadata!E48="",FALSE,TRUE),EXACT(metadata!E48,"built environment"))</f>
        <v>0</v>
      </c>
      <c r="U48" t="b">
        <f>OR(AND(IF(metadata!F48="",FALSE,TRUE),EXACT(metadata!F48,"not applicable")),AND(IF(metadata!F48="",FALSE,TRUE),EXACT(metadata!F48,"anaerobic digester content")))</f>
        <v>0</v>
      </c>
    </row>
    <row r="49" spans="1:21" x14ac:dyDescent="0.2">
      <c r="A49" s="4" t="str">
        <f ca="1">IF(B49=" "," ",HYPERLINK(CONCATENATE("#metadata!",ADDRESS(INDEX($L$2:$L$1001,MATCH(ROWS($J$2:J49),$J$2:$J$1001,0),0),1)),INDEX($O$2:$O$1001,MATCH(ROWS($J$2:J49),$J$2:$J$1001,0),0)))</f>
        <v xml:space="preserve"> </v>
      </c>
      <c r="B49" s="3" t="str">
        <f ca="1">IF(OR(INDEX($K$2:$K$1001,MATCH(ROWS($J$2:J49),$J$2:$J$1001,0),1)&gt;=100000,INDEX($Q$1005:$U$1005,1,MATCH(COLUMNS($Q$1006:Q1006),$Q$1006:$U$1006,0))&gt;=100000), " ",IF(INDEX($Q$2:$U$1001,MATCH(ROWS($J$2:J49),$J$2:$J$1001,0),MATCH(COLUMNS($Q$1006:Q1006),$Q$1006:$U$1006,0)), HYPERLINK("#",""), HYPERLINK(CONCATENATE("#metadata!", ADDRESS(INDEX($L$2:$L$1001,MATCH(ROWS($J$2:J49),$J$2:$J$1001,0),0), INDEX($Q$1004:$U$1004,1,MATCH(COLUMNS($Q$1006:Q1006),$Q$1006:$U$1006,0)))),"Fix")))</f>
        <v xml:space="preserve"> </v>
      </c>
      <c r="C49" s="3" t="str">
        <f ca="1">IF(OR(INDEX($K$2:$K$1001,MATCH(ROWS($J$2:J49),$J$2:$J$1001,0),1)&gt;=100000,INDEX($Q$1005:$U$1005,1,MATCH(COLUMNS($Q$1006:R1006),$Q$1006:$U$1006,0))&gt;=100000), " ",IF(INDEX($Q$2:$U$1001,MATCH(ROWS($J$2:J49),$J$2:$J$1001,0),MATCH(COLUMNS($Q$1006:R1006),$Q$1006:$U$1006,0)), HYPERLINK("#",""), HYPERLINK(CONCATENATE("#metadata!", ADDRESS(INDEX($L$2:$L$1001,MATCH(ROWS($J$2:J49),$J$2:$J$1001,0),0), INDEX($Q$1004:$U$1004,1,MATCH(COLUMNS($Q$1006:R1006),$Q$1006:$U$1006,0)))),"Fix")))</f>
        <v xml:space="preserve"> </v>
      </c>
      <c r="D49" s="3" t="str">
        <f ca="1">IF(OR(INDEX($K$2:$K$1001,MATCH(ROWS($J$2:J49),$J$2:$J$1001,0),1)&gt;=100000,INDEX($Q$1005:$U$1005,1,MATCH(COLUMNS($Q$1006:S1006),$Q$1006:$U$1006,0))&gt;=100000), " ",IF(INDEX($Q$2:$U$1001,MATCH(ROWS($J$2:J49),$J$2:$J$1001,0),MATCH(COLUMNS($Q$1006:S1006),$Q$1006:$U$1006,0)), HYPERLINK("#",""), HYPERLINK(CONCATENATE("#metadata!", ADDRESS(INDEX($L$2:$L$1001,MATCH(ROWS($J$2:J49),$J$2:$J$1001,0),0), INDEX($Q$1004:$U$1004,1,MATCH(COLUMNS($Q$1006:S1006),$Q$1006:$U$1006,0)))),"Fix")))</f>
        <v xml:space="preserve"> </v>
      </c>
      <c r="E49" s="3" t="str">
        <f ca="1">IF(OR(INDEX($K$2:$K$1001,MATCH(ROWS($J$2:J49),$J$2:$J$1001,0),1)&gt;=100000,INDEX($Q$1005:$U$1005,1,MATCH(COLUMNS($Q$1006:T1006),$Q$1006:$U$1006,0))&gt;=100000), " ",IF(INDEX($Q$2:$U$1001,MATCH(ROWS($J$2:J49),$J$2:$J$1001,0),MATCH(COLUMNS($Q$1006:T1006),$Q$1006:$U$1006,0)), HYPERLINK("#",""), HYPERLINK(CONCATENATE("#metadata!", ADDRESS(INDEX($L$2:$L$1001,MATCH(ROWS($J$2:J49),$J$2:$J$1001,0),0), INDEX($Q$1004:$U$1004,1,MATCH(COLUMNS($Q$1006:T1006),$Q$1006:$U$1006,0)))),"Fix")))</f>
        <v xml:space="preserve"> </v>
      </c>
      <c r="F49" s="3" t="str">
        <f ca="1">IF(OR(INDEX($K$2:$K$1001,MATCH(ROWS($J$2:J49),$J$2:$J$1001,0),1)&gt;=100000,INDEX($Q$1005:$U$1005,1,MATCH(COLUMNS($Q$1006:U1006),$Q$1006:$U$1006,0))&gt;=100000), " ",IF(INDEX($Q$2:$U$1001,MATCH(ROWS($J$2:J49),$J$2:$J$1001,0),MATCH(COLUMNS($Q$1006:U1006),$Q$1006:$U$1006,0)), HYPERLINK("#",""), HYPERLINK(CONCATENATE("#metadata!", ADDRESS(INDEX($L$2:$L$1001,MATCH(ROWS($J$2:J49),$J$2:$J$1001,0),0), INDEX($Q$1004:$U$1004,1,MATCH(COLUMNS($Q$1006:U1006),$Q$1006:$U$1006,0)))),"Fix")))</f>
        <v xml:space="preserve"> </v>
      </c>
      <c r="J49">
        <v>48</v>
      </c>
      <c r="K49">
        <v>100049</v>
      </c>
      <c r="L49">
        <v>49</v>
      </c>
      <c r="M49" t="b">
        <f t="shared" si="0"/>
        <v>1</v>
      </c>
      <c r="N49" t="b">
        <f>COUNTBLANK(metadata!B49:F49)=COLUMNS(metadata!B49:F49)</f>
        <v>1</v>
      </c>
      <c r="O49" t="str">
        <v/>
      </c>
      <c r="Q49" t="b">
        <f ca="1">AND(IF(metadata!B49="",FALSE,TRUE),COUNTIF(metadata!B:B, metadata!B49) = 1,NOT(ISERROR(SUMPRODUCT(SEARCH(MID(metadata!B49,ROW(INDIRECT("1:"&amp;LEN(metadata!B49))), 1),"0123456789abcdefghijklmnopqrstuvwxyzABCDEFGHIJKLMNOPQRSTUVWXYZ.")))))</f>
        <v>0</v>
      </c>
      <c r="R49" t="b">
        <f>AND(IF(metadata!C49="",FALSE,TRUE),OR(EXACT(metadata!C49,"saline"),EXACT(metadata!C49,"non-saline")))</f>
        <v>0</v>
      </c>
      <c r="S49" t="b">
        <f>AND(IF(metadata!D49="",FALSE,TRUE),OR(EXACT(metadata!D49,"surface (non-saline)"),EXACT(metadata!D49,"aerosol (non-saline)"),EXACT(metadata!D49,"sediment (non-saline)"),EXACT(metadata!D49,"surface (saline)"),EXACT(metadata!D49,"aerosol (saline)"),EXACT(metadata!D49,"sediment (saline)")))</f>
        <v>0</v>
      </c>
      <c r="T49" t="b">
        <f>AND(IF(metadata!E49="",FALSE,TRUE),EXACT(metadata!E49,"built environment"))</f>
        <v>0</v>
      </c>
      <c r="U49" t="b">
        <f>OR(AND(IF(metadata!F49="",FALSE,TRUE),EXACT(metadata!F49,"not applicable")),AND(IF(metadata!F49="",FALSE,TRUE),EXACT(metadata!F49,"anaerobic digester content")))</f>
        <v>0</v>
      </c>
    </row>
    <row r="50" spans="1:21" x14ac:dyDescent="0.2">
      <c r="A50" s="4" t="str">
        <f ca="1">IF(B50=" "," ",HYPERLINK(CONCATENATE("#metadata!",ADDRESS(INDEX($L$2:$L$1001,MATCH(ROWS($J$2:J50),$J$2:$J$1001,0),0),1)),INDEX($O$2:$O$1001,MATCH(ROWS($J$2:J50),$J$2:$J$1001,0),0)))</f>
        <v xml:space="preserve"> </v>
      </c>
      <c r="B50" s="3" t="str">
        <f ca="1">IF(OR(INDEX($K$2:$K$1001,MATCH(ROWS($J$2:J50),$J$2:$J$1001,0),1)&gt;=100000,INDEX($Q$1005:$U$1005,1,MATCH(COLUMNS($Q$1006:Q1006),$Q$1006:$U$1006,0))&gt;=100000), " ",IF(INDEX($Q$2:$U$1001,MATCH(ROWS($J$2:J50),$J$2:$J$1001,0),MATCH(COLUMNS($Q$1006:Q1006),$Q$1006:$U$1006,0)), HYPERLINK("#",""), HYPERLINK(CONCATENATE("#metadata!", ADDRESS(INDEX($L$2:$L$1001,MATCH(ROWS($J$2:J50),$J$2:$J$1001,0),0), INDEX($Q$1004:$U$1004,1,MATCH(COLUMNS($Q$1006:Q1006),$Q$1006:$U$1006,0)))),"Fix")))</f>
        <v xml:space="preserve"> </v>
      </c>
      <c r="C50" s="3" t="str">
        <f ca="1">IF(OR(INDEX($K$2:$K$1001,MATCH(ROWS($J$2:J50),$J$2:$J$1001,0),1)&gt;=100000,INDEX($Q$1005:$U$1005,1,MATCH(COLUMNS($Q$1006:R1006),$Q$1006:$U$1006,0))&gt;=100000), " ",IF(INDEX($Q$2:$U$1001,MATCH(ROWS($J$2:J50),$J$2:$J$1001,0),MATCH(COLUMNS($Q$1006:R1006),$Q$1006:$U$1006,0)), HYPERLINK("#",""), HYPERLINK(CONCATENATE("#metadata!", ADDRESS(INDEX($L$2:$L$1001,MATCH(ROWS($J$2:J50),$J$2:$J$1001,0),0), INDEX($Q$1004:$U$1004,1,MATCH(COLUMNS($Q$1006:R1006),$Q$1006:$U$1006,0)))),"Fix")))</f>
        <v xml:space="preserve"> </v>
      </c>
      <c r="D50" s="3" t="str">
        <f ca="1">IF(OR(INDEX($K$2:$K$1001,MATCH(ROWS($J$2:J50),$J$2:$J$1001,0),1)&gt;=100000,INDEX($Q$1005:$U$1005,1,MATCH(COLUMNS($Q$1006:S1006),$Q$1006:$U$1006,0))&gt;=100000), " ",IF(INDEX($Q$2:$U$1001,MATCH(ROWS($J$2:J50),$J$2:$J$1001,0),MATCH(COLUMNS($Q$1006:S1006),$Q$1006:$U$1006,0)), HYPERLINK("#",""), HYPERLINK(CONCATENATE("#metadata!", ADDRESS(INDEX($L$2:$L$1001,MATCH(ROWS($J$2:J50),$J$2:$J$1001,0),0), INDEX($Q$1004:$U$1004,1,MATCH(COLUMNS($Q$1006:S1006),$Q$1006:$U$1006,0)))),"Fix")))</f>
        <v xml:space="preserve"> </v>
      </c>
      <c r="E50" s="3" t="str">
        <f ca="1">IF(OR(INDEX($K$2:$K$1001,MATCH(ROWS($J$2:J50),$J$2:$J$1001,0),1)&gt;=100000,INDEX($Q$1005:$U$1005,1,MATCH(COLUMNS($Q$1006:T1006),$Q$1006:$U$1006,0))&gt;=100000), " ",IF(INDEX($Q$2:$U$1001,MATCH(ROWS($J$2:J50),$J$2:$J$1001,0),MATCH(COLUMNS($Q$1006:T1006),$Q$1006:$U$1006,0)), HYPERLINK("#",""), HYPERLINK(CONCATENATE("#metadata!", ADDRESS(INDEX($L$2:$L$1001,MATCH(ROWS($J$2:J50),$J$2:$J$1001,0),0), INDEX($Q$1004:$U$1004,1,MATCH(COLUMNS($Q$1006:T1006),$Q$1006:$U$1006,0)))),"Fix")))</f>
        <v xml:space="preserve"> </v>
      </c>
      <c r="F50" s="3" t="str">
        <f ca="1">IF(OR(INDEX($K$2:$K$1001,MATCH(ROWS($J$2:J50),$J$2:$J$1001,0),1)&gt;=100000,INDEX($Q$1005:$U$1005,1,MATCH(COLUMNS($Q$1006:U1006),$Q$1006:$U$1006,0))&gt;=100000), " ",IF(INDEX($Q$2:$U$1001,MATCH(ROWS($J$2:J50),$J$2:$J$1001,0),MATCH(COLUMNS($Q$1006:U1006),$Q$1006:$U$1006,0)), HYPERLINK("#",""), HYPERLINK(CONCATENATE("#metadata!", ADDRESS(INDEX($L$2:$L$1001,MATCH(ROWS($J$2:J50),$J$2:$J$1001,0),0), INDEX($Q$1004:$U$1004,1,MATCH(COLUMNS($Q$1006:U1006),$Q$1006:$U$1006,0)))),"Fix")))</f>
        <v xml:space="preserve"> </v>
      </c>
      <c r="J50">
        <v>49</v>
      </c>
      <c r="K50">
        <v>100050</v>
      </c>
      <c r="L50">
        <v>50</v>
      </c>
      <c r="M50" t="b">
        <f t="shared" si="0"/>
        <v>1</v>
      </c>
      <c r="N50" t="b">
        <f>COUNTBLANK(metadata!B50:F50)=COLUMNS(metadata!B50:F50)</f>
        <v>1</v>
      </c>
      <c r="O50" t="str">
        <v/>
      </c>
      <c r="Q50" t="b">
        <f ca="1">AND(IF(metadata!B50="",FALSE,TRUE),COUNTIF(metadata!B:B, metadata!B50) = 1,NOT(ISERROR(SUMPRODUCT(SEARCH(MID(metadata!B50,ROW(INDIRECT("1:"&amp;LEN(metadata!B50))), 1),"0123456789abcdefghijklmnopqrstuvwxyzABCDEFGHIJKLMNOPQRSTUVWXYZ.")))))</f>
        <v>0</v>
      </c>
      <c r="R50" t="b">
        <f>AND(IF(metadata!C50="",FALSE,TRUE),OR(EXACT(metadata!C50,"saline"),EXACT(metadata!C50,"non-saline")))</f>
        <v>0</v>
      </c>
      <c r="S50" t="b">
        <f>AND(IF(metadata!D50="",FALSE,TRUE),OR(EXACT(metadata!D50,"surface (non-saline)"),EXACT(metadata!D50,"aerosol (non-saline)"),EXACT(metadata!D50,"sediment (non-saline)"),EXACT(metadata!D50,"surface (saline)"),EXACT(metadata!D50,"aerosol (saline)"),EXACT(metadata!D50,"sediment (saline)")))</f>
        <v>0</v>
      </c>
      <c r="T50" t="b">
        <f>AND(IF(metadata!E50="",FALSE,TRUE),EXACT(metadata!E50,"built environment"))</f>
        <v>0</v>
      </c>
      <c r="U50" t="b">
        <f>OR(AND(IF(metadata!F50="",FALSE,TRUE),EXACT(metadata!F50,"not applicable")),AND(IF(metadata!F50="",FALSE,TRUE),EXACT(metadata!F50,"anaerobic digester content")))</f>
        <v>0</v>
      </c>
    </row>
    <row r="51" spans="1:21" x14ac:dyDescent="0.2">
      <c r="A51" s="4" t="str">
        <f ca="1">IF(B51=" "," ",HYPERLINK(CONCATENATE("#metadata!",ADDRESS(INDEX($L$2:$L$1001,MATCH(ROWS($J$2:J51),$J$2:$J$1001,0),0),1)),INDEX($O$2:$O$1001,MATCH(ROWS($J$2:J51),$J$2:$J$1001,0),0)))</f>
        <v xml:space="preserve"> </v>
      </c>
      <c r="B51" s="3" t="str">
        <f ca="1">IF(OR(INDEX($K$2:$K$1001,MATCH(ROWS($J$2:J51),$J$2:$J$1001,0),1)&gt;=100000,INDEX($Q$1005:$U$1005,1,MATCH(COLUMNS($Q$1006:Q1006),$Q$1006:$U$1006,0))&gt;=100000), " ",IF(INDEX($Q$2:$U$1001,MATCH(ROWS($J$2:J51),$J$2:$J$1001,0),MATCH(COLUMNS($Q$1006:Q1006),$Q$1006:$U$1006,0)), HYPERLINK("#",""), HYPERLINK(CONCATENATE("#metadata!", ADDRESS(INDEX($L$2:$L$1001,MATCH(ROWS($J$2:J51),$J$2:$J$1001,0),0), INDEX($Q$1004:$U$1004,1,MATCH(COLUMNS($Q$1006:Q1006),$Q$1006:$U$1006,0)))),"Fix")))</f>
        <v xml:space="preserve"> </v>
      </c>
      <c r="C51" s="3" t="str">
        <f ca="1">IF(OR(INDEX($K$2:$K$1001,MATCH(ROWS($J$2:J51),$J$2:$J$1001,0),1)&gt;=100000,INDEX($Q$1005:$U$1005,1,MATCH(COLUMNS($Q$1006:R1006),$Q$1006:$U$1006,0))&gt;=100000), " ",IF(INDEX($Q$2:$U$1001,MATCH(ROWS($J$2:J51),$J$2:$J$1001,0),MATCH(COLUMNS($Q$1006:R1006),$Q$1006:$U$1006,0)), HYPERLINK("#",""), HYPERLINK(CONCATENATE("#metadata!", ADDRESS(INDEX($L$2:$L$1001,MATCH(ROWS($J$2:J51),$J$2:$J$1001,0),0), INDEX($Q$1004:$U$1004,1,MATCH(COLUMNS($Q$1006:R1006),$Q$1006:$U$1006,0)))),"Fix")))</f>
        <v xml:space="preserve"> </v>
      </c>
      <c r="D51" s="3" t="str">
        <f ca="1">IF(OR(INDEX($K$2:$K$1001,MATCH(ROWS($J$2:J51),$J$2:$J$1001,0),1)&gt;=100000,INDEX($Q$1005:$U$1005,1,MATCH(COLUMNS($Q$1006:S1006),$Q$1006:$U$1006,0))&gt;=100000), " ",IF(INDEX($Q$2:$U$1001,MATCH(ROWS($J$2:J51),$J$2:$J$1001,0),MATCH(COLUMNS($Q$1006:S1006),$Q$1006:$U$1006,0)), HYPERLINK("#",""), HYPERLINK(CONCATENATE("#metadata!", ADDRESS(INDEX($L$2:$L$1001,MATCH(ROWS($J$2:J51),$J$2:$J$1001,0),0), INDEX($Q$1004:$U$1004,1,MATCH(COLUMNS($Q$1006:S1006),$Q$1006:$U$1006,0)))),"Fix")))</f>
        <v xml:space="preserve"> </v>
      </c>
      <c r="E51" s="3" t="str">
        <f ca="1">IF(OR(INDEX($K$2:$K$1001,MATCH(ROWS($J$2:J51),$J$2:$J$1001,0),1)&gt;=100000,INDEX($Q$1005:$U$1005,1,MATCH(COLUMNS($Q$1006:T1006),$Q$1006:$U$1006,0))&gt;=100000), " ",IF(INDEX($Q$2:$U$1001,MATCH(ROWS($J$2:J51),$J$2:$J$1001,0),MATCH(COLUMNS($Q$1006:T1006),$Q$1006:$U$1006,0)), HYPERLINK("#",""), HYPERLINK(CONCATENATE("#metadata!", ADDRESS(INDEX($L$2:$L$1001,MATCH(ROWS($J$2:J51),$J$2:$J$1001,0),0), INDEX($Q$1004:$U$1004,1,MATCH(COLUMNS($Q$1006:T1006),$Q$1006:$U$1006,0)))),"Fix")))</f>
        <v xml:space="preserve"> </v>
      </c>
      <c r="F51" s="3" t="str">
        <f ca="1">IF(OR(INDEX($K$2:$K$1001,MATCH(ROWS($J$2:J51),$J$2:$J$1001,0),1)&gt;=100000,INDEX($Q$1005:$U$1005,1,MATCH(COLUMNS($Q$1006:U1006),$Q$1006:$U$1006,0))&gt;=100000), " ",IF(INDEX($Q$2:$U$1001,MATCH(ROWS($J$2:J51),$J$2:$J$1001,0),MATCH(COLUMNS($Q$1006:U1006),$Q$1006:$U$1006,0)), HYPERLINK("#",""), HYPERLINK(CONCATENATE("#metadata!", ADDRESS(INDEX($L$2:$L$1001,MATCH(ROWS($J$2:J51),$J$2:$J$1001,0),0), INDEX($Q$1004:$U$1004,1,MATCH(COLUMNS($Q$1006:U1006),$Q$1006:$U$1006,0)))),"Fix")))</f>
        <v xml:space="preserve"> </v>
      </c>
      <c r="J51">
        <v>50</v>
      </c>
      <c r="K51">
        <v>100051</v>
      </c>
      <c r="L51">
        <v>51</v>
      </c>
      <c r="M51" t="b">
        <f t="shared" si="0"/>
        <v>1</v>
      </c>
      <c r="N51" t="b">
        <f>COUNTBLANK(metadata!B51:F51)=COLUMNS(metadata!B51:F51)</f>
        <v>1</v>
      </c>
      <c r="O51" t="str">
        <v/>
      </c>
      <c r="Q51" t="b">
        <f ca="1">AND(IF(metadata!B51="",FALSE,TRUE),COUNTIF(metadata!B:B, metadata!B51) = 1,NOT(ISERROR(SUMPRODUCT(SEARCH(MID(metadata!B51,ROW(INDIRECT("1:"&amp;LEN(metadata!B51))), 1),"0123456789abcdefghijklmnopqrstuvwxyzABCDEFGHIJKLMNOPQRSTUVWXYZ.")))))</f>
        <v>0</v>
      </c>
      <c r="R51" t="b">
        <f>AND(IF(metadata!C51="",FALSE,TRUE),OR(EXACT(metadata!C51,"saline"),EXACT(metadata!C51,"non-saline")))</f>
        <v>0</v>
      </c>
      <c r="S51" t="b">
        <f>AND(IF(metadata!D51="",FALSE,TRUE),OR(EXACT(metadata!D51,"surface (non-saline)"),EXACT(metadata!D51,"aerosol (non-saline)"),EXACT(metadata!D51,"sediment (non-saline)"),EXACT(metadata!D51,"surface (saline)"),EXACT(metadata!D51,"aerosol (saline)"),EXACT(metadata!D51,"sediment (saline)")))</f>
        <v>0</v>
      </c>
      <c r="T51" t="b">
        <f>AND(IF(metadata!E51="",FALSE,TRUE),EXACT(metadata!E51,"built environment"))</f>
        <v>0</v>
      </c>
      <c r="U51" t="b">
        <f>OR(AND(IF(metadata!F51="",FALSE,TRUE),EXACT(metadata!F51,"not applicable")),AND(IF(metadata!F51="",FALSE,TRUE),EXACT(metadata!F51,"anaerobic digester content")))</f>
        <v>0</v>
      </c>
    </row>
    <row r="52" spans="1:21" x14ac:dyDescent="0.2">
      <c r="A52" s="4" t="str">
        <f ca="1">IF(B52=" "," ",HYPERLINK(CONCATENATE("#metadata!",ADDRESS(INDEX($L$2:$L$1001,MATCH(ROWS($J$2:J52),$J$2:$J$1001,0),0),1)),INDEX($O$2:$O$1001,MATCH(ROWS($J$2:J52),$J$2:$J$1001,0),0)))</f>
        <v xml:space="preserve"> </v>
      </c>
      <c r="B52" s="3" t="str">
        <f ca="1">IF(OR(INDEX($K$2:$K$1001,MATCH(ROWS($J$2:J52),$J$2:$J$1001,0),1)&gt;=100000,INDEX($Q$1005:$U$1005,1,MATCH(COLUMNS($Q$1006:Q1006),$Q$1006:$U$1006,0))&gt;=100000), " ",IF(INDEX($Q$2:$U$1001,MATCH(ROWS($J$2:J52),$J$2:$J$1001,0),MATCH(COLUMNS($Q$1006:Q1006),$Q$1006:$U$1006,0)), HYPERLINK("#",""), HYPERLINK(CONCATENATE("#metadata!", ADDRESS(INDEX($L$2:$L$1001,MATCH(ROWS($J$2:J52),$J$2:$J$1001,0),0), INDEX($Q$1004:$U$1004,1,MATCH(COLUMNS($Q$1006:Q1006),$Q$1006:$U$1006,0)))),"Fix")))</f>
        <v xml:space="preserve"> </v>
      </c>
      <c r="C52" s="3" t="str">
        <f ca="1">IF(OR(INDEX($K$2:$K$1001,MATCH(ROWS($J$2:J52),$J$2:$J$1001,0),1)&gt;=100000,INDEX($Q$1005:$U$1005,1,MATCH(COLUMNS($Q$1006:R1006),$Q$1006:$U$1006,0))&gt;=100000), " ",IF(INDEX($Q$2:$U$1001,MATCH(ROWS($J$2:J52),$J$2:$J$1001,0),MATCH(COLUMNS($Q$1006:R1006),$Q$1006:$U$1006,0)), HYPERLINK("#",""), HYPERLINK(CONCATENATE("#metadata!", ADDRESS(INDEX($L$2:$L$1001,MATCH(ROWS($J$2:J52),$J$2:$J$1001,0),0), INDEX($Q$1004:$U$1004,1,MATCH(COLUMNS($Q$1006:R1006),$Q$1006:$U$1006,0)))),"Fix")))</f>
        <v xml:space="preserve"> </v>
      </c>
      <c r="D52" s="3" t="str">
        <f ca="1">IF(OR(INDEX($K$2:$K$1001,MATCH(ROWS($J$2:J52),$J$2:$J$1001,0),1)&gt;=100000,INDEX($Q$1005:$U$1005,1,MATCH(COLUMNS($Q$1006:S1006),$Q$1006:$U$1006,0))&gt;=100000), " ",IF(INDEX($Q$2:$U$1001,MATCH(ROWS($J$2:J52),$J$2:$J$1001,0),MATCH(COLUMNS($Q$1006:S1006),$Q$1006:$U$1006,0)), HYPERLINK("#",""), HYPERLINK(CONCATENATE("#metadata!", ADDRESS(INDEX($L$2:$L$1001,MATCH(ROWS($J$2:J52),$J$2:$J$1001,0),0), INDEX($Q$1004:$U$1004,1,MATCH(COLUMNS($Q$1006:S1006),$Q$1006:$U$1006,0)))),"Fix")))</f>
        <v xml:space="preserve"> </v>
      </c>
      <c r="E52" s="3" t="str">
        <f ca="1">IF(OR(INDEX($K$2:$K$1001,MATCH(ROWS($J$2:J52),$J$2:$J$1001,0),1)&gt;=100000,INDEX($Q$1005:$U$1005,1,MATCH(COLUMNS($Q$1006:T1006),$Q$1006:$U$1006,0))&gt;=100000), " ",IF(INDEX($Q$2:$U$1001,MATCH(ROWS($J$2:J52),$J$2:$J$1001,0),MATCH(COLUMNS($Q$1006:T1006),$Q$1006:$U$1006,0)), HYPERLINK("#",""), HYPERLINK(CONCATENATE("#metadata!", ADDRESS(INDEX($L$2:$L$1001,MATCH(ROWS($J$2:J52),$J$2:$J$1001,0),0), INDEX($Q$1004:$U$1004,1,MATCH(COLUMNS($Q$1006:T1006),$Q$1006:$U$1006,0)))),"Fix")))</f>
        <v xml:space="preserve"> </v>
      </c>
      <c r="F52" s="3" t="str">
        <f ca="1">IF(OR(INDEX($K$2:$K$1001,MATCH(ROWS($J$2:J52),$J$2:$J$1001,0),1)&gt;=100000,INDEX($Q$1005:$U$1005,1,MATCH(COLUMNS($Q$1006:U1006),$Q$1006:$U$1006,0))&gt;=100000), " ",IF(INDEX($Q$2:$U$1001,MATCH(ROWS($J$2:J52),$J$2:$J$1001,0),MATCH(COLUMNS($Q$1006:U1006),$Q$1006:$U$1006,0)), HYPERLINK("#",""), HYPERLINK(CONCATENATE("#metadata!", ADDRESS(INDEX($L$2:$L$1001,MATCH(ROWS($J$2:J52),$J$2:$J$1001,0),0), INDEX($Q$1004:$U$1004,1,MATCH(COLUMNS($Q$1006:U1006),$Q$1006:$U$1006,0)))),"Fix")))</f>
        <v xml:space="preserve"> </v>
      </c>
      <c r="J52">
        <v>51</v>
      </c>
      <c r="K52">
        <v>100052</v>
      </c>
      <c r="L52">
        <v>52</v>
      </c>
      <c r="M52" t="b">
        <f t="shared" si="0"/>
        <v>1</v>
      </c>
      <c r="N52" t="b">
        <f>COUNTBLANK(metadata!B52:F52)=COLUMNS(metadata!B52:F52)</f>
        <v>1</v>
      </c>
      <c r="O52" t="str">
        <v/>
      </c>
      <c r="Q52" t="b">
        <f ca="1">AND(IF(metadata!B52="",FALSE,TRUE),COUNTIF(metadata!B:B, metadata!B52) = 1,NOT(ISERROR(SUMPRODUCT(SEARCH(MID(metadata!B52,ROW(INDIRECT("1:"&amp;LEN(metadata!B52))), 1),"0123456789abcdefghijklmnopqrstuvwxyzABCDEFGHIJKLMNOPQRSTUVWXYZ.")))))</f>
        <v>0</v>
      </c>
      <c r="R52" t="b">
        <f>AND(IF(metadata!C52="",FALSE,TRUE),OR(EXACT(metadata!C52,"saline"),EXACT(metadata!C52,"non-saline")))</f>
        <v>0</v>
      </c>
      <c r="S52" t="b">
        <f>AND(IF(metadata!D52="",FALSE,TRUE),OR(EXACT(metadata!D52,"surface (non-saline)"),EXACT(metadata!D52,"aerosol (non-saline)"),EXACT(metadata!D52,"sediment (non-saline)"),EXACT(metadata!D52,"surface (saline)"),EXACT(metadata!D52,"aerosol (saline)"),EXACT(metadata!D52,"sediment (saline)")))</f>
        <v>0</v>
      </c>
      <c r="T52" t="b">
        <f>AND(IF(metadata!E52="",FALSE,TRUE),EXACT(metadata!E52,"built environment"))</f>
        <v>0</v>
      </c>
      <c r="U52" t="b">
        <f>OR(AND(IF(metadata!F52="",FALSE,TRUE),EXACT(metadata!F52,"not applicable")),AND(IF(metadata!F52="",FALSE,TRUE),EXACT(metadata!F52,"anaerobic digester content")))</f>
        <v>0</v>
      </c>
    </row>
    <row r="53" spans="1:21" x14ac:dyDescent="0.2">
      <c r="A53" s="4" t="str">
        <f ca="1">IF(B53=" "," ",HYPERLINK(CONCATENATE("#metadata!",ADDRESS(INDEX($L$2:$L$1001,MATCH(ROWS($J$2:J53),$J$2:$J$1001,0),0),1)),INDEX($O$2:$O$1001,MATCH(ROWS($J$2:J53),$J$2:$J$1001,0),0)))</f>
        <v xml:space="preserve"> </v>
      </c>
      <c r="B53" s="3" t="str">
        <f ca="1">IF(OR(INDEX($K$2:$K$1001,MATCH(ROWS($J$2:J53),$J$2:$J$1001,0),1)&gt;=100000,INDEX($Q$1005:$U$1005,1,MATCH(COLUMNS($Q$1006:Q1006),$Q$1006:$U$1006,0))&gt;=100000), " ",IF(INDEX($Q$2:$U$1001,MATCH(ROWS($J$2:J53),$J$2:$J$1001,0),MATCH(COLUMNS($Q$1006:Q1006),$Q$1006:$U$1006,0)), HYPERLINK("#",""), HYPERLINK(CONCATENATE("#metadata!", ADDRESS(INDEX($L$2:$L$1001,MATCH(ROWS($J$2:J53),$J$2:$J$1001,0),0), INDEX($Q$1004:$U$1004,1,MATCH(COLUMNS($Q$1006:Q1006),$Q$1006:$U$1006,0)))),"Fix")))</f>
        <v xml:space="preserve"> </v>
      </c>
      <c r="C53" s="3" t="str">
        <f ca="1">IF(OR(INDEX($K$2:$K$1001,MATCH(ROWS($J$2:J53),$J$2:$J$1001,0),1)&gt;=100000,INDEX($Q$1005:$U$1005,1,MATCH(COLUMNS($Q$1006:R1006),$Q$1006:$U$1006,0))&gt;=100000), " ",IF(INDEX($Q$2:$U$1001,MATCH(ROWS($J$2:J53),$J$2:$J$1001,0),MATCH(COLUMNS($Q$1006:R1006),$Q$1006:$U$1006,0)), HYPERLINK("#",""), HYPERLINK(CONCATENATE("#metadata!", ADDRESS(INDEX($L$2:$L$1001,MATCH(ROWS($J$2:J53),$J$2:$J$1001,0),0), INDEX($Q$1004:$U$1004,1,MATCH(COLUMNS($Q$1006:R1006),$Q$1006:$U$1006,0)))),"Fix")))</f>
        <v xml:space="preserve"> </v>
      </c>
      <c r="D53" s="3" t="str">
        <f ca="1">IF(OR(INDEX($K$2:$K$1001,MATCH(ROWS($J$2:J53),$J$2:$J$1001,0),1)&gt;=100000,INDEX($Q$1005:$U$1005,1,MATCH(COLUMNS($Q$1006:S1006),$Q$1006:$U$1006,0))&gt;=100000), " ",IF(INDEX($Q$2:$U$1001,MATCH(ROWS($J$2:J53),$J$2:$J$1001,0),MATCH(COLUMNS($Q$1006:S1006),$Q$1006:$U$1006,0)), HYPERLINK("#",""), HYPERLINK(CONCATENATE("#metadata!", ADDRESS(INDEX($L$2:$L$1001,MATCH(ROWS($J$2:J53),$J$2:$J$1001,0),0), INDEX($Q$1004:$U$1004,1,MATCH(COLUMNS($Q$1006:S1006),$Q$1006:$U$1006,0)))),"Fix")))</f>
        <v xml:space="preserve"> </v>
      </c>
      <c r="E53" s="3" t="str">
        <f ca="1">IF(OR(INDEX($K$2:$K$1001,MATCH(ROWS($J$2:J53),$J$2:$J$1001,0),1)&gt;=100000,INDEX($Q$1005:$U$1005,1,MATCH(COLUMNS($Q$1006:T1006),$Q$1006:$U$1006,0))&gt;=100000), " ",IF(INDEX($Q$2:$U$1001,MATCH(ROWS($J$2:J53),$J$2:$J$1001,0),MATCH(COLUMNS($Q$1006:T1006),$Q$1006:$U$1006,0)), HYPERLINK("#",""), HYPERLINK(CONCATENATE("#metadata!", ADDRESS(INDEX($L$2:$L$1001,MATCH(ROWS($J$2:J53),$J$2:$J$1001,0),0), INDEX($Q$1004:$U$1004,1,MATCH(COLUMNS($Q$1006:T1006),$Q$1006:$U$1006,0)))),"Fix")))</f>
        <v xml:space="preserve"> </v>
      </c>
      <c r="F53" s="3" t="str">
        <f ca="1">IF(OR(INDEX($K$2:$K$1001,MATCH(ROWS($J$2:J53),$J$2:$J$1001,0),1)&gt;=100000,INDEX($Q$1005:$U$1005,1,MATCH(COLUMNS($Q$1006:U1006),$Q$1006:$U$1006,0))&gt;=100000), " ",IF(INDEX($Q$2:$U$1001,MATCH(ROWS($J$2:J53),$J$2:$J$1001,0),MATCH(COLUMNS($Q$1006:U1006),$Q$1006:$U$1006,0)), HYPERLINK("#",""), HYPERLINK(CONCATENATE("#metadata!", ADDRESS(INDEX($L$2:$L$1001,MATCH(ROWS($J$2:J53),$J$2:$J$1001,0),0), INDEX($Q$1004:$U$1004,1,MATCH(COLUMNS($Q$1006:U1006),$Q$1006:$U$1006,0)))),"Fix")))</f>
        <v xml:space="preserve"> </v>
      </c>
      <c r="J53">
        <v>52</v>
      </c>
      <c r="K53">
        <v>100053</v>
      </c>
      <c r="L53">
        <v>53</v>
      </c>
      <c r="M53" t="b">
        <f t="shared" si="0"/>
        <v>1</v>
      </c>
      <c r="N53" t="b">
        <f>COUNTBLANK(metadata!B53:F53)=COLUMNS(metadata!B53:F53)</f>
        <v>1</v>
      </c>
      <c r="O53" t="str">
        <v/>
      </c>
      <c r="Q53" t="b">
        <f ca="1">AND(IF(metadata!B53="",FALSE,TRUE),COUNTIF(metadata!B:B, metadata!B53) = 1,NOT(ISERROR(SUMPRODUCT(SEARCH(MID(metadata!B53,ROW(INDIRECT("1:"&amp;LEN(metadata!B53))), 1),"0123456789abcdefghijklmnopqrstuvwxyzABCDEFGHIJKLMNOPQRSTUVWXYZ.")))))</f>
        <v>0</v>
      </c>
      <c r="R53" t="b">
        <f>AND(IF(metadata!C53="",FALSE,TRUE),OR(EXACT(metadata!C53,"saline"),EXACT(metadata!C53,"non-saline")))</f>
        <v>0</v>
      </c>
      <c r="S53" t="b">
        <f>AND(IF(metadata!D53="",FALSE,TRUE),OR(EXACT(metadata!D53,"surface (non-saline)"),EXACT(metadata!D53,"aerosol (non-saline)"),EXACT(metadata!D53,"sediment (non-saline)"),EXACT(metadata!D53,"surface (saline)"),EXACT(metadata!D53,"aerosol (saline)"),EXACT(metadata!D53,"sediment (saline)")))</f>
        <v>0</v>
      </c>
      <c r="T53" t="b">
        <f>AND(IF(metadata!E53="",FALSE,TRUE),EXACT(metadata!E53,"built environment"))</f>
        <v>0</v>
      </c>
      <c r="U53" t="b">
        <f>OR(AND(IF(metadata!F53="",FALSE,TRUE),EXACT(metadata!F53,"not applicable")),AND(IF(metadata!F53="",FALSE,TRUE),EXACT(metadata!F53,"anaerobic digester content")))</f>
        <v>0</v>
      </c>
    </row>
    <row r="54" spans="1:21" x14ac:dyDescent="0.2">
      <c r="A54" s="4" t="str">
        <f ca="1">IF(B54=" "," ",HYPERLINK(CONCATENATE("#metadata!",ADDRESS(INDEX($L$2:$L$1001,MATCH(ROWS($J$2:J54),$J$2:$J$1001,0),0),1)),INDEX($O$2:$O$1001,MATCH(ROWS($J$2:J54),$J$2:$J$1001,0),0)))</f>
        <v xml:space="preserve"> </v>
      </c>
      <c r="B54" s="3" t="str">
        <f ca="1">IF(OR(INDEX($K$2:$K$1001,MATCH(ROWS($J$2:J54),$J$2:$J$1001,0),1)&gt;=100000,INDEX($Q$1005:$U$1005,1,MATCH(COLUMNS($Q$1006:Q1006),$Q$1006:$U$1006,0))&gt;=100000), " ",IF(INDEX($Q$2:$U$1001,MATCH(ROWS($J$2:J54),$J$2:$J$1001,0),MATCH(COLUMNS($Q$1006:Q1006),$Q$1006:$U$1006,0)), HYPERLINK("#",""), HYPERLINK(CONCATENATE("#metadata!", ADDRESS(INDEX($L$2:$L$1001,MATCH(ROWS($J$2:J54),$J$2:$J$1001,0),0), INDEX($Q$1004:$U$1004,1,MATCH(COLUMNS($Q$1006:Q1006),$Q$1006:$U$1006,0)))),"Fix")))</f>
        <v xml:space="preserve"> </v>
      </c>
      <c r="C54" s="3" t="str">
        <f ca="1">IF(OR(INDEX($K$2:$K$1001,MATCH(ROWS($J$2:J54),$J$2:$J$1001,0),1)&gt;=100000,INDEX($Q$1005:$U$1005,1,MATCH(COLUMNS($Q$1006:R1006),$Q$1006:$U$1006,0))&gt;=100000), " ",IF(INDEX($Q$2:$U$1001,MATCH(ROWS($J$2:J54),$J$2:$J$1001,0),MATCH(COLUMNS($Q$1006:R1006),$Q$1006:$U$1006,0)), HYPERLINK("#",""), HYPERLINK(CONCATENATE("#metadata!", ADDRESS(INDEX($L$2:$L$1001,MATCH(ROWS($J$2:J54),$J$2:$J$1001,0),0), INDEX($Q$1004:$U$1004,1,MATCH(COLUMNS($Q$1006:R1006),$Q$1006:$U$1006,0)))),"Fix")))</f>
        <v xml:space="preserve"> </v>
      </c>
      <c r="D54" s="3" t="str">
        <f ca="1">IF(OR(INDEX($K$2:$K$1001,MATCH(ROWS($J$2:J54),$J$2:$J$1001,0),1)&gt;=100000,INDEX($Q$1005:$U$1005,1,MATCH(COLUMNS($Q$1006:S1006),$Q$1006:$U$1006,0))&gt;=100000), " ",IF(INDEX($Q$2:$U$1001,MATCH(ROWS($J$2:J54),$J$2:$J$1001,0),MATCH(COLUMNS($Q$1006:S1006),$Q$1006:$U$1006,0)), HYPERLINK("#",""), HYPERLINK(CONCATENATE("#metadata!", ADDRESS(INDEX($L$2:$L$1001,MATCH(ROWS($J$2:J54),$J$2:$J$1001,0),0), INDEX($Q$1004:$U$1004,1,MATCH(COLUMNS($Q$1006:S1006),$Q$1006:$U$1006,0)))),"Fix")))</f>
        <v xml:space="preserve"> </v>
      </c>
      <c r="E54" s="3" t="str">
        <f ca="1">IF(OR(INDEX($K$2:$K$1001,MATCH(ROWS($J$2:J54),$J$2:$J$1001,0),1)&gt;=100000,INDEX($Q$1005:$U$1005,1,MATCH(COLUMNS($Q$1006:T1006),$Q$1006:$U$1006,0))&gt;=100000), " ",IF(INDEX($Q$2:$U$1001,MATCH(ROWS($J$2:J54),$J$2:$J$1001,0),MATCH(COLUMNS($Q$1006:T1006),$Q$1006:$U$1006,0)), HYPERLINK("#",""), HYPERLINK(CONCATENATE("#metadata!", ADDRESS(INDEX($L$2:$L$1001,MATCH(ROWS($J$2:J54),$J$2:$J$1001,0),0), INDEX($Q$1004:$U$1004,1,MATCH(COLUMNS($Q$1006:T1006),$Q$1006:$U$1006,0)))),"Fix")))</f>
        <v xml:space="preserve"> </v>
      </c>
      <c r="F54" s="3" t="str">
        <f ca="1">IF(OR(INDEX($K$2:$K$1001,MATCH(ROWS($J$2:J54),$J$2:$J$1001,0),1)&gt;=100000,INDEX($Q$1005:$U$1005,1,MATCH(COLUMNS($Q$1006:U1006),$Q$1006:$U$1006,0))&gt;=100000), " ",IF(INDEX($Q$2:$U$1001,MATCH(ROWS($J$2:J54),$J$2:$J$1001,0),MATCH(COLUMNS($Q$1006:U1006),$Q$1006:$U$1006,0)), HYPERLINK("#",""), HYPERLINK(CONCATENATE("#metadata!", ADDRESS(INDEX($L$2:$L$1001,MATCH(ROWS($J$2:J54),$J$2:$J$1001,0),0), INDEX($Q$1004:$U$1004,1,MATCH(COLUMNS($Q$1006:U1006),$Q$1006:$U$1006,0)))),"Fix")))</f>
        <v xml:space="preserve"> </v>
      </c>
      <c r="J54">
        <v>53</v>
      </c>
      <c r="K54">
        <v>100054</v>
      </c>
      <c r="L54">
        <v>54</v>
      </c>
      <c r="M54" t="b">
        <f t="shared" si="0"/>
        <v>1</v>
      </c>
      <c r="N54" t="b">
        <f>COUNTBLANK(metadata!B54:F54)=COLUMNS(metadata!B54:F54)</f>
        <v>1</v>
      </c>
      <c r="O54" t="str">
        <v/>
      </c>
      <c r="Q54" t="b">
        <f ca="1">AND(IF(metadata!B54="",FALSE,TRUE),COUNTIF(metadata!B:B, metadata!B54) = 1,NOT(ISERROR(SUMPRODUCT(SEARCH(MID(metadata!B54,ROW(INDIRECT("1:"&amp;LEN(metadata!B54))), 1),"0123456789abcdefghijklmnopqrstuvwxyzABCDEFGHIJKLMNOPQRSTUVWXYZ.")))))</f>
        <v>0</v>
      </c>
      <c r="R54" t="b">
        <f>AND(IF(metadata!C54="",FALSE,TRUE),OR(EXACT(metadata!C54,"saline"),EXACT(metadata!C54,"non-saline")))</f>
        <v>0</v>
      </c>
      <c r="S54" t="b">
        <f>AND(IF(metadata!D54="",FALSE,TRUE),OR(EXACT(metadata!D54,"surface (non-saline)"),EXACT(metadata!D54,"aerosol (non-saline)"),EXACT(metadata!D54,"sediment (non-saline)"),EXACT(metadata!D54,"surface (saline)"),EXACT(metadata!D54,"aerosol (saline)"),EXACT(metadata!D54,"sediment (saline)")))</f>
        <v>0</v>
      </c>
      <c r="T54" t="b">
        <f>AND(IF(metadata!E54="",FALSE,TRUE),EXACT(metadata!E54,"built environment"))</f>
        <v>0</v>
      </c>
      <c r="U54" t="b">
        <f>OR(AND(IF(metadata!F54="",FALSE,TRUE),EXACT(metadata!F54,"not applicable")),AND(IF(metadata!F54="",FALSE,TRUE),EXACT(metadata!F54,"anaerobic digester content")))</f>
        <v>0</v>
      </c>
    </row>
    <row r="55" spans="1:21" x14ac:dyDescent="0.2">
      <c r="A55" s="4" t="str">
        <f ca="1">IF(B55=" "," ",HYPERLINK(CONCATENATE("#metadata!",ADDRESS(INDEX($L$2:$L$1001,MATCH(ROWS($J$2:J55),$J$2:$J$1001,0),0),1)),INDEX($O$2:$O$1001,MATCH(ROWS($J$2:J55),$J$2:$J$1001,0),0)))</f>
        <v xml:space="preserve"> </v>
      </c>
      <c r="B55" s="3" t="str">
        <f ca="1">IF(OR(INDEX($K$2:$K$1001,MATCH(ROWS($J$2:J55),$J$2:$J$1001,0),1)&gt;=100000,INDEX($Q$1005:$U$1005,1,MATCH(COLUMNS($Q$1006:Q1006),$Q$1006:$U$1006,0))&gt;=100000), " ",IF(INDEX($Q$2:$U$1001,MATCH(ROWS($J$2:J55),$J$2:$J$1001,0),MATCH(COLUMNS($Q$1006:Q1006),$Q$1006:$U$1006,0)), HYPERLINK("#",""), HYPERLINK(CONCATENATE("#metadata!", ADDRESS(INDEX($L$2:$L$1001,MATCH(ROWS($J$2:J55),$J$2:$J$1001,0),0), INDEX($Q$1004:$U$1004,1,MATCH(COLUMNS($Q$1006:Q1006),$Q$1006:$U$1006,0)))),"Fix")))</f>
        <v xml:space="preserve"> </v>
      </c>
      <c r="C55" s="3" t="str">
        <f ca="1">IF(OR(INDEX($K$2:$K$1001,MATCH(ROWS($J$2:J55),$J$2:$J$1001,0),1)&gt;=100000,INDEX($Q$1005:$U$1005,1,MATCH(COLUMNS($Q$1006:R1006),$Q$1006:$U$1006,0))&gt;=100000), " ",IF(INDEX($Q$2:$U$1001,MATCH(ROWS($J$2:J55),$J$2:$J$1001,0),MATCH(COLUMNS($Q$1006:R1006),$Q$1006:$U$1006,0)), HYPERLINK("#",""), HYPERLINK(CONCATENATE("#metadata!", ADDRESS(INDEX($L$2:$L$1001,MATCH(ROWS($J$2:J55),$J$2:$J$1001,0),0), INDEX($Q$1004:$U$1004,1,MATCH(COLUMNS($Q$1006:R1006),$Q$1006:$U$1006,0)))),"Fix")))</f>
        <v xml:space="preserve"> </v>
      </c>
      <c r="D55" s="3" t="str">
        <f ca="1">IF(OR(INDEX($K$2:$K$1001,MATCH(ROWS($J$2:J55),$J$2:$J$1001,0),1)&gt;=100000,INDEX($Q$1005:$U$1005,1,MATCH(COLUMNS($Q$1006:S1006),$Q$1006:$U$1006,0))&gt;=100000), " ",IF(INDEX($Q$2:$U$1001,MATCH(ROWS($J$2:J55),$J$2:$J$1001,0),MATCH(COLUMNS($Q$1006:S1006),$Q$1006:$U$1006,0)), HYPERLINK("#",""), HYPERLINK(CONCATENATE("#metadata!", ADDRESS(INDEX($L$2:$L$1001,MATCH(ROWS($J$2:J55),$J$2:$J$1001,0),0), INDEX($Q$1004:$U$1004,1,MATCH(COLUMNS($Q$1006:S1006),$Q$1006:$U$1006,0)))),"Fix")))</f>
        <v xml:space="preserve"> </v>
      </c>
      <c r="E55" s="3" t="str">
        <f ca="1">IF(OR(INDEX($K$2:$K$1001,MATCH(ROWS($J$2:J55),$J$2:$J$1001,0),1)&gt;=100000,INDEX($Q$1005:$U$1005,1,MATCH(COLUMNS($Q$1006:T1006),$Q$1006:$U$1006,0))&gt;=100000), " ",IF(INDEX($Q$2:$U$1001,MATCH(ROWS($J$2:J55),$J$2:$J$1001,0),MATCH(COLUMNS($Q$1006:T1006),$Q$1006:$U$1006,0)), HYPERLINK("#",""), HYPERLINK(CONCATENATE("#metadata!", ADDRESS(INDEX($L$2:$L$1001,MATCH(ROWS($J$2:J55),$J$2:$J$1001,0),0), INDEX($Q$1004:$U$1004,1,MATCH(COLUMNS($Q$1006:T1006),$Q$1006:$U$1006,0)))),"Fix")))</f>
        <v xml:space="preserve"> </v>
      </c>
      <c r="F55" s="3" t="str">
        <f ca="1">IF(OR(INDEX($K$2:$K$1001,MATCH(ROWS($J$2:J55),$J$2:$J$1001,0),1)&gt;=100000,INDEX($Q$1005:$U$1005,1,MATCH(COLUMNS($Q$1006:U1006),$Q$1006:$U$1006,0))&gt;=100000), " ",IF(INDEX($Q$2:$U$1001,MATCH(ROWS($J$2:J55),$J$2:$J$1001,0),MATCH(COLUMNS($Q$1006:U1006),$Q$1006:$U$1006,0)), HYPERLINK("#",""), HYPERLINK(CONCATENATE("#metadata!", ADDRESS(INDEX($L$2:$L$1001,MATCH(ROWS($J$2:J55),$J$2:$J$1001,0),0), INDEX($Q$1004:$U$1004,1,MATCH(COLUMNS($Q$1006:U1006),$Q$1006:$U$1006,0)))),"Fix")))</f>
        <v xml:space="preserve"> </v>
      </c>
      <c r="J55">
        <v>54</v>
      </c>
      <c r="K55">
        <v>100055</v>
      </c>
      <c r="L55">
        <v>55</v>
      </c>
      <c r="M55" t="b">
        <f t="shared" si="0"/>
        <v>1</v>
      </c>
      <c r="N55" t="b">
        <f>COUNTBLANK(metadata!B55:F55)=COLUMNS(metadata!B55:F55)</f>
        <v>1</v>
      </c>
      <c r="O55" t="str">
        <v/>
      </c>
      <c r="Q55" t="b">
        <f ca="1">AND(IF(metadata!B55="",FALSE,TRUE),COUNTIF(metadata!B:B, metadata!B55) = 1,NOT(ISERROR(SUMPRODUCT(SEARCH(MID(metadata!B55,ROW(INDIRECT("1:"&amp;LEN(metadata!B55))), 1),"0123456789abcdefghijklmnopqrstuvwxyzABCDEFGHIJKLMNOPQRSTUVWXYZ.")))))</f>
        <v>0</v>
      </c>
      <c r="R55" t="b">
        <f>AND(IF(metadata!C55="",FALSE,TRUE),OR(EXACT(metadata!C55,"saline"),EXACT(metadata!C55,"non-saline")))</f>
        <v>0</v>
      </c>
      <c r="S55" t="b">
        <f>AND(IF(metadata!D55="",FALSE,TRUE),OR(EXACT(metadata!D55,"surface (non-saline)"),EXACT(metadata!D55,"aerosol (non-saline)"),EXACT(metadata!D55,"sediment (non-saline)"),EXACT(metadata!D55,"surface (saline)"),EXACT(metadata!D55,"aerosol (saline)"),EXACT(metadata!D55,"sediment (saline)")))</f>
        <v>0</v>
      </c>
      <c r="T55" t="b">
        <f>AND(IF(metadata!E55="",FALSE,TRUE),EXACT(metadata!E55,"built environment"))</f>
        <v>0</v>
      </c>
      <c r="U55" t="b">
        <f>OR(AND(IF(metadata!F55="",FALSE,TRUE),EXACT(metadata!F55,"not applicable")),AND(IF(metadata!F55="",FALSE,TRUE),EXACT(metadata!F55,"anaerobic digester content")))</f>
        <v>0</v>
      </c>
    </row>
    <row r="56" spans="1:21" x14ac:dyDescent="0.2">
      <c r="A56" s="4" t="str">
        <f ca="1">IF(B56=" "," ",HYPERLINK(CONCATENATE("#metadata!",ADDRESS(INDEX($L$2:$L$1001,MATCH(ROWS($J$2:J56),$J$2:$J$1001,0),0),1)),INDEX($O$2:$O$1001,MATCH(ROWS($J$2:J56),$J$2:$J$1001,0),0)))</f>
        <v xml:space="preserve"> </v>
      </c>
      <c r="B56" s="3" t="str">
        <f ca="1">IF(OR(INDEX($K$2:$K$1001,MATCH(ROWS($J$2:J56),$J$2:$J$1001,0),1)&gt;=100000,INDEX($Q$1005:$U$1005,1,MATCH(COLUMNS($Q$1006:Q1006),$Q$1006:$U$1006,0))&gt;=100000), " ",IF(INDEX($Q$2:$U$1001,MATCH(ROWS($J$2:J56),$J$2:$J$1001,0),MATCH(COLUMNS($Q$1006:Q1006),$Q$1006:$U$1006,0)), HYPERLINK("#",""), HYPERLINK(CONCATENATE("#metadata!", ADDRESS(INDEX($L$2:$L$1001,MATCH(ROWS($J$2:J56),$J$2:$J$1001,0),0), INDEX($Q$1004:$U$1004,1,MATCH(COLUMNS($Q$1006:Q1006),$Q$1006:$U$1006,0)))),"Fix")))</f>
        <v xml:space="preserve"> </v>
      </c>
      <c r="C56" s="3" t="str">
        <f ca="1">IF(OR(INDEX($K$2:$K$1001,MATCH(ROWS($J$2:J56),$J$2:$J$1001,0),1)&gt;=100000,INDEX($Q$1005:$U$1005,1,MATCH(COLUMNS($Q$1006:R1006),$Q$1006:$U$1006,0))&gt;=100000), " ",IF(INDEX($Q$2:$U$1001,MATCH(ROWS($J$2:J56),$J$2:$J$1001,0),MATCH(COLUMNS($Q$1006:R1006),$Q$1006:$U$1006,0)), HYPERLINK("#",""), HYPERLINK(CONCATENATE("#metadata!", ADDRESS(INDEX($L$2:$L$1001,MATCH(ROWS($J$2:J56),$J$2:$J$1001,0),0), INDEX($Q$1004:$U$1004,1,MATCH(COLUMNS($Q$1006:R1006),$Q$1006:$U$1006,0)))),"Fix")))</f>
        <v xml:space="preserve"> </v>
      </c>
      <c r="D56" s="3" t="str">
        <f ca="1">IF(OR(INDEX($K$2:$K$1001,MATCH(ROWS($J$2:J56),$J$2:$J$1001,0),1)&gt;=100000,INDEX($Q$1005:$U$1005,1,MATCH(COLUMNS($Q$1006:S1006),$Q$1006:$U$1006,0))&gt;=100000), " ",IF(INDEX($Q$2:$U$1001,MATCH(ROWS($J$2:J56),$J$2:$J$1001,0),MATCH(COLUMNS($Q$1006:S1006),$Q$1006:$U$1006,0)), HYPERLINK("#",""), HYPERLINK(CONCATENATE("#metadata!", ADDRESS(INDEX($L$2:$L$1001,MATCH(ROWS($J$2:J56),$J$2:$J$1001,0),0), INDEX($Q$1004:$U$1004,1,MATCH(COLUMNS($Q$1006:S1006),$Q$1006:$U$1006,0)))),"Fix")))</f>
        <v xml:space="preserve"> </v>
      </c>
      <c r="E56" s="3" t="str">
        <f ca="1">IF(OR(INDEX($K$2:$K$1001,MATCH(ROWS($J$2:J56),$J$2:$J$1001,0),1)&gt;=100000,INDEX($Q$1005:$U$1005,1,MATCH(COLUMNS($Q$1006:T1006),$Q$1006:$U$1006,0))&gt;=100000), " ",IF(INDEX($Q$2:$U$1001,MATCH(ROWS($J$2:J56),$J$2:$J$1001,0),MATCH(COLUMNS($Q$1006:T1006),$Q$1006:$U$1006,0)), HYPERLINK("#",""), HYPERLINK(CONCATENATE("#metadata!", ADDRESS(INDEX($L$2:$L$1001,MATCH(ROWS($J$2:J56),$J$2:$J$1001,0),0), INDEX($Q$1004:$U$1004,1,MATCH(COLUMNS($Q$1006:T1006),$Q$1006:$U$1006,0)))),"Fix")))</f>
        <v xml:space="preserve"> </v>
      </c>
      <c r="F56" s="3" t="str">
        <f ca="1">IF(OR(INDEX($K$2:$K$1001,MATCH(ROWS($J$2:J56),$J$2:$J$1001,0),1)&gt;=100000,INDEX($Q$1005:$U$1005,1,MATCH(COLUMNS($Q$1006:U1006),$Q$1006:$U$1006,0))&gt;=100000), " ",IF(INDEX($Q$2:$U$1001,MATCH(ROWS($J$2:J56),$J$2:$J$1001,0),MATCH(COLUMNS($Q$1006:U1006),$Q$1006:$U$1006,0)), HYPERLINK("#",""), HYPERLINK(CONCATENATE("#metadata!", ADDRESS(INDEX($L$2:$L$1001,MATCH(ROWS($J$2:J56),$J$2:$J$1001,0),0), INDEX($Q$1004:$U$1004,1,MATCH(COLUMNS($Q$1006:U1006),$Q$1006:$U$1006,0)))),"Fix")))</f>
        <v xml:space="preserve"> </v>
      </c>
      <c r="J56">
        <v>55</v>
      </c>
      <c r="K56">
        <v>100056</v>
      </c>
      <c r="L56">
        <v>56</v>
      </c>
      <c r="M56" t="b">
        <f t="shared" si="0"/>
        <v>1</v>
      </c>
      <c r="N56" t="b">
        <f>COUNTBLANK(metadata!B56:F56)=COLUMNS(metadata!B56:F56)</f>
        <v>1</v>
      </c>
      <c r="O56" t="str">
        <v/>
      </c>
      <c r="Q56" t="b">
        <f ca="1">AND(IF(metadata!B56="",FALSE,TRUE),COUNTIF(metadata!B:B, metadata!B56) = 1,NOT(ISERROR(SUMPRODUCT(SEARCH(MID(metadata!B56,ROW(INDIRECT("1:"&amp;LEN(metadata!B56))), 1),"0123456789abcdefghijklmnopqrstuvwxyzABCDEFGHIJKLMNOPQRSTUVWXYZ.")))))</f>
        <v>0</v>
      </c>
      <c r="R56" t="b">
        <f>AND(IF(metadata!C56="",FALSE,TRUE),OR(EXACT(metadata!C56,"saline"),EXACT(metadata!C56,"non-saline")))</f>
        <v>0</v>
      </c>
      <c r="S56" t="b">
        <f>AND(IF(metadata!D56="",FALSE,TRUE),OR(EXACT(metadata!D56,"surface (non-saline)"),EXACT(metadata!D56,"aerosol (non-saline)"),EXACT(metadata!D56,"sediment (non-saline)"),EXACT(metadata!D56,"surface (saline)"),EXACT(metadata!D56,"aerosol (saline)"),EXACT(metadata!D56,"sediment (saline)")))</f>
        <v>0</v>
      </c>
      <c r="T56" t="b">
        <f>AND(IF(metadata!E56="",FALSE,TRUE),EXACT(metadata!E56,"built environment"))</f>
        <v>0</v>
      </c>
      <c r="U56" t="b">
        <f>OR(AND(IF(metadata!F56="",FALSE,TRUE),EXACT(metadata!F56,"not applicable")),AND(IF(metadata!F56="",FALSE,TRUE),EXACT(metadata!F56,"anaerobic digester content")))</f>
        <v>0</v>
      </c>
    </row>
    <row r="57" spans="1:21" x14ac:dyDescent="0.2">
      <c r="A57" s="4" t="str">
        <f ca="1">IF(B57=" "," ",HYPERLINK(CONCATENATE("#metadata!",ADDRESS(INDEX($L$2:$L$1001,MATCH(ROWS($J$2:J57),$J$2:$J$1001,0),0),1)),INDEX($O$2:$O$1001,MATCH(ROWS($J$2:J57),$J$2:$J$1001,0),0)))</f>
        <v xml:space="preserve"> </v>
      </c>
      <c r="B57" s="3" t="str">
        <f ca="1">IF(OR(INDEX($K$2:$K$1001,MATCH(ROWS($J$2:J57),$J$2:$J$1001,0),1)&gt;=100000,INDEX($Q$1005:$U$1005,1,MATCH(COLUMNS($Q$1006:Q1006),$Q$1006:$U$1006,0))&gt;=100000), " ",IF(INDEX($Q$2:$U$1001,MATCH(ROWS($J$2:J57),$J$2:$J$1001,0),MATCH(COLUMNS($Q$1006:Q1006),$Q$1006:$U$1006,0)), HYPERLINK("#",""), HYPERLINK(CONCATENATE("#metadata!", ADDRESS(INDEX($L$2:$L$1001,MATCH(ROWS($J$2:J57),$J$2:$J$1001,0),0), INDEX($Q$1004:$U$1004,1,MATCH(COLUMNS($Q$1006:Q1006),$Q$1006:$U$1006,0)))),"Fix")))</f>
        <v xml:space="preserve"> </v>
      </c>
      <c r="C57" s="3" t="str">
        <f ca="1">IF(OR(INDEX($K$2:$K$1001,MATCH(ROWS($J$2:J57),$J$2:$J$1001,0),1)&gt;=100000,INDEX($Q$1005:$U$1005,1,MATCH(COLUMNS($Q$1006:R1006),$Q$1006:$U$1006,0))&gt;=100000), " ",IF(INDEX($Q$2:$U$1001,MATCH(ROWS($J$2:J57),$J$2:$J$1001,0),MATCH(COLUMNS($Q$1006:R1006),$Q$1006:$U$1006,0)), HYPERLINK("#",""), HYPERLINK(CONCATENATE("#metadata!", ADDRESS(INDEX($L$2:$L$1001,MATCH(ROWS($J$2:J57),$J$2:$J$1001,0),0), INDEX($Q$1004:$U$1004,1,MATCH(COLUMNS($Q$1006:R1006),$Q$1006:$U$1006,0)))),"Fix")))</f>
        <v xml:space="preserve"> </v>
      </c>
      <c r="D57" s="3" t="str">
        <f ca="1">IF(OR(INDEX($K$2:$K$1001,MATCH(ROWS($J$2:J57),$J$2:$J$1001,0),1)&gt;=100000,INDEX($Q$1005:$U$1005,1,MATCH(COLUMNS($Q$1006:S1006),$Q$1006:$U$1006,0))&gt;=100000), " ",IF(INDEX($Q$2:$U$1001,MATCH(ROWS($J$2:J57),$J$2:$J$1001,0),MATCH(COLUMNS($Q$1006:S1006),$Q$1006:$U$1006,0)), HYPERLINK("#",""), HYPERLINK(CONCATENATE("#metadata!", ADDRESS(INDEX($L$2:$L$1001,MATCH(ROWS($J$2:J57),$J$2:$J$1001,0),0), INDEX($Q$1004:$U$1004,1,MATCH(COLUMNS($Q$1006:S1006),$Q$1006:$U$1006,0)))),"Fix")))</f>
        <v xml:space="preserve"> </v>
      </c>
      <c r="E57" s="3" t="str">
        <f ca="1">IF(OR(INDEX($K$2:$K$1001,MATCH(ROWS($J$2:J57),$J$2:$J$1001,0),1)&gt;=100000,INDEX($Q$1005:$U$1005,1,MATCH(COLUMNS($Q$1006:T1006),$Q$1006:$U$1006,0))&gt;=100000), " ",IF(INDEX($Q$2:$U$1001,MATCH(ROWS($J$2:J57),$J$2:$J$1001,0),MATCH(COLUMNS($Q$1006:T1006),$Q$1006:$U$1006,0)), HYPERLINK("#",""), HYPERLINK(CONCATENATE("#metadata!", ADDRESS(INDEX($L$2:$L$1001,MATCH(ROWS($J$2:J57),$J$2:$J$1001,0),0), INDEX($Q$1004:$U$1004,1,MATCH(COLUMNS($Q$1006:T1006),$Q$1006:$U$1006,0)))),"Fix")))</f>
        <v xml:space="preserve"> </v>
      </c>
      <c r="F57" s="3" t="str">
        <f ca="1">IF(OR(INDEX($K$2:$K$1001,MATCH(ROWS($J$2:J57),$J$2:$J$1001,0),1)&gt;=100000,INDEX($Q$1005:$U$1005,1,MATCH(COLUMNS($Q$1006:U1006),$Q$1006:$U$1006,0))&gt;=100000), " ",IF(INDEX($Q$2:$U$1001,MATCH(ROWS($J$2:J57),$J$2:$J$1001,0),MATCH(COLUMNS($Q$1006:U1006),$Q$1006:$U$1006,0)), HYPERLINK("#",""), HYPERLINK(CONCATENATE("#metadata!", ADDRESS(INDEX($L$2:$L$1001,MATCH(ROWS($J$2:J57),$J$2:$J$1001,0),0), INDEX($Q$1004:$U$1004,1,MATCH(COLUMNS($Q$1006:U1006),$Q$1006:$U$1006,0)))),"Fix")))</f>
        <v xml:space="preserve"> </v>
      </c>
      <c r="J57">
        <v>56</v>
      </c>
      <c r="K57">
        <v>100057</v>
      </c>
      <c r="L57">
        <v>57</v>
      </c>
      <c r="M57" t="b">
        <f t="shared" si="0"/>
        <v>1</v>
      </c>
      <c r="N57" t="b">
        <f>COUNTBLANK(metadata!B57:F57)=COLUMNS(metadata!B57:F57)</f>
        <v>1</v>
      </c>
      <c r="O57" t="str">
        <v/>
      </c>
      <c r="Q57" t="b">
        <f ca="1">AND(IF(metadata!B57="",FALSE,TRUE),COUNTIF(metadata!B:B, metadata!B57) = 1,NOT(ISERROR(SUMPRODUCT(SEARCH(MID(metadata!B57,ROW(INDIRECT("1:"&amp;LEN(metadata!B57))), 1),"0123456789abcdefghijklmnopqrstuvwxyzABCDEFGHIJKLMNOPQRSTUVWXYZ.")))))</f>
        <v>0</v>
      </c>
      <c r="R57" t="b">
        <f>AND(IF(metadata!C57="",FALSE,TRUE),OR(EXACT(metadata!C57,"saline"),EXACT(metadata!C57,"non-saline")))</f>
        <v>0</v>
      </c>
      <c r="S57" t="b">
        <f>AND(IF(metadata!D57="",FALSE,TRUE),OR(EXACT(metadata!D57,"surface (non-saline)"),EXACT(metadata!D57,"aerosol (non-saline)"),EXACT(metadata!D57,"sediment (non-saline)"),EXACT(metadata!D57,"surface (saline)"),EXACT(metadata!D57,"aerosol (saline)"),EXACT(metadata!D57,"sediment (saline)")))</f>
        <v>0</v>
      </c>
      <c r="T57" t="b">
        <f>AND(IF(metadata!E57="",FALSE,TRUE),EXACT(metadata!E57,"built environment"))</f>
        <v>0</v>
      </c>
      <c r="U57" t="b">
        <f>OR(AND(IF(metadata!F57="",FALSE,TRUE),EXACT(metadata!F57,"not applicable")),AND(IF(metadata!F57="",FALSE,TRUE),EXACT(metadata!F57,"anaerobic digester content")))</f>
        <v>0</v>
      </c>
    </row>
    <row r="58" spans="1:21" x14ac:dyDescent="0.2">
      <c r="A58" s="4" t="str">
        <f ca="1">IF(B58=" "," ",HYPERLINK(CONCATENATE("#metadata!",ADDRESS(INDEX($L$2:$L$1001,MATCH(ROWS($J$2:J58),$J$2:$J$1001,0),0),1)),INDEX($O$2:$O$1001,MATCH(ROWS($J$2:J58),$J$2:$J$1001,0),0)))</f>
        <v xml:space="preserve"> </v>
      </c>
      <c r="B58" s="3" t="str">
        <f ca="1">IF(OR(INDEX($K$2:$K$1001,MATCH(ROWS($J$2:J58),$J$2:$J$1001,0),1)&gt;=100000,INDEX($Q$1005:$U$1005,1,MATCH(COLUMNS($Q$1006:Q1006),$Q$1006:$U$1006,0))&gt;=100000), " ",IF(INDEX($Q$2:$U$1001,MATCH(ROWS($J$2:J58),$J$2:$J$1001,0),MATCH(COLUMNS($Q$1006:Q1006),$Q$1006:$U$1006,0)), HYPERLINK("#",""), HYPERLINK(CONCATENATE("#metadata!", ADDRESS(INDEX($L$2:$L$1001,MATCH(ROWS($J$2:J58),$J$2:$J$1001,0),0), INDEX($Q$1004:$U$1004,1,MATCH(COLUMNS($Q$1006:Q1006),$Q$1006:$U$1006,0)))),"Fix")))</f>
        <v xml:space="preserve"> </v>
      </c>
      <c r="C58" s="3" t="str">
        <f ca="1">IF(OR(INDEX($K$2:$K$1001,MATCH(ROWS($J$2:J58),$J$2:$J$1001,0),1)&gt;=100000,INDEX($Q$1005:$U$1005,1,MATCH(COLUMNS($Q$1006:R1006),$Q$1006:$U$1006,0))&gt;=100000), " ",IF(INDEX($Q$2:$U$1001,MATCH(ROWS($J$2:J58),$J$2:$J$1001,0),MATCH(COLUMNS($Q$1006:R1006),$Q$1006:$U$1006,0)), HYPERLINK("#",""), HYPERLINK(CONCATENATE("#metadata!", ADDRESS(INDEX($L$2:$L$1001,MATCH(ROWS($J$2:J58),$J$2:$J$1001,0),0), INDEX($Q$1004:$U$1004,1,MATCH(COLUMNS($Q$1006:R1006),$Q$1006:$U$1006,0)))),"Fix")))</f>
        <v xml:space="preserve"> </v>
      </c>
      <c r="D58" s="3" t="str">
        <f ca="1">IF(OR(INDEX($K$2:$K$1001,MATCH(ROWS($J$2:J58),$J$2:$J$1001,0),1)&gt;=100000,INDEX($Q$1005:$U$1005,1,MATCH(COLUMNS($Q$1006:S1006),$Q$1006:$U$1006,0))&gt;=100000), " ",IF(INDEX($Q$2:$U$1001,MATCH(ROWS($J$2:J58),$J$2:$J$1001,0),MATCH(COLUMNS($Q$1006:S1006),$Q$1006:$U$1006,0)), HYPERLINK("#",""), HYPERLINK(CONCATENATE("#metadata!", ADDRESS(INDEX($L$2:$L$1001,MATCH(ROWS($J$2:J58),$J$2:$J$1001,0),0), INDEX($Q$1004:$U$1004,1,MATCH(COLUMNS($Q$1006:S1006),$Q$1006:$U$1006,0)))),"Fix")))</f>
        <v xml:space="preserve"> </v>
      </c>
      <c r="E58" s="3" t="str">
        <f ca="1">IF(OR(INDEX($K$2:$K$1001,MATCH(ROWS($J$2:J58),$J$2:$J$1001,0),1)&gt;=100000,INDEX($Q$1005:$U$1005,1,MATCH(COLUMNS($Q$1006:T1006),$Q$1006:$U$1006,0))&gt;=100000), " ",IF(INDEX($Q$2:$U$1001,MATCH(ROWS($J$2:J58),$J$2:$J$1001,0),MATCH(COLUMNS($Q$1006:T1006),$Q$1006:$U$1006,0)), HYPERLINK("#",""), HYPERLINK(CONCATENATE("#metadata!", ADDRESS(INDEX($L$2:$L$1001,MATCH(ROWS($J$2:J58),$J$2:$J$1001,0),0), INDEX($Q$1004:$U$1004,1,MATCH(COLUMNS($Q$1006:T1006),$Q$1006:$U$1006,0)))),"Fix")))</f>
        <v xml:space="preserve"> </v>
      </c>
      <c r="F58" s="3" t="str">
        <f ca="1">IF(OR(INDEX($K$2:$K$1001,MATCH(ROWS($J$2:J58),$J$2:$J$1001,0),1)&gt;=100000,INDEX($Q$1005:$U$1005,1,MATCH(COLUMNS($Q$1006:U1006),$Q$1006:$U$1006,0))&gt;=100000), " ",IF(INDEX($Q$2:$U$1001,MATCH(ROWS($J$2:J58),$J$2:$J$1001,0),MATCH(COLUMNS($Q$1006:U1006),$Q$1006:$U$1006,0)), HYPERLINK("#",""), HYPERLINK(CONCATENATE("#metadata!", ADDRESS(INDEX($L$2:$L$1001,MATCH(ROWS($J$2:J58),$J$2:$J$1001,0),0), INDEX($Q$1004:$U$1004,1,MATCH(COLUMNS($Q$1006:U1006),$Q$1006:$U$1006,0)))),"Fix")))</f>
        <v xml:space="preserve"> </v>
      </c>
      <c r="J58">
        <v>57</v>
      </c>
      <c r="K58">
        <v>100058</v>
      </c>
      <c r="L58">
        <v>58</v>
      </c>
      <c r="M58" t="b">
        <f t="shared" si="0"/>
        <v>1</v>
      </c>
      <c r="N58" t="b">
        <f>COUNTBLANK(metadata!B58:F58)=COLUMNS(metadata!B58:F58)</f>
        <v>1</v>
      </c>
      <c r="O58" t="str">
        <v/>
      </c>
      <c r="Q58" t="b">
        <f ca="1">AND(IF(metadata!B58="",FALSE,TRUE),COUNTIF(metadata!B:B, metadata!B58) = 1,NOT(ISERROR(SUMPRODUCT(SEARCH(MID(metadata!B58,ROW(INDIRECT("1:"&amp;LEN(metadata!B58))), 1),"0123456789abcdefghijklmnopqrstuvwxyzABCDEFGHIJKLMNOPQRSTUVWXYZ.")))))</f>
        <v>0</v>
      </c>
      <c r="R58" t="b">
        <f>AND(IF(metadata!C58="",FALSE,TRUE),OR(EXACT(metadata!C58,"saline"),EXACT(metadata!C58,"non-saline")))</f>
        <v>0</v>
      </c>
      <c r="S58" t="b">
        <f>AND(IF(metadata!D58="",FALSE,TRUE),OR(EXACT(metadata!D58,"surface (non-saline)"),EXACT(metadata!D58,"aerosol (non-saline)"),EXACT(metadata!D58,"sediment (non-saline)"),EXACT(metadata!D58,"surface (saline)"),EXACT(metadata!D58,"aerosol (saline)"),EXACT(metadata!D58,"sediment (saline)")))</f>
        <v>0</v>
      </c>
      <c r="T58" t="b">
        <f>AND(IF(metadata!E58="",FALSE,TRUE),EXACT(metadata!E58,"built environment"))</f>
        <v>0</v>
      </c>
      <c r="U58" t="b">
        <f>OR(AND(IF(metadata!F58="",FALSE,TRUE),EXACT(metadata!F58,"not applicable")),AND(IF(metadata!F58="",FALSE,TRUE),EXACT(metadata!F58,"anaerobic digester content")))</f>
        <v>0</v>
      </c>
    </row>
    <row r="59" spans="1:21" x14ac:dyDescent="0.2">
      <c r="A59" s="4" t="str">
        <f ca="1">IF(B59=" "," ",HYPERLINK(CONCATENATE("#metadata!",ADDRESS(INDEX($L$2:$L$1001,MATCH(ROWS($J$2:J59),$J$2:$J$1001,0),0),1)),INDEX($O$2:$O$1001,MATCH(ROWS($J$2:J59),$J$2:$J$1001,0),0)))</f>
        <v xml:space="preserve"> </v>
      </c>
      <c r="B59" s="3" t="str">
        <f ca="1">IF(OR(INDEX($K$2:$K$1001,MATCH(ROWS($J$2:J59),$J$2:$J$1001,0),1)&gt;=100000,INDEX($Q$1005:$U$1005,1,MATCH(COLUMNS($Q$1006:Q1006),$Q$1006:$U$1006,0))&gt;=100000), " ",IF(INDEX($Q$2:$U$1001,MATCH(ROWS($J$2:J59),$J$2:$J$1001,0),MATCH(COLUMNS($Q$1006:Q1006),$Q$1006:$U$1006,0)), HYPERLINK("#",""), HYPERLINK(CONCATENATE("#metadata!", ADDRESS(INDEX($L$2:$L$1001,MATCH(ROWS($J$2:J59),$J$2:$J$1001,0),0), INDEX($Q$1004:$U$1004,1,MATCH(COLUMNS($Q$1006:Q1006),$Q$1006:$U$1006,0)))),"Fix")))</f>
        <v xml:space="preserve"> </v>
      </c>
      <c r="C59" s="3" t="str">
        <f ca="1">IF(OR(INDEX($K$2:$K$1001,MATCH(ROWS($J$2:J59),$J$2:$J$1001,0),1)&gt;=100000,INDEX($Q$1005:$U$1005,1,MATCH(COLUMNS($Q$1006:R1006),$Q$1006:$U$1006,0))&gt;=100000), " ",IF(INDEX($Q$2:$U$1001,MATCH(ROWS($J$2:J59),$J$2:$J$1001,0),MATCH(COLUMNS($Q$1006:R1006),$Q$1006:$U$1006,0)), HYPERLINK("#",""), HYPERLINK(CONCATENATE("#metadata!", ADDRESS(INDEX($L$2:$L$1001,MATCH(ROWS($J$2:J59),$J$2:$J$1001,0),0), INDEX($Q$1004:$U$1004,1,MATCH(COLUMNS($Q$1006:R1006),$Q$1006:$U$1006,0)))),"Fix")))</f>
        <v xml:space="preserve"> </v>
      </c>
      <c r="D59" s="3" t="str">
        <f ca="1">IF(OR(INDEX($K$2:$K$1001,MATCH(ROWS($J$2:J59),$J$2:$J$1001,0),1)&gt;=100000,INDEX($Q$1005:$U$1005,1,MATCH(COLUMNS($Q$1006:S1006),$Q$1006:$U$1006,0))&gt;=100000), " ",IF(INDEX($Q$2:$U$1001,MATCH(ROWS($J$2:J59),$J$2:$J$1001,0),MATCH(COLUMNS($Q$1006:S1006),$Q$1006:$U$1006,0)), HYPERLINK("#",""), HYPERLINK(CONCATENATE("#metadata!", ADDRESS(INDEX($L$2:$L$1001,MATCH(ROWS($J$2:J59),$J$2:$J$1001,0),0), INDEX($Q$1004:$U$1004,1,MATCH(COLUMNS($Q$1006:S1006),$Q$1006:$U$1006,0)))),"Fix")))</f>
        <v xml:space="preserve"> </v>
      </c>
      <c r="E59" s="3" t="str">
        <f ca="1">IF(OR(INDEX($K$2:$K$1001,MATCH(ROWS($J$2:J59),$J$2:$J$1001,0),1)&gt;=100000,INDEX($Q$1005:$U$1005,1,MATCH(COLUMNS($Q$1006:T1006),$Q$1006:$U$1006,0))&gt;=100000), " ",IF(INDEX($Q$2:$U$1001,MATCH(ROWS($J$2:J59),$J$2:$J$1001,0),MATCH(COLUMNS($Q$1006:T1006),$Q$1006:$U$1006,0)), HYPERLINK("#",""), HYPERLINK(CONCATENATE("#metadata!", ADDRESS(INDEX($L$2:$L$1001,MATCH(ROWS($J$2:J59),$J$2:$J$1001,0),0), INDEX($Q$1004:$U$1004,1,MATCH(COLUMNS($Q$1006:T1006),$Q$1006:$U$1006,0)))),"Fix")))</f>
        <v xml:space="preserve"> </v>
      </c>
      <c r="F59" s="3" t="str">
        <f ca="1">IF(OR(INDEX($K$2:$K$1001,MATCH(ROWS($J$2:J59),$J$2:$J$1001,0),1)&gt;=100000,INDEX($Q$1005:$U$1005,1,MATCH(COLUMNS($Q$1006:U1006),$Q$1006:$U$1006,0))&gt;=100000), " ",IF(INDEX($Q$2:$U$1001,MATCH(ROWS($J$2:J59),$J$2:$J$1001,0),MATCH(COLUMNS($Q$1006:U1006),$Q$1006:$U$1006,0)), HYPERLINK("#",""), HYPERLINK(CONCATENATE("#metadata!", ADDRESS(INDEX($L$2:$L$1001,MATCH(ROWS($J$2:J59),$J$2:$J$1001,0),0), INDEX($Q$1004:$U$1004,1,MATCH(COLUMNS($Q$1006:U1006),$Q$1006:$U$1006,0)))),"Fix")))</f>
        <v xml:space="preserve"> </v>
      </c>
      <c r="J59">
        <v>58</v>
      </c>
      <c r="K59">
        <v>100059</v>
      </c>
      <c r="L59">
        <v>59</v>
      </c>
      <c r="M59" t="b">
        <f t="shared" si="0"/>
        <v>1</v>
      </c>
      <c r="N59" t="b">
        <f>COUNTBLANK(metadata!B59:F59)=COLUMNS(metadata!B59:F59)</f>
        <v>1</v>
      </c>
      <c r="O59" t="str">
        <v/>
      </c>
      <c r="Q59" t="b">
        <f ca="1">AND(IF(metadata!B59="",FALSE,TRUE),COUNTIF(metadata!B:B, metadata!B59) = 1,NOT(ISERROR(SUMPRODUCT(SEARCH(MID(metadata!B59,ROW(INDIRECT("1:"&amp;LEN(metadata!B59))), 1),"0123456789abcdefghijklmnopqrstuvwxyzABCDEFGHIJKLMNOPQRSTUVWXYZ.")))))</f>
        <v>0</v>
      </c>
      <c r="R59" t="b">
        <f>AND(IF(metadata!C59="",FALSE,TRUE),OR(EXACT(metadata!C59,"saline"),EXACT(metadata!C59,"non-saline")))</f>
        <v>0</v>
      </c>
      <c r="S59" t="b">
        <f>AND(IF(metadata!D59="",FALSE,TRUE),OR(EXACT(metadata!D59,"surface (non-saline)"),EXACT(metadata!D59,"aerosol (non-saline)"),EXACT(metadata!D59,"sediment (non-saline)"),EXACT(metadata!D59,"surface (saline)"),EXACT(metadata!D59,"aerosol (saline)"),EXACT(metadata!D59,"sediment (saline)")))</f>
        <v>0</v>
      </c>
      <c r="T59" t="b">
        <f>AND(IF(metadata!E59="",FALSE,TRUE),EXACT(metadata!E59,"built environment"))</f>
        <v>0</v>
      </c>
      <c r="U59" t="b">
        <f>OR(AND(IF(metadata!F59="",FALSE,TRUE),EXACT(metadata!F59,"not applicable")),AND(IF(metadata!F59="",FALSE,TRUE),EXACT(metadata!F59,"anaerobic digester content")))</f>
        <v>0</v>
      </c>
    </row>
    <row r="60" spans="1:21" x14ac:dyDescent="0.2">
      <c r="A60" s="4" t="str">
        <f ca="1">IF(B60=" "," ",HYPERLINK(CONCATENATE("#metadata!",ADDRESS(INDEX($L$2:$L$1001,MATCH(ROWS($J$2:J60),$J$2:$J$1001,0),0),1)),INDEX($O$2:$O$1001,MATCH(ROWS($J$2:J60),$J$2:$J$1001,0),0)))</f>
        <v xml:space="preserve"> </v>
      </c>
      <c r="B60" s="3" t="str">
        <f ca="1">IF(OR(INDEX($K$2:$K$1001,MATCH(ROWS($J$2:J60),$J$2:$J$1001,0),1)&gt;=100000,INDEX($Q$1005:$U$1005,1,MATCH(COLUMNS($Q$1006:Q1006),$Q$1006:$U$1006,0))&gt;=100000), " ",IF(INDEX($Q$2:$U$1001,MATCH(ROWS($J$2:J60),$J$2:$J$1001,0),MATCH(COLUMNS($Q$1006:Q1006),$Q$1006:$U$1006,0)), HYPERLINK("#",""), HYPERLINK(CONCATENATE("#metadata!", ADDRESS(INDEX($L$2:$L$1001,MATCH(ROWS($J$2:J60),$J$2:$J$1001,0),0), INDEX($Q$1004:$U$1004,1,MATCH(COLUMNS($Q$1006:Q1006),$Q$1006:$U$1006,0)))),"Fix")))</f>
        <v xml:space="preserve"> </v>
      </c>
      <c r="C60" s="3" t="str">
        <f ca="1">IF(OR(INDEX($K$2:$K$1001,MATCH(ROWS($J$2:J60),$J$2:$J$1001,0),1)&gt;=100000,INDEX($Q$1005:$U$1005,1,MATCH(COLUMNS($Q$1006:R1006),$Q$1006:$U$1006,0))&gt;=100000), " ",IF(INDEX($Q$2:$U$1001,MATCH(ROWS($J$2:J60),$J$2:$J$1001,0),MATCH(COLUMNS($Q$1006:R1006),$Q$1006:$U$1006,0)), HYPERLINK("#",""), HYPERLINK(CONCATENATE("#metadata!", ADDRESS(INDEX($L$2:$L$1001,MATCH(ROWS($J$2:J60),$J$2:$J$1001,0),0), INDEX($Q$1004:$U$1004,1,MATCH(COLUMNS($Q$1006:R1006),$Q$1006:$U$1006,0)))),"Fix")))</f>
        <v xml:space="preserve"> </v>
      </c>
      <c r="D60" s="3" t="str">
        <f ca="1">IF(OR(INDEX($K$2:$K$1001,MATCH(ROWS($J$2:J60),$J$2:$J$1001,0),1)&gt;=100000,INDEX($Q$1005:$U$1005,1,MATCH(COLUMNS($Q$1006:S1006),$Q$1006:$U$1006,0))&gt;=100000), " ",IF(INDEX($Q$2:$U$1001,MATCH(ROWS($J$2:J60),$J$2:$J$1001,0),MATCH(COLUMNS($Q$1006:S1006),$Q$1006:$U$1006,0)), HYPERLINK("#",""), HYPERLINK(CONCATENATE("#metadata!", ADDRESS(INDEX($L$2:$L$1001,MATCH(ROWS($J$2:J60),$J$2:$J$1001,0),0), INDEX($Q$1004:$U$1004,1,MATCH(COLUMNS($Q$1006:S1006),$Q$1006:$U$1006,0)))),"Fix")))</f>
        <v xml:space="preserve"> </v>
      </c>
      <c r="E60" s="3" t="str">
        <f ca="1">IF(OR(INDEX($K$2:$K$1001,MATCH(ROWS($J$2:J60),$J$2:$J$1001,0),1)&gt;=100000,INDEX($Q$1005:$U$1005,1,MATCH(COLUMNS($Q$1006:T1006),$Q$1006:$U$1006,0))&gt;=100000), " ",IF(INDEX($Q$2:$U$1001,MATCH(ROWS($J$2:J60),$J$2:$J$1001,0),MATCH(COLUMNS($Q$1006:T1006),$Q$1006:$U$1006,0)), HYPERLINK("#",""), HYPERLINK(CONCATENATE("#metadata!", ADDRESS(INDEX($L$2:$L$1001,MATCH(ROWS($J$2:J60),$J$2:$J$1001,0),0), INDEX($Q$1004:$U$1004,1,MATCH(COLUMNS($Q$1006:T1006),$Q$1006:$U$1006,0)))),"Fix")))</f>
        <v xml:space="preserve"> </v>
      </c>
      <c r="F60" s="3" t="str">
        <f ca="1">IF(OR(INDEX($K$2:$K$1001,MATCH(ROWS($J$2:J60),$J$2:$J$1001,0),1)&gt;=100000,INDEX($Q$1005:$U$1005,1,MATCH(COLUMNS($Q$1006:U1006),$Q$1006:$U$1006,0))&gt;=100000), " ",IF(INDEX($Q$2:$U$1001,MATCH(ROWS($J$2:J60),$J$2:$J$1001,0),MATCH(COLUMNS($Q$1006:U1006),$Q$1006:$U$1006,0)), HYPERLINK("#",""), HYPERLINK(CONCATENATE("#metadata!", ADDRESS(INDEX($L$2:$L$1001,MATCH(ROWS($J$2:J60),$J$2:$J$1001,0),0), INDEX($Q$1004:$U$1004,1,MATCH(COLUMNS($Q$1006:U1006),$Q$1006:$U$1006,0)))),"Fix")))</f>
        <v xml:space="preserve"> </v>
      </c>
      <c r="J60">
        <v>59</v>
      </c>
      <c r="K60">
        <v>100060</v>
      </c>
      <c r="L60">
        <v>60</v>
      </c>
      <c r="M60" t="b">
        <f t="shared" si="0"/>
        <v>1</v>
      </c>
      <c r="N60" t="b">
        <f>COUNTBLANK(metadata!B60:F60)=COLUMNS(metadata!B60:F60)</f>
        <v>1</v>
      </c>
      <c r="O60" t="str">
        <v/>
      </c>
      <c r="Q60" t="b">
        <f ca="1">AND(IF(metadata!B60="",FALSE,TRUE),COUNTIF(metadata!B:B, metadata!B60) = 1,NOT(ISERROR(SUMPRODUCT(SEARCH(MID(metadata!B60,ROW(INDIRECT("1:"&amp;LEN(metadata!B60))), 1),"0123456789abcdefghijklmnopqrstuvwxyzABCDEFGHIJKLMNOPQRSTUVWXYZ.")))))</f>
        <v>0</v>
      </c>
      <c r="R60" t="b">
        <f>AND(IF(metadata!C60="",FALSE,TRUE),OR(EXACT(metadata!C60,"saline"),EXACT(metadata!C60,"non-saline")))</f>
        <v>0</v>
      </c>
      <c r="S60" t="b">
        <f>AND(IF(metadata!D60="",FALSE,TRUE),OR(EXACT(metadata!D60,"surface (non-saline)"),EXACT(metadata!D60,"aerosol (non-saline)"),EXACT(metadata!D60,"sediment (non-saline)"),EXACT(metadata!D60,"surface (saline)"),EXACT(metadata!D60,"aerosol (saline)"),EXACT(metadata!D60,"sediment (saline)")))</f>
        <v>0</v>
      </c>
      <c r="T60" t="b">
        <f>AND(IF(metadata!E60="",FALSE,TRUE),EXACT(metadata!E60,"built environment"))</f>
        <v>0</v>
      </c>
      <c r="U60" t="b">
        <f>OR(AND(IF(metadata!F60="",FALSE,TRUE),EXACT(metadata!F60,"not applicable")),AND(IF(metadata!F60="",FALSE,TRUE),EXACT(metadata!F60,"anaerobic digester content")))</f>
        <v>0</v>
      </c>
    </row>
    <row r="61" spans="1:21" x14ac:dyDescent="0.2">
      <c r="A61" s="4" t="str">
        <f ca="1">IF(B61=" "," ",HYPERLINK(CONCATENATE("#metadata!",ADDRESS(INDEX($L$2:$L$1001,MATCH(ROWS($J$2:J61),$J$2:$J$1001,0),0),1)),INDEX($O$2:$O$1001,MATCH(ROWS($J$2:J61),$J$2:$J$1001,0),0)))</f>
        <v xml:space="preserve"> </v>
      </c>
      <c r="B61" s="3" t="str">
        <f ca="1">IF(OR(INDEX($K$2:$K$1001,MATCH(ROWS($J$2:J61),$J$2:$J$1001,0),1)&gt;=100000,INDEX($Q$1005:$U$1005,1,MATCH(COLUMNS($Q$1006:Q1006),$Q$1006:$U$1006,0))&gt;=100000), " ",IF(INDEX($Q$2:$U$1001,MATCH(ROWS($J$2:J61),$J$2:$J$1001,0),MATCH(COLUMNS($Q$1006:Q1006),$Q$1006:$U$1006,0)), HYPERLINK("#",""), HYPERLINK(CONCATENATE("#metadata!", ADDRESS(INDEX($L$2:$L$1001,MATCH(ROWS($J$2:J61),$J$2:$J$1001,0),0), INDEX($Q$1004:$U$1004,1,MATCH(COLUMNS($Q$1006:Q1006),$Q$1006:$U$1006,0)))),"Fix")))</f>
        <v xml:space="preserve"> </v>
      </c>
      <c r="C61" s="3" t="str">
        <f ca="1">IF(OR(INDEX($K$2:$K$1001,MATCH(ROWS($J$2:J61),$J$2:$J$1001,0),1)&gt;=100000,INDEX($Q$1005:$U$1005,1,MATCH(COLUMNS($Q$1006:R1006),$Q$1006:$U$1006,0))&gt;=100000), " ",IF(INDEX($Q$2:$U$1001,MATCH(ROWS($J$2:J61),$J$2:$J$1001,0),MATCH(COLUMNS($Q$1006:R1006),$Q$1006:$U$1006,0)), HYPERLINK("#",""), HYPERLINK(CONCATENATE("#metadata!", ADDRESS(INDEX($L$2:$L$1001,MATCH(ROWS($J$2:J61),$J$2:$J$1001,0),0), INDEX($Q$1004:$U$1004,1,MATCH(COLUMNS($Q$1006:R1006),$Q$1006:$U$1006,0)))),"Fix")))</f>
        <v xml:space="preserve"> </v>
      </c>
      <c r="D61" s="3" t="str">
        <f ca="1">IF(OR(INDEX($K$2:$K$1001,MATCH(ROWS($J$2:J61),$J$2:$J$1001,0),1)&gt;=100000,INDEX($Q$1005:$U$1005,1,MATCH(COLUMNS($Q$1006:S1006),$Q$1006:$U$1006,0))&gt;=100000), " ",IF(INDEX($Q$2:$U$1001,MATCH(ROWS($J$2:J61),$J$2:$J$1001,0),MATCH(COLUMNS($Q$1006:S1006),$Q$1006:$U$1006,0)), HYPERLINK("#",""), HYPERLINK(CONCATENATE("#metadata!", ADDRESS(INDEX($L$2:$L$1001,MATCH(ROWS($J$2:J61),$J$2:$J$1001,0),0), INDEX($Q$1004:$U$1004,1,MATCH(COLUMNS($Q$1006:S1006),$Q$1006:$U$1006,0)))),"Fix")))</f>
        <v xml:space="preserve"> </v>
      </c>
      <c r="E61" s="3" t="str">
        <f ca="1">IF(OR(INDEX($K$2:$K$1001,MATCH(ROWS($J$2:J61),$J$2:$J$1001,0),1)&gt;=100000,INDEX($Q$1005:$U$1005,1,MATCH(COLUMNS($Q$1006:T1006),$Q$1006:$U$1006,0))&gt;=100000), " ",IF(INDEX($Q$2:$U$1001,MATCH(ROWS($J$2:J61),$J$2:$J$1001,0),MATCH(COLUMNS($Q$1006:T1006),$Q$1006:$U$1006,0)), HYPERLINK("#",""), HYPERLINK(CONCATENATE("#metadata!", ADDRESS(INDEX($L$2:$L$1001,MATCH(ROWS($J$2:J61),$J$2:$J$1001,0),0), INDEX($Q$1004:$U$1004,1,MATCH(COLUMNS($Q$1006:T1006),$Q$1006:$U$1006,0)))),"Fix")))</f>
        <v xml:space="preserve"> </v>
      </c>
      <c r="F61" s="3" t="str">
        <f ca="1">IF(OR(INDEX($K$2:$K$1001,MATCH(ROWS($J$2:J61),$J$2:$J$1001,0),1)&gt;=100000,INDEX($Q$1005:$U$1005,1,MATCH(COLUMNS($Q$1006:U1006),$Q$1006:$U$1006,0))&gt;=100000), " ",IF(INDEX($Q$2:$U$1001,MATCH(ROWS($J$2:J61),$J$2:$J$1001,0),MATCH(COLUMNS($Q$1006:U1006),$Q$1006:$U$1006,0)), HYPERLINK("#",""), HYPERLINK(CONCATENATE("#metadata!", ADDRESS(INDEX($L$2:$L$1001,MATCH(ROWS($J$2:J61),$J$2:$J$1001,0),0), INDEX($Q$1004:$U$1004,1,MATCH(COLUMNS($Q$1006:U1006),$Q$1006:$U$1006,0)))),"Fix")))</f>
        <v xml:space="preserve"> </v>
      </c>
      <c r="J61">
        <v>60</v>
      </c>
      <c r="K61">
        <v>100061</v>
      </c>
      <c r="L61">
        <v>61</v>
      </c>
      <c r="M61" t="b">
        <f t="shared" si="0"/>
        <v>1</v>
      </c>
      <c r="N61" t="b">
        <f>COUNTBLANK(metadata!B61:F61)=COLUMNS(metadata!B61:F61)</f>
        <v>1</v>
      </c>
      <c r="O61" t="str">
        <v/>
      </c>
      <c r="Q61" t="b">
        <f ca="1">AND(IF(metadata!B61="",FALSE,TRUE),COUNTIF(metadata!B:B, metadata!B61) = 1,NOT(ISERROR(SUMPRODUCT(SEARCH(MID(metadata!B61,ROW(INDIRECT("1:"&amp;LEN(metadata!B61))), 1),"0123456789abcdefghijklmnopqrstuvwxyzABCDEFGHIJKLMNOPQRSTUVWXYZ.")))))</f>
        <v>0</v>
      </c>
      <c r="R61" t="b">
        <f>AND(IF(metadata!C61="",FALSE,TRUE),OR(EXACT(metadata!C61,"saline"),EXACT(metadata!C61,"non-saline")))</f>
        <v>0</v>
      </c>
      <c r="S61" t="b">
        <f>AND(IF(metadata!D61="",FALSE,TRUE),OR(EXACT(metadata!D61,"surface (non-saline)"),EXACT(metadata!D61,"aerosol (non-saline)"),EXACT(metadata!D61,"sediment (non-saline)"),EXACT(metadata!D61,"surface (saline)"),EXACT(metadata!D61,"aerosol (saline)"),EXACT(metadata!D61,"sediment (saline)")))</f>
        <v>0</v>
      </c>
      <c r="T61" t="b">
        <f>AND(IF(metadata!E61="",FALSE,TRUE),EXACT(metadata!E61,"built environment"))</f>
        <v>0</v>
      </c>
      <c r="U61" t="b">
        <f>OR(AND(IF(metadata!F61="",FALSE,TRUE),EXACT(metadata!F61,"not applicable")),AND(IF(metadata!F61="",FALSE,TRUE),EXACT(metadata!F61,"anaerobic digester content")))</f>
        <v>0</v>
      </c>
    </row>
    <row r="62" spans="1:21" x14ac:dyDescent="0.2">
      <c r="A62" s="4" t="str">
        <f ca="1">IF(B62=" "," ",HYPERLINK(CONCATENATE("#metadata!",ADDRESS(INDEX($L$2:$L$1001,MATCH(ROWS($J$2:J62),$J$2:$J$1001,0),0),1)),INDEX($O$2:$O$1001,MATCH(ROWS($J$2:J62),$J$2:$J$1001,0),0)))</f>
        <v xml:space="preserve"> </v>
      </c>
      <c r="B62" s="3" t="str">
        <f ca="1">IF(OR(INDEX($K$2:$K$1001,MATCH(ROWS($J$2:J62),$J$2:$J$1001,0),1)&gt;=100000,INDEX($Q$1005:$U$1005,1,MATCH(COLUMNS($Q$1006:Q1006),$Q$1006:$U$1006,0))&gt;=100000), " ",IF(INDEX($Q$2:$U$1001,MATCH(ROWS($J$2:J62),$J$2:$J$1001,0),MATCH(COLUMNS($Q$1006:Q1006),$Q$1006:$U$1006,0)), HYPERLINK("#",""), HYPERLINK(CONCATENATE("#metadata!", ADDRESS(INDEX($L$2:$L$1001,MATCH(ROWS($J$2:J62),$J$2:$J$1001,0),0), INDEX($Q$1004:$U$1004,1,MATCH(COLUMNS($Q$1006:Q1006),$Q$1006:$U$1006,0)))),"Fix")))</f>
        <v xml:space="preserve"> </v>
      </c>
      <c r="C62" s="3" t="str">
        <f ca="1">IF(OR(INDEX($K$2:$K$1001,MATCH(ROWS($J$2:J62),$J$2:$J$1001,0),1)&gt;=100000,INDEX($Q$1005:$U$1005,1,MATCH(COLUMNS($Q$1006:R1006),$Q$1006:$U$1006,0))&gt;=100000), " ",IF(INDEX($Q$2:$U$1001,MATCH(ROWS($J$2:J62),$J$2:$J$1001,0),MATCH(COLUMNS($Q$1006:R1006),$Q$1006:$U$1006,0)), HYPERLINK("#",""), HYPERLINK(CONCATENATE("#metadata!", ADDRESS(INDEX($L$2:$L$1001,MATCH(ROWS($J$2:J62),$J$2:$J$1001,0),0), INDEX($Q$1004:$U$1004,1,MATCH(COLUMNS($Q$1006:R1006),$Q$1006:$U$1006,0)))),"Fix")))</f>
        <v xml:space="preserve"> </v>
      </c>
      <c r="D62" s="3" t="str">
        <f ca="1">IF(OR(INDEX($K$2:$K$1001,MATCH(ROWS($J$2:J62),$J$2:$J$1001,0),1)&gt;=100000,INDEX($Q$1005:$U$1005,1,MATCH(COLUMNS($Q$1006:S1006),$Q$1006:$U$1006,0))&gt;=100000), " ",IF(INDEX($Q$2:$U$1001,MATCH(ROWS($J$2:J62),$J$2:$J$1001,0),MATCH(COLUMNS($Q$1006:S1006),$Q$1006:$U$1006,0)), HYPERLINK("#",""), HYPERLINK(CONCATENATE("#metadata!", ADDRESS(INDEX($L$2:$L$1001,MATCH(ROWS($J$2:J62),$J$2:$J$1001,0),0), INDEX($Q$1004:$U$1004,1,MATCH(COLUMNS($Q$1006:S1006),$Q$1006:$U$1006,0)))),"Fix")))</f>
        <v xml:space="preserve"> </v>
      </c>
      <c r="E62" s="3" t="str">
        <f ca="1">IF(OR(INDEX($K$2:$K$1001,MATCH(ROWS($J$2:J62),$J$2:$J$1001,0),1)&gt;=100000,INDEX($Q$1005:$U$1005,1,MATCH(COLUMNS($Q$1006:T1006),$Q$1006:$U$1006,0))&gt;=100000), " ",IF(INDEX($Q$2:$U$1001,MATCH(ROWS($J$2:J62),$J$2:$J$1001,0),MATCH(COLUMNS($Q$1006:T1006),$Q$1006:$U$1006,0)), HYPERLINK("#",""), HYPERLINK(CONCATENATE("#metadata!", ADDRESS(INDEX($L$2:$L$1001,MATCH(ROWS($J$2:J62),$J$2:$J$1001,0),0), INDEX($Q$1004:$U$1004,1,MATCH(COLUMNS($Q$1006:T1006),$Q$1006:$U$1006,0)))),"Fix")))</f>
        <v xml:space="preserve"> </v>
      </c>
      <c r="F62" s="3" t="str">
        <f ca="1">IF(OR(INDEX($K$2:$K$1001,MATCH(ROWS($J$2:J62),$J$2:$J$1001,0),1)&gt;=100000,INDEX($Q$1005:$U$1005,1,MATCH(COLUMNS($Q$1006:U1006),$Q$1006:$U$1006,0))&gt;=100000), " ",IF(INDEX($Q$2:$U$1001,MATCH(ROWS($J$2:J62),$J$2:$J$1001,0),MATCH(COLUMNS($Q$1006:U1006),$Q$1006:$U$1006,0)), HYPERLINK("#",""), HYPERLINK(CONCATENATE("#metadata!", ADDRESS(INDEX($L$2:$L$1001,MATCH(ROWS($J$2:J62),$J$2:$J$1001,0),0), INDEX($Q$1004:$U$1004,1,MATCH(COLUMNS($Q$1006:U1006),$Q$1006:$U$1006,0)))),"Fix")))</f>
        <v xml:space="preserve"> </v>
      </c>
      <c r="J62">
        <v>61</v>
      </c>
      <c r="K62">
        <v>100062</v>
      </c>
      <c r="L62">
        <v>62</v>
      </c>
      <c r="M62" t="b">
        <f t="shared" si="0"/>
        <v>1</v>
      </c>
      <c r="N62" t="b">
        <f>COUNTBLANK(metadata!B62:F62)=COLUMNS(metadata!B62:F62)</f>
        <v>1</v>
      </c>
      <c r="O62" t="str">
        <v/>
      </c>
      <c r="Q62" t="b">
        <f ca="1">AND(IF(metadata!B62="",FALSE,TRUE),COUNTIF(metadata!B:B, metadata!B62) = 1,NOT(ISERROR(SUMPRODUCT(SEARCH(MID(metadata!B62,ROW(INDIRECT("1:"&amp;LEN(metadata!B62))), 1),"0123456789abcdefghijklmnopqrstuvwxyzABCDEFGHIJKLMNOPQRSTUVWXYZ.")))))</f>
        <v>0</v>
      </c>
      <c r="R62" t="b">
        <f>AND(IF(metadata!C62="",FALSE,TRUE),OR(EXACT(metadata!C62,"saline"),EXACT(metadata!C62,"non-saline")))</f>
        <v>0</v>
      </c>
      <c r="S62" t="b">
        <f>AND(IF(metadata!D62="",FALSE,TRUE),OR(EXACT(metadata!D62,"surface (non-saline)"),EXACT(metadata!D62,"aerosol (non-saline)"),EXACT(metadata!D62,"sediment (non-saline)"),EXACT(metadata!D62,"surface (saline)"),EXACT(metadata!D62,"aerosol (saline)"),EXACT(metadata!D62,"sediment (saline)")))</f>
        <v>0</v>
      </c>
      <c r="T62" t="b">
        <f>AND(IF(metadata!E62="",FALSE,TRUE),EXACT(metadata!E62,"built environment"))</f>
        <v>0</v>
      </c>
      <c r="U62" t="b">
        <f>OR(AND(IF(metadata!F62="",FALSE,TRUE),EXACT(metadata!F62,"not applicable")),AND(IF(metadata!F62="",FALSE,TRUE),EXACT(metadata!F62,"anaerobic digester content")))</f>
        <v>0</v>
      </c>
    </row>
    <row r="63" spans="1:21" x14ac:dyDescent="0.2">
      <c r="A63" s="4" t="str">
        <f ca="1">IF(B63=" "," ",HYPERLINK(CONCATENATE("#metadata!",ADDRESS(INDEX($L$2:$L$1001,MATCH(ROWS($J$2:J63),$J$2:$J$1001,0),0),1)),INDEX($O$2:$O$1001,MATCH(ROWS($J$2:J63),$J$2:$J$1001,0),0)))</f>
        <v xml:space="preserve"> </v>
      </c>
      <c r="B63" s="3" t="str">
        <f ca="1">IF(OR(INDEX($K$2:$K$1001,MATCH(ROWS($J$2:J63),$J$2:$J$1001,0),1)&gt;=100000,INDEX($Q$1005:$U$1005,1,MATCH(COLUMNS($Q$1006:Q1006),$Q$1006:$U$1006,0))&gt;=100000), " ",IF(INDEX($Q$2:$U$1001,MATCH(ROWS($J$2:J63),$J$2:$J$1001,0),MATCH(COLUMNS($Q$1006:Q1006),$Q$1006:$U$1006,0)), HYPERLINK("#",""), HYPERLINK(CONCATENATE("#metadata!", ADDRESS(INDEX($L$2:$L$1001,MATCH(ROWS($J$2:J63),$J$2:$J$1001,0),0), INDEX($Q$1004:$U$1004,1,MATCH(COLUMNS($Q$1006:Q1006),$Q$1006:$U$1006,0)))),"Fix")))</f>
        <v xml:space="preserve"> </v>
      </c>
      <c r="C63" s="3" t="str">
        <f ca="1">IF(OR(INDEX($K$2:$K$1001,MATCH(ROWS($J$2:J63),$J$2:$J$1001,0),1)&gt;=100000,INDEX($Q$1005:$U$1005,1,MATCH(COLUMNS($Q$1006:R1006),$Q$1006:$U$1006,0))&gt;=100000), " ",IF(INDEX($Q$2:$U$1001,MATCH(ROWS($J$2:J63),$J$2:$J$1001,0),MATCH(COLUMNS($Q$1006:R1006),$Q$1006:$U$1006,0)), HYPERLINK("#",""), HYPERLINK(CONCATENATE("#metadata!", ADDRESS(INDEX($L$2:$L$1001,MATCH(ROWS($J$2:J63),$J$2:$J$1001,0),0), INDEX($Q$1004:$U$1004,1,MATCH(COLUMNS($Q$1006:R1006),$Q$1006:$U$1006,0)))),"Fix")))</f>
        <v xml:space="preserve"> </v>
      </c>
      <c r="D63" s="3" t="str">
        <f ca="1">IF(OR(INDEX($K$2:$K$1001,MATCH(ROWS($J$2:J63),$J$2:$J$1001,0),1)&gt;=100000,INDEX($Q$1005:$U$1005,1,MATCH(COLUMNS($Q$1006:S1006),$Q$1006:$U$1006,0))&gt;=100000), " ",IF(INDEX($Q$2:$U$1001,MATCH(ROWS($J$2:J63),$J$2:$J$1001,0),MATCH(COLUMNS($Q$1006:S1006),$Q$1006:$U$1006,0)), HYPERLINK("#",""), HYPERLINK(CONCATENATE("#metadata!", ADDRESS(INDEX($L$2:$L$1001,MATCH(ROWS($J$2:J63),$J$2:$J$1001,0),0), INDEX($Q$1004:$U$1004,1,MATCH(COLUMNS($Q$1006:S1006),$Q$1006:$U$1006,0)))),"Fix")))</f>
        <v xml:space="preserve"> </v>
      </c>
      <c r="E63" s="3" t="str">
        <f ca="1">IF(OR(INDEX($K$2:$K$1001,MATCH(ROWS($J$2:J63),$J$2:$J$1001,0),1)&gt;=100000,INDEX($Q$1005:$U$1005,1,MATCH(COLUMNS($Q$1006:T1006),$Q$1006:$U$1006,0))&gt;=100000), " ",IF(INDEX($Q$2:$U$1001,MATCH(ROWS($J$2:J63),$J$2:$J$1001,0),MATCH(COLUMNS($Q$1006:T1006),$Q$1006:$U$1006,0)), HYPERLINK("#",""), HYPERLINK(CONCATENATE("#metadata!", ADDRESS(INDEX($L$2:$L$1001,MATCH(ROWS($J$2:J63),$J$2:$J$1001,0),0), INDEX($Q$1004:$U$1004,1,MATCH(COLUMNS($Q$1006:T1006),$Q$1006:$U$1006,0)))),"Fix")))</f>
        <v xml:space="preserve"> </v>
      </c>
      <c r="F63" s="3" t="str">
        <f ca="1">IF(OR(INDEX($K$2:$K$1001,MATCH(ROWS($J$2:J63),$J$2:$J$1001,0),1)&gt;=100000,INDEX($Q$1005:$U$1005,1,MATCH(COLUMNS($Q$1006:U1006),$Q$1006:$U$1006,0))&gt;=100000), " ",IF(INDEX($Q$2:$U$1001,MATCH(ROWS($J$2:J63),$J$2:$J$1001,0),MATCH(COLUMNS($Q$1006:U1006),$Q$1006:$U$1006,0)), HYPERLINK("#",""), HYPERLINK(CONCATENATE("#metadata!", ADDRESS(INDEX($L$2:$L$1001,MATCH(ROWS($J$2:J63),$J$2:$J$1001,0),0), INDEX($Q$1004:$U$1004,1,MATCH(COLUMNS($Q$1006:U1006),$Q$1006:$U$1006,0)))),"Fix")))</f>
        <v xml:space="preserve"> </v>
      </c>
      <c r="J63">
        <v>62</v>
      </c>
      <c r="K63">
        <v>100063</v>
      </c>
      <c r="L63">
        <v>63</v>
      </c>
      <c r="M63" t="b">
        <f t="shared" si="0"/>
        <v>1</v>
      </c>
      <c r="N63" t="b">
        <f>COUNTBLANK(metadata!B63:F63)=COLUMNS(metadata!B63:F63)</f>
        <v>1</v>
      </c>
      <c r="O63" t="str">
        <v/>
      </c>
      <c r="Q63" t="b">
        <f ca="1">AND(IF(metadata!B63="",FALSE,TRUE),COUNTIF(metadata!B:B, metadata!B63) = 1,NOT(ISERROR(SUMPRODUCT(SEARCH(MID(metadata!B63,ROW(INDIRECT("1:"&amp;LEN(metadata!B63))), 1),"0123456789abcdefghijklmnopqrstuvwxyzABCDEFGHIJKLMNOPQRSTUVWXYZ.")))))</f>
        <v>0</v>
      </c>
      <c r="R63" t="b">
        <f>AND(IF(metadata!C63="",FALSE,TRUE),OR(EXACT(metadata!C63,"saline"),EXACT(metadata!C63,"non-saline")))</f>
        <v>0</v>
      </c>
      <c r="S63" t="b">
        <f>AND(IF(metadata!D63="",FALSE,TRUE),OR(EXACT(metadata!D63,"surface (non-saline)"),EXACT(metadata!D63,"aerosol (non-saline)"),EXACT(metadata!D63,"sediment (non-saline)"),EXACT(metadata!D63,"surface (saline)"),EXACT(metadata!D63,"aerosol (saline)"),EXACT(metadata!D63,"sediment (saline)")))</f>
        <v>0</v>
      </c>
      <c r="T63" t="b">
        <f>AND(IF(metadata!E63="",FALSE,TRUE),EXACT(metadata!E63,"built environment"))</f>
        <v>0</v>
      </c>
      <c r="U63" t="b">
        <f>OR(AND(IF(metadata!F63="",FALSE,TRUE),EXACT(metadata!F63,"not applicable")),AND(IF(metadata!F63="",FALSE,TRUE),EXACT(metadata!F63,"anaerobic digester content")))</f>
        <v>0</v>
      </c>
    </row>
    <row r="64" spans="1:21" x14ac:dyDescent="0.2">
      <c r="A64" s="4" t="str">
        <f ca="1">IF(B64=" "," ",HYPERLINK(CONCATENATE("#metadata!",ADDRESS(INDEX($L$2:$L$1001,MATCH(ROWS($J$2:J64),$J$2:$J$1001,0),0),1)),INDEX($O$2:$O$1001,MATCH(ROWS($J$2:J64),$J$2:$J$1001,0),0)))</f>
        <v xml:space="preserve"> </v>
      </c>
      <c r="B64" s="3" t="str">
        <f ca="1">IF(OR(INDEX($K$2:$K$1001,MATCH(ROWS($J$2:J64),$J$2:$J$1001,0),1)&gt;=100000,INDEX($Q$1005:$U$1005,1,MATCH(COLUMNS($Q$1006:Q1006),$Q$1006:$U$1006,0))&gt;=100000), " ",IF(INDEX($Q$2:$U$1001,MATCH(ROWS($J$2:J64),$J$2:$J$1001,0),MATCH(COLUMNS($Q$1006:Q1006),$Q$1006:$U$1006,0)), HYPERLINK("#",""), HYPERLINK(CONCATENATE("#metadata!", ADDRESS(INDEX($L$2:$L$1001,MATCH(ROWS($J$2:J64),$J$2:$J$1001,0),0), INDEX($Q$1004:$U$1004,1,MATCH(COLUMNS($Q$1006:Q1006),$Q$1006:$U$1006,0)))),"Fix")))</f>
        <v xml:space="preserve"> </v>
      </c>
      <c r="C64" s="3" t="str">
        <f ca="1">IF(OR(INDEX($K$2:$K$1001,MATCH(ROWS($J$2:J64),$J$2:$J$1001,0),1)&gt;=100000,INDEX($Q$1005:$U$1005,1,MATCH(COLUMNS($Q$1006:R1006),$Q$1006:$U$1006,0))&gt;=100000), " ",IF(INDEX($Q$2:$U$1001,MATCH(ROWS($J$2:J64),$J$2:$J$1001,0),MATCH(COLUMNS($Q$1006:R1006),$Q$1006:$U$1006,0)), HYPERLINK("#",""), HYPERLINK(CONCATENATE("#metadata!", ADDRESS(INDEX($L$2:$L$1001,MATCH(ROWS($J$2:J64),$J$2:$J$1001,0),0), INDEX($Q$1004:$U$1004,1,MATCH(COLUMNS($Q$1006:R1006),$Q$1006:$U$1006,0)))),"Fix")))</f>
        <v xml:space="preserve"> </v>
      </c>
      <c r="D64" s="3" t="str">
        <f ca="1">IF(OR(INDEX($K$2:$K$1001,MATCH(ROWS($J$2:J64),$J$2:$J$1001,0),1)&gt;=100000,INDEX($Q$1005:$U$1005,1,MATCH(COLUMNS($Q$1006:S1006),$Q$1006:$U$1006,0))&gt;=100000), " ",IF(INDEX($Q$2:$U$1001,MATCH(ROWS($J$2:J64),$J$2:$J$1001,0),MATCH(COLUMNS($Q$1006:S1006),$Q$1006:$U$1006,0)), HYPERLINK("#",""), HYPERLINK(CONCATENATE("#metadata!", ADDRESS(INDEX($L$2:$L$1001,MATCH(ROWS($J$2:J64),$J$2:$J$1001,0),0), INDEX($Q$1004:$U$1004,1,MATCH(COLUMNS($Q$1006:S1006),$Q$1006:$U$1006,0)))),"Fix")))</f>
        <v xml:space="preserve"> </v>
      </c>
      <c r="E64" s="3" t="str">
        <f ca="1">IF(OR(INDEX($K$2:$K$1001,MATCH(ROWS($J$2:J64),$J$2:$J$1001,0),1)&gt;=100000,INDEX($Q$1005:$U$1005,1,MATCH(COLUMNS($Q$1006:T1006),$Q$1006:$U$1006,0))&gt;=100000), " ",IF(INDEX($Q$2:$U$1001,MATCH(ROWS($J$2:J64),$J$2:$J$1001,0),MATCH(COLUMNS($Q$1006:T1006),$Q$1006:$U$1006,0)), HYPERLINK("#",""), HYPERLINK(CONCATENATE("#metadata!", ADDRESS(INDEX($L$2:$L$1001,MATCH(ROWS($J$2:J64),$J$2:$J$1001,0),0), INDEX($Q$1004:$U$1004,1,MATCH(COLUMNS($Q$1006:T1006),$Q$1006:$U$1006,0)))),"Fix")))</f>
        <v xml:space="preserve"> </v>
      </c>
      <c r="F64" s="3" t="str">
        <f ca="1">IF(OR(INDEX($K$2:$K$1001,MATCH(ROWS($J$2:J64),$J$2:$J$1001,0),1)&gt;=100000,INDEX($Q$1005:$U$1005,1,MATCH(COLUMNS($Q$1006:U1006),$Q$1006:$U$1006,0))&gt;=100000), " ",IF(INDEX($Q$2:$U$1001,MATCH(ROWS($J$2:J64),$J$2:$J$1001,0),MATCH(COLUMNS($Q$1006:U1006),$Q$1006:$U$1006,0)), HYPERLINK("#",""), HYPERLINK(CONCATENATE("#metadata!", ADDRESS(INDEX($L$2:$L$1001,MATCH(ROWS($J$2:J64),$J$2:$J$1001,0),0), INDEX($Q$1004:$U$1004,1,MATCH(COLUMNS($Q$1006:U1006),$Q$1006:$U$1006,0)))),"Fix")))</f>
        <v xml:space="preserve"> </v>
      </c>
      <c r="J64">
        <v>63</v>
      </c>
      <c r="K64">
        <v>100064</v>
      </c>
      <c r="L64">
        <v>64</v>
      </c>
      <c r="M64" t="b">
        <f t="shared" si="0"/>
        <v>1</v>
      </c>
      <c r="N64" t="b">
        <f>COUNTBLANK(metadata!B64:F64)=COLUMNS(metadata!B64:F64)</f>
        <v>1</v>
      </c>
      <c r="O64" t="str">
        <v/>
      </c>
      <c r="Q64" t="b">
        <f ca="1">AND(IF(metadata!B64="",FALSE,TRUE),COUNTIF(metadata!B:B, metadata!B64) = 1,NOT(ISERROR(SUMPRODUCT(SEARCH(MID(metadata!B64,ROW(INDIRECT("1:"&amp;LEN(metadata!B64))), 1),"0123456789abcdefghijklmnopqrstuvwxyzABCDEFGHIJKLMNOPQRSTUVWXYZ.")))))</f>
        <v>0</v>
      </c>
      <c r="R64" t="b">
        <f>AND(IF(metadata!C64="",FALSE,TRUE),OR(EXACT(metadata!C64,"saline"),EXACT(metadata!C64,"non-saline")))</f>
        <v>0</v>
      </c>
      <c r="S64" t="b">
        <f>AND(IF(metadata!D64="",FALSE,TRUE),OR(EXACT(metadata!D64,"surface (non-saline)"),EXACT(metadata!D64,"aerosol (non-saline)"),EXACT(metadata!D64,"sediment (non-saline)"),EXACT(metadata!D64,"surface (saline)"),EXACT(metadata!D64,"aerosol (saline)"),EXACT(metadata!D64,"sediment (saline)")))</f>
        <v>0</v>
      </c>
      <c r="T64" t="b">
        <f>AND(IF(metadata!E64="",FALSE,TRUE),EXACT(metadata!E64,"built environment"))</f>
        <v>0</v>
      </c>
      <c r="U64" t="b">
        <f>OR(AND(IF(metadata!F64="",FALSE,TRUE),EXACT(metadata!F64,"not applicable")),AND(IF(metadata!F64="",FALSE,TRUE),EXACT(metadata!F64,"anaerobic digester content")))</f>
        <v>0</v>
      </c>
    </row>
    <row r="65" spans="1:21" x14ac:dyDescent="0.2">
      <c r="A65" s="4" t="str">
        <f ca="1">IF(B65=" "," ",HYPERLINK(CONCATENATE("#metadata!",ADDRESS(INDEX($L$2:$L$1001,MATCH(ROWS($J$2:J65),$J$2:$J$1001,0),0),1)),INDEX($O$2:$O$1001,MATCH(ROWS($J$2:J65),$J$2:$J$1001,0),0)))</f>
        <v xml:space="preserve"> </v>
      </c>
      <c r="B65" s="3" t="str">
        <f ca="1">IF(OR(INDEX($K$2:$K$1001,MATCH(ROWS($J$2:J65),$J$2:$J$1001,0),1)&gt;=100000,INDEX($Q$1005:$U$1005,1,MATCH(COLUMNS($Q$1006:Q1006),$Q$1006:$U$1006,0))&gt;=100000), " ",IF(INDEX($Q$2:$U$1001,MATCH(ROWS($J$2:J65),$J$2:$J$1001,0),MATCH(COLUMNS($Q$1006:Q1006),$Q$1006:$U$1006,0)), HYPERLINK("#",""), HYPERLINK(CONCATENATE("#metadata!", ADDRESS(INDEX($L$2:$L$1001,MATCH(ROWS($J$2:J65),$J$2:$J$1001,0),0), INDEX($Q$1004:$U$1004,1,MATCH(COLUMNS($Q$1006:Q1006),$Q$1006:$U$1006,0)))),"Fix")))</f>
        <v xml:space="preserve"> </v>
      </c>
      <c r="C65" s="3" t="str">
        <f ca="1">IF(OR(INDEX($K$2:$K$1001,MATCH(ROWS($J$2:J65),$J$2:$J$1001,0),1)&gt;=100000,INDEX($Q$1005:$U$1005,1,MATCH(COLUMNS($Q$1006:R1006),$Q$1006:$U$1006,0))&gt;=100000), " ",IF(INDEX($Q$2:$U$1001,MATCH(ROWS($J$2:J65),$J$2:$J$1001,0),MATCH(COLUMNS($Q$1006:R1006),$Q$1006:$U$1006,0)), HYPERLINK("#",""), HYPERLINK(CONCATENATE("#metadata!", ADDRESS(INDEX($L$2:$L$1001,MATCH(ROWS($J$2:J65),$J$2:$J$1001,0),0), INDEX($Q$1004:$U$1004,1,MATCH(COLUMNS($Q$1006:R1006),$Q$1006:$U$1006,0)))),"Fix")))</f>
        <v xml:space="preserve"> </v>
      </c>
      <c r="D65" s="3" t="str">
        <f ca="1">IF(OR(INDEX($K$2:$K$1001,MATCH(ROWS($J$2:J65),$J$2:$J$1001,0),1)&gt;=100000,INDEX($Q$1005:$U$1005,1,MATCH(COLUMNS($Q$1006:S1006),$Q$1006:$U$1006,0))&gt;=100000), " ",IF(INDEX($Q$2:$U$1001,MATCH(ROWS($J$2:J65),$J$2:$J$1001,0),MATCH(COLUMNS($Q$1006:S1006),$Q$1006:$U$1006,0)), HYPERLINK("#",""), HYPERLINK(CONCATENATE("#metadata!", ADDRESS(INDEX($L$2:$L$1001,MATCH(ROWS($J$2:J65),$J$2:$J$1001,0),0), INDEX($Q$1004:$U$1004,1,MATCH(COLUMNS($Q$1006:S1006),$Q$1006:$U$1006,0)))),"Fix")))</f>
        <v xml:space="preserve"> </v>
      </c>
      <c r="E65" s="3" t="str">
        <f ca="1">IF(OR(INDEX($K$2:$K$1001,MATCH(ROWS($J$2:J65),$J$2:$J$1001,0),1)&gt;=100000,INDEX($Q$1005:$U$1005,1,MATCH(COLUMNS($Q$1006:T1006),$Q$1006:$U$1006,0))&gt;=100000), " ",IF(INDEX($Q$2:$U$1001,MATCH(ROWS($J$2:J65),$J$2:$J$1001,0),MATCH(COLUMNS($Q$1006:T1006),$Q$1006:$U$1006,0)), HYPERLINK("#",""), HYPERLINK(CONCATENATE("#metadata!", ADDRESS(INDEX($L$2:$L$1001,MATCH(ROWS($J$2:J65),$J$2:$J$1001,0),0), INDEX($Q$1004:$U$1004,1,MATCH(COLUMNS($Q$1006:T1006),$Q$1006:$U$1006,0)))),"Fix")))</f>
        <v xml:space="preserve"> </v>
      </c>
      <c r="F65" s="3" t="str">
        <f ca="1">IF(OR(INDEX($K$2:$K$1001,MATCH(ROWS($J$2:J65),$J$2:$J$1001,0),1)&gt;=100000,INDEX($Q$1005:$U$1005,1,MATCH(COLUMNS($Q$1006:U1006),$Q$1006:$U$1006,0))&gt;=100000), " ",IF(INDEX($Q$2:$U$1001,MATCH(ROWS($J$2:J65),$J$2:$J$1001,0),MATCH(COLUMNS($Q$1006:U1006),$Q$1006:$U$1006,0)), HYPERLINK("#",""), HYPERLINK(CONCATENATE("#metadata!", ADDRESS(INDEX($L$2:$L$1001,MATCH(ROWS($J$2:J65),$J$2:$J$1001,0),0), INDEX($Q$1004:$U$1004,1,MATCH(COLUMNS($Q$1006:U1006),$Q$1006:$U$1006,0)))),"Fix")))</f>
        <v xml:space="preserve"> </v>
      </c>
      <c r="J65">
        <v>64</v>
      </c>
      <c r="K65">
        <v>100065</v>
      </c>
      <c r="L65">
        <v>65</v>
      </c>
      <c r="M65" t="b">
        <f t="shared" si="0"/>
        <v>1</v>
      </c>
      <c r="N65" t="b">
        <f>COUNTBLANK(metadata!B65:F65)=COLUMNS(metadata!B65:F65)</f>
        <v>1</v>
      </c>
      <c r="O65" t="str">
        <v/>
      </c>
      <c r="Q65" t="b">
        <f ca="1">AND(IF(metadata!B65="",FALSE,TRUE),COUNTIF(metadata!B:B, metadata!B65) = 1,NOT(ISERROR(SUMPRODUCT(SEARCH(MID(metadata!B65,ROW(INDIRECT("1:"&amp;LEN(metadata!B65))), 1),"0123456789abcdefghijklmnopqrstuvwxyzABCDEFGHIJKLMNOPQRSTUVWXYZ.")))))</f>
        <v>0</v>
      </c>
      <c r="R65" t="b">
        <f>AND(IF(metadata!C65="",FALSE,TRUE),OR(EXACT(metadata!C65,"saline"),EXACT(metadata!C65,"non-saline")))</f>
        <v>0</v>
      </c>
      <c r="S65" t="b">
        <f>AND(IF(metadata!D65="",FALSE,TRUE),OR(EXACT(metadata!D65,"surface (non-saline)"),EXACT(metadata!D65,"aerosol (non-saline)"),EXACT(metadata!D65,"sediment (non-saline)"),EXACT(metadata!D65,"surface (saline)"),EXACT(metadata!D65,"aerosol (saline)"),EXACT(metadata!D65,"sediment (saline)")))</f>
        <v>0</v>
      </c>
      <c r="T65" t="b">
        <f>AND(IF(metadata!E65="",FALSE,TRUE),EXACT(metadata!E65,"built environment"))</f>
        <v>0</v>
      </c>
      <c r="U65" t="b">
        <f>OR(AND(IF(metadata!F65="",FALSE,TRUE),EXACT(metadata!F65,"not applicable")),AND(IF(metadata!F65="",FALSE,TRUE),EXACT(metadata!F65,"anaerobic digester content")))</f>
        <v>0</v>
      </c>
    </row>
    <row r="66" spans="1:21" x14ac:dyDescent="0.2">
      <c r="A66" s="4" t="str">
        <f ca="1">IF(B66=" "," ",HYPERLINK(CONCATENATE("#metadata!",ADDRESS(INDEX($L$2:$L$1001,MATCH(ROWS($J$2:J66),$J$2:$J$1001,0),0),1)),INDEX($O$2:$O$1001,MATCH(ROWS($J$2:J66),$J$2:$J$1001,0),0)))</f>
        <v xml:space="preserve"> </v>
      </c>
      <c r="B66" s="3" t="str">
        <f ca="1">IF(OR(INDEX($K$2:$K$1001,MATCH(ROWS($J$2:J66),$J$2:$J$1001,0),1)&gt;=100000,INDEX($Q$1005:$U$1005,1,MATCH(COLUMNS($Q$1006:Q1006),$Q$1006:$U$1006,0))&gt;=100000), " ",IF(INDEX($Q$2:$U$1001,MATCH(ROWS($J$2:J66),$J$2:$J$1001,0),MATCH(COLUMNS($Q$1006:Q1006),$Q$1006:$U$1006,0)), HYPERLINK("#",""), HYPERLINK(CONCATENATE("#metadata!", ADDRESS(INDEX($L$2:$L$1001,MATCH(ROWS($J$2:J66),$J$2:$J$1001,0),0), INDEX($Q$1004:$U$1004,1,MATCH(COLUMNS($Q$1006:Q1006),$Q$1006:$U$1006,0)))),"Fix")))</f>
        <v xml:space="preserve"> </v>
      </c>
      <c r="C66" s="3" t="str">
        <f ca="1">IF(OR(INDEX($K$2:$K$1001,MATCH(ROWS($J$2:J66),$J$2:$J$1001,0),1)&gt;=100000,INDEX($Q$1005:$U$1005,1,MATCH(COLUMNS($Q$1006:R1006),$Q$1006:$U$1006,0))&gt;=100000), " ",IF(INDEX($Q$2:$U$1001,MATCH(ROWS($J$2:J66),$J$2:$J$1001,0),MATCH(COLUMNS($Q$1006:R1006),$Q$1006:$U$1006,0)), HYPERLINK("#",""), HYPERLINK(CONCATENATE("#metadata!", ADDRESS(INDEX($L$2:$L$1001,MATCH(ROWS($J$2:J66),$J$2:$J$1001,0),0), INDEX($Q$1004:$U$1004,1,MATCH(COLUMNS($Q$1006:R1006),$Q$1006:$U$1006,0)))),"Fix")))</f>
        <v xml:space="preserve"> </v>
      </c>
      <c r="D66" s="3" t="str">
        <f ca="1">IF(OR(INDEX($K$2:$K$1001,MATCH(ROWS($J$2:J66),$J$2:$J$1001,0),1)&gt;=100000,INDEX($Q$1005:$U$1005,1,MATCH(COLUMNS($Q$1006:S1006),$Q$1006:$U$1006,0))&gt;=100000), " ",IF(INDEX($Q$2:$U$1001,MATCH(ROWS($J$2:J66),$J$2:$J$1001,0),MATCH(COLUMNS($Q$1006:S1006),$Q$1006:$U$1006,0)), HYPERLINK("#",""), HYPERLINK(CONCATENATE("#metadata!", ADDRESS(INDEX($L$2:$L$1001,MATCH(ROWS($J$2:J66),$J$2:$J$1001,0),0), INDEX($Q$1004:$U$1004,1,MATCH(COLUMNS($Q$1006:S1006),$Q$1006:$U$1006,0)))),"Fix")))</f>
        <v xml:space="preserve"> </v>
      </c>
      <c r="E66" s="3" t="str">
        <f ca="1">IF(OR(INDEX($K$2:$K$1001,MATCH(ROWS($J$2:J66),$J$2:$J$1001,0),1)&gt;=100000,INDEX($Q$1005:$U$1005,1,MATCH(COLUMNS($Q$1006:T1006),$Q$1006:$U$1006,0))&gt;=100000), " ",IF(INDEX($Q$2:$U$1001,MATCH(ROWS($J$2:J66),$J$2:$J$1001,0),MATCH(COLUMNS($Q$1006:T1006),$Q$1006:$U$1006,0)), HYPERLINK("#",""), HYPERLINK(CONCATENATE("#metadata!", ADDRESS(INDEX($L$2:$L$1001,MATCH(ROWS($J$2:J66),$J$2:$J$1001,0),0), INDEX($Q$1004:$U$1004,1,MATCH(COLUMNS($Q$1006:T1006),$Q$1006:$U$1006,0)))),"Fix")))</f>
        <v xml:space="preserve"> </v>
      </c>
      <c r="F66" s="3" t="str">
        <f ca="1">IF(OR(INDEX($K$2:$K$1001,MATCH(ROWS($J$2:J66),$J$2:$J$1001,0),1)&gt;=100000,INDEX($Q$1005:$U$1005,1,MATCH(COLUMNS($Q$1006:U1006),$Q$1006:$U$1006,0))&gt;=100000), " ",IF(INDEX($Q$2:$U$1001,MATCH(ROWS($J$2:J66),$J$2:$J$1001,0),MATCH(COLUMNS($Q$1006:U1006),$Q$1006:$U$1006,0)), HYPERLINK("#",""), HYPERLINK(CONCATENATE("#metadata!", ADDRESS(INDEX($L$2:$L$1001,MATCH(ROWS($J$2:J66),$J$2:$J$1001,0),0), INDEX($Q$1004:$U$1004,1,MATCH(COLUMNS($Q$1006:U1006),$Q$1006:$U$1006,0)))),"Fix")))</f>
        <v xml:space="preserve"> </v>
      </c>
      <c r="J66">
        <v>65</v>
      </c>
      <c r="K66">
        <v>100066</v>
      </c>
      <c r="L66">
        <v>66</v>
      </c>
      <c r="M66" t="b">
        <f t="shared" ref="M66:M129" si="1">IF(N66,TRUE,AND(Q66:U66))</f>
        <v>1</v>
      </c>
      <c r="N66" t="b">
        <f>COUNTBLANK(metadata!B66:F66)=COLUMNS(metadata!B66:F66)</f>
        <v>1</v>
      </c>
      <c r="O66" t="str">
        <v/>
      </c>
      <c r="Q66" t="b">
        <f ca="1">AND(IF(metadata!B66="",FALSE,TRUE),COUNTIF(metadata!B:B, metadata!B66) = 1,NOT(ISERROR(SUMPRODUCT(SEARCH(MID(metadata!B66,ROW(INDIRECT("1:"&amp;LEN(metadata!B66))), 1),"0123456789abcdefghijklmnopqrstuvwxyzABCDEFGHIJKLMNOPQRSTUVWXYZ.")))))</f>
        <v>0</v>
      </c>
      <c r="R66" t="b">
        <f>AND(IF(metadata!C66="",FALSE,TRUE),OR(EXACT(metadata!C66,"saline"),EXACT(metadata!C66,"non-saline")))</f>
        <v>0</v>
      </c>
      <c r="S66" t="b">
        <f>AND(IF(metadata!D66="",FALSE,TRUE),OR(EXACT(metadata!D66,"surface (non-saline)"),EXACT(metadata!D66,"aerosol (non-saline)"),EXACT(metadata!D66,"sediment (non-saline)"),EXACT(metadata!D66,"surface (saline)"),EXACT(metadata!D66,"aerosol (saline)"),EXACT(metadata!D66,"sediment (saline)")))</f>
        <v>0</v>
      </c>
      <c r="T66" t="b">
        <f>AND(IF(metadata!E66="",FALSE,TRUE),EXACT(metadata!E66,"built environment"))</f>
        <v>0</v>
      </c>
      <c r="U66" t="b">
        <f>OR(AND(IF(metadata!F66="",FALSE,TRUE),EXACT(metadata!F66,"not applicable")),AND(IF(metadata!F66="",FALSE,TRUE),EXACT(metadata!F66,"anaerobic digester content")))</f>
        <v>0</v>
      </c>
    </row>
    <row r="67" spans="1:21" x14ac:dyDescent="0.2">
      <c r="A67" s="4" t="str">
        <f ca="1">IF(B67=" "," ",HYPERLINK(CONCATENATE("#metadata!",ADDRESS(INDEX($L$2:$L$1001,MATCH(ROWS($J$2:J67),$J$2:$J$1001,0),0),1)),INDEX($O$2:$O$1001,MATCH(ROWS($J$2:J67),$J$2:$J$1001,0),0)))</f>
        <v xml:space="preserve"> </v>
      </c>
      <c r="B67" s="3" t="str">
        <f ca="1">IF(OR(INDEX($K$2:$K$1001,MATCH(ROWS($J$2:J67),$J$2:$J$1001,0),1)&gt;=100000,INDEX($Q$1005:$U$1005,1,MATCH(COLUMNS($Q$1006:Q1006),$Q$1006:$U$1006,0))&gt;=100000), " ",IF(INDEX($Q$2:$U$1001,MATCH(ROWS($J$2:J67),$J$2:$J$1001,0),MATCH(COLUMNS($Q$1006:Q1006),$Q$1006:$U$1006,0)), HYPERLINK("#",""), HYPERLINK(CONCATENATE("#metadata!", ADDRESS(INDEX($L$2:$L$1001,MATCH(ROWS($J$2:J67),$J$2:$J$1001,0),0), INDEX($Q$1004:$U$1004,1,MATCH(COLUMNS($Q$1006:Q1006),$Q$1006:$U$1006,0)))),"Fix")))</f>
        <v xml:space="preserve"> </v>
      </c>
      <c r="C67" s="3" t="str">
        <f ca="1">IF(OR(INDEX($K$2:$K$1001,MATCH(ROWS($J$2:J67),$J$2:$J$1001,0),1)&gt;=100000,INDEX($Q$1005:$U$1005,1,MATCH(COLUMNS($Q$1006:R1006),$Q$1006:$U$1006,0))&gt;=100000), " ",IF(INDEX($Q$2:$U$1001,MATCH(ROWS($J$2:J67),$J$2:$J$1001,0),MATCH(COLUMNS($Q$1006:R1006),$Q$1006:$U$1006,0)), HYPERLINK("#",""), HYPERLINK(CONCATENATE("#metadata!", ADDRESS(INDEX($L$2:$L$1001,MATCH(ROWS($J$2:J67),$J$2:$J$1001,0),0), INDEX($Q$1004:$U$1004,1,MATCH(COLUMNS($Q$1006:R1006),$Q$1006:$U$1006,0)))),"Fix")))</f>
        <v xml:space="preserve"> </v>
      </c>
      <c r="D67" s="3" t="str">
        <f ca="1">IF(OR(INDEX($K$2:$K$1001,MATCH(ROWS($J$2:J67),$J$2:$J$1001,0),1)&gt;=100000,INDEX($Q$1005:$U$1005,1,MATCH(COLUMNS($Q$1006:S1006),$Q$1006:$U$1006,0))&gt;=100000), " ",IF(INDEX($Q$2:$U$1001,MATCH(ROWS($J$2:J67),$J$2:$J$1001,0),MATCH(COLUMNS($Q$1006:S1006),$Q$1006:$U$1006,0)), HYPERLINK("#",""), HYPERLINK(CONCATENATE("#metadata!", ADDRESS(INDEX($L$2:$L$1001,MATCH(ROWS($J$2:J67),$J$2:$J$1001,0),0), INDEX($Q$1004:$U$1004,1,MATCH(COLUMNS($Q$1006:S1006),$Q$1006:$U$1006,0)))),"Fix")))</f>
        <v xml:space="preserve"> </v>
      </c>
      <c r="E67" s="3" t="str">
        <f ca="1">IF(OR(INDEX($K$2:$K$1001,MATCH(ROWS($J$2:J67),$J$2:$J$1001,0),1)&gt;=100000,INDEX($Q$1005:$U$1005,1,MATCH(COLUMNS($Q$1006:T1006),$Q$1006:$U$1006,0))&gt;=100000), " ",IF(INDEX($Q$2:$U$1001,MATCH(ROWS($J$2:J67),$J$2:$J$1001,0),MATCH(COLUMNS($Q$1006:T1006),$Q$1006:$U$1006,0)), HYPERLINK("#",""), HYPERLINK(CONCATENATE("#metadata!", ADDRESS(INDEX($L$2:$L$1001,MATCH(ROWS($J$2:J67),$J$2:$J$1001,0),0), INDEX($Q$1004:$U$1004,1,MATCH(COLUMNS($Q$1006:T1006),$Q$1006:$U$1006,0)))),"Fix")))</f>
        <v xml:space="preserve"> </v>
      </c>
      <c r="F67" s="3" t="str">
        <f ca="1">IF(OR(INDEX($K$2:$K$1001,MATCH(ROWS($J$2:J67),$J$2:$J$1001,0),1)&gt;=100000,INDEX($Q$1005:$U$1005,1,MATCH(COLUMNS($Q$1006:U1006),$Q$1006:$U$1006,0))&gt;=100000), " ",IF(INDEX($Q$2:$U$1001,MATCH(ROWS($J$2:J67),$J$2:$J$1001,0),MATCH(COLUMNS($Q$1006:U1006),$Q$1006:$U$1006,0)), HYPERLINK("#",""), HYPERLINK(CONCATENATE("#metadata!", ADDRESS(INDEX($L$2:$L$1001,MATCH(ROWS($J$2:J67),$J$2:$J$1001,0),0), INDEX($Q$1004:$U$1004,1,MATCH(COLUMNS($Q$1006:U1006),$Q$1006:$U$1006,0)))),"Fix")))</f>
        <v xml:space="preserve"> </v>
      </c>
      <c r="J67">
        <v>66</v>
      </c>
      <c r="K67">
        <v>100067</v>
      </c>
      <c r="L67">
        <v>67</v>
      </c>
      <c r="M67" t="b">
        <f t="shared" si="1"/>
        <v>1</v>
      </c>
      <c r="N67" t="b">
        <f>COUNTBLANK(metadata!B67:F67)=COLUMNS(metadata!B67:F67)</f>
        <v>1</v>
      </c>
      <c r="O67" t="str">
        <v/>
      </c>
      <c r="Q67" t="b">
        <f ca="1">AND(IF(metadata!B67="",FALSE,TRUE),COUNTIF(metadata!B:B, metadata!B67) = 1,NOT(ISERROR(SUMPRODUCT(SEARCH(MID(metadata!B67,ROW(INDIRECT("1:"&amp;LEN(metadata!B67))), 1),"0123456789abcdefghijklmnopqrstuvwxyzABCDEFGHIJKLMNOPQRSTUVWXYZ.")))))</f>
        <v>0</v>
      </c>
      <c r="R67" t="b">
        <f>AND(IF(metadata!C67="",FALSE,TRUE),OR(EXACT(metadata!C67,"saline"),EXACT(metadata!C67,"non-saline")))</f>
        <v>0</v>
      </c>
      <c r="S67" t="b">
        <f>AND(IF(metadata!D67="",FALSE,TRUE),OR(EXACT(metadata!D67,"surface (non-saline)"),EXACT(metadata!D67,"aerosol (non-saline)"),EXACT(metadata!D67,"sediment (non-saline)"),EXACT(metadata!D67,"surface (saline)"),EXACT(metadata!D67,"aerosol (saline)"),EXACT(metadata!D67,"sediment (saline)")))</f>
        <v>0</v>
      </c>
      <c r="T67" t="b">
        <f>AND(IF(metadata!E67="",FALSE,TRUE),EXACT(metadata!E67,"built environment"))</f>
        <v>0</v>
      </c>
      <c r="U67" t="b">
        <f>OR(AND(IF(metadata!F67="",FALSE,TRUE),EXACT(metadata!F67,"not applicable")),AND(IF(metadata!F67="",FALSE,TRUE),EXACT(metadata!F67,"anaerobic digester content")))</f>
        <v>0</v>
      </c>
    </row>
    <row r="68" spans="1:21" x14ac:dyDescent="0.2">
      <c r="A68" s="4" t="str">
        <f ca="1">IF(B68=" "," ",HYPERLINK(CONCATENATE("#metadata!",ADDRESS(INDEX($L$2:$L$1001,MATCH(ROWS($J$2:J68),$J$2:$J$1001,0),0),1)),INDEX($O$2:$O$1001,MATCH(ROWS($J$2:J68),$J$2:$J$1001,0),0)))</f>
        <v xml:space="preserve"> </v>
      </c>
      <c r="B68" s="3" t="str">
        <f ca="1">IF(OR(INDEX($K$2:$K$1001,MATCH(ROWS($J$2:J68),$J$2:$J$1001,0),1)&gt;=100000,INDEX($Q$1005:$U$1005,1,MATCH(COLUMNS($Q$1006:Q1006),$Q$1006:$U$1006,0))&gt;=100000), " ",IF(INDEX($Q$2:$U$1001,MATCH(ROWS($J$2:J68),$J$2:$J$1001,0),MATCH(COLUMNS($Q$1006:Q1006),$Q$1006:$U$1006,0)), HYPERLINK("#",""), HYPERLINK(CONCATENATE("#metadata!", ADDRESS(INDEX($L$2:$L$1001,MATCH(ROWS($J$2:J68),$J$2:$J$1001,0),0), INDEX($Q$1004:$U$1004,1,MATCH(COLUMNS($Q$1006:Q1006),$Q$1006:$U$1006,0)))),"Fix")))</f>
        <v xml:space="preserve"> </v>
      </c>
      <c r="C68" s="3" t="str">
        <f ca="1">IF(OR(INDEX($K$2:$K$1001,MATCH(ROWS($J$2:J68),$J$2:$J$1001,0),1)&gt;=100000,INDEX($Q$1005:$U$1005,1,MATCH(COLUMNS($Q$1006:R1006),$Q$1006:$U$1006,0))&gt;=100000), " ",IF(INDEX($Q$2:$U$1001,MATCH(ROWS($J$2:J68),$J$2:$J$1001,0),MATCH(COLUMNS($Q$1006:R1006),$Q$1006:$U$1006,0)), HYPERLINK("#",""), HYPERLINK(CONCATENATE("#metadata!", ADDRESS(INDEX($L$2:$L$1001,MATCH(ROWS($J$2:J68),$J$2:$J$1001,0),0), INDEX($Q$1004:$U$1004,1,MATCH(COLUMNS($Q$1006:R1006),$Q$1006:$U$1006,0)))),"Fix")))</f>
        <v xml:space="preserve"> </v>
      </c>
      <c r="D68" s="3" t="str">
        <f ca="1">IF(OR(INDEX($K$2:$K$1001,MATCH(ROWS($J$2:J68),$J$2:$J$1001,0),1)&gt;=100000,INDEX($Q$1005:$U$1005,1,MATCH(COLUMNS($Q$1006:S1006),$Q$1006:$U$1006,0))&gt;=100000), " ",IF(INDEX($Q$2:$U$1001,MATCH(ROWS($J$2:J68),$J$2:$J$1001,0),MATCH(COLUMNS($Q$1006:S1006),$Q$1006:$U$1006,0)), HYPERLINK("#",""), HYPERLINK(CONCATENATE("#metadata!", ADDRESS(INDEX($L$2:$L$1001,MATCH(ROWS($J$2:J68),$J$2:$J$1001,0),0), INDEX($Q$1004:$U$1004,1,MATCH(COLUMNS($Q$1006:S1006),$Q$1006:$U$1006,0)))),"Fix")))</f>
        <v xml:space="preserve"> </v>
      </c>
      <c r="E68" s="3" t="str">
        <f ca="1">IF(OR(INDEX($K$2:$K$1001,MATCH(ROWS($J$2:J68),$J$2:$J$1001,0),1)&gt;=100000,INDEX($Q$1005:$U$1005,1,MATCH(COLUMNS($Q$1006:T1006),$Q$1006:$U$1006,0))&gt;=100000), " ",IF(INDEX($Q$2:$U$1001,MATCH(ROWS($J$2:J68),$J$2:$J$1001,0),MATCH(COLUMNS($Q$1006:T1006),$Q$1006:$U$1006,0)), HYPERLINK("#",""), HYPERLINK(CONCATENATE("#metadata!", ADDRESS(INDEX($L$2:$L$1001,MATCH(ROWS($J$2:J68),$J$2:$J$1001,0),0), INDEX($Q$1004:$U$1004,1,MATCH(COLUMNS($Q$1006:T1006),$Q$1006:$U$1006,0)))),"Fix")))</f>
        <v xml:space="preserve"> </v>
      </c>
      <c r="F68" s="3" t="str">
        <f ca="1">IF(OR(INDEX($K$2:$K$1001,MATCH(ROWS($J$2:J68),$J$2:$J$1001,0),1)&gt;=100000,INDEX($Q$1005:$U$1005,1,MATCH(COLUMNS($Q$1006:U1006),$Q$1006:$U$1006,0))&gt;=100000), " ",IF(INDEX($Q$2:$U$1001,MATCH(ROWS($J$2:J68),$J$2:$J$1001,0),MATCH(COLUMNS($Q$1006:U1006),$Q$1006:$U$1006,0)), HYPERLINK("#",""), HYPERLINK(CONCATENATE("#metadata!", ADDRESS(INDEX($L$2:$L$1001,MATCH(ROWS($J$2:J68),$J$2:$J$1001,0),0), INDEX($Q$1004:$U$1004,1,MATCH(COLUMNS($Q$1006:U1006),$Q$1006:$U$1006,0)))),"Fix")))</f>
        <v xml:space="preserve"> </v>
      </c>
      <c r="J68">
        <v>67</v>
      </c>
      <c r="K68">
        <v>100068</v>
      </c>
      <c r="L68">
        <v>68</v>
      </c>
      <c r="M68" t="b">
        <f t="shared" si="1"/>
        <v>1</v>
      </c>
      <c r="N68" t="b">
        <f>COUNTBLANK(metadata!B68:F68)=COLUMNS(metadata!B68:F68)</f>
        <v>1</v>
      </c>
      <c r="O68" t="str">
        <v/>
      </c>
      <c r="Q68" t="b">
        <f ca="1">AND(IF(metadata!B68="",FALSE,TRUE),COUNTIF(metadata!B:B, metadata!B68) = 1,NOT(ISERROR(SUMPRODUCT(SEARCH(MID(metadata!B68,ROW(INDIRECT("1:"&amp;LEN(metadata!B68))), 1),"0123456789abcdefghijklmnopqrstuvwxyzABCDEFGHIJKLMNOPQRSTUVWXYZ.")))))</f>
        <v>0</v>
      </c>
      <c r="R68" t="b">
        <f>AND(IF(metadata!C68="",FALSE,TRUE),OR(EXACT(metadata!C68,"saline"),EXACT(metadata!C68,"non-saline")))</f>
        <v>0</v>
      </c>
      <c r="S68" t="b">
        <f>AND(IF(metadata!D68="",FALSE,TRUE),OR(EXACT(metadata!D68,"surface (non-saline)"),EXACT(metadata!D68,"aerosol (non-saline)"),EXACT(metadata!D68,"sediment (non-saline)"),EXACT(metadata!D68,"surface (saline)"),EXACT(metadata!D68,"aerosol (saline)"),EXACT(metadata!D68,"sediment (saline)")))</f>
        <v>0</v>
      </c>
      <c r="T68" t="b">
        <f>AND(IF(metadata!E68="",FALSE,TRUE),EXACT(metadata!E68,"built environment"))</f>
        <v>0</v>
      </c>
      <c r="U68" t="b">
        <f>OR(AND(IF(metadata!F68="",FALSE,TRUE),EXACT(metadata!F68,"not applicable")),AND(IF(metadata!F68="",FALSE,TRUE),EXACT(metadata!F68,"anaerobic digester content")))</f>
        <v>0</v>
      </c>
    </row>
    <row r="69" spans="1:21" x14ac:dyDescent="0.2">
      <c r="A69" s="4" t="str">
        <f ca="1">IF(B69=" "," ",HYPERLINK(CONCATENATE("#metadata!",ADDRESS(INDEX($L$2:$L$1001,MATCH(ROWS($J$2:J69),$J$2:$J$1001,0),0),1)),INDEX($O$2:$O$1001,MATCH(ROWS($J$2:J69),$J$2:$J$1001,0),0)))</f>
        <v xml:space="preserve"> </v>
      </c>
      <c r="B69" s="3" t="str">
        <f ca="1">IF(OR(INDEX($K$2:$K$1001,MATCH(ROWS($J$2:J69),$J$2:$J$1001,0),1)&gt;=100000,INDEX($Q$1005:$U$1005,1,MATCH(COLUMNS($Q$1006:Q1006),$Q$1006:$U$1006,0))&gt;=100000), " ",IF(INDEX($Q$2:$U$1001,MATCH(ROWS($J$2:J69),$J$2:$J$1001,0),MATCH(COLUMNS($Q$1006:Q1006),$Q$1006:$U$1006,0)), HYPERLINK("#",""), HYPERLINK(CONCATENATE("#metadata!", ADDRESS(INDEX($L$2:$L$1001,MATCH(ROWS($J$2:J69),$J$2:$J$1001,0),0), INDEX($Q$1004:$U$1004,1,MATCH(COLUMNS($Q$1006:Q1006),$Q$1006:$U$1006,0)))),"Fix")))</f>
        <v xml:space="preserve"> </v>
      </c>
      <c r="C69" s="3" t="str">
        <f ca="1">IF(OR(INDEX($K$2:$K$1001,MATCH(ROWS($J$2:J69),$J$2:$J$1001,0),1)&gt;=100000,INDEX($Q$1005:$U$1005,1,MATCH(COLUMNS($Q$1006:R1006),$Q$1006:$U$1006,0))&gt;=100000), " ",IF(INDEX($Q$2:$U$1001,MATCH(ROWS($J$2:J69),$J$2:$J$1001,0),MATCH(COLUMNS($Q$1006:R1006),$Q$1006:$U$1006,0)), HYPERLINK("#",""), HYPERLINK(CONCATENATE("#metadata!", ADDRESS(INDEX($L$2:$L$1001,MATCH(ROWS($J$2:J69),$J$2:$J$1001,0),0), INDEX($Q$1004:$U$1004,1,MATCH(COLUMNS($Q$1006:R1006),$Q$1006:$U$1006,0)))),"Fix")))</f>
        <v xml:space="preserve"> </v>
      </c>
      <c r="D69" s="3" t="str">
        <f ca="1">IF(OR(INDEX($K$2:$K$1001,MATCH(ROWS($J$2:J69),$J$2:$J$1001,0),1)&gt;=100000,INDEX($Q$1005:$U$1005,1,MATCH(COLUMNS($Q$1006:S1006),$Q$1006:$U$1006,0))&gt;=100000), " ",IF(INDEX($Q$2:$U$1001,MATCH(ROWS($J$2:J69),$J$2:$J$1001,0),MATCH(COLUMNS($Q$1006:S1006),$Q$1006:$U$1006,0)), HYPERLINK("#",""), HYPERLINK(CONCATENATE("#metadata!", ADDRESS(INDEX($L$2:$L$1001,MATCH(ROWS($J$2:J69),$J$2:$J$1001,0),0), INDEX($Q$1004:$U$1004,1,MATCH(COLUMNS($Q$1006:S1006),$Q$1006:$U$1006,0)))),"Fix")))</f>
        <v xml:space="preserve"> </v>
      </c>
      <c r="E69" s="3" t="str">
        <f ca="1">IF(OR(INDEX($K$2:$K$1001,MATCH(ROWS($J$2:J69),$J$2:$J$1001,0),1)&gt;=100000,INDEX($Q$1005:$U$1005,1,MATCH(COLUMNS($Q$1006:T1006),$Q$1006:$U$1006,0))&gt;=100000), " ",IF(INDEX($Q$2:$U$1001,MATCH(ROWS($J$2:J69),$J$2:$J$1001,0),MATCH(COLUMNS($Q$1006:T1006),$Q$1006:$U$1006,0)), HYPERLINK("#",""), HYPERLINK(CONCATENATE("#metadata!", ADDRESS(INDEX($L$2:$L$1001,MATCH(ROWS($J$2:J69),$J$2:$J$1001,0),0), INDEX($Q$1004:$U$1004,1,MATCH(COLUMNS($Q$1006:T1006),$Q$1006:$U$1006,0)))),"Fix")))</f>
        <v xml:space="preserve"> </v>
      </c>
      <c r="F69" s="3" t="str">
        <f ca="1">IF(OR(INDEX($K$2:$K$1001,MATCH(ROWS($J$2:J69),$J$2:$J$1001,0),1)&gt;=100000,INDEX($Q$1005:$U$1005,1,MATCH(COLUMNS($Q$1006:U1006),$Q$1006:$U$1006,0))&gt;=100000), " ",IF(INDEX($Q$2:$U$1001,MATCH(ROWS($J$2:J69),$J$2:$J$1001,0),MATCH(COLUMNS($Q$1006:U1006),$Q$1006:$U$1006,0)), HYPERLINK("#",""), HYPERLINK(CONCATENATE("#metadata!", ADDRESS(INDEX($L$2:$L$1001,MATCH(ROWS($J$2:J69),$J$2:$J$1001,0),0), INDEX($Q$1004:$U$1004,1,MATCH(COLUMNS($Q$1006:U1006),$Q$1006:$U$1006,0)))),"Fix")))</f>
        <v xml:space="preserve"> </v>
      </c>
      <c r="J69">
        <v>68</v>
      </c>
      <c r="K69">
        <v>100069</v>
      </c>
      <c r="L69">
        <v>69</v>
      </c>
      <c r="M69" t="b">
        <f t="shared" si="1"/>
        <v>1</v>
      </c>
      <c r="N69" t="b">
        <f>COUNTBLANK(metadata!B69:F69)=COLUMNS(metadata!B69:F69)</f>
        <v>1</v>
      </c>
      <c r="O69" t="str">
        <v/>
      </c>
      <c r="Q69" t="b">
        <f ca="1">AND(IF(metadata!B69="",FALSE,TRUE),COUNTIF(metadata!B:B, metadata!B69) = 1,NOT(ISERROR(SUMPRODUCT(SEARCH(MID(metadata!B69,ROW(INDIRECT("1:"&amp;LEN(metadata!B69))), 1),"0123456789abcdefghijklmnopqrstuvwxyzABCDEFGHIJKLMNOPQRSTUVWXYZ.")))))</f>
        <v>0</v>
      </c>
      <c r="R69" t="b">
        <f>AND(IF(metadata!C69="",FALSE,TRUE),OR(EXACT(metadata!C69,"saline"),EXACT(metadata!C69,"non-saline")))</f>
        <v>0</v>
      </c>
      <c r="S69" t="b">
        <f>AND(IF(metadata!D69="",FALSE,TRUE),OR(EXACT(metadata!D69,"surface (non-saline)"),EXACT(metadata!D69,"aerosol (non-saline)"),EXACT(metadata!D69,"sediment (non-saline)"),EXACT(metadata!D69,"surface (saline)"),EXACT(metadata!D69,"aerosol (saline)"),EXACT(metadata!D69,"sediment (saline)")))</f>
        <v>0</v>
      </c>
      <c r="T69" t="b">
        <f>AND(IF(metadata!E69="",FALSE,TRUE),EXACT(metadata!E69,"built environment"))</f>
        <v>0</v>
      </c>
      <c r="U69" t="b">
        <f>OR(AND(IF(metadata!F69="",FALSE,TRUE),EXACT(metadata!F69,"not applicable")),AND(IF(metadata!F69="",FALSE,TRUE),EXACT(metadata!F69,"anaerobic digester content")))</f>
        <v>0</v>
      </c>
    </row>
    <row r="70" spans="1:21" x14ac:dyDescent="0.2">
      <c r="A70" s="4" t="str">
        <f ca="1">IF(B70=" "," ",HYPERLINK(CONCATENATE("#metadata!",ADDRESS(INDEX($L$2:$L$1001,MATCH(ROWS($J$2:J70),$J$2:$J$1001,0),0),1)),INDEX($O$2:$O$1001,MATCH(ROWS($J$2:J70),$J$2:$J$1001,0),0)))</f>
        <v xml:space="preserve"> </v>
      </c>
      <c r="B70" s="3" t="str">
        <f ca="1">IF(OR(INDEX($K$2:$K$1001,MATCH(ROWS($J$2:J70),$J$2:$J$1001,0),1)&gt;=100000,INDEX($Q$1005:$U$1005,1,MATCH(COLUMNS($Q$1006:Q1006),$Q$1006:$U$1006,0))&gt;=100000), " ",IF(INDEX($Q$2:$U$1001,MATCH(ROWS($J$2:J70),$J$2:$J$1001,0),MATCH(COLUMNS($Q$1006:Q1006),$Q$1006:$U$1006,0)), HYPERLINK("#",""), HYPERLINK(CONCATENATE("#metadata!", ADDRESS(INDEX($L$2:$L$1001,MATCH(ROWS($J$2:J70),$J$2:$J$1001,0),0), INDEX($Q$1004:$U$1004,1,MATCH(COLUMNS($Q$1006:Q1006),$Q$1006:$U$1006,0)))),"Fix")))</f>
        <v xml:space="preserve"> </v>
      </c>
      <c r="C70" s="3" t="str">
        <f ca="1">IF(OR(INDEX($K$2:$K$1001,MATCH(ROWS($J$2:J70),$J$2:$J$1001,0),1)&gt;=100000,INDEX($Q$1005:$U$1005,1,MATCH(COLUMNS($Q$1006:R1006),$Q$1006:$U$1006,0))&gt;=100000), " ",IF(INDEX($Q$2:$U$1001,MATCH(ROWS($J$2:J70),$J$2:$J$1001,0),MATCH(COLUMNS($Q$1006:R1006),$Q$1006:$U$1006,0)), HYPERLINK("#",""), HYPERLINK(CONCATENATE("#metadata!", ADDRESS(INDEX($L$2:$L$1001,MATCH(ROWS($J$2:J70),$J$2:$J$1001,0),0), INDEX($Q$1004:$U$1004,1,MATCH(COLUMNS($Q$1006:R1006),$Q$1006:$U$1006,0)))),"Fix")))</f>
        <v xml:space="preserve"> </v>
      </c>
      <c r="D70" s="3" t="str">
        <f ca="1">IF(OR(INDEX($K$2:$K$1001,MATCH(ROWS($J$2:J70),$J$2:$J$1001,0),1)&gt;=100000,INDEX($Q$1005:$U$1005,1,MATCH(COLUMNS($Q$1006:S1006),$Q$1006:$U$1006,0))&gt;=100000), " ",IF(INDEX($Q$2:$U$1001,MATCH(ROWS($J$2:J70),$J$2:$J$1001,0),MATCH(COLUMNS($Q$1006:S1006),$Q$1006:$U$1006,0)), HYPERLINK("#",""), HYPERLINK(CONCATENATE("#metadata!", ADDRESS(INDEX($L$2:$L$1001,MATCH(ROWS($J$2:J70),$J$2:$J$1001,0),0), INDEX($Q$1004:$U$1004,1,MATCH(COLUMNS($Q$1006:S1006),$Q$1006:$U$1006,0)))),"Fix")))</f>
        <v xml:space="preserve"> </v>
      </c>
      <c r="E70" s="3" t="str">
        <f ca="1">IF(OR(INDEX($K$2:$K$1001,MATCH(ROWS($J$2:J70),$J$2:$J$1001,0),1)&gt;=100000,INDEX($Q$1005:$U$1005,1,MATCH(COLUMNS($Q$1006:T1006),$Q$1006:$U$1006,0))&gt;=100000), " ",IF(INDEX($Q$2:$U$1001,MATCH(ROWS($J$2:J70),$J$2:$J$1001,0),MATCH(COLUMNS($Q$1006:T1006),$Q$1006:$U$1006,0)), HYPERLINK("#",""), HYPERLINK(CONCATENATE("#metadata!", ADDRESS(INDEX($L$2:$L$1001,MATCH(ROWS($J$2:J70),$J$2:$J$1001,0),0), INDEX($Q$1004:$U$1004,1,MATCH(COLUMNS($Q$1006:T1006),$Q$1006:$U$1006,0)))),"Fix")))</f>
        <v xml:space="preserve"> </v>
      </c>
      <c r="F70" s="3" t="str">
        <f ca="1">IF(OR(INDEX($K$2:$K$1001,MATCH(ROWS($J$2:J70),$J$2:$J$1001,0),1)&gt;=100000,INDEX($Q$1005:$U$1005,1,MATCH(COLUMNS($Q$1006:U1006),$Q$1006:$U$1006,0))&gt;=100000), " ",IF(INDEX($Q$2:$U$1001,MATCH(ROWS($J$2:J70),$J$2:$J$1001,0),MATCH(COLUMNS($Q$1006:U1006),$Q$1006:$U$1006,0)), HYPERLINK("#",""), HYPERLINK(CONCATENATE("#metadata!", ADDRESS(INDEX($L$2:$L$1001,MATCH(ROWS($J$2:J70),$J$2:$J$1001,0),0), INDEX($Q$1004:$U$1004,1,MATCH(COLUMNS($Q$1006:U1006),$Q$1006:$U$1006,0)))),"Fix")))</f>
        <v xml:space="preserve"> </v>
      </c>
      <c r="J70">
        <v>69</v>
      </c>
      <c r="K70">
        <v>100070</v>
      </c>
      <c r="L70">
        <v>70</v>
      </c>
      <c r="M70" t="b">
        <f t="shared" si="1"/>
        <v>1</v>
      </c>
      <c r="N70" t="b">
        <f>COUNTBLANK(metadata!B70:F70)=COLUMNS(metadata!B70:F70)</f>
        <v>1</v>
      </c>
      <c r="O70" t="str">
        <v/>
      </c>
      <c r="Q70" t="b">
        <f ca="1">AND(IF(metadata!B70="",FALSE,TRUE),COUNTIF(metadata!B:B, metadata!B70) = 1,NOT(ISERROR(SUMPRODUCT(SEARCH(MID(metadata!B70,ROW(INDIRECT("1:"&amp;LEN(metadata!B70))), 1),"0123456789abcdefghijklmnopqrstuvwxyzABCDEFGHIJKLMNOPQRSTUVWXYZ.")))))</f>
        <v>0</v>
      </c>
      <c r="R70" t="b">
        <f>AND(IF(metadata!C70="",FALSE,TRUE),OR(EXACT(metadata!C70,"saline"),EXACT(metadata!C70,"non-saline")))</f>
        <v>0</v>
      </c>
      <c r="S70" t="b">
        <f>AND(IF(metadata!D70="",FALSE,TRUE),OR(EXACT(metadata!D70,"surface (non-saline)"),EXACT(metadata!D70,"aerosol (non-saline)"),EXACT(metadata!D70,"sediment (non-saline)"),EXACT(metadata!D70,"surface (saline)"),EXACT(metadata!D70,"aerosol (saline)"),EXACT(metadata!D70,"sediment (saline)")))</f>
        <v>0</v>
      </c>
      <c r="T70" t="b">
        <f>AND(IF(metadata!E70="",FALSE,TRUE),EXACT(metadata!E70,"built environment"))</f>
        <v>0</v>
      </c>
      <c r="U70" t="b">
        <f>OR(AND(IF(metadata!F70="",FALSE,TRUE),EXACT(metadata!F70,"not applicable")),AND(IF(metadata!F70="",FALSE,TRUE),EXACT(metadata!F70,"anaerobic digester content")))</f>
        <v>0</v>
      </c>
    </row>
    <row r="71" spans="1:21" x14ac:dyDescent="0.2">
      <c r="A71" s="4" t="str">
        <f ca="1">IF(B71=" "," ",HYPERLINK(CONCATENATE("#metadata!",ADDRESS(INDEX($L$2:$L$1001,MATCH(ROWS($J$2:J71),$J$2:$J$1001,0),0),1)),INDEX($O$2:$O$1001,MATCH(ROWS($J$2:J71),$J$2:$J$1001,0),0)))</f>
        <v xml:space="preserve"> </v>
      </c>
      <c r="B71" s="3" t="str">
        <f ca="1">IF(OR(INDEX($K$2:$K$1001,MATCH(ROWS($J$2:J71),$J$2:$J$1001,0),1)&gt;=100000,INDEX($Q$1005:$U$1005,1,MATCH(COLUMNS($Q$1006:Q1006),$Q$1006:$U$1006,0))&gt;=100000), " ",IF(INDEX($Q$2:$U$1001,MATCH(ROWS($J$2:J71),$J$2:$J$1001,0),MATCH(COLUMNS($Q$1006:Q1006),$Q$1006:$U$1006,0)), HYPERLINK("#",""), HYPERLINK(CONCATENATE("#metadata!", ADDRESS(INDEX($L$2:$L$1001,MATCH(ROWS($J$2:J71),$J$2:$J$1001,0),0), INDEX($Q$1004:$U$1004,1,MATCH(COLUMNS($Q$1006:Q1006),$Q$1006:$U$1006,0)))),"Fix")))</f>
        <v xml:space="preserve"> </v>
      </c>
      <c r="C71" s="3" t="str">
        <f ca="1">IF(OR(INDEX($K$2:$K$1001,MATCH(ROWS($J$2:J71),$J$2:$J$1001,0),1)&gt;=100000,INDEX($Q$1005:$U$1005,1,MATCH(COLUMNS($Q$1006:R1006),$Q$1006:$U$1006,0))&gt;=100000), " ",IF(INDEX($Q$2:$U$1001,MATCH(ROWS($J$2:J71),$J$2:$J$1001,0),MATCH(COLUMNS($Q$1006:R1006),$Q$1006:$U$1006,0)), HYPERLINK("#",""), HYPERLINK(CONCATENATE("#metadata!", ADDRESS(INDEX($L$2:$L$1001,MATCH(ROWS($J$2:J71),$J$2:$J$1001,0),0), INDEX($Q$1004:$U$1004,1,MATCH(COLUMNS($Q$1006:R1006),$Q$1006:$U$1006,0)))),"Fix")))</f>
        <v xml:space="preserve"> </v>
      </c>
      <c r="D71" s="3" t="str">
        <f ca="1">IF(OR(INDEX($K$2:$K$1001,MATCH(ROWS($J$2:J71),$J$2:$J$1001,0),1)&gt;=100000,INDEX($Q$1005:$U$1005,1,MATCH(COLUMNS($Q$1006:S1006),$Q$1006:$U$1006,0))&gt;=100000), " ",IF(INDEX($Q$2:$U$1001,MATCH(ROWS($J$2:J71),$J$2:$J$1001,0),MATCH(COLUMNS($Q$1006:S1006),$Q$1006:$U$1006,0)), HYPERLINK("#",""), HYPERLINK(CONCATENATE("#metadata!", ADDRESS(INDEX($L$2:$L$1001,MATCH(ROWS($J$2:J71),$J$2:$J$1001,0),0), INDEX($Q$1004:$U$1004,1,MATCH(COLUMNS($Q$1006:S1006),$Q$1006:$U$1006,0)))),"Fix")))</f>
        <v xml:space="preserve"> </v>
      </c>
      <c r="E71" s="3" t="str">
        <f ca="1">IF(OR(INDEX($K$2:$K$1001,MATCH(ROWS($J$2:J71),$J$2:$J$1001,0),1)&gt;=100000,INDEX($Q$1005:$U$1005,1,MATCH(COLUMNS($Q$1006:T1006),$Q$1006:$U$1006,0))&gt;=100000), " ",IF(INDEX($Q$2:$U$1001,MATCH(ROWS($J$2:J71),$J$2:$J$1001,0),MATCH(COLUMNS($Q$1006:T1006),$Q$1006:$U$1006,0)), HYPERLINK("#",""), HYPERLINK(CONCATENATE("#metadata!", ADDRESS(INDEX($L$2:$L$1001,MATCH(ROWS($J$2:J71),$J$2:$J$1001,0),0), INDEX($Q$1004:$U$1004,1,MATCH(COLUMNS($Q$1006:T1006),$Q$1006:$U$1006,0)))),"Fix")))</f>
        <v xml:space="preserve"> </v>
      </c>
      <c r="F71" s="3" t="str">
        <f ca="1">IF(OR(INDEX($K$2:$K$1001,MATCH(ROWS($J$2:J71),$J$2:$J$1001,0),1)&gt;=100000,INDEX($Q$1005:$U$1005,1,MATCH(COLUMNS($Q$1006:U1006),$Q$1006:$U$1006,0))&gt;=100000), " ",IF(INDEX($Q$2:$U$1001,MATCH(ROWS($J$2:J71),$J$2:$J$1001,0),MATCH(COLUMNS($Q$1006:U1006),$Q$1006:$U$1006,0)), HYPERLINK("#",""), HYPERLINK(CONCATENATE("#metadata!", ADDRESS(INDEX($L$2:$L$1001,MATCH(ROWS($J$2:J71),$J$2:$J$1001,0),0), INDEX($Q$1004:$U$1004,1,MATCH(COLUMNS($Q$1006:U1006),$Q$1006:$U$1006,0)))),"Fix")))</f>
        <v xml:space="preserve"> </v>
      </c>
      <c r="J71">
        <v>70</v>
      </c>
      <c r="K71">
        <v>100071</v>
      </c>
      <c r="L71">
        <v>71</v>
      </c>
      <c r="M71" t="b">
        <f t="shared" si="1"/>
        <v>1</v>
      </c>
      <c r="N71" t="b">
        <f>COUNTBLANK(metadata!B71:F71)=COLUMNS(metadata!B71:F71)</f>
        <v>1</v>
      </c>
      <c r="O71" t="str">
        <v/>
      </c>
      <c r="Q71" t="b">
        <f ca="1">AND(IF(metadata!B71="",FALSE,TRUE),COUNTIF(metadata!B:B, metadata!B71) = 1,NOT(ISERROR(SUMPRODUCT(SEARCH(MID(metadata!B71,ROW(INDIRECT("1:"&amp;LEN(metadata!B71))), 1),"0123456789abcdefghijklmnopqrstuvwxyzABCDEFGHIJKLMNOPQRSTUVWXYZ.")))))</f>
        <v>0</v>
      </c>
      <c r="R71" t="b">
        <f>AND(IF(metadata!C71="",FALSE,TRUE),OR(EXACT(metadata!C71,"saline"),EXACT(metadata!C71,"non-saline")))</f>
        <v>0</v>
      </c>
      <c r="S71" t="b">
        <f>AND(IF(metadata!D71="",FALSE,TRUE),OR(EXACT(metadata!D71,"surface (non-saline)"),EXACT(metadata!D71,"aerosol (non-saline)"),EXACT(metadata!D71,"sediment (non-saline)"),EXACT(metadata!D71,"surface (saline)"),EXACT(metadata!D71,"aerosol (saline)"),EXACT(metadata!D71,"sediment (saline)")))</f>
        <v>0</v>
      </c>
      <c r="T71" t="b">
        <f>AND(IF(metadata!E71="",FALSE,TRUE),EXACT(metadata!E71,"built environment"))</f>
        <v>0</v>
      </c>
      <c r="U71" t="b">
        <f>OR(AND(IF(metadata!F71="",FALSE,TRUE),EXACT(metadata!F71,"not applicable")),AND(IF(metadata!F71="",FALSE,TRUE),EXACT(metadata!F71,"anaerobic digester content")))</f>
        <v>0</v>
      </c>
    </row>
    <row r="72" spans="1:21" x14ac:dyDescent="0.2">
      <c r="A72" s="4" t="str">
        <f ca="1">IF(B72=" "," ",HYPERLINK(CONCATENATE("#metadata!",ADDRESS(INDEX($L$2:$L$1001,MATCH(ROWS($J$2:J72),$J$2:$J$1001,0),0),1)),INDEX($O$2:$O$1001,MATCH(ROWS($J$2:J72),$J$2:$J$1001,0),0)))</f>
        <v xml:space="preserve"> </v>
      </c>
      <c r="B72" s="3" t="str">
        <f ca="1">IF(OR(INDEX($K$2:$K$1001,MATCH(ROWS($J$2:J72),$J$2:$J$1001,0),1)&gt;=100000,INDEX($Q$1005:$U$1005,1,MATCH(COLUMNS($Q$1006:Q1006),$Q$1006:$U$1006,0))&gt;=100000), " ",IF(INDEX($Q$2:$U$1001,MATCH(ROWS($J$2:J72),$J$2:$J$1001,0),MATCH(COLUMNS($Q$1006:Q1006),$Q$1006:$U$1006,0)), HYPERLINK("#",""), HYPERLINK(CONCATENATE("#metadata!", ADDRESS(INDEX($L$2:$L$1001,MATCH(ROWS($J$2:J72),$J$2:$J$1001,0),0), INDEX($Q$1004:$U$1004,1,MATCH(COLUMNS($Q$1006:Q1006),$Q$1006:$U$1006,0)))),"Fix")))</f>
        <v xml:space="preserve"> </v>
      </c>
      <c r="C72" s="3" t="str">
        <f ca="1">IF(OR(INDEX($K$2:$K$1001,MATCH(ROWS($J$2:J72),$J$2:$J$1001,0),1)&gt;=100000,INDEX($Q$1005:$U$1005,1,MATCH(COLUMNS($Q$1006:R1006),$Q$1006:$U$1006,0))&gt;=100000), " ",IF(INDEX($Q$2:$U$1001,MATCH(ROWS($J$2:J72),$J$2:$J$1001,0),MATCH(COLUMNS($Q$1006:R1006),$Q$1006:$U$1006,0)), HYPERLINK("#",""), HYPERLINK(CONCATENATE("#metadata!", ADDRESS(INDEX($L$2:$L$1001,MATCH(ROWS($J$2:J72),$J$2:$J$1001,0),0), INDEX($Q$1004:$U$1004,1,MATCH(COLUMNS($Q$1006:R1006),$Q$1006:$U$1006,0)))),"Fix")))</f>
        <v xml:space="preserve"> </v>
      </c>
      <c r="D72" s="3" t="str">
        <f ca="1">IF(OR(INDEX($K$2:$K$1001,MATCH(ROWS($J$2:J72),$J$2:$J$1001,0),1)&gt;=100000,INDEX($Q$1005:$U$1005,1,MATCH(COLUMNS($Q$1006:S1006),$Q$1006:$U$1006,0))&gt;=100000), " ",IF(INDEX($Q$2:$U$1001,MATCH(ROWS($J$2:J72),$J$2:$J$1001,0),MATCH(COLUMNS($Q$1006:S1006),$Q$1006:$U$1006,0)), HYPERLINK("#",""), HYPERLINK(CONCATENATE("#metadata!", ADDRESS(INDEX($L$2:$L$1001,MATCH(ROWS($J$2:J72),$J$2:$J$1001,0),0), INDEX($Q$1004:$U$1004,1,MATCH(COLUMNS($Q$1006:S1006),$Q$1006:$U$1006,0)))),"Fix")))</f>
        <v xml:space="preserve"> </v>
      </c>
      <c r="E72" s="3" t="str">
        <f ca="1">IF(OR(INDEX($K$2:$K$1001,MATCH(ROWS($J$2:J72),$J$2:$J$1001,0),1)&gt;=100000,INDEX($Q$1005:$U$1005,1,MATCH(COLUMNS($Q$1006:T1006),$Q$1006:$U$1006,0))&gt;=100000), " ",IF(INDEX($Q$2:$U$1001,MATCH(ROWS($J$2:J72),$J$2:$J$1001,0),MATCH(COLUMNS($Q$1006:T1006),$Q$1006:$U$1006,0)), HYPERLINK("#",""), HYPERLINK(CONCATENATE("#metadata!", ADDRESS(INDEX($L$2:$L$1001,MATCH(ROWS($J$2:J72),$J$2:$J$1001,0),0), INDEX($Q$1004:$U$1004,1,MATCH(COLUMNS($Q$1006:T1006),$Q$1006:$U$1006,0)))),"Fix")))</f>
        <v xml:space="preserve"> </v>
      </c>
      <c r="F72" s="3" t="str">
        <f ca="1">IF(OR(INDEX($K$2:$K$1001,MATCH(ROWS($J$2:J72),$J$2:$J$1001,0),1)&gt;=100000,INDEX($Q$1005:$U$1005,1,MATCH(COLUMNS($Q$1006:U1006),$Q$1006:$U$1006,0))&gt;=100000), " ",IF(INDEX($Q$2:$U$1001,MATCH(ROWS($J$2:J72),$J$2:$J$1001,0),MATCH(COLUMNS($Q$1006:U1006),$Q$1006:$U$1006,0)), HYPERLINK("#",""), HYPERLINK(CONCATENATE("#metadata!", ADDRESS(INDEX($L$2:$L$1001,MATCH(ROWS($J$2:J72),$J$2:$J$1001,0),0), INDEX($Q$1004:$U$1004,1,MATCH(COLUMNS($Q$1006:U1006),$Q$1006:$U$1006,0)))),"Fix")))</f>
        <v xml:space="preserve"> </v>
      </c>
      <c r="J72">
        <v>71</v>
      </c>
      <c r="K72">
        <v>100072</v>
      </c>
      <c r="L72">
        <v>72</v>
      </c>
      <c r="M72" t="b">
        <f t="shared" si="1"/>
        <v>1</v>
      </c>
      <c r="N72" t="b">
        <f>COUNTBLANK(metadata!B72:F72)=COLUMNS(metadata!B72:F72)</f>
        <v>1</v>
      </c>
      <c r="O72" t="str">
        <v/>
      </c>
      <c r="Q72" t="b">
        <f ca="1">AND(IF(metadata!B72="",FALSE,TRUE),COUNTIF(metadata!B:B, metadata!B72) = 1,NOT(ISERROR(SUMPRODUCT(SEARCH(MID(metadata!B72,ROW(INDIRECT("1:"&amp;LEN(metadata!B72))), 1),"0123456789abcdefghijklmnopqrstuvwxyzABCDEFGHIJKLMNOPQRSTUVWXYZ.")))))</f>
        <v>0</v>
      </c>
      <c r="R72" t="b">
        <f>AND(IF(metadata!C72="",FALSE,TRUE),OR(EXACT(metadata!C72,"saline"),EXACT(metadata!C72,"non-saline")))</f>
        <v>0</v>
      </c>
      <c r="S72" t="b">
        <f>AND(IF(metadata!D72="",FALSE,TRUE),OR(EXACT(metadata!D72,"surface (non-saline)"),EXACT(metadata!D72,"aerosol (non-saline)"),EXACT(metadata!D72,"sediment (non-saline)"),EXACT(metadata!D72,"surface (saline)"),EXACT(metadata!D72,"aerosol (saline)"),EXACT(metadata!D72,"sediment (saline)")))</f>
        <v>0</v>
      </c>
      <c r="T72" t="b">
        <f>AND(IF(metadata!E72="",FALSE,TRUE),EXACT(metadata!E72,"built environment"))</f>
        <v>0</v>
      </c>
      <c r="U72" t="b">
        <f>OR(AND(IF(metadata!F72="",FALSE,TRUE),EXACT(metadata!F72,"not applicable")),AND(IF(metadata!F72="",FALSE,TRUE),EXACT(metadata!F72,"anaerobic digester content")))</f>
        <v>0</v>
      </c>
    </row>
    <row r="73" spans="1:21" x14ac:dyDescent="0.2">
      <c r="A73" s="4" t="str">
        <f ca="1">IF(B73=" "," ",HYPERLINK(CONCATENATE("#metadata!",ADDRESS(INDEX($L$2:$L$1001,MATCH(ROWS($J$2:J73),$J$2:$J$1001,0),0),1)),INDEX($O$2:$O$1001,MATCH(ROWS($J$2:J73),$J$2:$J$1001,0),0)))</f>
        <v xml:space="preserve"> </v>
      </c>
      <c r="B73" s="3" t="str">
        <f ca="1">IF(OR(INDEX($K$2:$K$1001,MATCH(ROWS($J$2:J73),$J$2:$J$1001,0),1)&gt;=100000,INDEX($Q$1005:$U$1005,1,MATCH(COLUMNS($Q$1006:Q1006),$Q$1006:$U$1006,0))&gt;=100000), " ",IF(INDEX($Q$2:$U$1001,MATCH(ROWS($J$2:J73),$J$2:$J$1001,0),MATCH(COLUMNS($Q$1006:Q1006),$Q$1006:$U$1006,0)), HYPERLINK("#",""), HYPERLINK(CONCATENATE("#metadata!", ADDRESS(INDEX($L$2:$L$1001,MATCH(ROWS($J$2:J73),$J$2:$J$1001,0),0), INDEX($Q$1004:$U$1004,1,MATCH(COLUMNS($Q$1006:Q1006),$Q$1006:$U$1006,0)))),"Fix")))</f>
        <v xml:space="preserve"> </v>
      </c>
      <c r="C73" s="3" t="str">
        <f ca="1">IF(OR(INDEX($K$2:$K$1001,MATCH(ROWS($J$2:J73),$J$2:$J$1001,0),1)&gt;=100000,INDEX($Q$1005:$U$1005,1,MATCH(COLUMNS($Q$1006:R1006),$Q$1006:$U$1006,0))&gt;=100000), " ",IF(INDEX($Q$2:$U$1001,MATCH(ROWS($J$2:J73),$J$2:$J$1001,0),MATCH(COLUMNS($Q$1006:R1006),$Q$1006:$U$1006,0)), HYPERLINK("#",""), HYPERLINK(CONCATENATE("#metadata!", ADDRESS(INDEX($L$2:$L$1001,MATCH(ROWS($J$2:J73),$J$2:$J$1001,0),0), INDEX($Q$1004:$U$1004,1,MATCH(COLUMNS($Q$1006:R1006),$Q$1006:$U$1006,0)))),"Fix")))</f>
        <v xml:space="preserve"> </v>
      </c>
      <c r="D73" s="3" t="str">
        <f ca="1">IF(OR(INDEX($K$2:$K$1001,MATCH(ROWS($J$2:J73),$J$2:$J$1001,0),1)&gt;=100000,INDEX($Q$1005:$U$1005,1,MATCH(COLUMNS($Q$1006:S1006),$Q$1006:$U$1006,0))&gt;=100000), " ",IF(INDEX($Q$2:$U$1001,MATCH(ROWS($J$2:J73),$J$2:$J$1001,0),MATCH(COLUMNS($Q$1006:S1006),$Q$1006:$U$1006,0)), HYPERLINK("#",""), HYPERLINK(CONCATENATE("#metadata!", ADDRESS(INDEX($L$2:$L$1001,MATCH(ROWS($J$2:J73),$J$2:$J$1001,0),0), INDEX($Q$1004:$U$1004,1,MATCH(COLUMNS($Q$1006:S1006),$Q$1006:$U$1006,0)))),"Fix")))</f>
        <v xml:space="preserve"> </v>
      </c>
      <c r="E73" s="3" t="str">
        <f ca="1">IF(OR(INDEX($K$2:$K$1001,MATCH(ROWS($J$2:J73),$J$2:$J$1001,0),1)&gt;=100000,INDEX($Q$1005:$U$1005,1,MATCH(COLUMNS($Q$1006:T1006),$Q$1006:$U$1006,0))&gt;=100000), " ",IF(INDEX($Q$2:$U$1001,MATCH(ROWS($J$2:J73),$J$2:$J$1001,0),MATCH(COLUMNS($Q$1006:T1006),$Q$1006:$U$1006,0)), HYPERLINK("#",""), HYPERLINK(CONCATENATE("#metadata!", ADDRESS(INDEX($L$2:$L$1001,MATCH(ROWS($J$2:J73),$J$2:$J$1001,0),0), INDEX($Q$1004:$U$1004,1,MATCH(COLUMNS($Q$1006:T1006),$Q$1006:$U$1006,0)))),"Fix")))</f>
        <v xml:space="preserve"> </v>
      </c>
      <c r="F73" s="3" t="str">
        <f ca="1">IF(OR(INDEX($K$2:$K$1001,MATCH(ROWS($J$2:J73),$J$2:$J$1001,0),1)&gt;=100000,INDEX($Q$1005:$U$1005,1,MATCH(COLUMNS($Q$1006:U1006),$Q$1006:$U$1006,0))&gt;=100000), " ",IF(INDEX($Q$2:$U$1001,MATCH(ROWS($J$2:J73),$J$2:$J$1001,0),MATCH(COLUMNS($Q$1006:U1006),$Q$1006:$U$1006,0)), HYPERLINK("#",""), HYPERLINK(CONCATENATE("#metadata!", ADDRESS(INDEX($L$2:$L$1001,MATCH(ROWS($J$2:J73),$J$2:$J$1001,0),0), INDEX($Q$1004:$U$1004,1,MATCH(COLUMNS($Q$1006:U1006),$Q$1006:$U$1006,0)))),"Fix")))</f>
        <v xml:space="preserve"> </v>
      </c>
      <c r="J73">
        <v>72</v>
      </c>
      <c r="K73">
        <v>100073</v>
      </c>
      <c r="L73">
        <v>73</v>
      </c>
      <c r="M73" t="b">
        <f t="shared" si="1"/>
        <v>1</v>
      </c>
      <c r="N73" t="b">
        <f>COUNTBLANK(metadata!B73:F73)=COLUMNS(metadata!B73:F73)</f>
        <v>1</v>
      </c>
      <c r="O73" t="str">
        <v/>
      </c>
      <c r="Q73" t="b">
        <f ca="1">AND(IF(metadata!B73="",FALSE,TRUE),COUNTIF(metadata!B:B, metadata!B73) = 1,NOT(ISERROR(SUMPRODUCT(SEARCH(MID(metadata!B73,ROW(INDIRECT("1:"&amp;LEN(metadata!B73))), 1),"0123456789abcdefghijklmnopqrstuvwxyzABCDEFGHIJKLMNOPQRSTUVWXYZ.")))))</f>
        <v>0</v>
      </c>
      <c r="R73" t="b">
        <f>AND(IF(metadata!C73="",FALSE,TRUE),OR(EXACT(metadata!C73,"saline"),EXACT(metadata!C73,"non-saline")))</f>
        <v>0</v>
      </c>
      <c r="S73" t="b">
        <f>AND(IF(metadata!D73="",FALSE,TRUE),OR(EXACT(metadata!D73,"surface (non-saline)"),EXACT(metadata!D73,"aerosol (non-saline)"),EXACT(metadata!D73,"sediment (non-saline)"),EXACT(metadata!D73,"surface (saline)"),EXACT(metadata!D73,"aerosol (saline)"),EXACT(metadata!D73,"sediment (saline)")))</f>
        <v>0</v>
      </c>
      <c r="T73" t="b">
        <f>AND(IF(metadata!E73="",FALSE,TRUE),EXACT(metadata!E73,"built environment"))</f>
        <v>0</v>
      </c>
      <c r="U73" t="b">
        <f>OR(AND(IF(metadata!F73="",FALSE,TRUE),EXACT(metadata!F73,"not applicable")),AND(IF(metadata!F73="",FALSE,TRUE),EXACT(metadata!F73,"anaerobic digester content")))</f>
        <v>0</v>
      </c>
    </row>
    <row r="74" spans="1:21" x14ac:dyDescent="0.2">
      <c r="A74" s="4" t="str">
        <f ca="1">IF(B74=" "," ",HYPERLINK(CONCATENATE("#metadata!",ADDRESS(INDEX($L$2:$L$1001,MATCH(ROWS($J$2:J74),$J$2:$J$1001,0),0),1)),INDEX($O$2:$O$1001,MATCH(ROWS($J$2:J74),$J$2:$J$1001,0),0)))</f>
        <v xml:space="preserve"> </v>
      </c>
      <c r="B74" s="3" t="str">
        <f ca="1">IF(OR(INDEX($K$2:$K$1001,MATCH(ROWS($J$2:J74),$J$2:$J$1001,0),1)&gt;=100000,INDEX($Q$1005:$U$1005,1,MATCH(COLUMNS($Q$1006:Q1006),$Q$1006:$U$1006,0))&gt;=100000), " ",IF(INDEX($Q$2:$U$1001,MATCH(ROWS($J$2:J74),$J$2:$J$1001,0),MATCH(COLUMNS($Q$1006:Q1006),$Q$1006:$U$1006,0)), HYPERLINK("#",""), HYPERLINK(CONCATENATE("#metadata!", ADDRESS(INDEX($L$2:$L$1001,MATCH(ROWS($J$2:J74),$J$2:$J$1001,0),0), INDEX($Q$1004:$U$1004,1,MATCH(COLUMNS($Q$1006:Q1006),$Q$1006:$U$1006,0)))),"Fix")))</f>
        <v xml:space="preserve"> </v>
      </c>
      <c r="C74" s="3" t="str">
        <f ca="1">IF(OR(INDEX($K$2:$K$1001,MATCH(ROWS($J$2:J74),$J$2:$J$1001,0),1)&gt;=100000,INDEX($Q$1005:$U$1005,1,MATCH(COLUMNS($Q$1006:R1006),$Q$1006:$U$1006,0))&gt;=100000), " ",IF(INDEX($Q$2:$U$1001,MATCH(ROWS($J$2:J74),$J$2:$J$1001,0),MATCH(COLUMNS($Q$1006:R1006),$Q$1006:$U$1006,0)), HYPERLINK("#",""), HYPERLINK(CONCATENATE("#metadata!", ADDRESS(INDEX($L$2:$L$1001,MATCH(ROWS($J$2:J74),$J$2:$J$1001,0),0), INDEX($Q$1004:$U$1004,1,MATCH(COLUMNS($Q$1006:R1006),$Q$1006:$U$1006,0)))),"Fix")))</f>
        <v xml:space="preserve"> </v>
      </c>
      <c r="D74" s="3" t="str">
        <f ca="1">IF(OR(INDEX($K$2:$K$1001,MATCH(ROWS($J$2:J74),$J$2:$J$1001,0),1)&gt;=100000,INDEX($Q$1005:$U$1005,1,MATCH(COLUMNS($Q$1006:S1006),$Q$1006:$U$1006,0))&gt;=100000), " ",IF(INDEX($Q$2:$U$1001,MATCH(ROWS($J$2:J74),$J$2:$J$1001,0),MATCH(COLUMNS($Q$1006:S1006),$Q$1006:$U$1006,0)), HYPERLINK("#",""), HYPERLINK(CONCATENATE("#metadata!", ADDRESS(INDEX($L$2:$L$1001,MATCH(ROWS($J$2:J74),$J$2:$J$1001,0),0), INDEX($Q$1004:$U$1004,1,MATCH(COLUMNS($Q$1006:S1006),$Q$1006:$U$1006,0)))),"Fix")))</f>
        <v xml:space="preserve"> </v>
      </c>
      <c r="E74" s="3" t="str">
        <f ca="1">IF(OR(INDEX($K$2:$K$1001,MATCH(ROWS($J$2:J74),$J$2:$J$1001,0),1)&gt;=100000,INDEX($Q$1005:$U$1005,1,MATCH(COLUMNS($Q$1006:T1006),$Q$1006:$U$1006,0))&gt;=100000), " ",IF(INDEX($Q$2:$U$1001,MATCH(ROWS($J$2:J74),$J$2:$J$1001,0),MATCH(COLUMNS($Q$1006:T1006),$Q$1006:$U$1006,0)), HYPERLINK("#",""), HYPERLINK(CONCATENATE("#metadata!", ADDRESS(INDEX($L$2:$L$1001,MATCH(ROWS($J$2:J74),$J$2:$J$1001,0),0), INDEX($Q$1004:$U$1004,1,MATCH(COLUMNS($Q$1006:T1006),$Q$1006:$U$1006,0)))),"Fix")))</f>
        <v xml:space="preserve"> </v>
      </c>
      <c r="F74" s="3" t="str">
        <f ca="1">IF(OR(INDEX($K$2:$K$1001,MATCH(ROWS($J$2:J74),$J$2:$J$1001,0),1)&gt;=100000,INDEX($Q$1005:$U$1005,1,MATCH(COLUMNS($Q$1006:U1006),$Q$1006:$U$1006,0))&gt;=100000), " ",IF(INDEX($Q$2:$U$1001,MATCH(ROWS($J$2:J74),$J$2:$J$1001,0),MATCH(COLUMNS($Q$1006:U1006),$Q$1006:$U$1006,0)), HYPERLINK("#",""), HYPERLINK(CONCATENATE("#metadata!", ADDRESS(INDEX($L$2:$L$1001,MATCH(ROWS($J$2:J74),$J$2:$J$1001,0),0), INDEX($Q$1004:$U$1004,1,MATCH(COLUMNS($Q$1006:U1006),$Q$1006:$U$1006,0)))),"Fix")))</f>
        <v xml:space="preserve"> </v>
      </c>
      <c r="J74">
        <v>73</v>
      </c>
      <c r="K74">
        <v>100074</v>
      </c>
      <c r="L74">
        <v>74</v>
      </c>
      <c r="M74" t="b">
        <f t="shared" si="1"/>
        <v>1</v>
      </c>
      <c r="N74" t="b">
        <f>COUNTBLANK(metadata!B74:F74)=COLUMNS(metadata!B74:F74)</f>
        <v>1</v>
      </c>
      <c r="O74" t="str">
        <v/>
      </c>
      <c r="Q74" t="b">
        <f ca="1">AND(IF(metadata!B74="",FALSE,TRUE),COUNTIF(metadata!B:B, metadata!B74) = 1,NOT(ISERROR(SUMPRODUCT(SEARCH(MID(metadata!B74,ROW(INDIRECT("1:"&amp;LEN(metadata!B74))), 1),"0123456789abcdefghijklmnopqrstuvwxyzABCDEFGHIJKLMNOPQRSTUVWXYZ.")))))</f>
        <v>0</v>
      </c>
      <c r="R74" t="b">
        <f>AND(IF(metadata!C74="",FALSE,TRUE),OR(EXACT(metadata!C74,"saline"),EXACT(metadata!C74,"non-saline")))</f>
        <v>0</v>
      </c>
      <c r="S74" t="b">
        <f>AND(IF(metadata!D74="",FALSE,TRUE),OR(EXACT(metadata!D74,"surface (non-saline)"),EXACT(metadata!D74,"aerosol (non-saline)"),EXACT(metadata!D74,"sediment (non-saline)"),EXACT(metadata!D74,"surface (saline)"),EXACT(metadata!D74,"aerosol (saline)"),EXACT(metadata!D74,"sediment (saline)")))</f>
        <v>0</v>
      </c>
      <c r="T74" t="b">
        <f>AND(IF(metadata!E74="",FALSE,TRUE),EXACT(metadata!E74,"built environment"))</f>
        <v>0</v>
      </c>
      <c r="U74" t="b">
        <f>OR(AND(IF(metadata!F74="",FALSE,TRUE),EXACT(metadata!F74,"not applicable")),AND(IF(metadata!F74="",FALSE,TRUE),EXACT(metadata!F74,"anaerobic digester content")))</f>
        <v>0</v>
      </c>
    </row>
    <row r="75" spans="1:21" x14ac:dyDescent="0.2">
      <c r="A75" s="4" t="str">
        <f ca="1">IF(B75=" "," ",HYPERLINK(CONCATENATE("#metadata!",ADDRESS(INDEX($L$2:$L$1001,MATCH(ROWS($J$2:J75),$J$2:$J$1001,0),0),1)),INDEX($O$2:$O$1001,MATCH(ROWS($J$2:J75),$J$2:$J$1001,0),0)))</f>
        <v xml:space="preserve"> </v>
      </c>
      <c r="B75" s="3" t="str">
        <f ca="1">IF(OR(INDEX($K$2:$K$1001,MATCH(ROWS($J$2:J75),$J$2:$J$1001,0),1)&gt;=100000,INDEX($Q$1005:$U$1005,1,MATCH(COLUMNS($Q$1006:Q1006),$Q$1006:$U$1006,0))&gt;=100000), " ",IF(INDEX($Q$2:$U$1001,MATCH(ROWS($J$2:J75),$J$2:$J$1001,0),MATCH(COLUMNS($Q$1006:Q1006),$Q$1006:$U$1006,0)), HYPERLINK("#",""), HYPERLINK(CONCATENATE("#metadata!", ADDRESS(INDEX($L$2:$L$1001,MATCH(ROWS($J$2:J75),$J$2:$J$1001,0),0), INDEX($Q$1004:$U$1004,1,MATCH(COLUMNS($Q$1006:Q1006),$Q$1006:$U$1006,0)))),"Fix")))</f>
        <v xml:space="preserve"> </v>
      </c>
      <c r="C75" s="3" t="str">
        <f ca="1">IF(OR(INDEX($K$2:$K$1001,MATCH(ROWS($J$2:J75),$J$2:$J$1001,0),1)&gt;=100000,INDEX($Q$1005:$U$1005,1,MATCH(COLUMNS($Q$1006:R1006),$Q$1006:$U$1006,0))&gt;=100000), " ",IF(INDEX($Q$2:$U$1001,MATCH(ROWS($J$2:J75),$J$2:$J$1001,0),MATCH(COLUMNS($Q$1006:R1006),$Q$1006:$U$1006,0)), HYPERLINK("#",""), HYPERLINK(CONCATENATE("#metadata!", ADDRESS(INDEX($L$2:$L$1001,MATCH(ROWS($J$2:J75),$J$2:$J$1001,0),0), INDEX($Q$1004:$U$1004,1,MATCH(COLUMNS($Q$1006:R1006),$Q$1006:$U$1006,0)))),"Fix")))</f>
        <v xml:space="preserve"> </v>
      </c>
      <c r="D75" s="3" t="str">
        <f ca="1">IF(OR(INDEX($K$2:$K$1001,MATCH(ROWS($J$2:J75),$J$2:$J$1001,0),1)&gt;=100000,INDEX($Q$1005:$U$1005,1,MATCH(COLUMNS($Q$1006:S1006),$Q$1006:$U$1006,0))&gt;=100000), " ",IF(INDEX($Q$2:$U$1001,MATCH(ROWS($J$2:J75),$J$2:$J$1001,0),MATCH(COLUMNS($Q$1006:S1006),$Q$1006:$U$1006,0)), HYPERLINK("#",""), HYPERLINK(CONCATENATE("#metadata!", ADDRESS(INDEX($L$2:$L$1001,MATCH(ROWS($J$2:J75),$J$2:$J$1001,0),0), INDEX($Q$1004:$U$1004,1,MATCH(COLUMNS($Q$1006:S1006),$Q$1006:$U$1006,0)))),"Fix")))</f>
        <v xml:space="preserve"> </v>
      </c>
      <c r="E75" s="3" t="str">
        <f ca="1">IF(OR(INDEX($K$2:$K$1001,MATCH(ROWS($J$2:J75),$J$2:$J$1001,0),1)&gt;=100000,INDEX($Q$1005:$U$1005,1,MATCH(COLUMNS($Q$1006:T1006),$Q$1006:$U$1006,0))&gt;=100000), " ",IF(INDEX($Q$2:$U$1001,MATCH(ROWS($J$2:J75),$J$2:$J$1001,0),MATCH(COLUMNS($Q$1006:T1006),$Q$1006:$U$1006,0)), HYPERLINK("#",""), HYPERLINK(CONCATENATE("#metadata!", ADDRESS(INDEX($L$2:$L$1001,MATCH(ROWS($J$2:J75),$J$2:$J$1001,0),0), INDEX($Q$1004:$U$1004,1,MATCH(COLUMNS($Q$1006:T1006),$Q$1006:$U$1006,0)))),"Fix")))</f>
        <v xml:space="preserve"> </v>
      </c>
      <c r="F75" s="3" t="str">
        <f ca="1">IF(OR(INDEX($K$2:$K$1001,MATCH(ROWS($J$2:J75),$J$2:$J$1001,0),1)&gt;=100000,INDEX($Q$1005:$U$1005,1,MATCH(COLUMNS($Q$1006:U1006),$Q$1006:$U$1006,0))&gt;=100000), " ",IF(INDEX($Q$2:$U$1001,MATCH(ROWS($J$2:J75),$J$2:$J$1001,0),MATCH(COLUMNS($Q$1006:U1006),$Q$1006:$U$1006,0)), HYPERLINK("#",""), HYPERLINK(CONCATENATE("#metadata!", ADDRESS(INDEX($L$2:$L$1001,MATCH(ROWS($J$2:J75),$J$2:$J$1001,0),0), INDEX($Q$1004:$U$1004,1,MATCH(COLUMNS($Q$1006:U1006),$Q$1006:$U$1006,0)))),"Fix")))</f>
        <v xml:space="preserve"> </v>
      </c>
      <c r="J75">
        <v>74</v>
      </c>
      <c r="K75">
        <v>100075</v>
      </c>
      <c r="L75">
        <v>75</v>
      </c>
      <c r="M75" t="b">
        <f t="shared" si="1"/>
        <v>1</v>
      </c>
      <c r="N75" t="b">
        <f>COUNTBLANK(metadata!B75:F75)=COLUMNS(metadata!B75:F75)</f>
        <v>1</v>
      </c>
      <c r="O75" t="str">
        <v/>
      </c>
      <c r="Q75" t="b">
        <f ca="1">AND(IF(metadata!B75="",FALSE,TRUE),COUNTIF(metadata!B:B, metadata!B75) = 1,NOT(ISERROR(SUMPRODUCT(SEARCH(MID(metadata!B75,ROW(INDIRECT("1:"&amp;LEN(metadata!B75))), 1),"0123456789abcdefghijklmnopqrstuvwxyzABCDEFGHIJKLMNOPQRSTUVWXYZ.")))))</f>
        <v>0</v>
      </c>
      <c r="R75" t="b">
        <f>AND(IF(metadata!C75="",FALSE,TRUE),OR(EXACT(metadata!C75,"saline"),EXACT(metadata!C75,"non-saline")))</f>
        <v>0</v>
      </c>
      <c r="S75" t="b">
        <f>AND(IF(metadata!D75="",FALSE,TRUE),OR(EXACT(metadata!D75,"surface (non-saline)"),EXACT(metadata!D75,"aerosol (non-saline)"),EXACT(metadata!D75,"sediment (non-saline)"),EXACT(metadata!D75,"surface (saline)"),EXACT(metadata!D75,"aerosol (saline)"),EXACT(metadata!D75,"sediment (saline)")))</f>
        <v>0</v>
      </c>
      <c r="T75" t="b">
        <f>AND(IF(metadata!E75="",FALSE,TRUE),EXACT(metadata!E75,"built environment"))</f>
        <v>0</v>
      </c>
      <c r="U75" t="b">
        <f>OR(AND(IF(metadata!F75="",FALSE,TRUE),EXACT(metadata!F75,"not applicable")),AND(IF(metadata!F75="",FALSE,TRUE),EXACT(metadata!F75,"anaerobic digester content")))</f>
        <v>0</v>
      </c>
    </row>
    <row r="76" spans="1:21" x14ac:dyDescent="0.2">
      <c r="A76" s="4" t="str">
        <f ca="1">IF(B76=" "," ",HYPERLINK(CONCATENATE("#metadata!",ADDRESS(INDEX($L$2:$L$1001,MATCH(ROWS($J$2:J76),$J$2:$J$1001,0),0),1)),INDEX($O$2:$O$1001,MATCH(ROWS($J$2:J76),$J$2:$J$1001,0),0)))</f>
        <v xml:space="preserve"> </v>
      </c>
      <c r="B76" s="3" t="str">
        <f ca="1">IF(OR(INDEX($K$2:$K$1001,MATCH(ROWS($J$2:J76),$J$2:$J$1001,0),1)&gt;=100000,INDEX($Q$1005:$U$1005,1,MATCH(COLUMNS($Q$1006:Q1006),$Q$1006:$U$1006,0))&gt;=100000), " ",IF(INDEX($Q$2:$U$1001,MATCH(ROWS($J$2:J76),$J$2:$J$1001,0),MATCH(COLUMNS($Q$1006:Q1006),$Q$1006:$U$1006,0)), HYPERLINK("#",""), HYPERLINK(CONCATENATE("#metadata!", ADDRESS(INDEX($L$2:$L$1001,MATCH(ROWS($J$2:J76),$J$2:$J$1001,0),0), INDEX($Q$1004:$U$1004,1,MATCH(COLUMNS($Q$1006:Q1006),$Q$1006:$U$1006,0)))),"Fix")))</f>
        <v xml:space="preserve"> </v>
      </c>
      <c r="C76" s="3" t="str">
        <f ca="1">IF(OR(INDEX($K$2:$K$1001,MATCH(ROWS($J$2:J76),$J$2:$J$1001,0),1)&gt;=100000,INDEX($Q$1005:$U$1005,1,MATCH(COLUMNS($Q$1006:R1006),$Q$1006:$U$1006,0))&gt;=100000), " ",IF(INDEX($Q$2:$U$1001,MATCH(ROWS($J$2:J76),$J$2:$J$1001,0),MATCH(COLUMNS($Q$1006:R1006),$Q$1006:$U$1006,0)), HYPERLINK("#",""), HYPERLINK(CONCATENATE("#metadata!", ADDRESS(INDEX($L$2:$L$1001,MATCH(ROWS($J$2:J76),$J$2:$J$1001,0),0), INDEX($Q$1004:$U$1004,1,MATCH(COLUMNS($Q$1006:R1006),$Q$1006:$U$1006,0)))),"Fix")))</f>
        <v xml:space="preserve"> </v>
      </c>
      <c r="D76" s="3" t="str">
        <f ca="1">IF(OR(INDEX($K$2:$K$1001,MATCH(ROWS($J$2:J76),$J$2:$J$1001,0),1)&gt;=100000,INDEX($Q$1005:$U$1005,1,MATCH(COLUMNS($Q$1006:S1006),$Q$1006:$U$1006,0))&gt;=100000), " ",IF(INDEX($Q$2:$U$1001,MATCH(ROWS($J$2:J76),$J$2:$J$1001,0),MATCH(COLUMNS($Q$1006:S1006),$Q$1006:$U$1006,0)), HYPERLINK("#",""), HYPERLINK(CONCATENATE("#metadata!", ADDRESS(INDEX($L$2:$L$1001,MATCH(ROWS($J$2:J76),$J$2:$J$1001,0),0), INDEX($Q$1004:$U$1004,1,MATCH(COLUMNS($Q$1006:S1006),$Q$1006:$U$1006,0)))),"Fix")))</f>
        <v xml:space="preserve"> </v>
      </c>
      <c r="E76" s="3" t="str">
        <f ca="1">IF(OR(INDEX($K$2:$K$1001,MATCH(ROWS($J$2:J76),$J$2:$J$1001,0),1)&gt;=100000,INDEX($Q$1005:$U$1005,1,MATCH(COLUMNS($Q$1006:T1006),$Q$1006:$U$1006,0))&gt;=100000), " ",IF(INDEX($Q$2:$U$1001,MATCH(ROWS($J$2:J76),$J$2:$J$1001,0),MATCH(COLUMNS($Q$1006:T1006),$Q$1006:$U$1006,0)), HYPERLINK("#",""), HYPERLINK(CONCATENATE("#metadata!", ADDRESS(INDEX($L$2:$L$1001,MATCH(ROWS($J$2:J76),$J$2:$J$1001,0),0), INDEX($Q$1004:$U$1004,1,MATCH(COLUMNS($Q$1006:T1006),$Q$1006:$U$1006,0)))),"Fix")))</f>
        <v xml:space="preserve"> </v>
      </c>
      <c r="F76" s="3" t="str">
        <f ca="1">IF(OR(INDEX($K$2:$K$1001,MATCH(ROWS($J$2:J76),$J$2:$J$1001,0),1)&gt;=100000,INDEX($Q$1005:$U$1005,1,MATCH(COLUMNS($Q$1006:U1006),$Q$1006:$U$1006,0))&gt;=100000), " ",IF(INDEX($Q$2:$U$1001,MATCH(ROWS($J$2:J76),$J$2:$J$1001,0),MATCH(COLUMNS($Q$1006:U1006),$Q$1006:$U$1006,0)), HYPERLINK("#",""), HYPERLINK(CONCATENATE("#metadata!", ADDRESS(INDEX($L$2:$L$1001,MATCH(ROWS($J$2:J76),$J$2:$J$1001,0),0), INDEX($Q$1004:$U$1004,1,MATCH(COLUMNS($Q$1006:U1006),$Q$1006:$U$1006,0)))),"Fix")))</f>
        <v xml:space="preserve"> </v>
      </c>
      <c r="J76">
        <v>75</v>
      </c>
      <c r="K76">
        <v>100076</v>
      </c>
      <c r="L76">
        <v>76</v>
      </c>
      <c r="M76" t="b">
        <f t="shared" si="1"/>
        <v>1</v>
      </c>
      <c r="N76" t="b">
        <f>COUNTBLANK(metadata!B76:F76)=COLUMNS(metadata!B76:F76)</f>
        <v>1</v>
      </c>
      <c r="O76" t="str">
        <v/>
      </c>
      <c r="Q76" t="b">
        <f ca="1">AND(IF(metadata!B76="",FALSE,TRUE),COUNTIF(metadata!B:B, metadata!B76) = 1,NOT(ISERROR(SUMPRODUCT(SEARCH(MID(metadata!B76,ROW(INDIRECT("1:"&amp;LEN(metadata!B76))), 1),"0123456789abcdefghijklmnopqrstuvwxyzABCDEFGHIJKLMNOPQRSTUVWXYZ.")))))</f>
        <v>0</v>
      </c>
      <c r="R76" t="b">
        <f>AND(IF(metadata!C76="",FALSE,TRUE),OR(EXACT(metadata!C76,"saline"),EXACT(metadata!C76,"non-saline")))</f>
        <v>0</v>
      </c>
      <c r="S76" t="b">
        <f>AND(IF(metadata!D76="",FALSE,TRUE),OR(EXACT(metadata!D76,"surface (non-saline)"),EXACT(metadata!D76,"aerosol (non-saline)"),EXACT(metadata!D76,"sediment (non-saline)"),EXACT(metadata!D76,"surface (saline)"),EXACT(metadata!D76,"aerosol (saline)"),EXACT(metadata!D76,"sediment (saline)")))</f>
        <v>0</v>
      </c>
      <c r="T76" t="b">
        <f>AND(IF(metadata!E76="",FALSE,TRUE),EXACT(metadata!E76,"built environment"))</f>
        <v>0</v>
      </c>
      <c r="U76" t="b">
        <f>OR(AND(IF(metadata!F76="",FALSE,TRUE),EXACT(metadata!F76,"not applicable")),AND(IF(metadata!F76="",FALSE,TRUE),EXACT(metadata!F76,"anaerobic digester content")))</f>
        <v>0</v>
      </c>
    </row>
    <row r="77" spans="1:21" x14ac:dyDescent="0.2">
      <c r="A77" s="4" t="str">
        <f ca="1">IF(B77=" "," ",HYPERLINK(CONCATENATE("#metadata!",ADDRESS(INDEX($L$2:$L$1001,MATCH(ROWS($J$2:J77),$J$2:$J$1001,0),0),1)),INDEX($O$2:$O$1001,MATCH(ROWS($J$2:J77),$J$2:$J$1001,0),0)))</f>
        <v xml:space="preserve"> </v>
      </c>
      <c r="B77" s="3" t="str">
        <f ca="1">IF(OR(INDEX($K$2:$K$1001,MATCH(ROWS($J$2:J77),$J$2:$J$1001,0),1)&gt;=100000,INDEX($Q$1005:$U$1005,1,MATCH(COLUMNS($Q$1006:Q1006),$Q$1006:$U$1006,0))&gt;=100000), " ",IF(INDEX($Q$2:$U$1001,MATCH(ROWS($J$2:J77),$J$2:$J$1001,0),MATCH(COLUMNS($Q$1006:Q1006),$Q$1006:$U$1006,0)), HYPERLINK("#",""), HYPERLINK(CONCATENATE("#metadata!", ADDRESS(INDEX($L$2:$L$1001,MATCH(ROWS($J$2:J77),$J$2:$J$1001,0),0), INDEX($Q$1004:$U$1004,1,MATCH(COLUMNS($Q$1006:Q1006),$Q$1006:$U$1006,0)))),"Fix")))</f>
        <v xml:space="preserve"> </v>
      </c>
      <c r="C77" s="3" t="str">
        <f ca="1">IF(OR(INDEX($K$2:$K$1001,MATCH(ROWS($J$2:J77),$J$2:$J$1001,0),1)&gt;=100000,INDEX($Q$1005:$U$1005,1,MATCH(COLUMNS($Q$1006:R1006),$Q$1006:$U$1006,0))&gt;=100000), " ",IF(INDEX($Q$2:$U$1001,MATCH(ROWS($J$2:J77),$J$2:$J$1001,0),MATCH(COLUMNS($Q$1006:R1006),$Q$1006:$U$1006,0)), HYPERLINK("#",""), HYPERLINK(CONCATENATE("#metadata!", ADDRESS(INDEX($L$2:$L$1001,MATCH(ROWS($J$2:J77),$J$2:$J$1001,0),0), INDEX($Q$1004:$U$1004,1,MATCH(COLUMNS($Q$1006:R1006),$Q$1006:$U$1006,0)))),"Fix")))</f>
        <v xml:space="preserve"> </v>
      </c>
      <c r="D77" s="3" t="str">
        <f ca="1">IF(OR(INDEX($K$2:$K$1001,MATCH(ROWS($J$2:J77),$J$2:$J$1001,0),1)&gt;=100000,INDEX($Q$1005:$U$1005,1,MATCH(COLUMNS($Q$1006:S1006),$Q$1006:$U$1006,0))&gt;=100000), " ",IF(INDEX($Q$2:$U$1001,MATCH(ROWS($J$2:J77),$J$2:$J$1001,0),MATCH(COLUMNS($Q$1006:S1006),$Q$1006:$U$1006,0)), HYPERLINK("#",""), HYPERLINK(CONCATENATE("#metadata!", ADDRESS(INDEX($L$2:$L$1001,MATCH(ROWS($J$2:J77),$J$2:$J$1001,0),0), INDEX($Q$1004:$U$1004,1,MATCH(COLUMNS($Q$1006:S1006),$Q$1006:$U$1006,0)))),"Fix")))</f>
        <v xml:space="preserve"> </v>
      </c>
      <c r="E77" s="3" t="str">
        <f ca="1">IF(OR(INDEX($K$2:$K$1001,MATCH(ROWS($J$2:J77),$J$2:$J$1001,0),1)&gt;=100000,INDEX($Q$1005:$U$1005,1,MATCH(COLUMNS($Q$1006:T1006),$Q$1006:$U$1006,0))&gt;=100000), " ",IF(INDEX($Q$2:$U$1001,MATCH(ROWS($J$2:J77),$J$2:$J$1001,0),MATCH(COLUMNS($Q$1006:T1006),$Q$1006:$U$1006,0)), HYPERLINK("#",""), HYPERLINK(CONCATENATE("#metadata!", ADDRESS(INDEX($L$2:$L$1001,MATCH(ROWS($J$2:J77),$J$2:$J$1001,0),0), INDEX($Q$1004:$U$1004,1,MATCH(COLUMNS($Q$1006:T1006),$Q$1006:$U$1006,0)))),"Fix")))</f>
        <v xml:space="preserve"> </v>
      </c>
      <c r="F77" s="3" t="str">
        <f ca="1">IF(OR(INDEX($K$2:$K$1001,MATCH(ROWS($J$2:J77),$J$2:$J$1001,0),1)&gt;=100000,INDEX($Q$1005:$U$1005,1,MATCH(COLUMNS($Q$1006:U1006),$Q$1006:$U$1006,0))&gt;=100000), " ",IF(INDEX($Q$2:$U$1001,MATCH(ROWS($J$2:J77),$J$2:$J$1001,0),MATCH(COLUMNS($Q$1006:U1006),$Q$1006:$U$1006,0)), HYPERLINK("#",""), HYPERLINK(CONCATENATE("#metadata!", ADDRESS(INDEX($L$2:$L$1001,MATCH(ROWS($J$2:J77),$J$2:$J$1001,0),0), INDEX($Q$1004:$U$1004,1,MATCH(COLUMNS($Q$1006:U1006),$Q$1006:$U$1006,0)))),"Fix")))</f>
        <v xml:space="preserve"> </v>
      </c>
      <c r="J77">
        <v>76</v>
      </c>
      <c r="K77">
        <v>100077</v>
      </c>
      <c r="L77">
        <v>77</v>
      </c>
      <c r="M77" t="b">
        <f t="shared" si="1"/>
        <v>1</v>
      </c>
      <c r="N77" t="b">
        <f>COUNTBLANK(metadata!B77:F77)=COLUMNS(metadata!B77:F77)</f>
        <v>1</v>
      </c>
      <c r="O77" t="str">
        <v/>
      </c>
      <c r="Q77" t="b">
        <f ca="1">AND(IF(metadata!B77="",FALSE,TRUE),COUNTIF(metadata!B:B, metadata!B77) = 1,NOT(ISERROR(SUMPRODUCT(SEARCH(MID(metadata!B77,ROW(INDIRECT("1:"&amp;LEN(metadata!B77))), 1),"0123456789abcdefghijklmnopqrstuvwxyzABCDEFGHIJKLMNOPQRSTUVWXYZ.")))))</f>
        <v>0</v>
      </c>
      <c r="R77" t="b">
        <f>AND(IF(metadata!C77="",FALSE,TRUE),OR(EXACT(metadata!C77,"saline"),EXACT(metadata!C77,"non-saline")))</f>
        <v>0</v>
      </c>
      <c r="S77" t="b">
        <f>AND(IF(metadata!D77="",FALSE,TRUE),OR(EXACT(metadata!D77,"surface (non-saline)"),EXACT(metadata!D77,"aerosol (non-saline)"),EXACT(metadata!D77,"sediment (non-saline)"),EXACT(metadata!D77,"surface (saline)"),EXACT(metadata!D77,"aerosol (saline)"),EXACT(metadata!D77,"sediment (saline)")))</f>
        <v>0</v>
      </c>
      <c r="T77" t="b">
        <f>AND(IF(metadata!E77="",FALSE,TRUE),EXACT(metadata!E77,"built environment"))</f>
        <v>0</v>
      </c>
      <c r="U77" t="b">
        <f>OR(AND(IF(metadata!F77="",FALSE,TRUE),EXACT(metadata!F77,"not applicable")),AND(IF(metadata!F77="",FALSE,TRUE),EXACT(metadata!F77,"anaerobic digester content")))</f>
        <v>0</v>
      </c>
    </row>
    <row r="78" spans="1:21" x14ac:dyDescent="0.2">
      <c r="A78" s="4" t="str">
        <f ca="1">IF(B78=" "," ",HYPERLINK(CONCATENATE("#metadata!",ADDRESS(INDEX($L$2:$L$1001,MATCH(ROWS($J$2:J78),$J$2:$J$1001,0),0),1)),INDEX($O$2:$O$1001,MATCH(ROWS($J$2:J78),$J$2:$J$1001,0),0)))</f>
        <v xml:space="preserve"> </v>
      </c>
      <c r="B78" s="3" t="str">
        <f ca="1">IF(OR(INDEX($K$2:$K$1001,MATCH(ROWS($J$2:J78),$J$2:$J$1001,0),1)&gt;=100000,INDEX($Q$1005:$U$1005,1,MATCH(COLUMNS($Q$1006:Q1006),$Q$1006:$U$1006,0))&gt;=100000), " ",IF(INDEX($Q$2:$U$1001,MATCH(ROWS($J$2:J78),$J$2:$J$1001,0),MATCH(COLUMNS($Q$1006:Q1006),$Q$1006:$U$1006,0)), HYPERLINK("#",""), HYPERLINK(CONCATENATE("#metadata!", ADDRESS(INDEX($L$2:$L$1001,MATCH(ROWS($J$2:J78),$J$2:$J$1001,0),0), INDEX($Q$1004:$U$1004,1,MATCH(COLUMNS($Q$1006:Q1006),$Q$1006:$U$1006,0)))),"Fix")))</f>
        <v xml:space="preserve"> </v>
      </c>
      <c r="C78" s="3" t="str">
        <f ca="1">IF(OR(INDEX($K$2:$K$1001,MATCH(ROWS($J$2:J78),$J$2:$J$1001,0),1)&gt;=100000,INDEX($Q$1005:$U$1005,1,MATCH(COLUMNS($Q$1006:R1006),$Q$1006:$U$1006,0))&gt;=100000), " ",IF(INDEX($Q$2:$U$1001,MATCH(ROWS($J$2:J78),$J$2:$J$1001,0),MATCH(COLUMNS($Q$1006:R1006),$Q$1006:$U$1006,0)), HYPERLINK("#",""), HYPERLINK(CONCATENATE("#metadata!", ADDRESS(INDEX($L$2:$L$1001,MATCH(ROWS($J$2:J78),$J$2:$J$1001,0),0), INDEX($Q$1004:$U$1004,1,MATCH(COLUMNS($Q$1006:R1006),$Q$1006:$U$1006,0)))),"Fix")))</f>
        <v xml:space="preserve"> </v>
      </c>
      <c r="D78" s="3" t="str">
        <f ca="1">IF(OR(INDEX($K$2:$K$1001,MATCH(ROWS($J$2:J78),$J$2:$J$1001,0),1)&gt;=100000,INDEX($Q$1005:$U$1005,1,MATCH(COLUMNS($Q$1006:S1006),$Q$1006:$U$1006,0))&gt;=100000), " ",IF(INDEX($Q$2:$U$1001,MATCH(ROWS($J$2:J78),$J$2:$J$1001,0),MATCH(COLUMNS($Q$1006:S1006),$Q$1006:$U$1006,0)), HYPERLINK("#",""), HYPERLINK(CONCATENATE("#metadata!", ADDRESS(INDEX($L$2:$L$1001,MATCH(ROWS($J$2:J78),$J$2:$J$1001,0),0), INDEX($Q$1004:$U$1004,1,MATCH(COLUMNS($Q$1006:S1006),$Q$1006:$U$1006,0)))),"Fix")))</f>
        <v xml:space="preserve"> </v>
      </c>
      <c r="E78" s="3" t="str">
        <f ca="1">IF(OR(INDEX($K$2:$K$1001,MATCH(ROWS($J$2:J78),$J$2:$J$1001,0),1)&gt;=100000,INDEX($Q$1005:$U$1005,1,MATCH(COLUMNS($Q$1006:T1006),$Q$1006:$U$1006,0))&gt;=100000), " ",IF(INDEX($Q$2:$U$1001,MATCH(ROWS($J$2:J78),$J$2:$J$1001,0),MATCH(COLUMNS($Q$1006:T1006),$Q$1006:$U$1006,0)), HYPERLINK("#",""), HYPERLINK(CONCATENATE("#metadata!", ADDRESS(INDEX($L$2:$L$1001,MATCH(ROWS($J$2:J78),$J$2:$J$1001,0),0), INDEX($Q$1004:$U$1004,1,MATCH(COLUMNS($Q$1006:T1006),$Q$1006:$U$1006,0)))),"Fix")))</f>
        <v xml:space="preserve"> </v>
      </c>
      <c r="F78" s="3" t="str">
        <f ca="1">IF(OR(INDEX($K$2:$K$1001,MATCH(ROWS($J$2:J78),$J$2:$J$1001,0),1)&gt;=100000,INDEX($Q$1005:$U$1005,1,MATCH(COLUMNS($Q$1006:U1006),$Q$1006:$U$1006,0))&gt;=100000), " ",IF(INDEX($Q$2:$U$1001,MATCH(ROWS($J$2:J78),$J$2:$J$1001,0),MATCH(COLUMNS($Q$1006:U1006),$Q$1006:$U$1006,0)), HYPERLINK("#",""), HYPERLINK(CONCATENATE("#metadata!", ADDRESS(INDEX($L$2:$L$1001,MATCH(ROWS($J$2:J78),$J$2:$J$1001,0),0), INDEX($Q$1004:$U$1004,1,MATCH(COLUMNS($Q$1006:U1006),$Q$1006:$U$1006,0)))),"Fix")))</f>
        <v xml:space="preserve"> </v>
      </c>
      <c r="J78">
        <v>77</v>
      </c>
      <c r="K78">
        <v>100078</v>
      </c>
      <c r="L78">
        <v>78</v>
      </c>
      <c r="M78" t="b">
        <f t="shared" si="1"/>
        <v>1</v>
      </c>
      <c r="N78" t="b">
        <f>COUNTBLANK(metadata!B78:F78)=COLUMNS(metadata!B78:F78)</f>
        <v>1</v>
      </c>
      <c r="O78" t="str">
        <v/>
      </c>
      <c r="Q78" t="b">
        <f ca="1">AND(IF(metadata!B78="",FALSE,TRUE),COUNTIF(metadata!B:B, metadata!B78) = 1,NOT(ISERROR(SUMPRODUCT(SEARCH(MID(metadata!B78,ROW(INDIRECT("1:"&amp;LEN(metadata!B78))), 1),"0123456789abcdefghijklmnopqrstuvwxyzABCDEFGHIJKLMNOPQRSTUVWXYZ.")))))</f>
        <v>0</v>
      </c>
      <c r="R78" t="b">
        <f>AND(IF(metadata!C78="",FALSE,TRUE),OR(EXACT(metadata!C78,"saline"),EXACT(metadata!C78,"non-saline")))</f>
        <v>0</v>
      </c>
      <c r="S78" t="b">
        <f>AND(IF(metadata!D78="",FALSE,TRUE),OR(EXACT(metadata!D78,"surface (non-saline)"),EXACT(metadata!D78,"aerosol (non-saline)"),EXACT(metadata!D78,"sediment (non-saline)"),EXACT(metadata!D78,"surface (saline)"),EXACT(metadata!D78,"aerosol (saline)"),EXACT(metadata!D78,"sediment (saline)")))</f>
        <v>0</v>
      </c>
      <c r="T78" t="b">
        <f>AND(IF(metadata!E78="",FALSE,TRUE),EXACT(metadata!E78,"built environment"))</f>
        <v>0</v>
      </c>
      <c r="U78" t="b">
        <f>OR(AND(IF(metadata!F78="",FALSE,TRUE),EXACT(metadata!F78,"not applicable")),AND(IF(metadata!F78="",FALSE,TRUE),EXACT(metadata!F78,"anaerobic digester content")))</f>
        <v>0</v>
      </c>
    </row>
    <row r="79" spans="1:21" x14ac:dyDescent="0.2">
      <c r="A79" s="4" t="str">
        <f ca="1">IF(B79=" "," ",HYPERLINK(CONCATENATE("#metadata!",ADDRESS(INDEX($L$2:$L$1001,MATCH(ROWS($J$2:J79),$J$2:$J$1001,0),0),1)),INDEX($O$2:$O$1001,MATCH(ROWS($J$2:J79),$J$2:$J$1001,0),0)))</f>
        <v xml:space="preserve"> </v>
      </c>
      <c r="B79" s="3" t="str">
        <f ca="1">IF(OR(INDEX($K$2:$K$1001,MATCH(ROWS($J$2:J79),$J$2:$J$1001,0),1)&gt;=100000,INDEX($Q$1005:$U$1005,1,MATCH(COLUMNS($Q$1006:Q1006),$Q$1006:$U$1006,0))&gt;=100000), " ",IF(INDEX($Q$2:$U$1001,MATCH(ROWS($J$2:J79),$J$2:$J$1001,0),MATCH(COLUMNS($Q$1006:Q1006),$Q$1006:$U$1006,0)), HYPERLINK("#",""), HYPERLINK(CONCATENATE("#metadata!", ADDRESS(INDEX($L$2:$L$1001,MATCH(ROWS($J$2:J79),$J$2:$J$1001,0),0), INDEX($Q$1004:$U$1004,1,MATCH(COLUMNS($Q$1006:Q1006),$Q$1006:$U$1006,0)))),"Fix")))</f>
        <v xml:space="preserve"> </v>
      </c>
      <c r="C79" s="3" t="str">
        <f ca="1">IF(OR(INDEX($K$2:$K$1001,MATCH(ROWS($J$2:J79),$J$2:$J$1001,0),1)&gt;=100000,INDEX($Q$1005:$U$1005,1,MATCH(COLUMNS($Q$1006:R1006),$Q$1006:$U$1006,0))&gt;=100000), " ",IF(INDEX($Q$2:$U$1001,MATCH(ROWS($J$2:J79),$J$2:$J$1001,0),MATCH(COLUMNS($Q$1006:R1006),$Q$1006:$U$1006,0)), HYPERLINK("#",""), HYPERLINK(CONCATENATE("#metadata!", ADDRESS(INDEX($L$2:$L$1001,MATCH(ROWS($J$2:J79),$J$2:$J$1001,0),0), INDEX($Q$1004:$U$1004,1,MATCH(COLUMNS($Q$1006:R1006),$Q$1006:$U$1006,0)))),"Fix")))</f>
        <v xml:space="preserve"> </v>
      </c>
      <c r="D79" s="3" t="str">
        <f ca="1">IF(OR(INDEX($K$2:$K$1001,MATCH(ROWS($J$2:J79),$J$2:$J$1001,0),1)&gt;=100000,INDEX($Q$1005:$U$1005,1,MATCH(COLUMNS($Q$1006:S1006),$Q$1006:$U$1006,0))&gt;=100000), " ",IF(INDEX($Q$2:$U$1001,MATCH(ROWS($J$2:J79),$J$2:$J$1001,0),MATCH(COLUMNS($Q$1006:S1006),$Q$1006:$U$1006,0)), HYPERLINK("#",""), HYPERLINK(CONCATENATE("#metadata!", ADDRESS(INDEX($L$2:$L$1001,MATCH(ROWS($J$2:J79),$J$2:$J$1001,0),0), INDEX($Q$1004:$U$1004,1,MATCH(COLUMNS($Q$1006:S1006),$Q$1006:$U$1006,0)))),"Fix")))</f>
        <v xml:space="preserve"> </v>
      </c>
      <c r="E79" s="3" t="str">
        <f ca="1">IF(OR(INDEX($K$2:$K$1001,MATCH(ROWS($J$2:J79),$J$2:$J$1001,0),1)&gt;=100000,INDEX($Q$1005:$U$1005,1,MATCH(COLUMNS($Q$1006:T1006),$Q$1006:$U$1006,0))&gt;=100000), " ",IF(INDEX($Q$2:$U$1001,MATCH(ROWS($J$2:J79),$J$2:$J$1001,0),MATCH(COLUMNS($Q$1006:T1006),$Q$1006:$U$1006,0)), HYPERLINK("#",""), HYPERLINK(CONCATENATE("#metadata!", ADDRESS(INDEX($L$2:$L$1001,MATCH(ROWS($J$2:J79),$J$2:$J$1001,0),0), INDEX($Q$1004:$U$1004,1,MATCH(COLUMNS($Q$1006:T1006),$Q$1006:$U$1006,0)))),"Fix")))</f>
        <v xml:space="preserve"> </v>
      </c>
      <c r="F79" s="3" t="str">
        <f ca="1">IF(OR(INDEX($K$2:$K$1001,MATCH(ROWS($J$2:J79),$J$2:$J$1001,0),1)&gt;=100000,INDEX($Q$1005:$U$1005,1,MATCH(COLUMNS($Q$1006:U1006),$Q$1006:$U$1006,0))&gt;=100000), " ",IF(INDEX($Q$2:$U$1001,MATCH(ROWS($J$2:J79),$J$2:$J$1001,0),MATCH(COLUMNS($Q$1006:U1006),$Q$1006:$U$1006,0)), HYPERLINK("#",""), HYPERLINK(CONCATENATE("#metadata!", ADDRESS(INDEX($L$2:$L$1001,MATCH(ROWS($J$2:J79),$J$2:$J$1001,0),0), INDEX($Q$1004:$U$1004,1,MATCH(COLUMNS($Q$1006:U1006),$Q$1006:$U$1006,0)))),"Fix")))</f>
        <v xml:space="preserve"> </v>
      </c>
      <c r="J79">
        <v>78</v>
      </c>
      <c r="K79">
        <v>100079</v>
      </c>
      <c r="L79">
        <v>79</v>
      </c>
      <c r="M79" t="b">
        <f t="shared" si="1"/>
        <v>1</v>
      </c>
      <c r="N79" t="b">
        <f>COUNTBLANK(metadata!B79:F79)=COLUMNS(metadata!B79:F79)</f>
        <v>1</v>
      </c>
      <c r="O79" t="str">
        <v/>
      </c>
      <c r="Q79" t="b">
        <f ca="1">AND(IF(metadata!B79="",FALSE,TRUE),COUNTIF(metadata!B:B, metadata!B79) = 1,NOT(ISERROR(SUMPRODUCT(SEARCH(MID(metadata!B79,ROW(INDIRECT("1:"&amp;LEN(metadata!B79))), 1),"0123456789abcdefghijklmnopqrstuvwxyzABCDEFGHIJKLMNOPQRSTUVWXYZ.")))))</f>
        <v>0</v>
      </c>
      <c r="R79" t="b">
        <f>AND(IF(metadata!C79="",FALSE,TRUE),OR(EXACT(metadata!C79,"saline"),EXACT(metadata!C79,"non-saline")))</f>
        <v>0</v>
      </c>
      <c r="S79" t="b">
        <f>AND(IF(metadata!D79="",FALSE,TRUE),OR(EXACT(metadata!D79,"surface (non-saline)"),EXACT(metadata!D79,"aerosol (non-saline)"),EXACT(metadata!D79,"sediment (non-saline)"),EXACT(metadata!D79,"surface (saline)"),EXACT(metadata!D79,"aerosol (saline)"),EXACT(metadata!D79,"sediment (saline)")))</f>
        <v>0</v>
      </c>
      <c r="T79" t="b">
        <f>AND(IF(metadata!E79="",FALSE,TRUE),EXACT(metadata!E79,"built environment"))</f>
        <v>0</v>
      </c>
      <c r="U79" t="b">
        <f>OR(AND(IF(metadata!F79="",FALSE,TRUE),EXACT(metadata!F79,"not applicable")),AND(IF(metadata!F79="",FALSE,TRUE),EXACT(metadata!F79,"anaerobic digester content")))</f>
        <v>0</v>
      </c>
    </row>
    <row r="80" spans="1:21" x14ac:dyDescent="0.2">
      <c r="A80" s="4" t="str">
        <f ca="1">IF(B80=" "," ",HYPERLINK(CONCATENATE("#metadata!",ADDRESS(INDEX($L$2:$L$1001,MATCH(ROWS($J$2:J80),$J$2:$J$1001,0),0),1)),INDEX($O$2:$O$1001,MATCH(ROWS($J$2:J80),$J$2:$J$1001,0),0)))</f>
        <v xml:space="preserve"> </v>
      </c>
      <c r="B80" s="3" t="str">
        <f ca="1">IF(OR(INDEX($K$2:$K$1001,MATCH(ROWS($J$2:J80),$J$2:$J$1001,0),1)&gt;=100000,INDEX($Q$1005:$U$1005,1,MATCH(COLUMNS($Q$1006:Q1006),$Q$1006:$U$1006,0))&gt;=100000), " ",IF(INDEX($Q$2:$U$1001,MATCH(ROWS($J$2:J80),$J$2:$J$1001,0),MATCH(COLUMNS($Q$1006:Q1006),$Q$1006:$U$1006,0)), HYPERLINK("#",""), HYPERLINK(CONCATENATE("#metadata!", ADDRESS(INDEX($L$2:$L$1001,MATCH(ROWS($J$2:J80),$J$2:$J$1001,0),0), INDEX($Q$1004:$U$1004,1,MATCH(COLUMNS($Q$1006:Q1006),$Q$1006:$U$1006,0)))),"Fix")))</f>
        <v xml:space="preserve"> </v>
      </c>
      <c r="C80" s="3" t="str">
        <f ca="1">IF(OR(INDEX($K$2:$K$1001,MATCH(ROWS($J$2:J80),$J$2:$J$1001,0),1)&gt;=100000,INDEX($Q$1005:$U$1005,1,MATCH(COLUMNS($Q$1006:R1006),$Q$1006:$U$1006,0))&gt;=100000), " ",IF(INDEX($Q$2:$U$1001,MATCH(ROWS($J$2:J80),$J$2:$J$1001,0),MATCH(COLUMNS($Q$1006:R1006),$Q$1006:$U$1006,0)), HYPERLINK("#",""), HYPERLINK(CONCATENATE("#metadata!", ADDRESS(INDEX($L$2:$L$1001,MATCH(ROWS($J$2:J80),$J$2:$J$1001,0),0), INDEX($Q$1004:$U$1004,1,MATCH(COLUMNS($Q$1006:R1006),$Q$1006:$U$1006,0)))),"Fix")))</f>
        <v xml:space="preserve"> </v>
      </c>
      <c r="D80" s="3" t="str">
        <f ca="1">IF(OR(INDEX($K$2:$K$1001,MATCH(ROWS($J$2:J80),$J$2:$J$1001,0),1)&gt;=100000,INDEX($Q$1005:$U$1005,1,MATCH(COLUMNS($Q$1006:S1006),$Q$1006:$U$1006,0))&gt;=100000), " ",IF(INDEX($Q$2:$U$1001,MATCH(ROWS($J$2:J80),$J$2:$J$1001,0),MATCH(COLUMNS($Q$1006:S1006),$Q$1006:$U$1006,0)), HYPERLINK("#",""), HYPERLINK(CONCATENATE("#metadata!", ADDRESS(INDEX($L$2:$L$1001,MATCH(ROWS($J$2:J80),$J$2:$J$1001,0),0), INDEX($Q$1004:$U$1004,1,MATCH(COLUMNS($Q$1006:S1006),$Q$1006:$U$1006,0)))),"Fix")))</f>
        <v xml:space="preserve"> </v>
      </c>
      <c r="E80" s="3" t="str">
        <f ca="1">IF(OR(INDEX($K$2:$K$1001,MATCH(ROWS($J$2:J80),$J$2:$J$1001,0),1)&gt;=100000,INDEX($Q$1005:$U$1005,1,MATCH(COLUMNS($Q$1006:T1006),$Q$1006:$U$1006,0))&gt;=100000), " ",IF(INDEX($Q$2:$U$1001,MATCH(ROWS($J$2:J80),$J$2:$J$1001,0),MATCH(COLUMNS($Q$1006:T1006),$Q$1006:$U$1006,0)), HYPERLINK("#",""), HYPERLINK(CONCATENATE("#metadata!", ADDRESS(INDEX($L$2:$L$1001,MATCH(ROWS($J$2:J80),$J$2:$J$1001,0),0), INDEX($Q$1004:$U$1004,1,MATCH(COLUMNS($Q$1006:T1006),$Q$1006:$U$1006,0)))),"Fix")))</f>
        <v xml:space="preserve"> </v>
      </c>
      <c r="F80" s="3" t="str">
        <f ca="1">IF(OR(INDEX($K$2:$K$1001,MATCH(ROWS($J$2:J80),$J$2:$J$1001,0),1)&gt;=100000,INDEX($Q$1005:$U$1005,1,MATCH(COLUMNS($Q$1006:U1006),$Q$1006:$U$1006,0))&gt;=100000), " ",IF(INDEX($Q$2:$U$1001,MATCH(ROWS($J$2:J80),$J$2:$J$1001,0),MATCH(COLUMNS($Q$1006:U1006),$Q$1006:$U$1006,0)), HYPERLINK("#",""), HYPERLINK(CONCATENATE("#metadata!", ADDRESS(INDEX($L$2:$L$1001,MATCH(ROWS($J$2:J80),$J$2:$J$1001,0),0), INDEX($Q$1004:$U$1004,1,MATCH(COLUMNS($Q$1006:U1006),$Q$1006:$U$1006,0)))),"Fix")))</f>
        <v xml:space="preserve"> </v>
      </c>
      <c r="J80">
        <v>79</v>
      </c>
      <c r="K80">
        <v>100080</v>
      </c>
      <c r="L80">
        <v>80</v>
      </c>
      <c r="M80" t="b">
        <f t="shared" si="1"/>
        <v>1</v>
      </c>
      <c r="N80" t="b">
        <f>COUNTBLANK(metadata!B80:F80)=COLUMNS(metadata!B80:F80)</f>
        <v>1</v>
      </c>
      <c r="O80" t="str">
        <v/>
      </c>
      <c r="Q80" t="b">
        <f ca="1">AND(IF(metadata!B80="",FALSE,TRUE),COUNTIF(metadata!B:B, metadata!B80) = 1,NOT(ISERROR(SUMPRODUCT(SEARCH(MID(metadata!B80,ROW(INDIRECT("1:"&amp;LEN(metadata!B80))), 1),"0123456789abcdefghijklmnopqrstuvwxyzABCDEFGHIJKLMNOPQRSTUVWXYZ.")))))</f>
        <v>0</v>
      </c>
      <c r="R80" t="b">
        <f>AND(IF(metadata!C80="",FALSE,TRUE),OR(EXACT(metadata!C80,"saline"),EXACT(metadata!C80,"non-saline")))</f>
        <v>0</v>
      </c>
      <c r="S80" t="b">
        <f>AND(IF(metadata!D80="",FALSE,TRUE),OR(EXACT(metadata!D80,"surface (non-saline)"),EXACT(metadata!D80,"aerosol (non-saline)"),EXACT(metadata!D80,"sediment (non-saline)"),EXACT(metadata!D80,"surface (saline)"),EXACT(metadata!D80,"aerosol (saline)"),EXACT(metadata!D80,"sediment (saline)")))</f>
        <v>0</v>
      </c>
      <c r="T80" t="b">
        <f>AND(IF(metadata!E80="",FALSE,TRUE),EXACT(metadata!E80,"built environment"))</f>
        <v>0</v>
      </c>
      <c r="U80" t="b">
        <f>OR(AND(IF(metadata!F80="",FALSE,TRUE),EXACT(metadata!F80,"not applicable")),AND(IF(metadata!F80="",FALSE,TRUE),EXACT(metadata!F80,"anaerobic digester content")))</f>
        <v>0</v>
      </c>
    </row>
    <row r="81" spans="1:21" x14ac:dyDescent="0.2">
      <c r="A81" s="4" t="str">
        <f ca="1">IF(B81=" "," ",HYPERLINK(CONCATENATE("#metadata!",ADDRESS(INDEX($L$2:$L$1001,MATCH(ROWS($J$2:J81),$J$2:$J$1001,0),0),1)),INDEX($O$2:$O$1001,MATCH(ROWS($J$2:J81),$J$2:$J$1001,0),0)))</f>
        <v xml:space="preserve"> </v>
      </c>
      <c r="B81" s="3" t="str">
        <f ca="1">IF(OR(INDEX($K$2:$K$1001,MATCH(ROWS($J$2:J81),$J$2:$J$1001,0),1)&gt;=100000,INDEX($Q$1005:$U$1005,1,MATCH(COLUMNS($Q$1006:Q1006),$Q$1006:$U$1006,0))&gt;=100000), " ",IF(INDEX($Q$2:$U$1001,MATCH(ROWS($J$2:J81),$J$2:$J$1001,0),MATCH(COLUMNS($Q$1006:Q1006),$Q$1006:$U$1006,0)), HYPERLINK("#",""), HYPERLINK(CONCATENATE("#metadata!", ADDRESS(INDEX($L$2:$L$1001,MATCH(ROWS($J$2:J81),$J$2:$J$1001,0),0), INDEX($Q$1004:$U$1004,1,MATCH(COLUMNS($Q$1006:Q1006),$Q$1006:$U$1006,0)))),"Fix")))</f>
        <v xml:space="preserve"> </v>
      </c>
      <c r="C81" s="3" t="str">
        <f ca="1">IF(OR(INDEX($K$2:$K$1001,MATCH(ROWS($J$2:J81),$J$2:$J$1001,0),1)&gt;=100000,INDEX($Q$1005:$U$1005,1,MATCH(COLUMNS($Q$1006:R1006),$Q$1006:$U$1006,0))&gt;=100000), " ",IF(INDEX($Q$2:$U$1001,MATCH(ROWS($J$2:J81),$J$2:$J$1001,0),MATCH(COLUMNS($Q$1006:R1006),$Q$1006:$U$1006,0)), HYPERLINK("#",""), HYPERLINK(CONCATENATE("#metadata!", ADDRESS(INDEX($L$2:$L$1001,MATCH(ROWS($J$2:J81),$J$2:$J$1001,0),0), INDEX($Q$1004:$U$1004,1,MATCH(COLUMNS($Q$1006:R1006),$Q$1006:$U$1006,0)))),"Fix")))</f>
        <v xml:space="preserve"> </v>
      </c>
      <c r="D81" s="3" t="str">
        <f ca="1">IF(OR(INDEX($K$2:$K$1001,MATCH(ROWS($J$2:J81),$J$2:$J$1001,0),1)&gt;=100000,INDEX($Q$1005:$U$1005,1,MATCH(COLUMNS($Q$1006:S1006),$Q$1006:$U$1006,0))&gt;=100000), " ",IF(INDEX($Q$2:$U$1001,MATCH(ROWS($J$2:J81),$J$2:$J$1001,0),MATCH(COLUMNS($Q$1006:S1006),$Q$1006:$U$1006,0)), HYPERLINK("#",""), HYPERLINK(CONCATENATE("#metadata!", ADDRESS(INDEX($L$2:$L$1001,MATCH(ROWS($J$2:J81),$J$2:$J$1001,0),0), INDEX($Q$1004:$U$1004,1,MATCH(COLUMNS($Q$1006:S1006),$Q$1006:$U$1006,0)))),"Fix")))</f>
        <v xml:space="preserve"> </v>
      </c>
      <c r="E81" s="3" t="str">
        <f ca="1">IF(OR(INDEX($K$2:$K$1001,MATCH(ROWS($J$2:J81),$J$2:$J$1001,0),1)&gt;=100000,INDEX($Q$1005:$U$1005,1,MATCH(COLUMNS($Q$1006:T1006),$Q$1006:$U$1006,0))&gt;=100000), " ",IF(INDEX($Q$2:$U$1001,MATCH(ROWS($J$2:J81),$J$2:$J$1001,0),MATCH(COLUMNS($Q$1006:T1006),$Q$1006:$U$1006,0)), HYPERLINK("#",""), HYPERLINK(CONCATENATE("#metadata!", ADDRESS(INDEX($L$2:$L$1001,MATCH(ROWS($J$2:J81),$J$2:$J$1001,0),0), INDEX($Q$1004:$U$1004,1,MATCH(COLUMNS($Q$1006:T1006),$Q$1006:$U$1006,0)))),"Fix")))</f>
        <v xml:space="preserve"> </v>
      </c>
      <c r="F81" s="3" t="str">
        <f ca="1">IF(OR(INDEX($K$2:$K$1001,MATCH(ROWS($J$2:J81),$J$2:$J$1001,0),1)&gt;=100000,INDEX($Q$1005:$U$1005,1,MATCH(COLUMNS($Q$1006:U1006),$Q$1006:$U$1006,0))&gt;=100000), " ",IF(INDEX($Q$2:$U$1001,MATCH(ROWS($J$2:J81),$J$2:$J$1001,0),MATCH(COLUMNS($Q$1006:U1006),$Q$1006:$U$1006,0)), HYPERLINK("#",""), HYPERLINK(CONCATENATE("#metadata!", ADDRESS(INDEX($L$2:$L$1001,MATCH(ROWS($J$2:J81),$J$2:$J$1001,0),0), INDEX($Q$1004:$U$1004,1,MATCH(COLUMNS($Q$1006:U1006),$Q$1006:$U$1006,0)))),"Fix")))</f>
        <v xml:space="preserve"> </v>
      </c>
      <c r="J81">
        <v>80</v>
      </c>
      <c r="K81">
        <v>100081</v>
      </c>
      <c r="L81">
        <v>81</v>
      </c>
      <c r="M81" t="b">
        <f t="shared" si="1"/>
        <v>1</v>
      </c>
      <c r="N81" t="b">
        <f>COUNTBLANK(metadata!B81:F81)=COLUMNS(metadata!B81:F81)</f>
        <v>1</v>
      </c>
      <c r="O81" t="str">
        <v/>
      </c>
      <c r="Q81" t="b">
        <f ca="1">AND(IF(metadata!B81="",FALSE,TRUE),COUNTIF(metadata!B:B, metadata!B81) = 1,NOT(ISERROR(SUMPRODUCT(SEARCH(MID(metadata!B81,ROW(INDIRECT("1:"&amp;LEN(metadata!B81))), 1),"0123456789abcdefghijklmnopqrstuvwxyzABCDEFGHIJKLMNOPQRSTUVWXYZ.")))))</f>
        <v>0</v>
      </c>
      <c r="R81" t="b">
        <f>AND(IF(metadata!C81="",FALSE,TRUE),OR(EXACT(metadata!C81,"saline"),EXACT(metadata!C81,"non-saline")))</f>
        <v>0</v>
      </c>
      <c r="S81" t="b">
        <f>AND(IF(metadata!D81="",FALSE,TRUE),OR(EXACT(metadata!D81,"surface (non-saline)"),EXACT(metadata!D81,"aerosol (non-saline)"),EXACT(metadata!D81,"sediment (non-saline)"),EXACT(metadata!D81,"surface (saline)"),EXACT(metadata!D81,"aerosol (saline)"),EXACT(metadata!D81,"sediment (saline)")))</f>
        <v>0</v>
      </c>
      <c r="T81" t="b">
        <f>AND(IF(metadata!E81="",FALSE,TRUE),EXACT(metadata!E81,"built environment"))</f>
        <v>0</v>
      </c>
      <c r="U81" t="b">
        <f>OR(AND(IF(metadata!F81="",FALSE,TRUE),EXACT(metadata!F81,"not applicable")),AND(IF(metadata!F81="",FALSE,TRUE),EXACT(metadata!F81,"anaerobic digester content")))</f>
        <v>0</v>
      </c>
    </row>
    <row r="82" spans="1:21" x14ac:dyDescent="0.2">
      <c r="A82" s="4" t="str">
        <f ca="1">IF(B82=" "," ",HYPERLINK(CONCATENATE("#metadata!",ADDRESS(INDEX($L$2:$L$1001,MATCH(ROWS($J$2:J82),$J$2:$J$1001,0),0),1)),INDEX($O$2:$O$1001,MATCH(ROWS($J$2:J82),$J$2:$J$1001,0),0)))</f>
        <v xml:space="preserve"> </v>
      </c>
      <c r="B82" s="3" t="str">
        <f ca="1">IF(OR(INDEX($K$2:$K$1001,MATCH(ROWS($J$2:J82),$J$2:$J$1001,0),1)&gt;=100000,INDEX($Q$1005:$U$1005,1,MATCH(COLUMNS($Q$1006:Q1006),$Q$1006:$U$1006,0))&gt;=100000), " ",IF(INDEX($Q$2:$U$1001,MATCH(ROWS($J$2:J82),$J$2:$J$1001,0),MATCH(COLUMNS($Q$1006:Q1006),$Q$1006:$U$1006,0)), HYPERLINK("#",""), HYPERLINK(CONCATENATE("#metadata!", ADDRESS(INDEX($L$2:$L$1001,MATCH(ROWS($J$2:J82),$J$2:$J$1001,0),0), INDEX($Q$1004:$U$1004,1,MATCH(COLUMNS($Q$1006:Q1006),$Q$1006:$U$1006,0)))),"Fix")))</f>
        <v xml:space="preserve"> </v>
      </c>
      <c r="C82" s="3" t="str">
        <f ca="1">IF(OR(INDEX($K$2:$K$1001,MATCH(ROWS($J$2:J82),$J$2:$J$1001,0),1)&gt;=100000,INDEX($Q$1005:$U$1005,1,MATCH(COLUMNS($Q$1006:R1006),$Q$1006:$U$1006,0))&gt;=100000), " ",IF(INDEX($Q$2:$U$1001,MATCH(ROWS($J$2:J82),$J$2:$J$1001,0),MATCH(COLUMNS($Q$1006:R1006),$Q$1006:$U$1006,0)), HYPERLINK("#",""), HYPERLINK(CONCATENATE("#metadata!", ADDRESS(INDEX($L$2:$L$1001,MATCH(ROWS($J$2:J82),$J$2:$J$1001,0),0), INDEX($Q$1004:$U$1004,1,MATCH(COLUMNS($Q$1006:R1006),$Q$1006:$U$1006,0)))),"Fix")))</f>
        <v xml:space="preserve"> </v>
      </c>
      <c r="D82" s="3" t="str">
        <f ca="1">IF(OR(INDEX($K$2:$K$1001,MATCH(ROWS($J$2:J82),$J$2:$J$1001,0),1)&gt;=100000,INDEX($Q$1005:$U$1005,1,MATCH(COLUMNS($Q$1006:S1006),$Q$1006:$U$1006,0))&gt;=100000), " ",IF(INDEX($Q$2:$U$1001,MATCH(ROWS($J$2:J82),$J$2:$J$1001,0),MATCH(COLUMNS($Q$1006:S1006),$Q$1006:$U$1006,0)), HYPERLINK("#",""), HYPERLINK(CONCATENATE("#metadata!", ADDRESS(INDEX($L$2:$L$1001,MATCH(ROWS($J$2:J82),$J$2:$J$1001,0),0), INDEX($Q$1004:$U$1004,1,MATCH(COLUMNS($Q$1006:S1006),$Q$1006:$U$1006,0)))),"Fix")))</f>
        <v xml:space="preserve"> </v>
      </c>
      <c r="E82" s="3" t="str">
        <f ca="1">IF(OR(INDEX($K$2:$K$1001,MATCH(ROWS($J$2:J82),$J$2:$J$1001,0),1)&gt;=100000,INDEX($Q$1005:$U$1005,1,MATCH(COLUMNS($Q$1006:T1006),$Q$1006:$U$1006,0))&gt;=100000), " ",IF(INDEX($Q$2:$U$1001,MATCH(ROWS($J$2:J82),$J$2:$J$1001,0),MATCH(COLUMNS($Q$1006:T1006),$Q$1006:$U$1006,0)), HYPERLINK("#",""), HYPERLINK(CONCATENATE("#metadata!", ADDRESS(INDEX($L$2:$L$1001,MATCH(ROWS($J$2:J82),$J$2:$J$1001,0),0), INDEX($Q$1004:$U$1004,1,MATCH(COLUMNS($Q$1006:T1006),$Q$1006:$U$1006,0)))),"Fix")))</f>
        <v xml:space="preserve"> </v>
      </c>
      <c r="F82" s="3" t="str">
        <f ca="1">IF(OR(INDEX($K$2:$K$1001,MATCH(ROWS($J$2:J82),$J$2:$J$1001,0),1)&gt;=100000,INDEX($Q$1005:$U$1005,1,MATCH(COLUMNS($Q$1006:U1006),$Q$1006:$U$1006,0))&gt;=100000), " ",IF(INDEX($Q$2:$U$1001,MATCH(ROWS($J$2:J82),$J$2:$J$1001,0),MATCH(COLUMNS($Q$1006:U1006),$Q$1006:$U$1006,0)), HYPERLINK("#",""), HYPERLINK(CONCATENATE("#metadata!", ADDRESS(INDEX($L$2:$L$1001,MATCH(ROWS($J$2:J82),$J$2:$J$1001,0),0), INDEX($Q$1004:$U$1004,1,MATCH(COLUMNS($Q$1006:U1006),$Q$1006:$U$1006,0)))),"Fix")))</f>
        <v xml:space="preserve"> </v>
      </c>
      <c r="J82">
        <v>81</v>
      </c>
      <c r="K82">
        <v>100082</v>
      </c>
      <c r="L82">
        <v>82</v>
      </c>
      <c r="M82" t="b">
        <f t="shared" si="1"/>
        <v>1</v>
      </c>
      <c r="N82" t="b">
        <f>COUNTBLANK(metadata!B82:F82)=COLUMNS(metadata!B82:F82)</f>
        <v>1</v>
      </c>
      <c r="O82" t="str">
        <v/>
      </c>
      <c r="Q82" t="b">
        <f ca="1">AND(IF(metadata!B82="",FALSE,TRUE),COUNTIF(metadata!B:B, metadata!B82) = 1,NOT(ISERROR(SUMPRODUCT(SEARCH(MID(metadata!B82,ROW(INDIRECT("1:"&amp;LEN(metadata!B82))), 1),"0123456789abcdefghijklmnopqrstuvwxyzABCDEFGHIJKLMNOPQRSTUVWXYZ.")))))</f>
        <v>0</v>
      </c>
      <c r="R82" t="b">
        <f>AND(IF(metadata!C82="",FALSE,TRUE),OR(EXACT(metadata!C82,"saline"),EXACT(metadata!C82,"non-saline")))</f>
        <v>0</v>
      </c>
      <c r="S82" t="b">
        <f>AND(IF(metadata!D82="",FALSE,TRUE),OR(EXACT(metadata!D82,"surface (non-saline)"),EXACT(metadata!D82,"aerosol (non-saline)"),EXACT(metadata!D82,"sediment (non-saline)"),EXACT(metadata!D82,"surface (saline)"),EXACT(metadata!D82,"aerosol (saline)"),EXACT(metadata!D82,"sediment (saline)")))</f>
        <v>0</v>
      </c>
      <c r="T82" t="b">
        <f>AND(IF(metadata!E82="",FALSE,TRUE),EXACT(metadata!E82,"built environment"))</f>
        <v>0</v>
      </c>
      <c r="U82" t="b">
        <f>OR(AND(IF(metadata!F82="",FALSE,TRUE),EXACT(metadata!F82,"not applicable")),AND(IF(metadata!F82="",FALSE,TRUE),EXACT(metadata!F82,"anaerobic digester content")))</f>
        <v>0</v>
      </c>
    </row>
    <row r="83" spans="1:21" x14ac:dyDescent="0.2">
      <c r="A83" s="4" t="str">
        <f ca="1">IF(B83=" "," ",HYPERLINK(CONCATENATE("#metadata!",ADDRESS(INDEX($L$2:$L$1001,MATCH(ROWS($J$2:J83),$J$2:$J$1001,0),0),1)),INDEX($O$2:$O$1001,MATCH(ROWS($J$2:J83),$J$2:$J$1001,0),0)))</f>
        <v xml:space="preserve"> </v>
      </c>
      <c r="B83" s="3" t="str">
        <f ca="1">IF(OR(INDEX($K$2:$K$1001,MATCH(ROWS($J$2:J83),$J$2:$J$1001,0),1)&gt;=100000,INDEX($Q$1005:$U$1005,1,MATCH(COLUMNS($Q$1006:Q1006),$Q$1006:$U$1006,0))&gt;=100000), " ",IF(INDEX($Q$2:$U$1001,MATCH(ROWS($J$2:J83),$J$2:$J$1001,0),MATCH(COLUMNS($Q$1006:Q1006),$Q$1006:$U$1006,0)), HYPERLINK("#",""), HYPERLINK(CONCATENATE("#metadata!", ADDRESS(INDEX($L$2:$L$1001,MATCH(ROWS($J$2:J83),$J$2:$J$1001,0),0), INDEX($Q$1004:$U$1004,1,MATCH(COLUMNS($Q$1006:Q1006),$Q$1006:$U$1006,0)))),"Fix")))</f>
        <v xml:space="preserve"> </v>
      </c>
      <c r="C83" s="3" t="str">
        <f ca="1">IF(OR(INDEX($K$2:$K$1001,MATCH(ROWS($J$2:J83),$J$2:$J$1001,0),1)&gt;=100000,INDEX($Q$1005:$U$1005,1,MATCH(COLUMNS($Q$1006:R1006),$Q$1006:$U$1006,0))&gt;=100000), " ",IF(INDEX($Q$2:$U$1001,MATCH(ROWS($J$2:J83),$J$2:$J$1001,0),MATCH(COLUMNS($Q$1006:R1006),$Q$1006:$U$1006,0)), HYPERLINK("#",""), HYPERLINK(CONCATENATE("#metadata!", ADDRESS(INDEX($L$2:$L$1001,MATCH(ROWS($J$2:J83),$J$2:$J$1001,0),0), INDEX($Q$1004:$U$1004,1,MATCH(COLUMNS($Q$1006:R1006),$Q$1006:$U$1006,0)))),"Fix")))</f>
        <v xml:space="preserve"> </v>
      </c>
      <c r="D83" s="3" t="str">
        <f ca="1">IF(OR(INDEX($K$2:$K$1001,MATCH(ROWS($J$2:J83),$J$2:$J$1001,0),1)&gt;=100000,INDEX($Q$1005:$U$1005,1,MATCH(COLUMNS($Q$1006:S1006),$Q$1006:$U$1006,0))&gt;=100000), " ",IF(INDEX($Q$2:$U$1001,MATCH(ROWS($J$2:J83),$J$2:$J$1001,0),MATCH(COLUMNS($Q$1006:S1006),$Q$1006:$U$1006,0)), HYPERLINK("#",""), HYPERLINK(CONCATENATE("#metadata!", ADDRESS(INDEX($L$2:$L$1001,MATCH(ROWS($J$2:J83),$J$2:$J$1001,0),0), INDEX($Q$1004:$U$1004,1,MATCH(COLUMNS($Q$1006:S1006),$Q$1006:$U$1006,0)))),"Fix")))</f>
        <v xml:space="preserve"> </v>
      </c>
      <c r="E83" s="3" t="str">
        <f ca="1">IF(OR(INDEX($K$2:$K$1001,MATCH(ROWS($J$2:J83),$J$2:$J$1001,0),1)&gt;=100000,INDEX($Q$1005:$U$1005,1,MATCH(COLUMNS($Q$1006:T1006),$Q$1006:$U$1006,0))&gt;=100000), " ",IF(INDEX($Q$2:$U$1001,MATCH(ROWS($J$2:J83),$J$2:$J$1001,0),MATCH(COLUMNS($Q$1006:T1006),$Q$1006:$U$1006,0)), HYPERLINK("#",""), HYPERLINK(CONCATENATE("#metadata!", ADDRESS(INDEX($L$2:$L$1001,MATCH(ROWS($J$2:J83),$J$2:$J$1001,0),0), INDEX($Q$1004:$U$1004,1,MATCH(COLUMNS($Q$1006:T1006),$Q$1006:$U$1006,0)))),"Fix")))</f>
        <v xml:space="preserve"> </v>
      </c>
      <c r="F83" s="3" t="str">
        <f ca="1">IF(OR(INDEX($K$2:$K$1001,MATCH(ROWS($J$2:J83),$J$2:$J$1001,0),1)&gt;=100000,INDEX($Q$1005:$U$1005,1,MATCH(COLUMNS($Q$1006:U1006),$Q$1006:$U$1006,0))&gt;=100000), " ",IF(INDEX($Q$2:$U$1001,MATCH(ROWS($J$2:J83),$J$2:$J$1001,0),MATCH(COLUMNS($Q$1006:U1006),$Q$1006:$U$1006,0)), HYPERLINK("#",""), HYPERLINK(CONCATENATE("#metadata!", ADDRESS(INDEX($L$2:$L$1001,MATCH(ROWS($J$2:J83),$J$2:$J$1001,0),0), INDEX($Q$1004:$U$1004,1,MATCH(COLUMNS($Q$1006:U1006),$Q$1006:$U$1006,0)))),"Fix")))</f>
        <v xml:space="preserve"> </v>
      </c>
      <c r="J83">
        <v>82</v>
      </c>
      <c r="K83">
        <v>100083</v>
      </c>
      <c r="L83">
        <v>83</v>
      </c>
      <c r="M83" t="b">
        <f t="shared" si="1"/>
        <v>1</v>
      </c>
      <c r="N83" t="b">
        <f>COUNTBLANK(metadata!B83:F83)=COLUMNS(metadata!B83:F83)</f>
        <v>1</v>
      </c>
      <c r="O83" t="str">
        <v/>
      </c>
      <c r="Q83" t="b">
        <f ca="1">AND(IF(metadata!B83="",FALSE,TRUE),COUNTIF(metadata!B:B, metadata!B83) = 1,NOT(ISERROR(SUMPRODUCT(SEARCH(MID(metadata!B83,ROW(INDIRECT("1:"&amp;LEN(metadata!B83))), 1),"0123456789abcdefghijklmnopqrstuvwxyzABCDEFGHIJKLMNOPQRSTUVWXYZ.")))))</f>
        <v>0</v>
      </c>
      <c r="R83" t="b">
        <f>AND(IF(metadata!C83="",FALSE,TRUE),OR(EXACT(metadata!C83,"saline"),EXACT(metadata!C83,"non-saline")))</f>
        <v>0</v>
      </c>
      <c r="S83" t="b">
        <f>AND(IF(metadata!D83="",FALSE,TRUE),OR(EXACT(metadata!D83,"surface (non-saline)"),EXACT(metadata!D83,"aerosol (non-saline)"),EXACT(metadata!D83,"sediment (non-saline)"),EXACT(metadata!D83,"surface (saline)"),EXACT(metadata!D83,"aerosol (saline)"),EXACT(metadata!D83,"sediment (saline)")))</f>
        <v>0</v>
      </c>
      <c r="T83" t="b">
        <f>AND(IF(metadata!E83="",FALSE,TRUE),EXACT(metadata!E83,"built environment"))</f>
        <v>0</v>
      </c>
      <c r="U83" t="b">
        <f>OR(AND(IF(metadata!F83="",FALSE,TRUE),EXACT(metadata!F83,"not applicable")),AND(IF(metadata!F83="",FALSE,TRUE),EXACT(metadata!F83,"anaerobic digester content")))</f>
        <v>0</v>
      </c>
    </row>
    <row r="84" spans="1:21" x14ac:dyDescent="0.2">
      <c r="A84" s="4" t="str">
        <f ca="1">IF(B84=" "," ",HYPERLINK(CONCATENATE("#metadata!",ADDRESS(INDEX($L$2:$L$1001,MATCH(ROWS($J$2:J84),$J$2:$J$1001,0),0),1)),INDEX($O$2:$O$1001,MATCH(ROWS($J$2:J84),$J$2:$J$1001,0),0)))</f>
        <v xml:space="preserve"> </v>
      </c>
      <c r="B84" s="3" t="str">
        <f ca="1">IF(OR(INDEX($K$2:$K$1001,MATCH(ROWS($J$2:J84),$J$2:$J$1001,0),1)&gt;=100000,INDEX($Q$1005:$U$1005,1,MATCH(COLUMNS($Q$1006:Q1006),$Q$1006:$U$1006,0))&gt;=100000), " ",IF(INDEX($Q$2:$U$1001,MATCH(ROWS($J$2:J84),$J$2:$J$1001,0),MATCH(COLUMNS($Q$1006:Q1006),$Q$1006:$U$1006,0)), HYPERLINK("#",""), HYPERLINK(CONCATENATE("#metadata!", ADDRESS(INDEX($L$2:$L$1001,MATCH(ROWS($J$2:J84),$J$2:$J$1001,0),0), INDEX($Q$1004:$U$1004,1,MATCH(COLUMNS($Q$1006:Q1006),$Q$1006:$U$1006,0)))),"Fix")))</f>
        <v xml:space="preserve"> </v>
      </c>
      <c r="C84" s="3" t="str">
        <f ca="1">IF(OR(INDEX($K$2:$K$1001,MATCH(ROWS($J$2:J84),$J$2:$J$1001,0),1)&gt;=100000,INDEX($Q$1005:$U$1005,1,MATCH(COLUMNS($Q$1006:R1006),$Q$1006:$U$1006,0))&gt;=100000), " ",IF(INDEX($Q$2:$U$1001,MATCH(ROWS($J$2:J84),$J$2:$J$1001,0),MATCH(COLUMNS($Q$1006:R1006),$Q$1006:$U$1006,0)), HYPERLINK("#",""), HYPERLINK(CONCATENATE("#metadata!", ADDRESS(INDEX($L$2:$L$1001,MATCH(ROWS($J$2:J84),$J$2:$J$1001,0),0), INDEX($Q$1004:$U$1004,1,MATCH(COLUMNS($Q$1006:R1006),$Q$1006:$U$1006,0)))),"Fix")))</f>
        <v xml:space="preserve"> </v>
      </c>
      <c r="D84" s="3" t="str">
        <f ca="1">IF(OR(INDEX($K$2:$K$1001,MATCH(ROWS($J$2:J84),$J$2:$J$1001,0),1)&gt;=100000,INDEX($Q$1005:$U$1005,1,MATCH(COLUMNS($Q$1006:S1006),$Q$1006:$U$1006,0))&gt;=100000), " ",IF(INDEX($Q$2:$U$1001,MATCH(ROWS($J$2:J84),$J$2:$J$1001,0),MATCH(COLUMNS($Q$1006:S1006),$Q$1006:$U$1006,0)), HYPERLINK("#",""), HYPERLINK(CONCATENATE("#metadata!", ADDRESS(INDEX($L$2:$L$1001,MATCH(ROWS($J$2:J84),$J$2:$J$1001,0),0), INDEX($Q$1004:$U$1004,1,MATCH(COLUMNS($Q$1006:S1006),$Q$1006:$U$1006,0)))),"Fix")))</f>
        <v xml:space="preserve"> </v>
      </c>
      <c r="E84" s="3" t="str">
        <f ca="1">IF(OR(INDEX($K$2:$K$1001,MATCH(ROWS($J$2:J84),$J$2:$J$1001,0),1)&gt;=100000,INDEX($Q$1005:$U$1005,1,MATCH(COLUMNS($Q$1006:T1006),$Q$1006:$U$1006,0))&gt;=100000), " ",IF(INDEX($Q$2:$U$1001,MATCH(ROWS($J$2:J84),$J$2:$J$1001,0),MATCH(COLUMNS($Q$1006:T1006),$Q$1006:$U$1006,0)), HYPERLINK("#",""), HYPERLINK(CONCATENATE("#metadata!", ADDRESS(INDEX($L$2:$L$1001,MATCH(ROWS($J$2:J84),$J$2:$J$1001,0),0), INDEX($Q$1004:$U$1004,1,MATCH(COLUMNS($Q$1006:T1006),$Q$1006:$U$1006,0)))),"Fix")))</f>
        <v xml:space="preserve"> </v>
      </c>
      <c r="F84" s="3" t="str">
        <f ca="1">IF(OR(INDEX($K$2:$K$1001,MATCH(ROWS($J$2:J84),$J$2:$J$1001,0),1)&gt;=100000,INDEX($Q$1005:$U$1005,1,MATCH(COLUMNS($Q$1006:U1006),$Q$1006:$U$1006,0))&gt;=100000), " ",IF(INDEX($Q$2:$U$1001,MATCH(ROWS($J$2:J84),$J$2:$J$1001,0),MATCH(COLUMNS($Q$1006:U1006),$Q$1006:$U$1006,0)), HYPERLINK("#",""), HYPERLINK(CONCATENATE("#metadata!", ADDRESS(INDEX($L$2:$L$1001,MATCH(ROWS($J$2:J84),$J$2:$J$1001,0),0), INDEX($Q$1004:$U$1004,1,MATCH(COLUMNS($Q$1006:U1006),$Q$1006:$U$1006,0)))),"Fix")))</f>
        <v xml:space="preserve"> </v>
      </c>
      <c r="J84">
        <v>83</v>
      </c>
      <c r="K84">
        <v>100084</v>
      </c>
      <c r="L84">
        <v>84</v>
      </c>
      <c r="M84" t="b">
        <f t="shared" si="1"/>
        <v>1</v>
      </c>
      <c r="N84" t="b">
        <f>COUNTBLANK(metadata!B84:F84)=COLUMNS(metadata!B84:F84)</f>
        <v>1</v>
      </c>
      <c r="O84" t="str">
        <v/>
      </c>
      <c r="Q84" t="b">
        <f ca="1">AND(IF(metadata!B84="",FALSE,TRUE),COUNTIF(metadata!B:B, metadata!B84) = 1,NOT(ISERROR(SUMPRODUCT(SEARCH(MID(metadata!B84,ROW(INDIRECT("1:"&amp;LEN(metadata!B84))), 1),"0123456789abcdefghijklmnopqrstuvwxyzABCDEFGHIJKLMNOPQRSTUVWXYZ.")))))</f>
        <v>0</v>
      </c>
      <c r="R84" t="b">
        <f>AND(IF(metadata!C84="",FALSE,TRUE),OR(EXACT(metadata!C84,"saline"),EXACT(metadata!C84,"non-saline")))</f>
        <v>0</v>
      </c>
      <c r="S84" t="b">
        <f>AND(IF(metadata!D84="",FALSE,TRUE),OR(EXACT(metadata!D84,"surface (non-saline)"),EXACT(metadata!D84,"aerosol (non-saline)"),EXACT(metadata!D84,"sediment (non-saline)"),EXACT(metadata!D84,"surface (saline)"),EXACT(metadata!D84,"aerosol (saline)"),EXACT(metadata!D84,"sediment (saline)")))</f>
        <v>0</v>
      </c>
      <c r="T84" t="b">
        <f>AND(IF(metadata!E84="",FALSE,TRUE),EXACT(metadata!E84,"built environment"))</f>
        <v>0</v>
      </c>
      <c r="U84" t="b">
        <f>OR(AND(IF(metadata!F84="",FALSE,TRUE),EXACT(metadata!F84,"not applicable")),AND(IF(metadata!F84="",FALSE,TRUE),EXACT(metadata!F84,"anaerobic digester content")))</f>
        <v>0</v>
      </c>
    </row>
    <row r="85" spans="1:21" x14ac:dyDescent="0.2">
      <c r="A85" s="4" t="str">
        <f ca="1">IF(B85=" "," ",HYPERLINK(CONCATENATE("#metadata!",ADDRESS(INDEX($L$2:$L$1001,MATCH(ROWS($J$2:J85),$J$2:$J$1001,0),0),1)),INDEX($O$2:$O$1001,MATCH(ROWS($J$2:J85),$J$2:$J$1001,0),0)))</f>
        <v xml:space="preserve"> </v>
      </c>
      <c r="B85" s="3" t="str">
        <f ca="1">IF(OR(INDEX($K$2:$K$1001,MATCH(ROWS($J$2:J85),$J$2:$J$1001,0),1)&gt;=100000,INDEX($Q$1005:$U$1005,1,MATCH(COLUMNS($Q$1006:Q1006),$Q$1006:$U$1006,0))&gt;=100000), " ",IF(INDEX($Q$2:$U$1001,MATCH(ROWS($J$2:J85),$J$2:$J$1001,0),MATCH(COLUMNS($Q$1006:Q1006),$Q$1006:$U$1006,0)), HYPERLINK("#",""), HYPERLINK(CONCATENATE("#metadata!", ADDRESS(INDEX($L$2:$L$1001,MATCH(ROWS($J$2:J85),$J$2:$J$1001,0),0), INDEX($Q$1004:$U$1004,1,MATCH(COLUMNS($Q$1006:Q1006),$Q$1006:$U$1006,0)))),"Fix")))</f>
        <v xml:space="preserve"> </v>
      </c>
      <c r="C85" s="3" t="str">
        <f ca="1">IF(OR(INDEX($K$2:$K$1001,MATCH(ROWS($J$2:J85),$J$2:$J$1001,0),1)&gt;=100000,INDEX($Q$1005:$U$1005,1,MATCH(COLUMNS($Q$1006:R1006),$Q$1006:$U$1006,0))&gt;=100000), " ",IF(INDEX($Q$2:$U$1001,MATCH(ROWS($J$2:J85),$J$2:$J$1001,0),MATCH(COLUMNS($Q$1006:R1006),$Q$1006:$U$1006,0)), HYPERLINK("#",""), HYPERLINK(CONCATENATE("#metadata!", ADDRESS(INDEX($L$2:$L$1001,MATCH(ROWS($J$2:J85),$J$2:$J$1001,0),0), INDEX($Q$1004:$U$1004,1,MATCH(COLUMNS($Q$1006:R1006),$Q$1006:$U$1006,0)))),"Fix")))</f>
        <v xml:space="preserve"> </v>
      </c>
      <c r="D85" s="3" t="str">
        <f ca="1">IF(OR(INDEX($K$2:$K$1001,MATCH(ROWS($J$2:J85),$J$2:$J$1001,0),1)&gt;=100000,INDEX($Q$1005:$U$1005,1,MATCH(COLUMNS($Q$1006:S1006),$Q$1006:$U$1006,0))&gt;=100000), " ",IF(INDEX($Q$2:$U$1001,MATCH(ROWS($J$2:J85),$J$2:$J$1001,0),MATCH(COLUMNS($Q$1006:S1006),$Q$1006:$U$1006,0)), HYPERLINK("#",""), HYPERLINK(CONCATENATE("#metadata!", ADDRESS(INDEX($L$2:$L$1001,MATCH(ROWS($J$2:J85),$J$2:$J$1001,0),0), INDEX($Q$1004:$U$1004,1,MATCH(COLUMNS($Q$1006:S1006),$Q$1006:$U$1006,0)))),"Fix")))</f>
        <v xml:space="preserve"> </v>
      </c>
      <c r="E85" s="3" t="str">
        <f ca="1">IF(OR(INDEX($K$2:$K$1001,MATCH(ROWS($J$2:J85),$J$2:$J$1001,0),1)&gt;=100000,INDEX($Q$1005:$U$1005,1,MATCH(COLUMNS($Q$1006:T1006),$Q$1006:$U$1006,0))&gt;=100000), " ",IF(INDEX($Q$2:$U$1001,MATCH(ROWS($J$2:J85),$J$2:$J$1001,0),MATCH(COLUMNS($Q$1006:T1006),$Q$1006:$U$1006,0)), HYPERLINK("#",""), HYPERLINK(CONCATENATE("#metadata!", ADDRESS(INDEX($L$2:$L$1001,MATCH(ROWS($J$2:J85),$J$2:$J$1001,0),0), INDEX($Q$1004:$U$1004,1,MATCH(COLUMNS($Q$1006:T1006),$Q$1006:$U$1006,0)))),"Fix")))</f>
        <v xml:space="preserve"> </v>
      </c>
      <c r="F85" s="3" t="str">
        <f ca="1">IF(OR(INDEX($K$2:$K$1001,MATCH(ROWS($J$2:J85),$J$2:$J$1001,0),1)&gt;=100000,INDEX($Q$1005:$U$1005,1,MATCH(COLUMNS($Q$1006:U1006),$Q$1006:$U$1006,0))&gt;=100000), " ",IF(INDEX($Q$2:$U$1001,MATCH(ROWS($J$2:J85),$J$2:$J$1001,0),MATCH(COLUMNS($Q$1006:U1006),$Q$1006:$U$1006,0)), HYPERLINK("#",""), HYPERLINK(CONCATENATE("#metadata!", ADDRESS(INDEX($L$2:$L$1001,MATCH(ROWS($J$2:J85),$J$2:$J$1001,0),0), INDEX($Q$1004:$U$1004,1,MATCH(COLUMNS($Q$1006:U1006),$Q$1006:$U$1006,0)))),"Fix")))</f>
        <v xml:space="preserve"> </v>
      </c>
      <c r="J85">
        <v>84</v>
      </c>
      <c r="K85">
        <v>100085</v>
      </c>
      <c r="L85">
        <v>85</v>
      </c>
      <c r="M85" t="b">
        <f t="shared" si="1"/>
        <v>1</v>
      </c>
      <c r="N85" t="b">
        <f>COUNTBLANK(metadata!B85:F85)=COLUMNS(metadata!B85:F85)</f>
        <v>1</v>
      </c>
      <c r="O85" t="str">
        <v/>
      </c>
      <c r="Q85" t="b">
        <f ca="1">AND(IF(metadata!B85="",FALSE,TRUE),COUNTIF(metadata!B:B, metadata!B85) = 1,NOT(ISERROR(SUMPRODUCT(SEARCH(MID(metadata!B85,ROW(INDIRECT("1:"&amp;LEN(metadata!B85))), 1),"0123456789abcdefghijklmnopqrstuvwxyzABCDEFGHIJKLMNOPQRSTUVWXYZ.")))))</f>
        <v>0</v>
      </c>
      <c r="R85" t="b">
        <f>AND(IF(metadata!C85="",FALSE,TRUE),OR(EXACT(metadata!C85,"saline"),EXACT(metadata!C85,"non-saline")))</f>
        <v>0</v>
      </c>
      <c r="S85" t="b">
        <f>AND(IF(metadata!D85="",FALSE,TRUE),OR(EXACT(metadata!D85,"surface (non-saline)"),EXACT(metadata!D85,"aerosol (non-saline)"),EXACT(metadata!D85,"sediment (non-saline)"),EXACT(metadata!D85,"surface (saline)"),EXACT(metadata!D85,"aerosol (saline)"),EXACT(metadata!D85,"sediment (saline)")))</f>
        <v>0</v>
      </c>
      <c r="T85" t="b">
        <f>AND(IF(metadata!E85="",FALSE,TRUE),EXACT(metadata!E85,"built environment"))</f>
        <v>0</v>
      </c>
      <c r="U85" t="b">
        <f>OR(AND(IF(metadata!F85="",FALSE,TRUE),EXACT(metadata!F85,"not applicable")),AND(IF(metadata!F85="",FALSE,TRUE),EXACT(metadata!F85,"anaerobic digester content")))</f>
        <v>0</v>
      </c>
    </row>
    <row r="86" spans="1:21" x14ac:dyDescent="0.2">
      <c r="A86" s="4" t="str">
        <f ca="1">IF(B86=" "," ",HYPERLINK(CONCATENATE("#metadata!",ADDRESS(INDEX($L$2:$L$1001,MATCH(ROWS($J$2:J86),$J$2:$J$1001,0),0),1)),INDEX($O$2:$O$1001,MATCH(ROWS($J$2:J86),$J$2:$J$1001,0),0)))</f>
        <v xml:space="preserve"> </v>
      </c>
      <c r="B86" s="3" t="str">
        <f ca="1">IF(OR(INDEX($K$2:$K$1001,MATCH(ROWS($J$2:J86),$J$2:$J$1001,0),1)&gt;=100000,INDEX($Q$1005:$U$1005,1,MATCH(COLUMNS($Q$1006:Q1006),$Q$1006:$U$1006,0))&gt;=100000), " ",IF(INDEX($Q$2:$U$1001,MATCH(ROWS($J$2:J86),$J$2:$J$1001,0),MATCH(COLUMNS($Q$1006:Q1006),$Q$1006:$U$1006,0)), HYPERLINK("#",""), HYPERLINK(CONCATENATE("#metadata!", ADDRESS(INDEX($L$2:$L$1001,MATCH(ROWS($J$2:J86),$J$2:$J$1001,0),0), INDEX($Q$1004:$U$1004,1,MATCH(COLUMNS($Q$1006:Q1006),$Q$1006:$U$1006,0)))),"Fix")))</f>
        <v xml:space="preserve"> </v>
      </c>
      <c r="C86" s="3" t="str">
        <f ca="1">IF(OR(INDEX($K$2:$K$1001,MATCH(ROWS($J$2:J86),$J$2:$J$1001,0),1)&gt;=100000,INDEX($Q$1005:$U$1005,1,MATCH(COLUMNS($Q$1006:R1006),$Q$1006:$U$1006,0))&gt;=100000), " ",IF(INDEX($Q$2:$U$1001,MATCH(ROWS($J$2:J86),$J$2:$J$1001,0),MATCH(COLUMNS($Q$1006:R1006),$Q$1006:$U$1006,0)), HYPERLINK("#",""), HYPERLINK(CONCATENATE("#metadata!", ADDRESS(INDEX($L$2:$L$1001,MATCH(ROWS($J$2:J86),$J$2:$J$1001,0),0), INDEX($Q$1004:$U$1004,1,MATCH(COLUMNS($Q$1006:R1006),$Q$1006:$U$1006,0)))),"Fix")))</f>
        <v xml:space="preserve"> </v>
      </c>
      <c r="D86" s="3" t="str">
        <f ca="1">IF(OR(INDEX($K$2:$K$1001,MATCH(ROWS($J$2:J86),$J$2:$J$1001,0),1)&gt;=100000,INDEX($Q$1005:$U$1005,1,MATCH(COLUMNS($Q$1006:S1006),$Q$1006:$U$1006,0))&gt;=100000), " ",IF(INDEX($Q$2:$U$1001,MATCH(ROWS($J$2:J86),$J$2:$J$1001,0),MATCH(COLUMNS($Q$1006:S1006),$Q$1006:$U$1006,0)), HYPERLINK("#",""), HYPERLINK(CONCATENATE("#metadata!", ADDRESS(INDEX($L$2:$L$1001,MATCH(ROWS($J$2:J86),$J$2:$J$1001,0),0), INDEX($Q$1004:$U$1004,1,MATCH(COLUMNS($Q$1006:S1006),$Q$1006:$U$1006,0)))),"Fix")))</f>
        <v xml:space="preserve"> </v>
      </c>
      <c r="E86" s="3" t="str">
        <f ca="1">IF(OR(INDEX($K$2:$K$1001,MATCH(ROWS($J$2:J86),$J$2:$J$1001,0),1)&gt;=100000,INDEX($Q$1005:$U$1005,1,MATCH(COLUMNS($Q$1006:T1006),$Q$1006:$U$1006,0))&gt;=100000), " ",IF(INDEX($Q$2:$U$1001,MATCH(ROWS($J$2:J86),$J$2:$J$1001,0),MATCH(COLUMNS($Q$1006:T1006),$Q$1006:$U$1006,0)), HYPERLINK("#",""), HYPERLINK(CONCATENATE("#metadata!", ADDRESS(INDEX($L$2:$L$1001,MATCH(ROWS($J$2:J86),$J$2:$J$1001,0),0), INDEX($Q$1004:$U$1004,1,MATCH(COLUMNS($Q$1006:T1006),$Q$1006:$U$1006,0)))),"Fix")))</f>
        <v xml:space="preserve"> </v>
      </c>
      <c r="F86" s="3" t="str">
        <f ca="1">IF(OR(INDEX($K$2:$K$1001,MATCH(ROWS($J$2:J86),$J$2:$J$1001,0),1)&gt;=100000,INDEX($Q$1005:$U$1005,1,MATCH(COLUMNS($Q$1006:U1006),$Q$1006:$U$1006,0))&gt;=100000), " ",IF(INDEX($Q$2:$U$1001,MATCH(ROWS($J$2:J86),$J$2:$J$1001,0),MATCH(COLUMNS($Q$1006:U1006),$Q$1006:$U$1006,0)), HYPERLINK("#",""), HYPERLINK(CONCATENATE("#metadata!", ADDRESS(INDEX($L$2:$L$1001,MATCH(ROWS($J$2:J86),$J$2:$J$1001,0),0), INDEX($Q$1004:$U$1004,1,MATCH(COLUMNS($Q$1006:U1006),$Q$1006:$U$1006,0)))),"Fix")))</f>
        <v xml:space="preserve"> </v>
      </c>
      <c r="J86">
        <v>85</v>
      </c>
      <c r="K86">
        <v>100086</v>
      </c>
      <c r="L86">
        <v>86</v>
      </c>
      <c r="M86" t="b">
        <f t="shared" si="1"/>
        <v>1</v>
      </c>
      <c r="N86" t="b">
        <f>COUNTBLANK(metadata!B86:F86)=COLUMNS(metadata!B86:F86)</f>
        <v>1</v>
      </c>
      <c r="O86" t="str">
        <v/>
      </c>
      <c r="Q86" t="b">
        <f ca="1">AND(IF(metadata!B86="",FALSE,TRUE),COUNTIF(metadata!B:B, metadata!B86) = 1,NOT(ISERROR(SUMPRODUCT(SEARCH(MID(metadata!B86,ROW(INDIRECT("1:"&amp;LEN(metadata!B86))), 1),"0123456789abcdefghijklmnopqrstuvwxyzABCDEFGHIJKLMNOPQRSTUVWXYZ.")))))</f>
        <v>0</v>
      </c>
      <c r="R86" t="b">
        <f>AND(IF(metadata!C86="",FALSE,TRUE),OR(EXACT(metadata!C86,"saline"),EXACT(metadata!C86,"non-saline")))</f>
        <v>0</v>
      </c>
      <c r="S86" t="b">
        <f>AND(IF(metadata!D86="",FALSE,TRUE),OR(EXACT(metadata!D86,"surface (non-saline)"),EXACT(metadata!D86,"aerosol (non-saline)"),EXACT(metadata!D86,"sediment (non-saline)"),EXACT(metadata!D86,"surface (saline)"),EXACT(metadata!D86,"aerosol (saline)"),EXACT(metadata!D86,"sediment (saline)")))</f>
        <v>0</v>
      </c>
      <c r="T86" t="b">
        <f>AND(IF(metadata!E86="",FALSE,TRUE),EXACT(metadata!E86,"built environment"))</f>
        <v>0</v>
      </c>
      <c r="U86" t="b">
        <f>OR(AND(IF(metadata!F86="",FALSE,TRUE),EXACT(metadata!F86,"not applicable")),AND(IF(metadata!F86="",FALSE,TRUE),EXACT(metadata!F86,"anaerobic digester content")))</f>
        <v>0</v>
      </c>
    </row>
    <row r="87" spans="1:21" x14ac:dyDescent="0.2">
      <c r="A87" s="4" t="str">
        <f ca="1">IF(B87=" "," ",HYPERLINK(CONCATENATE("#metadata!",ADDRESS(INDEX($L$2:$L$1001,MATCH(ROWS($J$2:J87),$J$2:$J$1001,0),0),1)),INDEX($O$2:$O$1001,MATCH(ROWS($J$2:J87),$J$2:$J$1001,0),0)))</f>
        <v xml:space="preserve"> </v>
      </c>
      <c r="B87" s="3" t="str">
        <f ca="1">IF(OR(INDEX($K$2:$K$1001,MATCH(ROWS($J$2:J87),$J$2:$J$1001,0),1)&gt;=100000,INDEX($Q$1005:$U$1005,1,MATCH(COLUMNS($Q$1006:Q1006),$Q$1006:$U$1006,0))&gt;=100000), " ",IF(INDEX($Q$2:$U$1001,MATCH(ROWS($J$2:J87),$J$2:$J$1001,0),MATCH(COLUMNS($Q$1006:Q1006),$Q$1006:$U$1006,0)), HYPERLINK("#",""), HYPERLINK(CONCATENATE("#metadata!", ADDRESS(INDEX($L$2:$L$1001,MATCH(ROWS($J$2:J87),$J$2:$J$1001,0),0), INDEX($Q$1004:$U$1004,1,MATCH(COLUMNS($Q$1006:Q1006),$Q$1006:$U$1006,0)))),"Fix")))</f>
        <v xml:space="preserve"> </v>
      </c>
      <c r="C87" s="3" t="str">
        <f ca="1">IF(OR(INDEX($K$2:$K$1001,MATCH(ROWS($J$2:J87),$J$2:$J$1001,0),1)&gt;=100000,INDEX($Q$1005:$U$1005,1,MATCH(COLUMNS($Q$1006:R1006),$Q$1006:$U$1006,0))&gt;=100000), " ",IF(INDEX($Q$2:$U$1001,MATCH(ROWS($J$2:J87),$J$2:$J$1001,0),MATCH(COLUMNS($Q$1006:R1006),$Q$1006:$U$1006,0)), HYPERLINK("#",""), HYPERLINK(CONCATENATE("#metadata!", ADDRESS(INDEX($L$2:$L$1001,MATCH(ROWS($J$2:J87),$J$2:$J$1001,0),0), INDEX($Q$1004:$U$1004,1,MATCH(COLUMNS($Q$1006:R1006),$Q$1006:$U$1006,0)))),"Fix")))</f>
        <v xml:space="preserve"> </v>
      </c>
      <c r="D87" s="3" t="str">
        <f ca="1">IF(OR(INDEX($K$2:$K$1001,MATCH(ROWS($J$2:J87),$J$2:$J$1001,0),1)&gt;=100000,INDEX($Q$1005:$U$1005,1,MATCH(COLUMNS($Q$1006:S1006),$Q$1006:$U$1006,0))&gt;=100000), " ",IF(INDEX($Q$2:$U$1001,MATCH(ROWS($J$2:J87),$J$2:$J$1001,0),MATCH(COLUMNS($Q$1006:S1006),$Q$1006:$U$1006,0)), HYPERLINK("#",""), HYPERLINK(CONCATENATE("#metadata!", ADDRESS(INDEX($L$2:$L$1001,MATCH(ROWS($J$2:J87),$J$2:$J$1001,0),0), INDEX($Q$1004:$U$1004,1,MATCH(COLUMNS($Q$1006:S1006),$Q$1006:$U$1006,0)))),"Fix")))</f>
        <v xml:space="preserve"> </v>
      </c>
      <c r="E87" s="3" t="str">
        <f ca="1">IF(OR(INDEX($K$2:$K$1001,MATCH(ROWS($J$2:J87),$J$2:$J$1001,0),1)&gt;=100000,INDEX($Q$1005:$U$1005,1,MATCH(COLUMNS($Q$1006:T1006),$Q$1006:$U$1006,0))&gt;=100000), " ",IF(INDEX($Q$2:$U$1001,MATCH(ROWS($J$2:J87),$J$2:$J$1001,0),MATCH(COLUMNS($Q$1006:T1006),$Q$1006:$U$1006,0)), HYPERLINK("#",""), HYPERLINK(CONCATENATE("#metadata!", ADDRESS(INDEX($L$2:$L$1001,MATCH(ROWS($J$2:J87),$J$2:$J$1001,0),0), INDEX($Q$1004:$U$1004,1,MATCH(COLUMNS($Q$1006:T1006),$Q$1006:$U$1006,0)))),"Fix")))</f>
        <v xml:space="preserve"> </v>
      </c>
      <c r="F87" s="3" t="str">
        <f ca="1">IF(OR(INDEX($K$2:$K$1001,MATCH(ROWS($J$2:J87),$J$2:$J$1001,0),1)&gt;=100000,INDEX($Q$1005:$U$1005,1,MATCH(COLUMNS($Q$1006:U1006),$Q$1006:$U$1006,0))&gt;=100000), " ",IF(INDEX($Q$2:$U$1001,MATCH(ROWS($J$2:J87),$J$2:$J$1001,0),MATCH(COLUMNS($Q$1006:U1006),$Q$1006:$U$1006,0)), HYPERLINK("#",""), HYPERLINK(CONCATENATE("#metadata!", ADDRESS(INDEX($L$2:$L$1001,MATCH(ROWS($J$2:J87),$J$2:$J$1001,0),0), INDEX($Q$1004:$U$1004,1,MATCH(COLUMNS($Q$1006:U1006),$Q$1006:$U$1006,0)))),"Fix")))</f>
        <v xml:space="preserve"> </v>
      </c>
      <c r="J87">
        <v>86</v>
      </c>
      <c r="K87">
        <v>100087</v>
      </c>
      <c r="L87">
        <v>87</v>
      </c>
      <c r="M87" t="b">
        <f t="shared" si="1"/>
        <v>1</v>
      </c>
      <c r="N87" t="b">
        <f>COUNTBLANK(metadata!B87:F87)=COLUMNS(metadata!B87:F87)</f>
        <v>1</v>
      </c>
      <c r="O87" t="str">
        <v/>
      </c>
      <c r="Q87" t="b">
        <f ca="1">AND(IF(metadata!B87="",FALSE,TRUE),COUNTIF(metadata!B:B, metadata!B87) = 1,NOT(ISERROR(SUMPRODUCT(SEARCH(MID(metadata!B87,ROW(INDIRECT("1:"&amp;LEN(metadata!B87))), 1),"0123456789abcdefghijklmnopqrstuvwxyzABCDEFGHIJKLMNOPQRSTUVWXYZ.")))))</f>
        <v>0</v>
      </c>
      <c r="R87" t="b">
        <f>AND(IF(metadata!C87="",FALSE,TRUE),OR(EXACT(metadata!C87,"saline"),EXACT(metadata!C87,"non-saline")))</f>
        <v>0</v>
      </c>
      <c r="S87" t="b">
        <f>AND(IF(metadata!D87="",FALSE,TRUE),OR(EXACT(metadata!D87,"surface (non-saline)"),EXACT(metadata!D87,"aerosol (non-saline)"),EXACT(metadata!D87,"sediment (non-saline)"),EXACT(metadata!D87,"surface (saline)"),EXACT(metadata!D87,"aerosol (saline)"),EXACT(metadata!D87,"sediment (saline)")))</f>
        <v>0</v>
      </c>
      <c r="T87" t="b">
        <f>AND(IF(metadata!E87="",FALSE,TRUE),EXACT(metadata!E87,"built environment"))</f>
        <v>0</v>
      </c>
      <c r="U87" t="b">
        <f>OR(AND(IF(metadata!F87="",FALSE,TRUE),EXACT(metadata!F87,"not applicable")),AND(IF(metadata!F87="",FALSE,TRUE),EXACT(metadata!F87,"anaerobic digester content")))</f>
        <v>0</v>
      </c>
    </row>
    <row r="88" spans="1:21" x14ac:dyDescent="0.2">
      <c r="A88" s="4" t="str">
        <f ca="1">IF(B88=" "," ",HYPERLINK(CONCATENATE("#metadata!",ADDRESS(INDEX($L$2:$L$1001,MATCH(ROWS($J$2:J88),$J$2:$J$1001,0),0),1)),INDEX($O$2:$O$1001,MATCH(ROWS($J$2:J88),$J$2:$J$1001,0),0)))</f>
        <v xml:space="preserve"> </v>
      </c>
      <c r="B88" s="3" t="str">
        <f ca="1">IF(OR(INDEX($K$2:$K$1001,MATCH(ROWS($J$2:J88),$J$2:$J$1001,0),1)&gt;=100000,INDEX($Q$1005:$U$1005,1,MATCH(COLUMNS($Q$1006:Q1006),$Q$1006:$U$1006,0))&gt;=100000), " ",IF(INDEX($Q$2:$U$1001,MATCH(ROWS($J$2:J88),$J$2:$J$1001,0),MATCH(COLUMNS($Q$1006:Q1006),$Q$1006:$U$1006,0)), HYPERLINK("#",""), HYPERLINK(CONCATENATE("#metadata!", ADDRESS(INDEX($L$2:$L$1001,MATCH(ROWS($J$2:J88),$J$2:$J$1001,0),0), INDEX($Q$1004:$U$1004,1,MATCH(COLUMNS($Q$1006:Q1006),$Q$1006:$U$1006,0)))),"Fix")))</f>
        <v xml:space="preserve"> </v>
      </c>
      <c r="C88" s="3" t="str">
        <f ca="1">IF(OR(INDEX($K$2:$K$1001,MATCH(ROWS($J$2:J88),$J$2:$J$1001,0),1)&gt;=100000,INDEX($Q$1005:$U$1005,1,MATCH(COLUMNS($Q$1006:R1006),$Q$1006:$U$1006,0))&gt;=100000), " ",IF(INDEX($Q$2:$U$1001,MATCH(ROWS($J$2:J88),$J$2:$J$1001,0),MATCH(COLUMNS($Q$1006:R1006),$Q$1006:$U$1006,0)), HYPERLINK("#",""), HYPERLINK(CONCATENATE("#metadata!", ADDRESS(INDEX($L$2:$L$1001,MATCH(ROWS($J$2:J88),$J$2:$J$1001,0),0), INDEX($Q$1004:$U$1004,1,MATCH(COLUMNS($Q$1006:R1006),$Q$1006:$U$1006,0)))),"Fix")))</f>
        <v xml:space="preserve"> </v>
      </c>
      <c r="D88" s="3" t="str">
        <f ca="1">IF(OR(INDEX($K$2:$K$1001,MATCH(ROWS($J$2:J88),$J$2:$J$1001,0),1)&gt;=100000,INDEX($Q$1005:$U$1005,1,MATCH(COLUMNS($Q$1006:S1006),$Q$1006:$U$1006,0))&gt;=100000), " ",IF(INDEX($Q$2:$U$1001,MATCH(ROWS($J$2:J88),$J$2:$J$1001,0),MATCH(COLUMNS($Q$1006:S1006),$Q$1006:$U$1006,0)), HYPERLINK("#",""), HYPERLINK(CONCATENATE("#metadata!", ADDRESS(INDEX($L$2:$L$1001,MATCH(ROWS($J$2:J88),$J$2:$J$1001,0),0), INDEX($Q$1004:$U$1004,1,MATCH(COLUMNS($Q$1006:S1006),$Q$1006:$U$1006,0)))),"Fix")))</f>
        <v xml:space="preserve"> </v>
      </c>
      <c r="E88" s="3" t="str">
        <f ca="1">IF(OR(INDEX($K$2:$K$1001,MATCH(ROWS($J$2:J88),$J$2:$J$1001,0),1)&gt;=100000,INDEX($Q$1005:$U$1005,1,MATCH(COLUMNS($Q$1006:T1006),$Q$1006:$U$1006,0))&gt;=100000), " ",IF(INDEX($Q$2:$U$1001,MATCH(ROWS($J$2:J88),$J$2:$J$1001,0),MATCH(COLUMNS($Q$1006:T1006),$Q$1006:$U$1006,0)), HYPERLINK("#",""), HYPERLINK(CONCATENATE("#metadata!", ADDRESS(INDEX($L$2:$L$1001,MATCH(ROWS($J$2:J88),$J$2:$J$1001,0),0), INDEX($Q$1004:$U$1004,1,MATCH(COLUMNS($Q$1006:T1006),$Q$1006:$U$1006,0)))),"Fix")))</f>
        <v xml:space="preserve"> </v>
      </c>
      <c r="F88" s="3" t="str">
        <f ca="1">IF(OR(INDEX($K$2:$K$1001,MATCH(ROWS($J$2:J88),$J$2:$J$1001,0),1)&gt;=100000,INDEX($Q$1005:$U$1005,1,MATCH(COLUMNS($Q$1006:U1006),$Q$1006:$U$1006,0))&gt;=100000), " ",IF(INDEX($Q$2:$U$1001,MATCH(ROWS($J$2:J88),$J$2:$J$1001,0),MATCH(COLUMNS($Q$1006:U1006),$Q$1006:$U$1006,0)), HYPERLINK("#",""), HYPERLINK(CONCATENATE("#metadata!", ADDRESS(INDEX($L$2:$L$1001,MATCH(ROWS($J$2:J88),$J$2:$J$1001,0),0), INDEX($Q$1004:$U$1004,1,MATCH(COLUMNS($Q$1006:U1006),$Q$1006:$U$1006,0)))),"Fix")))</f>
        <v xml:space="preserve"> </v>
      </c>
      <c r="J88">
        <v>87</v>
      </c>
      <c r="K88">
        <v>100088</v>
      </c>
      <c r="L88">
        <v>88</v>
      </c>
      <c r="M88" t="b">
        <f t="shared" si="1"/>
        <v>1</v>
      </c>
      <c r="N88" t="b">
        <f>COUNTBLANK(metadata!B88:F88)=COLUMNS(metadata!B88:F88)</f>
        <v>1</v>
      </c>
      <c r="O88" t="str">
        <v/>
      </c>
      <c r="Q88" t="b">
        <f ca="1">AND(IF(metadata!B88="",FALSE,TRUE),COUNTIF(metadata!B:B, metadata!B88) = 1,NOT(ISERROR(SUMPRODUCT(SEARCH(MID(metadata!B88,ROW(INDIRECT("1:"&amp;LEN(metadata!B88))), 1),"0123456789abcdefghijklmnopqrstuvwxyzABCDEFGHIJKLMNOPQRSTUVWXYZ.")))))</f>
        <v>0</v>
      </c>
      <c r="R88" t="b">
        <f>AND(IF(metadata!C88="",FALSE,TRUE),OR(EXACT(metadata!C88,"saline"),EXACT(metadata!C88,"non-saline")))</f>
        <v>0</v>
      </c>
      <c r="S88" t="b">
        <f>AND(IF(metadata!D88="",FALSE,TRUE),OR(EXACT(metadata!D88,"surface (non-saline)"),EXACT(metadata!D88,"aerosol (non-saline)"),EXACT(metadata!D88,"sediment (non-saline)"),EXACT(metadata!D88,"surface (saline)"),EXACT(metadata!D88,"aerosol (saline)"),EXACT(metadata!D88,"sediment (saline)")))</f>
        <v>0</v>
      </c>
      <c r="T88" t="b">
        <f>AND(IF(metadata!E88="",FALSE,TRUE),EXACT(metadata!E88,"built environment"))</f>
        <v>0</v>
      </c>
      <c r="U88" t="b">
        <f>OR(AND(IF(metadata!F88="",FALSE,TRUE),EXACT(metadata!F88,"not applicable")),AND(IF(metadata!F88="",FALSE,TRUE),EXACT(metadata!F88,"anaerobic digester content")))</f>
        <v>0</v>
      </c>
    </row>
    <row r="89" spans="1:21" x14ac:dyDescent="0.2">
      <c r="A89" s="4" t="str">
        <f ca="1">IF(B89=" "," ",HYPERLINK(CONCATENATE("#metadata!",ADDRESS(INDEX($L$2:$L$1001,MATCH(ROWS($J$2:J89),$J$2:$J$1001,0),0),1)),INDEX($O$2:$O$1001,MATCH(ROWS($J$2:J89),$J$2:$J$1001,0),0)))</f>
        <v xml:space="preserve"> </v>
      </c>
      <c r="B89" s="3" t="str">
        <f ca="1">IF(OR(INDEX($K$2:$K$1001,MATCH(ROWS($J$2:J89),$J$2:$J$1001,0),1)&gt;=100000,INDEX($Q$1005:$U$1005,1,MATCH(COLUMNS($Q$1006:Q1006),$Q$1006:$U$1006,0))&gt;=100000), " ",IF(INDEX($Q$2:$U$1001,MATCH(ROWS($J$2:J89),$J$2:$J$1001,0),MATCH(COLUMNS($Q$1006:Q1006),$Q$1006:$U$1006,0)), HYPERLINK("#",""), HYPERLINK(CONCATENATE("#metadata!", ADDRESS(INDEX($L$2:$L$1001,MATCH(ROWS($J$2:J89),$J$2:$J$1001,0),0), INDEX($Q$1004:$U$1004,1,MATCH(COLUMNS($Q$1006:Q1006),$Q$1006:$U$1006,0)))),"Fix")))</f>
        <v xml:space="preserve"> </v>
      </c>
      <c r="C89" s="3" t="str">
        <f ca="1">IF(OR(INDEX($K$2:$K$1001,MATCH(ROWS($J$2:J89),$J$2:$J$1001,0),1)&gt;=100000,INDEX($Q$1005:$U$1005,1,MATCH(COLUMNS($Q$1006:R1006),$Q$1006:$U$1006,0))&gt;=100000), " ",IF(INDEX($Q$2:$U$1001,MATCH(ROWS($J$2:J89),$J$2:$J$1001,0),MATCH(COLUMNS($Q$1006:R1006),$Q$1006:$U$1006,0)), HYPERLINK("#",""), HYPERLINK(CONCATENATE("#metadata!", ADDRESS(INDEX($L$2:$L$1001,MATCH(ROWS($J$2:J89),$J$2:$J$1001,0),0), INDEX($Q$1004:$U$1004,1,MATCH(COLUMNS($Q$1006:R1006),$Q$1006:$U$1006,0)))),"Fix")))</f>
        <v xml:space="preserve"> </v>
      </c>
      <c r="D89" s="3" t="str">
        <f ca="1">IF(OR(INDEX($K$2:$K$1001,MATCH(ROWS($J$2:J89),$J$2:$J$1001,0),1)&gt;=100000,INDEX($Q$1005:$U$1005,1,MATCH(COLUMNS($Q$1006:S1006),$Q$1006:$U$1006,0))&gt;=100000), " ",IF(INDEX($Q$2:$U$1001,MATCH(ROWS($J$2:J89),$J$2:$J$1001,0),MATCH(COLUMNS($Q$1006:S1006),$Q$1006:$U$1006,0)), HYPERLINK("#",""), HYPERLINK(CONCATENATE("#metadata!", ADDRESS(INDEX($L$2:$L$1001,MATCH(ROWS($J$2:J89),$J$2:$J$1001,0),0), INDEX($Q$1004:$U$1004,1,MATCH(COLUMNS($Q$1006:S1006),$Q$1006:$U$1006,0)))),"Fix")))</f>
        <v xml:space="preserve"> </v>
      </c>
      <c r="E89" s="3" t="str">
        <f ca="1">IF(OR(INDEX($K$2:$K$1001,MATCH(ROWS($J$2:J89),$J$2:$J$1001,0),1)&gt;=100000,INDEX($Q$1005:$U$1005,1,MATCH(COLUMNS($Q$1006:T1006),$Q$1006:$U$1006,0))&gt;=100000), " ",IF(INDEX($Q$2:$U$1001,MATCH(ROWS($J$2:J89),$J$2:$J$1001,0),MATCH(COLUMNS($Q$1006:T1006),$Q$1006:$U$1006,0)), HYPERLINK("#",""), HYPERLINK(CONCATENATE("#metadata!", ADDRESS(INDEX($L$2:$L$1001,MATCH(ROWS($J$2:J89),$J$2:$J$1001,0),0), INDEX($Q$1004:$U$1004,1,MATCH(COLUMNS($Q$1006:T1006),$Q$1006:$U$1006,0)))),"Fix")))</f>
        <v xml:space="preserve"> </v>
      </c>
      <c r="F89" s="3" t="str">
        <f ca="1">IF(OR(INDEX($K$2:$K$1001,MATCH(ROWS($J$2:J89),$J$2:$J$1001,0),1)&gt;=100000,INDEX($Q$1005:$U$1005,1,MATCH(COLUMNS($Q$1006:U1006),$Q$1006:$U$1006,0))&gt;=100000), " ",IF(INDEX($Q$2:$U$1001,MATCH(ROWS($J$2:J89),$J$2:$J$1001,0),MATCH(COLUMNS($Q$1006:U1006),$Q$1006:$U$1006,0)), HYPERLINK("#",""), HYPERLINK(CONCATENATE("#metadata!", ADDRESS(INDEX($L$2:$L$1001,MATCH(ROWS($J$2:J89),$J$2:$J$1001,0),0), INDEX($Q$1004:$U$1004,1,MATCH(COLUMNS($Q$1006:U1006),$Q$1006:$U$1006,0)))),"Fix")))</f>
        <v xml:space="preserve"> </v>
      </c>
      <c r="J89">
        <v>88</v>
      </c>
      <c r="K89">
        <v>100089</v>
      </c>
      <c r="L89">
        <v>89</v>
      </c>
      <c r="M89" t="b">
        <f t="shared" si="1"/>
        <v>1</v>
      </c>
      <c r="N89" t="b">
        <f>COUNTBLANK(metadata!B89:F89)=COLUMNS(metadata!B89:F89)</f>
        <v>1</v>
      </c>
      <c r="O89" t="str">
        <v/>
      </c>
      <c r="Q89" t="b">
        <f ca="1">AND(IF(metadata!B89="",FALSE,TRUE),COUNTIF(metadata!B:B, metadata!B89) = 1,NOT(ISERROR(SUMPRODUCT(SEARCH(MID(metadata!B89,ROW(INDIRECT("1:"&amp;LEN(metadata!B89))), 1),"0123456789abcdefghijklmnopqrstuvwxyzABCDEFGHIJKLMNOPQRSTUVWXYZ.")))))</f>
        <v>0</v>
      </c>
      <c r="R89" t="b">
        <f>AND(IF(metadata!C89="",FALSE,TRUE),OR(EXACT(metadata!C89,"saline"),EXACT(metadata!C89,"non-saline")))</f>
        <v>0</v>
      </c>
      <c r="S89" t="b">
        <f>AND(IF(metadata!D89="",FALSE,TRUE),OR(EXACT(metadata!D89,"surface (non-saline)"),EXACT(metadata!D89,"aerosol (non-saline)"),EXACT(metadata!D89,"sediment (non-saline)"),EXACT(metadata!D89,"surface (saline)"),EXACT(metadata!D89,"aerosol (saline)"),EXACT(metadata!D89,"sediment (saline)")))</f>
        <v>0</v>
      </c>
      <c r="T89" t="b">
        <f>AND(IF(metadata!E89="",FALSE,TRUE),EXACT(metadata!E89,"built environment"))</f>
        <v>0</v>
      </c>
      <c r="U89" t="b">
        <f>OR(AND(IF(metadata!F89="",FALSE,TRUE),EXACT(metadata!F89,"not applicable")),AND(IF(metadata!F89="",FALSE,TRUE),EXACT(metadata!F89,"anaerobic digester content")))</f>
        <v>0</v>
      </c>
    </row>
    <row r="90" spans="1:21" x14ac:dyDescent="0.2">
      <c r="A90" s="4" t="str">
        <f ca="1">IF(B90=" "," ",HYPERLINK(CONCATENATE("#metadata!",ADDRESS(INDEX($L$2:$L$1001,MATCH(ROWS($J$2:J90),$J$2:$J$1001,0),0),1)),INDEX($O$2:$O$1001,MATCH(ROWS($J$2:J90),$J$2:$J$1001,0),0)))</f>
        <v xml:space="preserve"> </v>
      </c>
      <c r="B90" s="3" t="str">
        <f ca="1">IF(OR(INDEX($K$2:$K$1001,MATCH(ROWS($J$2:J90),$J$2:$J$1001,0),1)&gt;=100000,INDEX($Q$1005:$U$1005,1,MATCH(COLUMNS($Q$1006:Q1006),$Q$1006:$U$1006,0))&gt;=100000), " ",IF(INDEX($Q$2:$U$1001,MATCH(ROWS($J$2:J90),$J$2:$J$1001,0),MATCH(COLUMNS($Q$1006:Q1006),$Q$1006:$U$1006,0)), HYPERLINK("#",""), HYPERLINK(CONCATENATE("#metadata!", ADDRESS(INDEX($L$2:$L$1001,MATCH(ROWS($J$2:J90),$J$2:$J$1001,0),0), INDEX($Q$1004:$U$1004,1,MATCH(COLUMNS($Q$1006:Q1006),$Q$1006:$U$1006,0)))),"Fix")))</f>
        <v xml:space="preserve"> </v>
      </c>
      <c r="C90" s="3" t="str">
        <f ca="1">IF(OR(INDEX($K$2:$K$1001,MATCH(ROWS($J$2:J90),$J$2:$J$1001,0),1)&gt;=100000,INDEX($Q$1005:$U$1005,1,MATCH(COLUMNS($Q$1006:R1006),$Q$1006:$U$1006,0))&gt;=100000), " ",IF(INDEX($Q$2:$U$1001,MATCH(ROWS($J$2:J90),$J$2:$J$1001,0),MATCH(COLUMNS($Q$1006:R1006),$Q$1006:$U$1006,0)), HYPERLINK("#",""), HYPERLINK(CONCATENATE("#metadata!", ADDRESS(INDEX($L$2:$L$1001,MATCH(ROWS($J$2:J90),$J$2:$J$1001,0),0), INDEX($Q$1004:$U$1004,1,MATCH(COLUMNS($Q$1006:R1006),$Q$1006:$U$1006,0)))),"Fix")))</f>
        <v xml:space="preserve"> </v>
      </c>
      <c r="D90" s="3" t="str">
        <f ca="1">IF(OR(INDEX($K$2:$K$1001,MATCH(ROWS($J$2:J90),$J$2:$J$1001,0),1)&gt;=100000,INDEX($Q$1005:$U$1005,1,MATCH(COLUMNS($Q$1006:S1006),$Q$1006:$U$1006,0))&gt;=100000), " ",IF(INDEX($Q$2:$U$1001,MATCH(ROWS($J$2:J90),$J$2:$J$1001,0),MATCH(COLUMNS($Q$1006:S1006),$Q$1006:$U$1006,0)), HYPERLINK("#",""), HYPERLINK(CONCATENATE("#metadata!", ADDRESS(INDEX($L$2:$L$1001,MATCH(ROWS($J$2:J90),$J$2:$J$1001,0),0), INDEX($Q$1004:$U$1004,1,MATCH(COLUMNS($Q$1006:S1006),$Q$1006:$U$1006,0)))),"Fix")))</f>
        <v xml:space="preserve"> </v>
      </c>
      <c r="E90" s="3" t="str">
        <f ca="1">IF(OR(INDEX($K$2:$K$1001,MATCH(ROWS($J$2:J90),$J$2:$J$1001,0),1)&gt;=100000,INDEX($Q$1005:$U$1005,1,MATCH(COLUMNS($Q$1006:T1006),$Q$1006:$U$1006,0))&gt;=100000), " ",IF(INDEX($Q$2:$U$1001,MATCH(ROWS($J$2:J90),$J$2:$J$1001,0),MATCH(COLUMNS($Q$1006:T1006),$Q$1006:$U$1006,0)), HYPERLINK("#",""), HYPERLINK(CONCATENATE("#metadata!", ADDRESS(INDEX($L$2:$L$1001,MATCH(ROWS($J$2:J90),$J$2:$J$1001,0),0), INDEX($Q$1004:$U$1004,1,MATCH(COLUMNS($Q$1006:T1006),$Q$1006:$U$1006,0)))),"Fix")))</f>
        <v xml:space="preserve"> </v>
      </c>
      <c r="F90" s="3" t="str">
        <f ca="1">IF(OR(INDEX($K$2:$K$1001,MATCH(ROWS($J$2:J90),$J$2:$J$1001,0),1)&gt;=100000,INDEX($Q$1005:$U$1005,1,MATCH(COLUMNS($Q$1006:U1006),$Q$1006:$U$1006,0))&gt;=100000), " ",IF(INDEX($Q$2:$U$1001,MATCH(ROWS($J$2:J90),$J$2:$J$1001,0),MATCH(COLUMNS($Q$1006:U1006),$Q$1006:$U$1006,0)), HYPERLINK("#",""), HYPERLINK(CONCATENATE("#metadata!", ADDRESS(INDEX($L$2:$L$1001,MATCH(ROWS($J$2:J90),$J$2:$J$1001,0),0), INDEX($Q$1004:$U$1004,1,MATCH(COLUMNS($Q$1006:U1006),$Q$1006:$U$1006,0)))),"Fix")))</f>
        <v xml:space="preserve"> </v>
      </c>
      <c r="J90">
        <v>89</v>
      </c>
      <c r="K90">
        <v>100090</v>
      </c>
      <c r="L90">
        <v>90</v>
      </c>
      <c r="M90" t="b">
        <f t="shared" si="1"/>
        <v>1</v>
      </c>
      <c r="N90" t="b">
        <f>COUNTBLANK(metadata!B90:F90)=COLUMNS(metadata!B90:F90)</f>
        <v>1</v>
      </c>
      <c r="O90" t="str">
        <v/>
      </c>
      <c r="Q90" t="b">
        <f ca="1">AND(IF(metadata!B90="",FALSE,TRUE),COUNTIF(metadata!B:B, metadata!B90) = 1,NOT(ISERROR(SUMPRODUCT(SEARCH(MID(metadata!B90,ROW(INDIRECT("1:"&amp;LEN(metadata!B90))), 1),"0123456789abcdefghijklmnopqrstuvwxyzABCDEFGHIJKLMNOPQRSTUVWXYZ.")))))</f>
        <v>0</v>
      </c>
      <c r="R90" t="b">
        <f>AND(IF(metadata!C90="",FALSE,TRUE),OR(EXACT(metadata!C90,"saline"),EXACT(metadata!C90,"non-saline")))</f>
        <v>0</v>
      </c>
      <c r="S90" t="b">
        <f>AND(IF(metadata!D90="",FALSE,TRUE),OR(EXACT(metadata!D90,"surface (non-saline)"),EXACT(metadata!D90,"aerosol (non-saline)"),EXACT(metadata!D90,"sediment (non-saline)"),EXACT(metadata!D90,"surface (saline)"),EXACT(metadata!D90,"aerosol (saline)"),EXACT(metadata!D90,"sediment (saline)")))</f>
        <v>0</v>
      </c>
      <c r="T90" t="b">
        <f>AND(IF(metadata!E90="",FALSE,TRUE),EXACT(metadata!E90,"built environment"))</f>
        <v>0</v>
      </c>
      <c r="U90" t="b">
        <f>OR(AND(IF(metadata!F90="",FALSE,TRUE),EXACT(metadata!F90,"not applicable")),AND(IF(metadata!F90="",FALSE,TRUE),EXACT(metadata!F90,"anaerobic digester content")))</f>
        <v>0</v>
      </c>
    </row>
    <row r="91" spans="1:21" x14ac:dyDescent="0.2">
      <c r="A91" s="4" t="str">
        <f ca="1">IF(B91=" "," ",HYPERLINK(CONCATENATE("#metadata!",ADDRESS(INDEX($L$2:$L$1001,MATCH(ROWS($J$2:J91),$J$2:$J$1001,0),0),1)),INDEX($O$2:$O$1001,MATCH(ROWS($J$2:J91),$J$2:$J$1001,0),0)))</f>
        <v xml:space="preserve"> </v>
      </c>
      <c r="B91" s="3" t="str">
        <f ca="1">IF(OR(INDEX($K$2:$K$1001,MATCH(ROWS($J$2:J91),$J$2:$J$1001,0),1)&gt;=100000,INDEX($Q$1005:$U$1005,1,MATCH(COLUMNS($Q$1006:Q1006),$Q$1006:$U$1006,0))&gt;=100000), " ",IF(INDEX($Q$2:$U$1001,MATCH(ROWS($J$2:J91),$J$2:$J$1001,0),MATCH(COLUMNS($Q$1006:Q1006),$Q$1006:$U$1006,0)), HYPERLINK("#",""), HYPERLINK(CONCATENATE("#metadata!", ADDRESS(INDEX($L$2:$L$1001,MATCH(ROWS($J$2:J91),$J$2:$J$1001,0),0), INDEX($Q$1004:$U$1004,1,MATCH(COLUMNS($Q$1006:Q1006),$Q$1006:$U$1006,0)))),"Fix")))</f>
        <v xml:space="preserve"> </v>
      </c>
      <c r="C91" s="3" t="str">
        <f ca="1">IF(OR(INDEX($K$2:$K$1001,MATCH(ROWS($J$2:J91),$J$2:$J$1001,0),1)&gt;=100000,INDEX($Q$1005:$U$1005,1,MATCH(COLUMNS($Q$1006:R1006),$Q$1006:$U$1006,0))&gt;=100000), " ",IF(INDEX($Q$2:$U$1001,MATCH(ROWS($J$2:J91),$J$2:$J$1001,0),MATCH(COLUMNS($Q$1006:R1006),$Q$1006:$U$1006,0)), HYPERLINK("#",""), HYPERLINK(CONCATENATE("#metadata!", ADDRESS(INDEX($L$2:$L$1001,MATCH(ROWS($J$2:J91),$J$2:$J$1001,0),0), INDEX($Q$1004:$U$1004,1,MATCH(COLUMNS($Q$1006:R1006),$Q$1006:$U$1006,0)))),"Fix")))</f>
        <v xml:space="preserve"> </v>
      </c>
      <c r="D91" s="3" t="str">
        <f ca="1">IF(OR(INDEX($K$2:$K$1001,MATCH(ROWS($J$2:J91),$J$2:$J$1001,0),1)&gt;=100000,INDEX($Q$1005:$U$1005,1,MATCH(COLUMNS($Q$1006:S1006),$Q$1006:$U$1006,0))&gt;=100000), " ",IF(INDEX($Q$2:$U$1001,MATCH(ROWS($J$2:J91),$J$2:$J$1001,0),MATCH(COLUMNS($Q$1006:S1006),$Q$1006:$U$1006,0)), HYPERLINK("#",""), HYPERLINK(CONCATENATE("#metadata!", ADDRESS(INDEX($L$2:$L$1001,MATCH(ROWS($J$2:J91),$J$2:$J$1001,0),0), INDEX($Q$1004:$U$1004,1,MATCH(COLUMNS($Q$1006:S1006),$Q$1006:$U$1006,0)))),"Fix")))</f>
        <v xml:space="preserve"> </v>
      </c>
      <c r="E91" s="3" t="str">
        <f ca="1">IF(OR(INDEX($K$2:$K$1001,MATCH(ROWS($J$2:J91),$J$2:$J$1001,0),1)&gt;=100000,INDEX($Q$1005:$U$1005,1,MATCH(COLUMNS($Q$1006:T1006),$Q$1006:$U$1006,0))&gt;=100000), " ",IF(INDEX($Q$2:$U$1001,MATCH(ROWS($J$2:J91),$J$2:$J$1001,0),MATCH(COLUMNS($Q$1006:T1006),$Q$1006:$U$1006,0)), HYPERLINK("#",""), HYPERLINK(CONCATENATE("#metadata!", ADDRESS(INDEX($L$2:$L$1001,MATCH(ROWS($J$2:J91),$J$2:$J$1001,0),0), INDEX($Q$1004:$U$1004,1,MATCH(COLUMNS($Q$1006:T1006),$Q$1006:$U$1006,0)))),"Fix")))</f>
        <v xml:space="preserve"> </v>
      </c>
      <c r="F91" s="3" t="str">
        <f ca="1">IF(OR(INDEX($K$2:$K$1001,MATCH(ROWS($J$2:J91),$J$2:$J$1001,0),1)&gt;=100000,INDEX($Q$1005:$U$1005,1,MATCH(COLUMNS($Q$1006:U1006),$Q$1006:$U$1006,0))&gt;=100000), " ",IF(INDEX($Q$2:$U$1001,MATCH(ROWS($J$2:J91),$J$2:$J$1001,0),MATCH(COLUMNS($Q$1006:U1006),$Q$1006:$U$1006,0)), HYPERLINK("#",""), HYPERLINK(CONCATENATE("#metadata!", ADDRESS(INDEX($L$2:$L$1001,MATCH(ROWS($J$2:J91),$J$2:$J$1001,0),0), INDEX($Q$1004:$U$1004,1,MATCH(COLUMNS($Q$1006:U1006),$Q$1006:$U$1006,0)))),"Fix")))</f>
        <v xml:space="preserve"> </v>
      </c>
      <c r="J91">
        <v>90</v>
      </c>
      <c r="K91">
        <v>100091</v>
      </c>
      <c r="L91">
        <v>91</v>
      </c>
      <c r="M91" t="b">
        <f t="shared" si="1"/>
        <v>1</v>
      </c>
      <c r="N91" t="b">
        <f>COUNTBLANK(metadata!B91:F91)=COLUMNS(metadata!B91:F91)</f>
        <v>1</v>
      </c>
      <c r="O91" t="str">
        <v/>
      </c>
      <c r="Q91" t="b">
        <f ca="1">AND(IF(metadata!B91="",FALSE,TRUE),COUNTIF(metadata!B:B, metadata!B91) = 1,NOT(ISERROR(SUMPRODUCT(SEARCH(MID(metadata!B91,ROW(INDIRECT("1:"&amp;LEN(metadata!B91))), 1),"0123456789abcdefghijklmnopqrstuvwxyzABCDEFGHIJKLMNOPQRSTUVWXYZ.")))))</f>
        <v>0</v>
      </c>
      <c r="R91" t="b">
        <f>AND(IF(metadata!C91="",FALSE,TRUE),OR(EXACT(metadata!C91,"saline"),EXACT(metadata!C91,"non-saline")))</f>
        <v>0</v>
      </c>
      <c r="S91" t="b">
        <f>AND(IF(metadata!D91="",FALSE,TRUE),OR(EXACT(metadata!D91,"surface (non-saline)"),EXACT(metadata!D91,"aerosol (non-saline)"),EXACT(metadata!D91,"sediment (non-saline)"),EXACT(metadata!D91,"surface (saline)"),EXACT(metadata!D91,"aerosol (saline)"),EXACT(metadata!D91,"sediment (saline)")))</f>
        <v>0</v>
      </c>
      <c r="T91" t="b">
        <f>AND(IF(metadata!E91="",FALSE,TRUE),EXACT(metadata!E91,"built environment"))</f>
        <v>0</v>
      </c>
      <c r="U91" t="b">
        <f>OR(AND(IF(metadata!F91="",FALSE,TRUE),EXACT(metadata!F91,"not applicable")),AND(IF(metadata!F91="",FALSE,TRUE),EXACT(metadata!F91,"anaerobic digester content")))</f>
        <v>0</v>
      </c>
    </row>
    <row r="92" spans="1:21" x14ac:dyDescent="0.2">
      <c r="A92" s="4" t="str">
        <f ca="1">IF(B92=" "," ",HYPERLINK(CONCATENATE("#metadata!",ADDRESS(INDEX($L$2:$L$1001,MATCH(ROWS($J$2:J92),$J$2:$J$1001,0),0),1)),INDEX($O$2:$O$1001,MATCH(ROWS($J$2:J92),$J$2:$J$1001,0),0)))</f>
        <v xml:space="preserve"> </v>
      </c>
      <c r="B92" s="3" t="str">
        <f ca="1">IF(OR(INDEX($K$2:$K$1001,MATCH(ROWS($J$2:J92),$J$2:$J$1001,0),1)&gt;=100000,INDEX($Q$1005:$U$1005,1,MATCH(COLUMNS($Q$1006:Q1006),$Q$1006:$U$1006,0))&gt;=100000), " ",IF(INDEX($Q$2:$U$1001,MATCH(ROWS($J$2:J92),$J$2:$J$1001,0),MATCH(COLUMNS($Q$1006:Q1006),$Q$1006:$U$1006,0)), HYPERLINK("#",""), HYPERLINK(CONCATENATE("#metadata!", ADDRESS(INDEX($L$2:$L$1001,MATCH(ROWS($J$2:J92),$J$2:$J$1001,0),0), INDEX($Q$1004:$U$1004,1,MATCH(COLUMNS($Q$1006:Q1006),$Q$1006:$U$1006,0)))),"Fix")))</f>
        <v xml:space="preserve"> </v>
      </c>
      <c r="C92" s="3" t="str">
        <f ca="1">IF(OR(INDEX($K$2:$K$1001,MATCH(ROWS($J$2:J92),$J$2:$J$1001,0),1)&gt;=100000,INDEX($Q$1005:$U$1005,1,MATCH(COLUMNS($Q$1006:R1006),$Q$1006:$U$1006,0))&gt;=100000), " ",IF(INDEX($Q$2:$U$1001,MATCH(ROWS($J$2:J92),$J$2:$J$1001,0),MATCH(COLUMNS($Q$1006:R1006),$Q$1006:$U$1006,0)), HYPERLINK("#",""), HYPERLINK(CONCATENATE("#metadata!", ADDRESS(INDEX($L$2:$L$1001,MATCH(ROWS($J$2:J92),$J$2:$J$1001,0),0), INDEX($Q$1004:$U$1004,1,MATCH(COLUMNS($Q$1006:R1006),$Q$1006:$U$1006,0)))),"Fix")))</f>
        <v xml:space="preserve"> </v>
      </c>
      <c r="D92" s="3" t="str">
        <f ca="1">IF(OR(INDEX($K$2:$K$1001,MATCH(ROWS($J$2:J92),$J$2:$J$1001,0),1)&gt;=100000,INDEX($Q$1005:$U$1005,1,MATCH(COLUMNS($Q$1006:S1006),$Q$1006:$U$1006,0))&gt;=100000), " ",IF(INDEX($Q$2:$U$1001,MATCH(ROWS($J$2:J92),$J$2:$J$1001,0),MATCH(COLUMNS($Q$1006:S1006),$Q$1006:$U$1006,0)), HYPERLINK("#",""), HYPERLINK(CONCATENATE("#metadata!", ADDRESS(INDEX($L$2:$L$1001,MATCH(ROWS($J$2:J92),$J$2:$J$1001,0),0), INDEX($Q$1004:$U$1004,1,MATCH(COLUMNS($Q$1006:S1006),$Q$1006:$U$1006,0)))),"Fix")))</f>
        <v xml:space="preserve"> </v>
      </c>
      <c r="E92" s="3" t="str">
        <f ca="1">IF(OR(INDEX($K$2:$K$1001,MATCH(ROWS($J$2:J92),$J$2:$J$1001,0),1)&gt;=100000,INDEX($Q$1005:$U$1005,1,MATCH(COLUMNS($Q$1006:T1006),$Q$1006:$U$1006,0))&gt;=100000), " ",IF(INDEX($Q$2:$U$1001,MATCH(ROWS($J$2:J92),$J$2:$J$1001,0),MATCH(COLUMNS($Q$1006:T1006),$Q$1006:$U$1006,0)), HYPERLINK("#",""), HYPERLINK(CONCATENATE("#metadata!", ADDRESS(INDEX($L$2:$L$1001,MATCH(ROWS($J$2:J92),$J$2:$J$1001,0),0), INDEX($Q$1004:$U$1004,1,MATCH(COLUMNS($Q$1006:T1006),$Q$1006:$U$1006,0)))),"Fix")))</f>
        <v xml:space="preserve"> </v>
      </c>
      <c r="F92" s="3" t="str">
        <f ca="1">IF(OR(INDEX($K$2:$K$1001,MATCH(ROWS($J$2:J92),$J$2:$J$1001,0),1)&gt;=100000,INDEX($Q$1005:$U$1005,1,MATCH(COLUMNS($Q$1006:U1006),$Q$1006:$U$1006,0))&gt;=100000), " ",IF(INDEX($Q$2:$U$1001,MATCH(ROWS($J$2:J92),$J$2:$J$1001,0),MATCH(COLUMNS($Q$1006:U1006),$Q$1006:$U$1006,0)), HYPERLINK("#",""), HYPERLINK(CONCATENATE("#metadata!", ADDRESS(INDEX($L$2:$L$1001,MATCH(ROWS($J$2:J92),$J$2:$J$1001,0),0), INDEX($Q$1004:$U$1004,1,MATCH(COLUMNS($Q$1006:U1006),$Q$1006:$U$1006,0)))),"Fix")))</f>
        <v xml:space="preserve"> </v>
      </c>
      <c r="J92">
        <v>91</v>
      </c>
      <c r="K92">
        <v>100092</v>
      </c>
      <c r="L92">
        <v>92</v>
      </c>
      <c r="M92" t="b">
        <f t="shared" si="1"/>
        <v>1</v>
      </c>
      <c r="N92" t="b">
        <f>COUNTBLANK(metadata!B92:F92)=COLUMNS(metadata!B92:F92)</f>
        <v>1</v>
      </c>
      <c r="O92" t="str">
        <v/>
      </c>
      <c r="Q92" t="b">
        <f ca="1">AND(IF(metadata!B92="",FALSE,TRUE),COUNTIF(metadata!B:B, metadata!B92) = 1,NOT(ISERROR(SUMPRODUCT(SEARCH(MID(metadata!B92,ROW(INDIRECT("1:"&amp;LEN(metadata!B92))), 1),"0123456789abcdefghijklmnopqrstuvwxyzABCDEFGHIJKLMNOPQRSTUVWXYZ.")))))</f>
        <v>0</v>
      </c>
      <c r="R92" t="b">
        <f>AND(IF(metadata!C92="",FALSE,TRUE),OR(EXACT(metadata!C92,"saline"),EXACT(metadata!C92,"non-saline")))</f>
        <v>0</v>
      </c>
      <c r="S92" t="b">
        <f>AND(IF(metadata!D92="",FALSE,TRUE),OR(EXACT(metadata!D92,"surface (non-saline)"),EXACT(metadata!D92,"aerosol (non-saline)"),EXACT(metadata!D92,"sediment (non-saline)"),EXACT(metadata!D92,"surface (saline)"),EXACT(metadata!D92,"aerosol (saline)"),EXACT(metadata!D92,"sediment (saline)")))</f>
        <v>0</v>
      </c>
      <c r="T92" t="b">
        <f>AND(IF(metadata!E92="",FALSE,TRUE),EXACT(metadata!E92,"built environment"))</f>
        <v>0</v>
      </c>
      <c r="U92" t="b">
        <f>OR(AND(IF(metadata!F92="",FALSE,TRUE),EXACT(metadata!F92,"not applicable")),AND(IF(metadata!F92="",FALSE,TRUE),EXACT(metadata!F92,"anaerobic digester content")))</f>
        <v>0</v>
      </c>
    </row>
    <row r="93" spans="1:21" x14ac:dyDescent="0.2">
      <c r="A93" s="4" t="str">
        <f ca="1">IF(B93=" "," ",HYPERLINK(CONCATENATE("#metadata!",ADDRESS(INDEX($L$2:$L$1001,MATCH(ROWS($J$2:J93),$J$2:$J$1001,0),0),1)),INDEX($O$2:$O$1001,MATCH(ROWS($J$2:J93),$J$2:$J$1001,0),0)))</f>
        <v xml:space="preserve"> </v>
      </c>
      <c r="B93" s="3" t="str">
        <f ca="1">IF(OR(INDEX($K$2:$K$1001,MATCH(ROWS($J$2:J93),$J$2:$J$1001,0),1)&gt;=100000,INDEX($Q$1005:$U$1005,1,MATCH(COLUMNS($Q$1006:Q1006),$Q$1006:$U$1006,0))&gt;=100000), " ",IF(INDEX($Q$2:$U$1001,MATCH(ROWS($J$2:J93),$J$2:$J$1001,0),MATCH(COLUMNS($Q$1006:Q1006),$Q$1006:$U$1006,0)), HYPERLINK("#",""), HYPERLINK(CONCATENATE("#metadata!", ADDRESS(INDEX($L$2:$L$1001,MATCH(ROWS($J$2:J93),$J$2:$J$1001,0),0), INDEX($Q$1004:$U$1004,1,MATCH(COLUMNS($Q$1006:Q1006),$Q$1006:$U$1006,0)))),"Fix")))</f>
        <v xml:space="preserve"> </v>
      </c>
      <c r="C93" s="3" t="str">
        <f ca="1">IF(OR(INDEX($K$2:$K$1001,MATCH(ROWS($J$2:J93),$J$2:$J$1001,0),1)&gt;=100000,INDEX($Q$1005:$U$1005,1,MATCH(COLUMNS($Q$1006:R1006),$Q$1006:$U$1006,0))&gt;=100000), " ",IF(INDEX($Q$2:$U$1001,MATCH(ROWS($J$2:J93),$J$2:$J$1001,0),MATCH(COLUMNS($Q$1006:R1006),$Q$1006:$U$1006,0)), HYPERLINK("#",""), HYPERLINK(CONCATENATE("#metadata!", ADDRESS(INDEX($L$2:$L$1001,MATCH(ROWS($J$2:J93),$J$2:$J$1001,0),0), INDEX($Q$1004:$U$1004,1,MATCH(COLUMNS($Q$1006:R1006),$Q$1006:$U$1006,0)))),"Fix")))</f>
        <v xml:space="preserve"> </v>
      </c>
      <c r="D93" s="3" t="str">
        <f ca="1">IF(OR(INDEX($K$2:$K$1001,MATCH(ROWS($J$2:J93),$J$2:$J$1001,0),1)&gt;=100000,INDEX($Q$1005:$U$1005,1,MATCH(COLUMNS($Q$1006:S1006),$Q$1006:$U$1006,0))&gt;=100000), " ",IF(INDEX($Q$2:$U$1001,MATCH(ROWS($J$2:J93),$J$2:$J$1001,0),MATCH(COLUMNS($Q$1006:S1006),$Q$1006:$U$1006,0)), HYPERLINK("#",""), HYPERLINK(CONCATENATE("#metadata!", ADDRESS(INDEX($L$2:$L$1001,MATCH(ROWS($J$2:J93),$J$2:$J$1001,0),0), INDEX($Q$1004:$U$1004,1,MATCH(COLUMNS($Q$1006:S1006),$Q$1006:$U$1006,0)))),"Fix")))</f>
        <v xml:space="preserve"> </v>
      </c>
      <c r="E93" s="3" t="str">
        <f ca="1">IF(OR(INDEX($K$2:$K$1001,MATCH(ROWS($J$2:J93),$J$2:$J$1001,0),1)&gt;=100000,INDEX($Q$1005:$U$1005,1,MATCH(COLUMNS($Q$1006:T1006),$Q$1006:$U$1006,0))&gt;=100000), " ",IF(INDEX($Q$2:$U$1001,MATCH(ROWS($J$2:J93),$J$2:$J$1001,0),MATCH(COLUMNS($Q$1006:T1006),$Q$1006:$U$1006,0)), HYPERLINK("#",""), HYPERLINK(CONCATENATE("#metadata!", ADDRESS(INDEX($L$2:$L$1001,MATCH(ROWS($J$2:J93),$J$2:$J$1001,0),0), INDEX($Q$1004:$U$1004,1,MATCH(COLUMNS($Q$1006:T1006),$Q$1006:$U$1006,0)))),"Fix")))</f>
        <v xml:space="preserve"> </v>
      </c>
      <c r="F93" s="3" t="str">
        <f ca="1">IF(OR(INDEX($K$2:$K$1001,MATCH(ROWS($J$2:J93),$J$2:$J$1001,0),1)&gt;=100000,INDEX($Q$1005:$U$1005,1,MATCH(COLUMNS($Q$1006:U1006),$Q$1006:$U$1006,0))&gt;=100000), " ",IF(INDEX($Q$2:$U$1001,MATCH(ROWS($J$2:J93),$J$2:$J$1001,0),MATCH(COLUMNS($Q$1006:U1006),$Q$1006:$U$1006,0)), HYPERLINK("#",""), HYPERLINK(CONCATENATE("#metadata!", ADDRESS(INDEX($L$2:$L$1001,MATCH(ROWS($J$2:J93),$J$2:$J$1001,0),0), INDEX($Q$1004:$U$1004,1,MATCH(COLUMNS($Q$1006:U1006),$Q$1006:$U$1006,0)))),"Fix")))</f>
        <v xml:space="preserve"> </v>
      </c>
      <c r="J93">
        <v>92</v>
      </c>
      <c r="K93">
        <v>100093</v>
      </c>
      <c r="L93">
        <v>93</v>
      </c>
      <c r="M93" t="b">
        <f t="shared" si="1"/>
        <v>1</v>
      </c>
      <c r="N93" t="b">
        <f>COUNTBLANK(metadata!B93:F93)=COLUMNS(metadata!B93:F93)</f>
        <v>1</v>
      </c>
      <c r="O93" t="str">
        <v/>
      </c>
      <c r="Q93" t="b">
        <f ca="1">AND(IF(metadata!B93="",FALSE,TRUE),COUNTIF(metadata!B:B, metadata!B93) = 1,NOT(ISERROR(SUMPRODUCT(SEARCH(MID(metadata!B93,ROW(INDIRECT("1:"&amp;LEN(metadata!B93))), 1),"0123456789abcdefghijklmnopqrstuvwxyzABCDEFGHIJKLMNOPQRSTUVWXYZ.")))))</f>
        <v>0</v>
      </c>
      <c r="R93" t="b">
        <f>AND(IF(metadata!C93="",FALSE,TRUE),OR(EXACT(metadata!C93,"saline"),EXACT(metadata!C93,"non-saline")))</f>
        <v>0</v>
      </c>
      <c r="S93" t="b">
        <f>AND(IF(metadata!D93="",FALSE,TRUE),OR(EXACT(metadata!D93,"surface (non-saline)"),EXACT(metadata!D93,"aerosol (non-saline)"),EXACT(metadata!D93,"sediment (non-saline)"),EXACT(metadata!D93,"surface (saline)"),EXACT(metadata!D93,"aerosol (saline)"),EXACT(metadata!D93,"sediment (saline)")))</f>
        <v>0</v>
      </c>
      <c r="T93" t="b">
        <f>AND(IF(metadata!E93="",FALSE,TRUE),EXACT(metadata!E93,"built environment"))</f>
        <v>0</v>
      </c>
      <c r="U93" t="b">
        <f>OR(AND(IF(metadata!F93="",FALSE,TRUE),EXACT(metadata!F93,"not applicable")),AND(IF(metadata!F93="",FALSE,TRUE),EXACT(metadata!F93,"anaerobic digester content")))</f>
        <v>0</v>
      </c>
    </row>
    <row r="94" spans="1:21" x14ac:dyDescent="0.2">
      <c r="A94" s="4" t="str">
        <f ca="1">IF(B94=" "," ",HYPERLINK(CONCATENATE("#metadata!",ADDRESS(INDEX($L$2:$L$1001,MATCH(ROWS($J$2:J94),$J$2:$J$1001,0),0),1)),INDEX($O$2:$O$1001,MATCH(ROWS($J$2:J94),$J$2:$J$1001,0),0)))</f>
        <v xml:space="preserve"> </v>
      </c>
      <c r="B94" s="3" t="str">
        <f ca="1">IF(OR(INDEX($K$2:$K$1001,MATCH(ROWS($J$2:J94),$J$2:$J$1001,0),1)&gt;=100000,INDEX($Q$1005:$U$1005,1,MATCH(COLUMNS($Q$1006:Q1006),$Q$1006:$U$1006,0))&gt;=100000), " ",IF(INDEX($Q$2:$U$1001,MATCH(ROWS($J$2:J94),$J$2:$J$1001,0),MATCH(COLUMNS($Q$1006:Q1006),$Q$1006:$U$1006,0)), HYPERLINK("#",""), HYPERLINK(CONCATENATE("#metadata!", ADDRESS(INDEX($L$2:$L$1001,MATCH(ROWS($J$2:J94),$J$2:$J$1001,0),0), INDEX($Q$1004:$U$1004,1,MATCH(COLUMNS($Q$1006:Q1006),$Q$1006:$U$1006,0)))),"Fix")))</f>
        <v xml:space="preserve"> </v>
      </c>
      <c r="C94" s="3" t="str">
        <f ca="1">IF(OR(INDEX($K$2:$K$1001,MATCH(ROWS($J$2:J94),$J$2:$J$1001,0),1)&gt;=100000,INDEX($Q$1005:$U$1005,1,MATCH(COLUMNS($Q$1006:R1006),$Q$1006:$U$1006,0))&gt;=100000), " ",IF(INDEX($Q$2:$U$1001,MATCH(ROWS($J$2:J94),$J$2:$J$1001,0),MATCH(COLUMNS($Q$1006:R1006),$Q$1006:$U$1006,0)), HYPERLINK("#",""), HYPERLINK(CONCATENATE("#metadata!", ADDRESS(INDEX($L$2:$L$1001,MATCH(ROWS($J$2:J94),$J$2:$J$1001,0),0), INDEX($Q$1004:$U$1004,1,MATCH(COLUMNS($Q$1006:R1006),$Q$1006:$U$1006,0)))),"Fix")))</f>
        <v xml:space="preserve"> </v>
      </c>
      <c r="D94" s="3" t="str">
        <f ca="1">IF(OR(INDEX($K$2:$K$1001,MATCH(ROWS($J$2:J94),$J$2:$J$1001,0),1)&gt;=100000,INDEX($Q$1005:$U$1005,1,MATCH(COLUMNS($Q$1006:S1006),$Q$1006:$U$1006,0))&gt;=100000), " ",IF(INDEX($Q$2:$U$1001,MATCH(ROWS($J$2:J94),$J$2:$J$1001,0),MATCH(COLUMNS($Q$1006:S1006),$Q$1006:$U$1006,0)), HYPERLINK("#",""), HYPERLINK(CONCATENATE("#metadata!", ADDRESS(INDEX($L$2:$L$1001,MATCH(ROWS($J$2:J94),$J$2:$J$1001,0),0), INDEX($Q$1004:$U$1004,1,MATCH(COLUMNS($Q$1006:S1006),$Q$1006:$U$1006,0)))),"Fix")))</f>
        <v xml:space="preserve"> </v>
      </c>
      <c r="E94" s="3" t="str">
        <f ca="1">IF(OR(INDEX($K$2:$K$1001,MATCH(ROWS($J$2:J94),$J$2:$J$1001,0),1)&gt;=100000,INDEX($Q$1005:$U$1005,1,MATCH(COLUMNS($Q$1006:T1006),$Q$1006:$U$1006,0))&gt;=100000), " ",IF(INDEX($Q$2:$U$1001,MATCH(ROWS($J$2:J94),$J$2:$J$1001,0),MATCH(COLUMNS($Q$1006:T1006),$Q$1006:$U$1006,0)), HYPERLINK("#",""), HYPERLINK(CONCATENATE("#metadata!", ADDRESS(INDEX($L$2:$L$1001,MATCH(ROWS($J$2:J94),$J$2:$J$1001,0),0), INDEX($Q$1004:$U$1004,1,MATCH(COLUMNS($Q$1006:T1006),$Q$1006:$U$1006,0)))),"Fix")))</f>
        <v xml:space="preserve"> </v>
      </c>
      <c r="F94" s="3" t="str">
        <f ca="1">IF(OR(INDEX($K$2:$K$1001,MATCH(ROWS($J$2:J94),$J$2:$J$1001,0),1)&gt;=100000,INDEX($Q$1005:$U$1005,1,MATCH(COLUMNS($Q$1006:U1006),$Q$1006:$U$1006,0))&gt;=100000), " ",IF(INDEX($Q$2:$U$1001,MATCH(ROWS($J$2:J94),$J$2:$J$1001,0),MATCH(COLUMNS($Q$1006:U1006),$Q$1006:$U$1006,0)), HYPERLINK("#",""), HYPERLINK(CONCATENATE("#metadata!", ADDRESS(INDEX($L$2:$L$1001,MATCH(ROWS($J$2:J94),$J$2:$J$1001,0),0), INDEX($Q$1004:$U$1004,1,MATCH(COLUMNS($Q$1006:U1006),$Q$1006:$U$1006,0)))),"Fix")))</f>
        <v xml:space="preserve"> </v>
      </c>
      <c r="J94">
        <v>93</v>
      </c>
      <c r="K94">
        <v>100094</v>
      </c>
      <c r="L94">
        <v>94</v>
      </c>
      <c r="M94" t="b">
        <f t="shared" si="1"/>
        <v>1</v>
      </c>
      <c r="N94" t="b">
        <f>COUNTBLANK(metadata!B94:F94)=COLUMNS(metadata!B94:F94)</f>
        <v>1</v>
      </c>
      <c r="O94" t="str">
        <v/>
      </c>
      <c r="Q94" t="b">
        <f ca="1">AND(IF(metadata!B94="",FALSE,TRUE),COUNTIF(metadata!B:B, metadata!B94) = 1,NOT(ISERROR(SUMPRODUCT(SEARCH(MID(metadata!B94,ROW(INDIRECT("1:"&amp;LEN(metadata!B94))), 1),"0123456789abcdefghijklmnopqrstuvwxyzABCDEFGHIJKLMNOPQRSTUVWXYZ.")))))</f>
        <v>0</v>
      </c>
      <c r="R94" t="b">
        <f>AND(IF(metadata!C94="",FALSE,TRUE),OR(EXACT(metadata!C94,"saline"),EXACT(metadata!C94,"non-saline")))</f>
        <v>0</v>
      </c>
      <c r="S94" t="b">
        <f>AND(IF(metadata!D94="",FALSE,TRUE),OR(EXACT(metadata!D94,"surface (non-saline)"),EXACT(metadata!D94,"aerosol (non-saline)"),EXACT(metadata!D94,"sediment (non-saline)"),EXACT(metadata!D94,"surface (saline)"),EXACT(metadata!D94,"aerosol (saline)"),EXACT(metadata!D94,"sediment (saline)")))</f>
        <v>0</v>
      </c>
      <c r="T94" t="b">
        <f>AND(IF(metadata!E94="",FALSE,TRUE),EXACT(metadata!E94,"built environment"))</f>
        <v>0</v>
      </c>
      <c r="U94" t="b">
        <f>OR(AND(IF(metadata!F94="",FALSE,TRUE),EXACT(metadata!F94,"not applicable")),AND(IF(metadata!F94="",FALSE,TRUE),EXACT(metadata!F94,"anaerobic digester content")))</f>
        <v>0</v>
      </c>
    </row>
    <row r="95" spans="1:21" x14ac:dyDescent="0.2">
      <c r="A95" s="4" t="str">
        <f ca="1">IF(B95=" "," ",HYPERLINK(CONCATENATE("#metadata!",ADDRESS(INDEX($L$2:$L$1001,MATCH(ROWS($J$2:J95),$J$2:$J$1001,0),0),1)),INDEX($O$2:$O$1001,MATCH(ROWS($J$2:J95),$J$2:$J$1001,0),0)))</f>
        <v xml:space="preserve"> </v>
      </c>
      <c r="B95" s="3" t="str">
        <f ca="1">IF(OR(INDEX($K$2:$K$1001,MATCH(ROWS($J$2:J95),$J$2:$J$1001,0),1)&gt;=100000,INDEX($Q$1005:$U$1005,1,MATCH(COLUMNS($Q$1006:Q1006),$Q$1006:$U$1006,0))&gt;=100000), " ",IF(INDEX($Q$2:$U$1001,MATCH(ROWS($J$2:J95),$J$2:$J$1001,0),MATCH(COLUMNS($Q$1006:Q1006),$Q$1006:$U$1006,0)), HYPERLINK("#",""), HYPERLINK(CONCATENATE("#metadata!", ADDRESS(INDEX($L$2:$L$1001,MATCH(ROWS($J$2:J95),$J$2:$J$1001,0),0), INDEX($Q$1004:$U$1004,1,MATCH(COLUMNS($Q$1006:Q1006),$Q$1006:$U$1006,0)))),"Fix")))</f>
        <v xml:space="preserve"> </v>
      </c>
      <c r="C95" s="3" t="str">
        <f ca="1">IF(OR(INDEX($K$2:$K$1001,MATCH(ROWS($J$2:J95),$J$2:$J$1001,0),1)&gt;=100000,INDEX($Q$1005:$U$1005,1,MATCH(COLUMNS($Q$1006:R1006),$Q$1006:$U$1006,0))&gt;=100000), " ",IF(INDEX($Q$2:$U$1001,MATCH(ROWS($J$2:J95),$J$2:$J$1001,0),MATCH(COLUMNS($Q$1006:R1006),$Q$1006:$U$1006,0)), HYPERLINK("#",""), HYPERLINK(CONCATENATE("#metadata!", ADDRESS(INDEX($L$2:$L$1001,MATCH(ROWS($J$2:J95),$J$2:$J$1001,0),0), INDEX($Q$1004:$U$1004,1,MATCH(COLUMNS($Q$1006:R1006),$Q$1006:$U$1006,0)))),"Fix")))</f>
        <v xml:space="preserve"> </v>
      </c>
      <c r="D95" s="3" t="str">
        <f ca="1">IF(OR(INDEX($K$2:$K$1001,MATCH(ROWS($J$2:J95),$J$2:$J$1001,0),1)&gt;=100000,INDEX($Q$1005:$U$1005,1,MATCH(COLUMNS($Q$1006:S1006),$Q$1006:$U$1006,0))&gt;=100000), " ",IF(INDEX($Q$2:$U$1001,MATCH(ROWS($J$2:J95),$J$2:$J$1001,0),MATCH(COLUMNS($Q$1006:S1006),$Q$1006:$U$1006,0)), HYPERLINK("#",""), HYPERLINK(CONCATENATE("#metadata!", ADDRESS(INDEX($L$2:$L$1001,MATCH(ROWS($J$2:J95),$J$2:$J$1001,0),0), INDEX($Q$1004:$U$1004,1,MATCH(COLUMNS($Q$1006:S1006),$Q$1006:$U$1006,0)))),"Fix")))</f>
        <v xml:space="preserve"> </v>
      </c>
      <c r="E95" s="3" t="str">
        <f ca="1">IF(OR(INDEX($K$2:$K$1001,MATCH(ROWS($J$2:J95),$J$2:$J$1001,0),1)&gt;=100000,INDEX($Q$1005:$U$1005,1,MATCH(COLUMNS($Q$1006:T1006),$Q$1006:$U$1006,0))&gt;=100000), " ",IF(INDEX($Q$2:$U$1001,MATCH(ROWS($J$2:J95),$J$2:$J$1001,0),MATCH(COLUMNS($Q$1006:T1006),$Q$1006:$U$1006,0)), HYPERLINK("#",""), HYPERLINK(CONCATENATE("#metadata!", ADDRESS(INDEX($L$2:$L$1001,MATCH(ROWS($J$2:J95),$J$2:$J$1001,0),0), INDEX($Q$1004:$U$1004,1,MATCH(COLUMNS($Q$1006:T1006),$Q$1006:$U$1006,0)))),"Fix")))</f>
        <v xml:space="preserve"> </v>
      </c>
      <c r="F95" s="3" t="str">
        <f ca="1">IF(OR(INDEX($K$2:$K$1001,MATCH(ROWS($J$2:J95),$J$2:$J$1001,0),1)&gt;=100000,INDEX($Q$1005:$U$1005,1,MATCH(COLUMNS($Q$1006:U1006),$Q$1006:$U$1006,0))&gt;=100000), " ",IF(INDEX($Q$2:$U$1001,MATCH(ROWS($J$2:J95),$J$2:$J$1001,0),MATCH(COLUMNS($Q$1006:U1006),$Q$1006:$U$1006,0)), HYPERLINK("#",""), HYPERLINK(CONCATENATE("#metadata!", ADDRESS(INDEX($L$2:$L$1001,MATCH(ROWS($J$2:J95),$J$2:$J$1001,0),0), INDEX($Q$1004:$U$1004,1,MATCH(COLUMNS($Q$1006:U1006),$Q$1006:$U$1006,0)))),"Fix")))</f>
        <v xml:space="preserve"> </v>
      </c>
      <c r="J95">
        <v>94</v>
      </c>
      <c r="K95">
        <v>100095</v>
      </c>
      <c r="L95">
        <v>95</v>
      </c>
      <c r="M95" t="b">
        <f t="shared" si="1"/>
        <v>1</v>
      </c>
      <c r="N95" t="b">
        <f>COUNTBLANK(metadata!B95:F95)=COLUMNS(metadata!B95:F95)</f>
        <v>1</v>
      </c>
      <c r="O95" t="str">
        <v/>
      </c>
      <c r="Q95" t="b">
        <f ca="1">AND(IF(metadata!B95="",FALSE,TRUE),COUNTIF(metadata!B:B, metadata!B95) = 1,NOT(ISERROR(SUMPRODUCT(SEARCH(MID(metadata!B95,ROW(INDIRECT("1:"&amp;LEN(metadata!B95))), 1),"0123456789abcdefghijklmnopqrstuvwxyzABCDEFGHIJKLMNOPQRSTUVWXYZ.")))))</f>
        <v>0</v>
      </c>
      <c r="R95" t="b">
        <f>AND(IF(metadata!C95="",FALSE,TRUE),OR(EXACT(metadata!C95,"saline"),EXACT(metadata!C95,"non-saline")))</f>
        <v>0</v>
      </c>
      <c r="S95" t="b">
        <f>AND(IF(metadata!D95="",FALSE,TRUE),OR(EXACT(metadata!D95,"surface (non-saline)"),EXACT(metadata!D95,"aerosol (non-saline)"),EXACT(metadata!D95,"sediment (non-saline)"),EXACT(metadata!D95,"surface (saline)"),EXACT(metadata!D95,"aerosol (saline)"),EXACT(metadata!D95,"sediment (saline)")))</f>
        <v>0</v>
      </c>
      <c r="T95" t="b">
        <f>AND(IF(metadata!E95="",FALSE,TRUE),EXACT(metadata!E95,"built environment"))</f>
        <v>0</v>
      </c>
      <c r="U95" t="b">
        <f>OR(AND(IF(metadata!F95="",FALSE,TRUE),EXACT(metadata!F95,"not applicable")),AND(IF(metadata!F95="",FALSE,TRUE),EXACT(metadata!F95,"anaerobic digester content")))</f>
        <v>0</v>
      </c>
    </row>
    <row r="96" spans="1:21" x14ac:dyDescent="0.2">
      <c r="A96" s="4" t="str">
        <f ca="1">IF(B96=" "," ",HYPERLINK(CONCATENATE("#metadata!",ADDRESS(INDEX($L$2:$L$1001,MATCH(ROWS($J$2:J96),$J$2:$J$1001,0),0),1)),INDEX($O$2:$O$1001,MATCH(ROWS($J$2:J96),$J$2:$J$1001,0),0)))</f>
        <v xml:space="preserve"> </v>
      </c>
      <c r="B96" s="3" t="str">
        <f ca="1">IF(OR(INDEX($K$2:$K$1001,MATCH(ROWS($J$2:J96),$J$2:$J$1001,0),1)&gt;=100000,INDEX($Q$1005:$U$1005,1,MATCH(COLUMNS($Q$1006:Q1006),$Q$1006:$U$1006,0))&gt;=100000), " ",IF(INDEX($Q$2:$U$1001,MATCH(ROWS($J$2:J96),$J$2:$J$1001,0),MATCH(COLUMNS($Q$1006:Q1006),$Q$1006:$U$1006,0)), HYPERLINK("#",""), HYPERLINK(CONCATENATE("#metadata!", ADDRESS(INDEX($L$2:$L$1001,MATCH(ROWS($J$2:J96),$J$2:$J$1001,0),0), INDEX($Q$1004:$U$1004,1,MATCH(COLUMNS($Q$1006:Q1006),$Q$1006:$U$1006,0)))),"Fix")))</f>
        <v xml:space="preserve"> </v>
      </c>
      <c r="C96" s="3" t="str">
        <f ca="1">IF(OR(INDEX($K$2:$K$1001,MATCH(ROWS($J$2:J96),$J$2:$J$1001,0),1)&gt;=100000,INDEX($Q$1005:$U$1005,1,MATCH(COLUMNS($Q$1006:R1006),$Q$1006:$U$1006,0))&gt;=100000), " ",IF(INDEX($Q$2:$U$1001,MATCH(ROWS($J$2:J96),$J$2:$J$1001,0),MATCH(COLUMNS($Q$1006:R1006),$Q$1006:$U$1006,0)), HYPERLINK("#",""), HYPERLINK(CONCATENATE("#metadata!", ADDRESS(INDEX($L$2:$L$1001,MATCH(ROWS($J$2:J96),$J$2:$J$1001,0),0), INDEX($Q$1004:$U$1004,1,MATCH(COLUMNS($Q$1006:R1006),$Q$1006:$U$1006,0)))),"Fix")))</f>
        <v xml:space="preserve"> </v>
      </c>
      <c r="D96" s="3" t="str">
        <f ca="1">IF(OR(INDEX($K$2:$K$1001,MATCH(ROWS($J$2:J96),$J$2:$J$1001,0),1)&gt;=100000,INDEX($Q$1005:$U$1005,1,MATCH(COLUMNS($Q$1006:S1006),$Q$1006:$U$1006,0))&gt;=100000), " ",IF(INDEX($Q$2:$U$1001,MATCH(ROWS($J$2:J96),$J$2:$J$1001,0),MATCH(COLUMNS($Q$1006:S1006),$Q$1006:$U$1006,0)), HYPERLINK("#",""), HYPERLINK(CONCATENATE("#metadata!", ADDRESS(INDEX($L$2:$L$1001,MATCH(ROWS($J$2:J96),$J$2:$J$1001,0),0), INDEX($Q$1004:$U$1004,1,MATCH(COLUMNS($Q$1006:S1006),$Q$1006:$U$1006,0)))),"Fix")))</f>
        <v xml:space="preserve"> </v>
      </c>
      <c r="E96" s="3" t="str">
        <f ca="1">IF(OR(INDEX($K$2:$K$1001,MATCH(ROWS($J$2:J96),$J$2:$J$1001,0),1)&gt;=100000,INDEX($Q$1005:$U$1005,1,MATCH(COLUMNS($Q$1006:T1006),$Q$1006:$U$1006,0))&gt;=100000), " ",IF(INDEX($Q$2:$U$1001,MATCH(ROWS($J$2:J96),$J$2:$J$1001,0),MATCH(COLUMNS($Q$1006:T1006),$Q$1006:$U$1006,0)), HYPERLINK("#",""), HYPERLINK(CONCATENATE("#metadata!", ADDRESS(INDEX($L$2:$L$1001,MATCH(ROWS($J$2:J96),$J$2:$J$1001,0),0), INDEX($Q$1004:$U$1004,1,MATCH(COLUMNS($Q$1006:T1006),$Q$1006:$U$1006,0)))),"Fix")))</f>
        <v xml:space="preserve"> </v>
      </c>
      <c r="F96" s="3" t="str">
        <f ca="1">IF(OR(INDEX($K$2:$K$1001,MATCH(ROWS($J$2:J96),$J$2:$J$1001,0),1)&gt;=100000,INDEX($Q$1005:$U$1005,1,MATCH(COLUMNS($Q$1006:U1006),$Q$1006:$U$1006,0))&gt;=100000), " ",IF(INDEX($Q$2:$U$1001,MATCH(ROWS($J$2:J96),$J$2:$J$1001,0),MATCH(COLUMNS($Q$1006:U1006),$Q$1006:$U$1006,0)), HYPERLINK("#",""), HYPERLINK(CONCATENATE("#metadata!", ADDRESS(INDEX($L$2:$L$1001,MATCH(ROWS($J$2:J96),$J$2:$J$1001,0),0), INDEX($Q$1004:$U$1004,1,MATCH(COLUMNS($Q$1006:U1006),$Q$1006:$U$1006,0)))),"Fix")))</f>
        <v xml:space="preserve"> </v>
      </c>
      <c r="J96">
        <v>95</v>
      </c>
      <c r="K96">
        <v>100096</v>
      </c>
      <c r="L96">
        <v>96</v>
      </c>
      <c r="M96" t="b">
        <f t="shared" si="1"/>
        <v>1</v>
      </c>
      <c r="N96" t="b">
        <f>COUNTBLANK(metadata!B96:F96)=COLUMNS(metadata!B96:F96)</f>
        <v>1</v>
      </c>
      <c r="O96" t="str">
        <v/>
      </c>
      <c r="Q96" t="b">
        <f ca="1">AND(IF(metadata!B96="",FALSE,TRUE),COUNTIF(metadata!B:B, metadata!B96) = 1,NOT(ISERROR(SUMPRODUCT(SEARCH(MID(metadata!B96,ROW(INDIRECT("1:"&amp;LEN(metadata!B96))), 1),"0123456789abcdefghijklmnopqrstuvwxyzABCDEFGHIJKLMNOPQRSTUVWXYZ.")))))</f>
        <v>0</v>
      </c>
      <c r="R96" t="b">
        <f>AND(IF(metadata!C96="",FALSE,TRUE),OR(EXACT(metadata!C96,"saline"),EXACT(metadata!C96,"non-saline")))</f>
        <v>0</v>
      </c>
      <c r="S96" t="b">
        <f>AND(IF(metadata!D96="",FALSE,TRUE),OR(EXACT(metadata!D96,"surface (non-saline)"),EXACT(metadata!D96,"aerosol (non-saline)"),EXACT(metadata!D96,"sediment (non-saline)"),EXACT(metadata!D96,"surface (saline)"),EXACT(metadata!D96,"aerosol (saline)"),EXACT(metadata!D96,"sediment (saline)")))</f>
        <v>0</v>
      </c>
      <c r="T96" t="b">
        <f>AND(IF(metadata!E96="",FALSE,TRUE),EXACT(metadata!E96,"built environment"))</f>
        <v>0</v>
      </c>
      <c r="U96" t="b">
        <f>OR(AND(IF(metadata!F96="",FALSE,TRUE),EXACT(metadata!F96,"not applicable")),AND(IF(metadata!F96="",FALSE,TRUE),EXACT(metadata!F96,"anaerobic digester content")))</f>
        <v>0</v>
      </c>
    </row>
    <row r="97" spans="1:21" x14ac:dyDescent="0.2">
      <c r="A97" s="4" t="str">
        <f ca="1">IF(B97=" "," ",HYPERLINK(CONCATENATE("#metadata!",ADDRESS(INDEX($L$2:$L$1001,MATCH(ROWS($J$2:J97),$J$2:$J$1001,0),0),1)),INDEX($O$2:$O$1001,MATCH(ROWS($J$2:J97),$J$2:$J$1001,0),0)))</f>
        <v xml:space="preserve"> </v>
      </c>
      <c r="B97" s="3" t="str">
        <f ca="1">IF(OR(INDEX($K$2:$K$1001,MATCH(ROWS($J$2:J97),$J$2:$J$1001,0),1)&gt;=100000,INDEX($Q$1005:$U$1005,1,MATCH(COLUMNS($Q$1006:Q1006),$Q$1006:$U$1006,0))&gt;=100000), " ",IF(INDEX($Q$2:$U$1001,MATCH(ROWS($J$2:J97),$J$2:$J$1001,0),MATCH(COLUMNS($Q$1006:Q1006),$Q$1006:$U$1006,0)), HYPERLINK("#",""), HYPERLINK(CONCATENATE("#metadata!", ADDRESS(INDEX($L$2:$L$1001,MATCH(ROWS($J$2:J97),$J$2:$J$1001,0),0), INDEX($Q$1004:$U$1004,1,MATCH(COLUMNS($Q$1006:Q1006),$Q$1006:$U$1006,0)))),"Fix")))</f>
        <v xml:space="preserve"> </v>
      </c>
      <c r="C97" s="3" t="str">
        <f ca="1">IF(OR(INDEX($K$2:$K$1001,MATCH(ROWS($J$2:J97),$J$2:$J$1001,0),1)&gt;=100000,INDEX($Q$1005:$U$1005,1,MATCH(COLUMNS($Q$1006:R1006),$Q$1006:$U$1006,0))&gt;=100000), " ",IF(INDEX($Q$2:$U$1001,MATCH(ROWS($J$2:J97),$J$2:$J$1001,0),MATCH(COLUMNS($Q$1006:R1006),$Q$1006:$U$1006,0)), HYPERLINK("#",""), HYPERLINK(CONCATENATE("#metadata!", ADDRESS(INDEX($L$2:$L$1001,MATCH(ROWS($J$2:J97),$J$2:$J$1001,0),0), INDEX($Q$1004:$U$1004,1,MATCH(COLUMNS($Q$1006:R1006),$Q$1006:$U$1006,0)))),"Fix")))</f>
        <v xml:space="preserve"> </v>
      </c>
      <c r="D97" s="3" t="str">
        <f ca="1">IF(OR(INDEX($K$2:$K$1001,MATCH(ROWS($J$2:J97),$J$2:$J$1001,0),1)&gt;=100000,INDEX($Q$1005:$U$1005,1,MATCH(COLUMNS($Q$1006:S1006),$Q$1006:$U$1006,0))&gt;=100000), " ",IF(INDEX($Q$2:$U$1001,MATCH(ROWS($J$2:J97),$J$2:$J$1001,0),MATCH(COLUMNS($Q$1006:S1006),$Q$1006:$U$1006,0)), HYPERLINK("#",""), HYPERLINK(CONCATENATE("#metadata!", ADDRESS(INDEX($L$2:$L$1001,MATCH(ROWS($J$2:J97),$J$2:$J$1001,0),0), INDEX($Q$1004:$U$1004,1,MATCH(COLUMNS($Q$1006:S1006),$Q$1006:$U$1006,0)))),"Fix")))</f>
        <v xml:space="preserve"> </v>
      </c>
      <c r="E97" s="3" t="str">
        <f ca="1">IF(OR(INDEX($K$2:$K$1001,MATCH(ROWS($J$2:J97),$J$2:$J$1001,0),1)&gt;=100000,INDEX($Q$1005:$U$1005,1,MATCH(COLUMNS($Q$1006:T1006),$Q$1006:$U$1006,0))&gt;=100000), " ",IF(INDEX($Q$2:$U$1001,MATCH(ROWS($J$2:J97),$J$2:$J$1001,0),MATCH(COLUMNS($Q$1006:T1006),$Q$1006:$U$1006,0)), HYPERLINK("#",""), HYPERLINK(CONCATENATE("#metadata!", ADDRESS(INDEX($L$2:$L$1001,MATCH(ROWS($J$2:J97),$J$2:$J$1001,0),0), INDEX($Q$1004:$U$1004,1,MATCH(COLUMNS($Q$1006:T1006),$Q$1006:$U$1006,0)))),"Fix")))</f>
        <v xml:space="preserve"> </v>
      </c>
      <c r="F97" s="3" t="str">
        <f ca="1">IF(OR(INDEX($K$2:$K$1001,MATCH(ROWS($J$2:J97),$J$2:$J$1001,0),1)&gt;=100000,INDEX($Q$1005:$U$1005,1,MATCH(COLUMNS($Q$1006:U1006),$Q$1006:$U$1006,0))&gt;=100000), " ",IF(INDEX($Q$2:$U$1001,MATCH(ROWS($J$2:J97),$J$2:$J$1001,0),MATCH(COLUMNS($Q$1006:U1006),$Q$1006:$U$1006,0)), HYPERLINK("#",""), HYPERLINK(CONCATENATE("#metadata!", ADDRESS(INDEX($L$2:$L$1001,MATCH(ROWS($J$2:J97),$J$2:$J$1001,0),0), INDEX($Q$1004:$U$1004,1,MATCH(COLUMNS($Q$1006:U1006),$Q$1006:$U$1006,0)))),"Fix")))</f>
        <v xml:space="preserve"> </v>
      </c>
      <c r="J97">
        <v>96</v>
      </c>
      <c r="K97">
        <v>100097</v>
      </c>
      <c r="L97">
        <v>97</v>
      </c>
      <c r="M97" t="b">
        <f t="shared" si="1"/>
        <v>1</v>
      </c>
      <c r="N97" t="b">
        <f>COUNTBLANK(metadata!B97:F97)=COLUMNS(metadata!B97:F97)</f>
        <v>1</v>
      </c>
      <c r="O97" t="str">
        <v/>
      </c>
      <c r="Q97" t="b">
        <f ca="1">AND(IF(metadata!B97="",FALSE,TRUE),COUNTIF(metadata!B:B, metadata!B97) = 1,NOT(ISERROR(SUMPRODUCT(SEARCH(MID(metadata!B97,ROW(INDIRECT("1:"&amp;LEN(metadata!B97))), 1),"0123456789abcdefghijklmnopqrstuvwxyzABCDEFGHIJKLMNOPQRSTUVWXYZ.")))))</f>
        <v>0</v>
      </c>
      <c r="R97" t="b">
        <f>AND(IF(metadata!C97="",FALSE,TRUE),OR(EXACT(metadata!C97,"saline"),EXACT(metadata!C97,"non-saline")))</f>
        <v>0</v>
      </c>
      <c r="S97" t="b">
        <f>AND(IF(metadata!D97="",FALSE,TRUE),OR(EXACT(metadata!D97,"surface (non-saline)"),EXACT(metadata!D97,"aerosol (non-saline)"),EXACT(metadata!D97,"sediment (non-saline)"),EXACT(metadata!D97,"surface (saline)"),EXACT(metadata!D97,"aerosol (saline)"),EXACT(metadata!D97,"sediment (saline)")))</f>
        <v>0</v>
      </c>
      <c r="T97" t="b">
        <f>AND(IF(metadata!E97="",FALSE,TRUE),EXACT(metadata!E97,"built environment"))</f>
        <v>0</v>
      </c>
      <c r="U97" t="b">
        <f>OR(AND(IF(metadata!F97="",FALSE,TRUE),EXACT(metadata!F97,"not applicable")),AND(IF(metadata!F97="",FALSE,TRUE),EXACT(metadata!F97,"anaerobic digester content")))</f>
        <v>0</v>
      </c>
    </row>
    <row r="98" spans="1:21" x14ac:dyDescent="0.2">
      <c r="A98" s="4" t="str">
        <f ca="1">IF(B98=" "," ",HYPERLINK(CONCATENATE("#metadata!",ADDRESS(INDEX($L$2:$L$1001,MATCH(ROWS($J$2:J98),$J$2:$J$1001,0),0),1)),INDEX($O$2:$O$1001,MATCH(ROWS($J$2:J98),$J$2:$J$1001,0),0)))</f>
        <v xml:space="preserve"> </v>
      </c>
      <c r="B98" s="3" t="str">
        <f ca="1">IF(OR(INDEX($K$2:$K$1001,MATCH(ROWS($J$2:J98),$J$2:$J$1001,0),1)&gt;=100000,INDEX($Q$1005:$U$1005,1,MATCH(COLUMNS($Q$1006:Q1006),$Q$1006:$U$1006,0))&gt;=100000), " ",IF(INDEX($Q$2:$U$1001,MATCH(ROWS($J$2:J98),$J$2:$J$1001,0),MATCH(COLUMNS($Q$1006:Q1006),$Q$1006:$U$1006,0)), HYPERLINK("#",""), HYPERLINK(CONCATENATE("#metadata!", ADDRESS(INDEX($L$2:$L$1001,MATCH(ROWS($J$2:J98),$J$2:$J$1001,0),0), INDEX($Q$1004:$U$1004,1,MATCH(COLUMNS($Q$1006:Q1006),$Q$1006:$U$1006,0)))),"Fix")))</f>
        <v xml:space="preserve"> </v>
      </c>
      <c r="C98" s="3" t="str">
        <f ca="1">IF(OR(INDEX($K$2:$K$1001,MATCH(ROWS($J$2:J98),$J$2:$J$1001,0),1)&gt;=100000,INDEX($Q$1005:$U$1005,1,MATCH(COLUMNS($Q$1006:R1006),$Q$1006:$U$1006,0))&gt;=100000), " ",IF(INDEX($Q$2:$U$1001,MATCH(ROWS($J$2:J98),$J$2:$J$1001,0),MATCH(COLUMNS($Q$1006:R1006),$Q$1006:$U$1006,0)), HYPERLINK("#",""), HYPERLINK(CONCATENATE("#metadata!", ADDRESS(INDEX($L$2:$L$1001,MATCH(ROWS($J$2:J98),$J$2:$J$1001,0),0), INDEX($Q$1004:$U$1004,1,MATCH(COLUMNS($Q$1006:R1006),$Q$1006:$U$1006,0)))),"Fix")))</f>
        <v xml:space="preserve"> </v>
      </c>
      <c r="D98" s="3" t="str">
        <f ca="1">IF(OR(INDEX($K$2:$K$1001,MATCH(ROWS($J$2:J98),$J$2:$J$1001,0),1)&gt;=100000,INDEX($Q$1005:$U$1005,1,MATCH(COLUMNS($Q$1006:S1006),$Q$1006:$U$1006,0))&gt;=100000), " ",IF(INDEX($Q$2:$U$1001,MATCH(ROWS($J$2:J98),$J$2:$J$1001,0),MATCH(COLUMNS($Q$1006:S1006),$Q$1006:$U$1006,0)), HYPERLINK("#",""), HYPERLINK(CONCATENATE("#metadata!", ADDRESS(INDEX($L$2:$L$1001,MATCH(ROWS($J$2:J98),$J$2:$J$1001,0),0), INDEX($Q$1004:$U$1004,1,MATCH(COLUMNS($Q$1006:S1006),$Q$1006:$U$1006,0)))),"Fix")))</f>
        <v xml:space="preserve"> </v>
      </c>
      <c r="E98" s="3" t="str">
        <f ca="1">IF(OR(INDEX($K$2:$K$1001,MATCH(ROWS($J$2:J98),$J$2:$J$1001,0),1)&gt;=100000,INDEX($Q$1005:$U$1005,1,MATCH(COLUMNS($Q$1006:T1006),$Q$1006:$U$1006,0))&gt;=100000), " ",IF(INDEX($Q$2:$U$1001,MATCH(ROWS($J$2:J98),$J$2:$J$1001,0),MATCH(COLUMNS($Q$1006:T1006),$Q$1006:$U$1006,0)), HYPERLINK("#",""), HYPERLINK(CONCATENATE("#metadata!", ADDRESS(INDEX($L$2:$L$1001,MATCH(ROWS($J$2:J98),$J$2:$J$1001,0),0), INDEX($Q$1004:$U$1004,1,MATCH(COLUMNS($Q$1006:T1006),$Q$1006:$U$1006,0)))),"Fix")))</f>
        <v xml:space="preserve"> </v>
      </c>
      <c r="F98" s="3" t="str">
        <f ca="1">IF(OR(INDEX($K$2:$K$1001,MATCH(ROWS($J$2:J98),$J$2:$J$1001,0),1)&gt;=100000,INDEX($Q$1005:$U$1005,1,MATCH(COLUMNS($Q$1006:U1006),$Q$1006:$U$1006,0))&gt;=100000), " ",IF(INDEX($Q$2:$U$1001,MATCH(ROWS($J$2:J98),$J$2:$J$1001,0),MATCH(COLUMNS($Q$1006:U1006),$Q$1006:$U$1006,0)), HYPERLINK("#",""), HYPERLINK(CONCATENATE("#metadata!", ADDRESS(INDEX($L$2:$L$1001,MATCH(ROWS($J$2:J98),$J$2:$J$1001,0),0), INDEX($Q$1004:$U$1004,1,MATCH(COLUMNS($Q$1006:U1006),$Q$1006:$U$1006,0)))),"Fix")))</f>
        <v xml:space="preserve"> </v>
      </c>
      <c r="J98">
        <v>97</v>
      </c>
      <c r="K98">
        <v>100098</v>
      </c>
      <c r="L98">
        <v>98</v>
      </c>
      <c r="M98" t="b">
        <f t="shared" si="1"/>
        <v>1</v>
      </c>
      <c r="N98" t="b">
        <f>COUNTBLANK(metadata!B98:F98)=COLUMNS(metadata!B98:F98)</f>
        <v>1</v>
      </c>
      <c r="O98" t="str">
        <v/>
      </c>
      <c r="Q98" t="b">
        <f ca="1">AND(IF(metadata!B98="",FALSE,TRUE),COUNTIF(metadata!B:B, metadata!B98) = 1,NOT(ISERROR(SUMPRODUCT(SEARCH(MID(metadata!B98,ROW(INDIRECT("1:"&amp;LEN(metadata!B98))), 1),"0123456789abcdefghijklmnopqrstuvwxyzABCDEFGHIJKLMNOPQRSTUVWXYZ.")))))</f>
        <v>0</v>
      </c>
      <c r="R98" t="b">
        <f>AND(IF(metadata!C98="",FALSE,TRUE),OR(EXACT(metadata!C98,"saline"),EXACT(metadata!C98,"non-saline")))</f>
        <v>0</v>
      </c>
      <c r="S98" t="b">
        <f>AND(IF(metadata!D98="",FALSE,TRUE),OR(EXACT(metadata!D98,"surface (non-saline)"),EXACT(metadata!D98,"aerosol (non-saline)"),EXACT(metadata!D98,"sediment (non-saline)"),EXACT(metadata!D98,"surface (saline)"),EXACT(metadata!D98,"aerosol (saline)"),EXACT(metadata!D98,"sediment (saline)")))</f>
        <v>0</v>
      </c>
      <c r="T98" t="b">
        <f>AND(IF(metadata!E98="",FALSE,TRUE),EXACT(metadata!E98,"built environment"))</f>
        <v>0</v>
      </c>
      <c r="U98" t="b">
        <f>OR(AND(IF(metadata!F98="",FALSE,TRUE),EXACT(metadata!F98,"not applicable")),AND(IF(metadata!F98="",FALSE,TRUE),EXACT(metadata!F98,"anaerobic digester content")))</f>
        <v>0</v>
      </c>
    </row>
    <row r="99" spans="1:21" x14ac:dyDescent="0.2">
      <c r="A99" s="4" t="str">
        <f ca="1">IF(B99=" "," ",HYPERLINK(CONCATENATE("#metadata!",ADDRESS(INDEX($L$2:$L$1001,MATCH(ROWS($J$2:J99),$J$2:$J$1001,0),0),1)),INDEX($O$2:$O$1001,MATCH(ROWS($J$2:J99),$J$2:$J$1001,0),0)))</f>
        <v xml:space="preserve"> </v>
      </c>
      <c r="B99" s="3" t="str">
        <f ca="1">IF(OR(INDEX($K$2:$K$1001,MATCH(ROWS($J$2:J99),$J$2:$J$1001,0),1)&gt;=100000,INDEX($Q$1005:$U$1005,1,MATCH(COLUMNS($Q$1006:Q1006),$Q$1006:$U$1006,0))&gt;=100000), " ",IF(INDEX($Q$2:$U$1001,MATCH(ROWS($J$2:J99),$J$2:$J$1001,0),MATCH(COLUMNS($Q$1006:Q1006),$Q$1006:$U$1006,0)), HYPERLINK("#",""), HYPERLINK(CONCATENATE("#metadata!", ADDRESS(INDEX($L$2:$L$1001,MATCH(ROWS($J$2:J99),$J$2:$J$1001,0),0), INDEX($Q$1004:$U$1004,1,MATCH(COLUMNS($Q$1006:Q1006),$Q$1006:$U$1006,0)))),"Fix")))</f>
        <v xml:space="preserve"> </v>
      </c>
      <c r="C99" s="3" t="str">
        <f ca="1">IF(OR(INDEX($K$2:$K$1001,MATCH(ROWS($J$2:J99),$J$2:$J$1001,0),1)&gt;=100000,INDEX($Q$1005:$U$1005,1,MATCH(COLUMNS($Q$1006:R1006),$Q$1006:$U$1006,0))&gt;=100000), " ",IF(INDEX($Q$2:$U$1001,MATCH(ROWS($J$2:J99),$J$2:$J$1001,0),MATCH(COLUMNS($Q$1006:R1006),$Q$1006:$U$1006,0)), HYPERLINK("#",""), HYPERLINK(CONCATENATE("#metadata!", ADDRESS(INDEX($L$2:$L$1001,MATCH(ROWS($J$2:J99),$J$2:$J$1001,0),0), INDEX($Q$1004:$U$1004,1,MATCH(COLUMNS($Q$1006:R1006),$Q$1006:$U$1006,0)))),"Fix")))</f>
        <v xml:space="preserve"> </v>
      </c>
      <c r="D99" s="3" t="str">
        <f ca="1">IF(OR(INDEX($K$2:$K$1001,MATCH(ROWS($J$2:J99),$J$2:$J$1001,0),1)&gt;=100000,INDEX($Q$1005:$U$1005,1,MATCH(COLUMNS($Q$1006:S1006),$Q$1006:$U$1006,0))&gt;=100000), " ",IF(INDEX($Q$2:$U$1001,MATCH(ROWS($J$2:J99),$J$2:$J$1001,0),MATCH(COLUMNS($Q$1006:S1006),$Q$1006:$U$1006,0)), HYPERLINK("#",""), HYPERLINK(CONCATENATE("#metadata!", ADDRESS(INDEX($L$2:$L$1001,MATCH(ROWS($J$2:J99),$J$2:$J$1001,0),0), INDEX($Q$1004:$U$1004,1,MATCH(COLUMNS($Q$1006:S1006),$Q$1006:$U$1006,0)))),"Fix")))</f>
        <v xml:space="preserve"> </v>
      </c>
      <c r="E99" s="3" t="str">
        <f ca="1">IF(OR(INDEX($K$2:$K$1001,MATCH(ROWS($J$2:J99),$J$2:$J$1001,0),1)&gt;=100000,INDEX($Q$1005:$U$1005,1,MATCH(COLUMNS($Q$1006:T1006),$Q$1006:$U$1006,0))&gt;=100000), " ",IF(INDEX($Q$2:$U$1001,MATCH(ROWS($J$2:J99),$J$2:$J$1001,0),MATCH(COLUMNS($Q$1006:T1006),$Q$1006:$U$1006,0)), HYPERLINK("#",""), HYPERLINK(CONCATENATE("#metadata!", ADDRESS(INDEX($L$2:$L$1001,MATCH(ROWS($J$2:J99),$J$2:$J$1001,0),0), INDEX($Q$1004:$U$1004,1,MATCH(COLUMNS($Q$1006:T1006),$Q$1006:$U$1006,0)))),"Fix")))</f>
        <v xml:space="preserve"> </v>
      </c>
      <c r="F99" s="3" t="str">
        <f ca="1">IF(OR(INDEX($K$2:$K$1001,MATCH(ROWS($J$2:J99),$J$2:$J$1001,0),1)&gt;=100000,INDEX($Q$1005:$U$1005,1,MATCH(COLUMNS($Q$1006:U1006),$Q$1006:$U$1006,0))&gt;=100000), " ",IF(INDEX($Q$2:$U$1001,MATCH(ROWS($J$2:J99),$J$2:$J$1001,0),MATCH(COLUMNS($Q$1006:U1006),$Q$1006:$U$1006,0)), HYPERLINK("#",""), HYPERLINK(CONCATENATE("#metadata!", ADDRESS(INDEX($L$2:$L$1001,MATCH(ROWS($J$2:J99),$J$2:$J$1001,0),0), INDEX($Q$1004:$U$1004,1,MATCH(COLUMNS($Q$1006:U1006),$Q$1006:$U$1006,0)))),"Fix")))</f>
        <v xml:space="preserve"> </v>
      </c>
      <c r="J99">
        <v>98</v>
      </c>
      <c r="K99">
        <v>100099</v>
      </c>
      <c r="L99">
        <v>99</v>
      </c>
      <c r="M99" t="b">
        <f t="shared" si="1"/>
        <v>1</v>
      </c>
      <c r="N99" t="b">
        <f>COUNTBLANK(metadata!B99:F99)=COLUMNS(metadata!B99:F99)</f>
        <v>1</v>
      </c>
      <c r="O99" t="str">
        <v/>
      </c>
      <c r="Q99" t="b">
        <f ca="1">AND(IF(metadata!B99="",FALSE,TRUE),COUNTIF(metadata!B:B, metadata!B99) = 1,NOT(ISERROR(SUMPRODUCT(SEARCH(MID(metadata!B99,ROW(INDIRECT("1:"&amp;LEN(metadata!B99))), 1),"0123456789abcdefghijklmnopqrstuvwxyzABCDEFGHIJKLMNOPQRSTUVWXYZ.")))))</f>
        <v>0</v>
      </c>
      <c r="R99" t="b">
        <f>AND(IF(metadata!C99="",FALSE,TRUE),OR(EXACT(metadata!C99,"saline"),EXACT(metadata!C99,"non-saline")))</f>
        <v>0</v>
      </c>
      <c r="S99" t="b">
        <f>AND(IF(metadata!D99="",FALSE,TRUE),OR(EXACT(metadata!D99,"surface (non-saline)"),EXACT(metadata!D99,"aerosol (non-saline)"),EXACT(metadata!D99,"sediment (non-saline)"),EXACT(metadata!D99,"surface (saline)"),EXACT(metadata!D99,"aerosol (saline)"),EXACT(metadata!D99,"sediment (saline)")))</f>
        <v>0</v>
      </c>
      <c r="T99" t="b">
        <f>AND(IF(metadata!E99="",FALSE,TRUE),EXACT(metadata!E99,"built environment"))</f>
        <v>0</v>
      </c>
      <c r="U99" t="b">
        <f>OR(AND(IF(metadata!F99="",FALSE,TRUE),EXACT(metadata!F99,"not applicable")),AND(IF(metadata!F99="",FALSE,TRUE),EXACT(metadata!F99,"anaerobic digester content")))</f>
        <v>0</v>
      </c>
    </row>
    <row r="100" spans="1:21" x14ac:dyDescent="0.2">
      <c r="A100" s="4" t="str">
        <f ca="1">IF(B100=" "," ",HYPERLINK(CONCATENATE("#metadata!",ADDRESS(INDEX($L$2:$L$1001,MATCH(ROWS($J$2:J100),$J$2:$J$1001,0),0),1)),INDEX($O$2:$O$1001,MATCH(ROWS($J$2:J100),$J$2:$J$1001,0),0)))</f>
        <v xml:space="preserve"> </v>
      </c>
      <c r="B100" s="3" t="str">
        <f ca="1">IF(OR(INDEX($K$2:$K$1001,MATCH(ROWS($J$2:J100),$J$2:$J$1001,0),1)&gt;=100000,INDEX($Q$1005:$U$1005,1,MATCH(COLUMNS($Q$1006:Q1006),$Q$1006:$U$1006,0))&gt;=100000), " ",IF(INDEX($Q$2:$U$1001,MATCH(ROWS($J$2:J100),$J$2:$J$1001,0),MATCH(COLUMNS($Q$1006:Q1006),$Q$1006:$U$1006,0)), HYPERLINK("#",""), HYPERLINK(CONCATENATE("#metadata!", ADDRESS(INDEX($L$2:$L$1001,MATCH(ROWS($J$2:J100),$J$2:$J$1001,0),0), INDEX($Q$1004:$U$1004,1,MATCH(COLUMNS($Q$1006:Q1006),$Q$1006:$U$1006,0)))),"Fix")))</f>
        <v xml:space="preserve"> </v>
      </c>
      <c r="C100" s="3" t="str">
        <f ca="1">IF(OR(INDEX($K$2:$K$1001,MATCH(ROWS($J$2:J100),$J$2:$J$1001,0),1)&gt;=100000,INDEX($Q$1005:$U$1005,1,MATCH(COLUMNS($Q$1006:R1006),$Q$1006:$U$1006,0))&gt;=100000), " ",IF(INDEX($Q$2:$U$1001,MATCH(ROWS($J$2:J100),$J$2:$J$1001,0),MATCH(COLUMNS($Q$1006:R1006),$Q$1006:$U$1006,0)), HYPERLINK("#",""), HYPERLINK(CONCATENATE("#metadata!", ADDRESS(INDEX($L$2:$L$1001,MATCH(ROWS($J$2:J100),$J$2:$J$1001,0),0), INDEX($Q$1004:$U$1004,1,MATCH(COLUMNS($Q$1006:R1006),$Q$1006:$U$1006,0)))),"Fix")))</f>
        <v xml:space="preserve"> </v>
      </c>
      <c r="D100" s="3" t="str">
        <f ca="1">IF(OR(INDEX($K$2:$K$1001,MATCH(ROWS($J$2:J100),$J$2:$J$1001,0),1)&gt;=100000,INDEX($Q$1005:$U$1005,1,MATCH(COLUMNS($Q$1006:S1006),$Q$1006:$U$1006,0))&gt;=100000), " ",IF(INDEX($Q$2:$U$1001,MATCH(ROWS($J$2:J100),$J$2:$J$1001,0),MATCH(COLUMNS($Q$1006:S1006),$Q$1006:$U$1006,0)), HYPERLINK("#",""), HYPERLINK(CONCATENATE("#metadata!", ADDRESS(INDEX($L$2:$L$1001,MATCH(ROWS($J$2:J100),$J$2:$J$1001,0),0), INDEX($Q$1004:$U$1004,1,MATCH(COLUMNS($Q$1006:S1006),$Q$1006:$U$1006,0)))),"Fix")))</f>
        <v xml:space="preserve"> </v>
      </c>
      <c r="E100" s="3" t="str">
        <f ca="1">IF(OR(INDEX($K$2:$K$1001,MATCH(ROWS($J$2:J100),$J$2:$J$1001,0),1)&gt;=100000,INDEX($Q$1005:$U$1005,1,MATCH(COLUMNS($Q$1006:T1006),$Q$1006:$U$1006,0))&gt;=100000), " ",IF(INDEX($Q$2:$U$1001,MATCH(ROWS($J$2:J100),$J$2:$J$1001,0),MATCH(COLUMNS($Q$1006:T1006),$Q$1006:$U$1006,0)), HYPERLINK("#",""), HYPERLINK(CONCATENATE("#metadata!", ADDRESS(INDEX($L$2:$L$1001,MATCH(ROWS($J$2:J100),$J$2:$J$1001,0),0), INDEX($Q$1004:$U$1004,1,MATCH(COLUMNS($Q$1006:T1006),$Q$1006:$U$1006,0)))),"Fix")))</f>
        <v xml:space="preserve"> </v>
      </c>
      <c r="F100" s="3" t="str">
        <f ca="1">IF(OR(INDEX($K$2:$K$1001,MATCH(ROWS($J$2:J100),$J$2:$J$1001,0),1)&gt;=100000,INDEX($Q$1005:$U$1005,1,MATCH(COLUMNS($Q$1006:U1006),$Q$1006:$U$1006,0))&gt;=100000), " ",IF(INDEX($Q$2:$U$1001,MATCH(ROWS($J$2:J100),$J$2:$J$1001,0),MATCH(COLUMNS($Q$1006:U1006),$Q$1006:$U$1006,0)), HYPERLINK("#",""), HYPERLINK(CONCATENATE("#metadata!", ADDRESS(INDEX($L$2:$L$1001,MATCH(ROWS($J$2:J100),$J$2:$J$1001,0),0), INDEX($Q$1004:$U$1004,1,MATCH(COLUMNS($Q$1006:U1006),$Q$1006:$U$1006,0)))),"Fix")))</f>
        <v xml:space="preserve"> </v>
      </c>
      <c r="J100">
        <v>99</v>
      </c>
      <c r="K100">
        <v>100100</v>
      </c>
      <c r="L100">
        <v>100</v>
      </c>
      <c r="M100" t="b">
        <f t="shared" si="1"/>
        <v>1</v>
      </c>
      <c r="N100" t="b">
        <f>COUNTBLANK(metadata!B100:F100)=COLUMNS(metadata!B100:F100)</f>
        <v>1</v>
      </c>
      <c r="O100" t="str">
        <v/>
      </c>
      <c r="Q100" t="b">
        <f ca="1">AND(IF(metadata!B100="",FALSE,TRUE),COUNTIF(metadata!B:B, metadata!B100) = 1,NOT(ISERROR(SUMPRODUCT(SEARCH(MID(metadata!B100,ROW(INDIRECT("1:"&amp;LEN(metadata!B100))), 1),"0123456789abcdefghijklmnopqrstuvwxyzABCDEFGHIJKLMNOPQRSTUVWXYZ.")))))</f>
        <v>0</v>
      </c>
      <c r="R100" t="b">
        <f>AND(IF(metadata!C100="",FALSE,TRUE),OR(EXACT(metadata!C100,"saline"),EXACT(metadata!C100,"non-saline")))</f>
        <v>0</v>
      </c>
      <c r="S100" t="b">
        <f>AND(IF(metadata!D100="",FALSE,TRUE),OR(EXACT(metadata!D100,"surface (non-saline)"),EXACT(metadata!D100,"aerosol (non-saline)"),EXACT(metadata!D100,"sediment (non-saline)"),EXACT(metadata!D100,"surface (saline)"),EXACT(metadata!D100,"aerosol (saline)"),EXACT(metadata!D100,"sediment (saline)")))</f>
        <v>0</v>
      </c>
      <c r="T100" t="b">
        <f>AND(IF(metadata!E100="",FALSE,TRUE),EXACT(metadata!E100,"built environment"))</f>
        <v>0</v>
      </c>
      <c r="U100" t="b">
        <f>OR(AND(IF(metadata!F100="",FALSE,TRUE),EXACT(metadata!F100,"not applicable")),AND(IF(metadata!F100="",FALSE,TRUE),EXACT(metadata!F100,"anaerobic digester content")))</f>
        <v>0</v>
      </c>
    </row>
    <row r="101" spans="1:21" x14ac:dyDescent="0.2">
      <c r="A101" s="4" t="str">
        <f ca="1">IF(B101=" "," ",HYPERLINK(CONCATENATE("#metadata!",ADDRESS(INDEX($L$2:$L$1001,MATCH(ROWS($J$2:J101),$J$2:$J$1001,0),0),1)),INDEX($O$2:$O$1001,MATCH(ROWS($J$2:J101),$J$2:$J$1001,0),0)))</f>
        <v xml:space="preserve"> </v>
      </c>
      <c r="B101" s="3" t="str">
        <f ca="1">IF(OR(INDEX($K$2:$K$1001,MATCH(ROWS($J$2:J101),$J$2:$J$1001,0),1)&gt;=100000,INDEX($Q$1005:$U$1005,1,MATCH(COLUMNS($Q$1006:Q1006),$Q$1006:$U$1006,0))&gt;=100000), " ",IF(INDEX($Q$2:$U$1001,MATCH(ROWS($J$2:J101),$J$2:$J$1001,0),MATCH(COLUMNS($Q$1006:Q1006),$Q$1006:$U$1006,0)), HYPERLINK("#",""), HYPERLINK(CONCATENATE("#metadata!", ADDRESS(INDEX($L$2:$L$1001,MATCH(ROWS($J$2:J101),$J$2:$J$1001,0),0), INDEX($Q$1004:$U$1004,1,MATCH(COLUMNS($Q$1006:Q1006),$Q$1006:$U$1006,0)))),"Fix")))</f>
        <v xml:space="preserve"> </v>
      </c>
      <c r="C101" s="3" t="str">
        <f ca="1">IF(OR(INDEX($K$2:$K$1001,MATCH(ROWS($J$2:J101),$J$2:$J$1001,0),1)&gt;=100000,INDEX($Q$1005:$U$1005,1,MATCH(COLUMNS($Q$1006:R1006),$Q$1006:$U$1006,0))&gt;=100000), " ",IF(INDEX($Q$2:$U$1001,MATCH(ROWS($J$2:J101),$J$2:$J$1001,0),MATCH(COLUMNS($Q$1006:R1006),$Q$1006:$U$1006,0)), HYPERLINK("#",""), HYPERLINK(CONCATENATE("#metadata!", ADDRESS(INDEX($L$2:$L$1001,MATCH(ROWS($J$2:J101),$J$2:$J$1001,0),0), INDEX($Q$1004:$U$1004,1,MATCH(COLUMNS($Q$1006:R1006),$Q$1006:$U$1006,0)))),"Fix")))</f>
        <v xml:space="preserve"> </v>
      </c>
      <c r="D101" s="3" t="str">
        <f ca="1">IF(OR(INDEX($K$2:$K$1001,MATCH(ROWS($J$2:J101),$J$2:$J$1001,0),1)&gt;=100000,INDEX($Q$1005:$U$1005,1,MATCH(COLUMNS($Q$1006:S1006),$Q$1006:$U$1006,0))&gt;=100000), " ",IF(INDEX($Q$2:$U$1001,MATCH(ROWS($J$2:J101),$J$2:$J$1001,0),MATCH(COLUMNS($Q$1006:S1006),$Q$1006:$U$1006,0)), HYPERLINK("#",""), HYPERLINK(CONCATENATE("#metadata!", ADDRESS(INDEX($L$2:$L$1001,MATCH(ROWS($J$2:J101),$J$2:$J$1001,0),0), INDEX($Q$1004:$U$1004,1,MATCH(COLUMNS($Q$1006:S1006),$Q$1006:$U$1006,0)))),"Fix")))</f>
        <v xml:space="preserve"> </v>
      </c>
      <c r="E101" s="3" t="str">
        <f ca="1">IF(OR(INDEX($K$2:$K$1001,MATCH(ROWS($J$2:J101),$J$2:$J$1001,0),1)&gt;=100000,INDEX($Q$1005:$U$1005,1,MATCH(COLUMNS($Q$1006:T1006),$Q$1006:$U$1006,0))&gt;=100000), " ",IF(INDEX($Q$2:$U$1001,MATCH(ROWS($J$2:J101),$J$2:$J$1001,0),MATCH(COLUMNS($Q$1006:T1006),$Q$1006:$U$1006,0)), HYPERLINK("#",""), HYPERLINK(CONCATENATE("#metadata!", ADDRESS(INDEX($L$2:$L$1001,MATCH(ROWS($J$2:J101),$J$2:$J$1001,0),0), INDEX($Q$1004:$U$1004,1,MATCH(COLUMNS($Q$1006:T1006),$Q$1006:$U$1006,0)))),"Fix")))</f>
        <v xml:space="preserve"> </v>
      </c>
      <c r="F101" s="3" t="str">
        <f ca="1">IF(OR(INDEX($K$2:$K$1001,MATCH(ROWS($J$2:J101),$J$2:$J$1001,0),1)&gt;=100000,INDEX($Q$1005:$U$1005,1,MATCH(COLUMNS($Q$1006:U1006),$Q$1006:$U$1006,0))&gt;=100000), " ",IF(INDEX($Q$2:$U$1001,MATCH(ROWS($J$2:J101),$J$2:$J$1001,0),MATCH(COLUMNS($Q$1006:U1006),$Q$1006:$U$1006,0)), HYPERLINK("#",""), HYPERLINK(CONCATENATE("#metadata!", ADDRESS(INDEX($L$2:$L$1001,MATCH(ROWS($J$2:J101),$J$2:$J$1001,0),0), INDEX($Q$1004:$U$1004,1,MATCH(COLUMNS($Q$1006:U1006),$Q$1006:$U$1006,0)))),"Fix")))</f>
        <v xml:space="preserve"> </v>
      </c>
      <c r="J101">
        <v>100</v>
      </c>
      <c r="K101">
        <v>100101</v>
      </c>
      <c r="L101">
        <v>101</v>
      </c>
      <c r="M101" t="b">
        <f t="shared" si="1"/>
        <v>1</v>
      </c>
      <c r="N101" t="b">
        <f>COUNTBLANK(metadata!B101:F101)=COLUMNS(metadata!B101:F101)</f>
        <v>1</v>
      </c>
      <c r="O101" t="str">
        <v/>
      </c>
      <c r="Q101" t="b">
        <f ca="1">AND(IF(metadata!B101="",FALSE,TRUE),COUNTIF(metadata!B:B, metadata!B101) = 1,NOT(ISERROR(SUMPRODUCT(SEARCH(MID(metadata!B101,ROW(INDIRECT("1:"&amp;LEN(metadata!B101))), 1),"0123456789abcdefghijklmnopqrstuvwxyzABCDEFGHIJKLMNOPQRSTUVWXYZ.")))))</f>
        <v>0</v>
      </c>
      <c r="R101" t="b">
        <f>AND(IF(metadata!C101="",FALSE,TRUE),OR(EXACT(metadata!C101,"saline"),EXACT(metadata!C101,"non-saline")))</f>
        <v>0</v>
      </c>
      <c r="S101" t="b">
        <f>AND(IF(metadata!D101="",FALSE,TRUE),OR(EXACT(metadata!D101,"surface (non-saline)"),EXACT(metadata!D101,"aerosol (non-saline)"),EXACT(metadata!D101,"sediment (non-saline)"),EXACT(metadata!D101,"surface (saline)"),EXACT(metadata!D101,"aerosol (saline)"),EXACT(metadata!D101,"sediment (saline)")))</f>
        <v>0</v>
      </c>
      <c r="T101" t="b">
        <f>AND(IF(metadata!E101="",FALSE,TRUE),EXACT(metadata!E101,"built environment"))</f>
        <v>0</v>
      </c>
      <c r="U101" t="b">
        <f>OR(AND(IF(metadata!F101="",FALSE,TRUE),EXACT(metadata!F101,"not applicable")),AND(IF(metadata!F101="",FALSE,TRUE),EXACT(metadata!F101,"anaerobic digester content")))</f>
        <v>0</v>
      </c>
    </row>
    <row r="102" spans="1:21" x14ac:dyDescent="0.2">
      <c r="A102" s="4" t="str">
        <f ca="1">IF(B102=" "," ",HYPERLINK(CONCATENATE("#metadata!",ADDRESS(INDEX($L$2:$L$1001,MATCH(ROWS($J$2:J102),$J$2:$J$1001,0),0),1)),INDEX($O$2:$O$1001,MATCH(ROWS($J$2:J102),$J$2:$J$1001,0),0)))</f>
        <v xml:space="preserve"> </v>
      </c>
      <c r="B102" s="3" t="str">
        <f ca="1">IF(OR(INDEX($K$2:$K$1001,MATCH(ROWS($J$2:J102),$J$2:$J$1001,0),1)&gt;=100000,INDEX($Q$1005:$U$1005,1,MATCH(COLUMNS($Q$1006:Q1006),$Q$1006:$U$1006,0))&gt;=100000), " ",IF(INDEX($Q$2:$U$1001,MATCH(ROWS($J$2:J102),$J$2:$J$1001,0),MATCH(COLUMNS($Q$1006:Q1006),$Q$1006:$U$1006,0)), HYPERLINK("#",""), HYPERLINK(CONCATENATE("#metadata!", ADDRESS(INDEX($L$2:$L$1001,MATCH(ROWS($J$2:J102),$J$2:$J$1001,0),0), INDEX($Q$1004:$U$1004,1,MATCH(COLUMNS($Q$1006:Q1006),$Q$1006:$U$1006,0)))),"Fix")))</f>
        <v xml:space="preserve"> </v>
      </c>
      <c r="C102" s="3" t="str">
        <f ca="1">IF(OR(INDEX($K$2:$K$1001,MATCH(ROWS($J$2:J102),$J$2:$J$1001,0),1)&gt;=100000,INDEX($Q$1005:$U$1005,1,MATCH(COLUMNS($Q$1006:R1006),$Q$1006:$U$1006,0))&gt;=100000), " ",IF(INDEX($Q$2:$U$1001,MATCH(ROWS($J$2:J102),$J$2:$J$1001,0),MATCH(COLUMNS($Q$1006:R1006),$Q$1006:$U$1006,0)), HYPERLINK("#",""), HYPERLINK(CONCATENATE("#metadata!", ADDRESS(INDEX($L$2:$L$1001,MATCH(ROWS($J$2:J102),$J$2:$J$1001,0),0), INDEX($Q$1004:$U$1004,1,MATCH(COLUMNS($Q$1006:R1006),$Q$1006:$U$1006,0)))),"Fix")))</f>
        <v xml:space="preserve"> </v>
      </c>
      <c r="D102" s="3" t="str">
        <f ca="1">IF(OR(INDEX($K$2:$K$1001,MATCH(ROWS($J$2:J102),$J$2:$J$1001,0),1)&gt;=100000,INDEX($Q$1005:$U$1005,1,MATCH(COLUMNS($Q$1006:S1006),$Q$1006:$U$1006,0))&gt;=100000), " ",IF(INDEX($Q$2:$U$1001,MATCH(ROWS($J$2:J102),$J$2:$J$1001,0),MATCH(COLUMNS($Q$1006:S1006),$Q$1006:$U$1006,0)), HYPERLINK("#",""), HYPERLINK(CONCATENATE("#metadata!", ADDRESS(INDEX($L$2:$L$1001,MATCH(ROWS($J$2:J102),$J$2:$J$1001,0),0), INDEX($Q$1004:$U$1004,1,MATCH(COLUMNS($Q$1006:S1006),$Q$1006:$U$1006,0)))),"Fix")))</f>
        <v xml:space="preserve"> </v>
      </c>
      <c r="E102" s="3" t="str">
        <f ca="1">IF(OR(INDEX($K$2:$K$1001,MATCH(ROWS($J$2:J102),$J$2:$J$1001,0),1)&gt;=100000,INDEX($Q$1005:$U$1005,1,MATCH(COLUMNS($Q$1006:T1006),$Q$1006:$U$1006,0))&gt;=100000), " ",IF(INDEX($Q$2:$U$1001,MATCH(ROWS($J$2:J102),$J$2:$J$1001,0),MATCH(COLUMNS($Q$1006:T1006),$Q$1006:$U$1006,0)), HYPERLINK("#",""), HYPERLINK(CONCATENATE("#metadata!", ADDRESS(INDEX($L$2:$L$1001,MATCH(ROWS($J$2:J102),$J$2:$J$1001,0),0), INDEX($Q$1004:$U$1004,1,MATCH(COLUMNS($Q$1006:T1006),$Q$1006:$U$1006,0)))),"Fix")))</f>
        <v xml:space="preserve"> </v>
      </c>
      <c r="F102" s="3" t="str">
        <f ca="1">IF(OR(INDEX($K$2:$K$1001,MATCH(ROWS($J$2:J102),$J$2:$J$1001,0),1)&gt;=100000,INDEX($Q$1005:$U$1005,1,MATCH(COLUMNS($Q$1006:U1006),$Q$1006:$U$1006,0))&gt;=100000), " ",IF(INDEX($Q$2:$U$1001,MATCH(ROWS($J$2:J102),$J$2:$J$1001,0),MATCH(COLUMNS($Q$1006:U1006),$Q$1006:$U$1006,0)), HYPERLINK("#",""), HYPERLINK(CONCATENATE("#metadata!", ADDRESS(INDEX($L$2:$L$1001,MATCH(ROWS($J$2:J102),$J$2:$J$1001,0),0), INDEX($Q$1004:$U$1004,1,MATCH(COLUMNS($Q$1006:U1006),$Q$1006:$U$1006,0)))),"Fix")))</f>
        <v xml:space="preserve"> </v>
      </c>
      <c r="J102">
        <v>101</v>
      </c>
      <c r="K102">
        <v>100102</v>
      </c>
      <c r="L102">
        <v>102</v>
      </c>
      <c r="M102" t="b">
        <f t="shared" si="1"/>
        <v>1</v>
      </c>
      <c r="N102" t="b">
        <f>COUNTBLANK(metadata!B102:F102)=COLUMNS(metadata!B102:F102)</f>
        <v>1</v>
      </c>
      <c r="O102" t="str">
        <v/>
      </c>
      <c r="Q102" t="b">
        <f ca="1">AND(IF(metadata!B102="",FALSE,TRUE),COUNTIF(metadata!B:B, metadata!B102) = 1,NOT(ISERROR(SUMPRODUCT(SEARCH(MID(metadata!B102,ROW(INDIRECT("1:"&amp;LEN(metadata!B102))), 1),"0123456789abcdefghijklmnopqrstuvwxyzABCDEFGHIJKLMNOPQRSTUVWXYZ.")))))</f>
        <v>0</v>
      </c>
      <c r="R102" t="b">
        <f>AND(IF(metadata!C102="",FALSE,TRUE),OR(EXACT(metadata!C102,"saline"),EXACT(metadata!C102,"non-saline")))</f>
        <v>0</v>
      </c>
      <c r="S102" t="b">
        <f>AND(IF(metadata!D102="",FALSE,TRUE),OR(EXACT(metadata!D102,"surface (non-saline)"),EXACT(metadata!D102,"aerosol (non-saline)"),EXACT(metadata!D102,"sediment (non-saline)"),EXACT(metadata!D102,"surface (saline)"),EXACT(metadata!D102,"aerosol (saline)"),EXACT(metadata!D102,"sediment (saline)")))</f>
        <v>0</v>
      </c>
      <c r="T102" t="b">
        <f>AND(IF(metadata!E102="",FALSE,TRUE),EXACT(metadata!E102,"built environment"))</f>
        <v>0</v>
      </c>
      <c r="U102" t="b">
        <f>OR(AND(IF(metadata!F102="",FALSE,TRUE),EXACT(metadata!F102,"not applicable")),AND(IF(metadata!F102="",FALSE,TRUE),EXACT(metadata!F102,"anaerobic digester content")))</f>
        <v>0</v>
      </c>
    </row>
    <row r="103" spans="1:21" x14ac:dyDescent="0.2">
      <c r="A103" s="4" t="str">
        <f ca="1">IF(B103=" "," ",HYPERLINK(CONCATENATE("#metadata!",ADDRESS(INDEX($L$2:$L$1001,MATCH(ROWS($J$2:J103),$J$2:$J$1001,0),0),1)),INDEX($O$2:$O$1001,MATCH(ROWS($J$2:J103),$J$2:$J$1001,0),0)))</f>
        <v xml:space="preserve"> </v>
      </c>
      <c r="B103" s="3" t="str">
        <f ca="1">IF(OR(INDEX($K$2:$K$1001,MATCH(ROWS($J$2:J103),$J$2:$J$1001,0),1)&gt;=100000,INDEX($Q$1005:$U$1005,1,MATCH(COLUMNS($Q$1006:Q1006),$Q$1006:$U$1006,0))&gt;=100000), " ",IF(INDEX($Q$2:$U$1001,MATCH(ROWS($J$2:J103),$J$2:$J$1001,0),MATCH(COLUMNS($Q$1006:Q1006),$Q$1006:$U$1006,0)), HYPERLINK("#",""), HYPERLINK(CONCATENATE("#metadata!", ADDRESS(INDEX($L$2:$L$1001,MATCH(ROWS($J$2:J103),$J$2:$J$1001,0),0), INDEX($Q$1004:$U$1004,1,MATCH(COLUMNS($Q$1006:Q1006),$Q$1006:$U$1006,0)))),"Fix")))</f>
        <v xml:space="preserve"> </v>
      </c>
      <c r="C103" s="3" t="str">
        <f ca="1">IF(OR(INDEX($K$2:$K$1001,MATCH(ROWS($J$2:J103),$J$2:$J$1001,0),1)&gt;=100000,INDEX($Q$1005:$U$1005,1,MATCH(COLUMNS($Q$1006:R1006),$Q$1006:$U$1006,0))&gt;=100000), " ",IF(INDEX($Q$2:$U$1001,MATCH(ROWS($J$2:J103),$J$2:$J$1001,0),MATCH(COLUMNS($Q$1006:R1006),$Q$1006:$U$1006,0)), HYPERLINK("#",""), HYPERLINK(CONCATENATE("#metadata!", ADDRESS(INDEX($L$2:$L$1001,MATCH(ROWS($J$2:J103),$J$2:$J$1001,0),0), INDEX($Q$1004:$U$1004,1,MATCH(COLUMNS($Q$1006:R1006),$Q$1006:$U$1006,0)))),"Fix")))</f>
        <v xml:space="preserve"> </v>
      </c>
      <c r="D103" s="3" t="str">
        <f ca="1">IF(OR(INDEX($K$2:$K$1001,MATCH(ROWS($J$2:J103),$J$2:$J$1001,0),1)&gt;=100000,INDEX($Q$1005:$U$1005,1,MATCH(COLUMNS($Q$1006:S1006),$Q$1006:$U$1006,0))&gt;=100000), " ",IF(INDEX($Q$2:$U$1001,MATCH(ROWS($J$2:J103),$J$2:$J$1001,0),MATCH(COLUMNS($Q$1006:S1006),$Q$1006:$U$1006,0)), HYPERLINK("#",""), HYPERLINK(CONCATENATE("#metadata!", ADDRESS(INDEX($L$2:$L$1001,MATCH(ROWS($J$2:J103),$J$2:$J$1001,0),0), INDEX($Q$1004:$U$1004,1,MATCH(COLUMNS($Q$1006:S1006),$Q$1006:$U$1006,0)))),"Fix")))</f>
        <v xml:space="preserve"> </v>
      </c>
      <c r="E103" s="3" t="str">
        <f ca="1">IF(OR(INDEX($K$2:$K$1001,MATCH(ROWS($J$2:J103),$J$2:$J$1001,0),1)&gt;=100000,INDEX($Q$1005:$U$1005,1,MATCH(COLUMNS($Q$1006:T1006),$Q$1006:$U$1006,0))&gt;=100000), " ",IF(INDEX($Q$2:$U$1001,MATCH(ROWS($J$2:J103),$J$2:$J$1001,0),MATCH(COLUMNS($Q$1006:T1006),$Q$1006:$U$1006,0)), HYPERLINK("#",""), HYPERLINK(CONCATENATE("#metadata!", ADDRESS(INDEX($L$2:$L$1001,MATCH(ROWS($J$2:J103),$J$2:$J$1001,0),0), INDEX($Q$1004:$U$1004,1,MATCH(COLUMNS($Q$1006:T1006),$Q$1006:$U$1006,0)))),"Fix")))</f>
        <v xml:space="preserve"> </v>
      </c>
      <c r="F103" s="3" t="str">
        <f ca="1">IF(OR(INDEX($K$2:$K$1001,MATCH(ROWS($J$2:J103),$J$2:$J$1001,0),1)&gt;=100000,INDEX($Q$1005:$U$1005,1,MATCH(COLUMNS($Q$1006:U1006),$Q$1006:$U$1006,0))&gt;=100000), " ",IF(INDEX($Q$2:$U$1001,MATCH(ROWS($J$2:J103),$J$2:$J$1001,0),MATCH(COLUMNS($Q$1006:U1006),$Q$1006:$U$1006,0)), HYPERLINK("#",""), HYPERLINK(CONCATENATE("#metadata!", ADDRESS(INDEX($L$2:$L$1001,MATCH(ROWS($J$2:J103),$J$2:$J$1001,0),0), INDEX($Q$1004:$U$1004,1,MATCH(COLUMNS($Q$1006:U1006),$Q$1006:$U$1006,0)))),"Fix")))</f>
        <v xml:space="preserve"> </v>
      </c>
      <c r="J103">
        <v>102</v>
      </c>
      <c r="K103">
        <v>100103</v>
      </c>
      <c r="L103">
        <v>103</v>
      </c>
      <c r="M103" t="b">
        <f t="shared" si="1"/>
        <v>1</v>
      </c>
      <c r="N103" t="b">
        <f>COUNTBLANK(metadata!B103:F103)=COLUMNS(metadata!B103:F103)</f>
        <v>1</v>
      </c>
      <c r="O103" t="str">
        <v/>
      </c>
      <c r="Q103" t="b">
        <f ca="1">AND(IF(metadata!B103="",FALSE,TRUE),COUNTIF(metadata!B:B, metadata!B103) = 1,NOT(ISERROR(SUMPRODUCT(SEARCH(MID(metadata!B103,ROW(INDIRECT("1:"&amp;LEN(metadata!B103))), 1),"0123456789abcdefghijklmnopqrstuvwxyzABCDEFGHIJKLMNOPQRSTUVWXYZ.")))))</f>
        <v>0</v>
      </c>
      <c r="R103" t="b">
        <f>AND(IF(metadata!C103="",FALSE,TRUE),OR(EXACT(metadata!C103,"saline"),EXACT(metadata!C103,"non-saline")))</f>
        <v>0</v>
      </c>
      <c r="S103" t="b">
        <f>AND(IF(metadata!D103="",FALSE,TRUE),OR(EXACT(metadata!D103,"surface (non-saline)"),EXACT(metadata!D103,"aerosol (non-saline)"),EXACT(metadata!D103,"sediment (non-saline)"),EXACT(metadata!D103,"surface (saline)"),EXACT(metadata!D103,"aerosol (saline)"),EXACT(metadata!D103,"sediment (saline)")))</f>
        <v>0</v>
      </c>
      <c r="T103" t="b">
        <f>AND(IF(metadata!E103="",FALSE,TRUE),EXACT(metadata!E103,"built environment"))</f>
        <v>0</v>
      </c>
      <c r="U103" t="b">
        <f>OR(AND(IF(metadata!F103="",FALSE,TRUE),EXACT(metadata!F103,"not applicable")),AND(IF(metadata!F103="",FALSE,TRUE),EXACT(metadata!F103,"anaerobic digester content")))</f>
        <v>0</v>
      </c>
    </row>
    <row r="104" spans="1:21" x14ac:dyDescent="0.2">
      <c r="A104" s="4" t="str">
        <f ca="1">IF(B104=" "," ",HYPERLINK(CONCATENATE("#metadata!",ADDRESS(INDEX($L$2:$L$1001,MATCH(ROWS($J$2:J104),$J$2:$J$1001,0),0),1)),INDEX($O$2:$O$1001,MATCH(ROWS($J$2:J104),$J$2:$J$1001,0),0)))</f>
        <v xml:space="preserve"> </v>
      </c>
      <c r="B104" s="3" t="str">
        <f ca="1">IF(OR(INDEX($K$2:$K$1001,MATCH(ROWS($J$2:J104),$J$2:$J$1001,0),1)&gt;=100000,INDEX($Q$1005:$U$1005,1,MATCH(COLUMNS($Q$1006:Q1006),$Q$1006:$U$1006,0))&gt;=100000), " ",IF(INDEX($Q$2:$U$1001,MATCH(ROWS($J$2:J104),$J$2:$J$1001,0),MATCH(COLUMNS($Q$1006:Q1006),$Q$1006:$U$1006,0)), HYPERLINK("#",""), HYPERLINK(CONCATENATE("#metadata!", ADDRESS(INDEX($L$2:$L$1001,MATCH(ROWS($J$2:J104),$J$2:$J$1001,0),0), INDEX($Q$1004:$U$1004,1,MATCH(COLUMNS($Q$1006:Q1006),$Q$1006:$U$1006,0)))),"Fix")))</f>
        <v xml:space="preserve"> </v>
      </c>
      <c r="C104" s="3" t="str">
        <f ca="1">IF(OR(INDEX($K$2:$K$1001,MATCH(ROWS($J$2:J104),$J$2:$J$1001,0),1)&gt;=100000,INDEX($Q$1005:$U$1005,1,MATCH(COLUMNS($Q$1006:R1006),$Q$1006:$U$1006,0))&gt;=100000), " ",IF(INDEX($Q$2:$U$1001,MATCH(ROWS($J$2:J104),$J$2:$J$1001,0),MATCH(COLUMNS($Q$1006:R1006),$Q$1006:$U$1006,0)), HYPERLINK("#",""), HYPERLINK(CONCATENATE("#metadata!", ADDRESS(INDEX($L$2:$L$1001,MATCH(ROWS($J$2:J104),$J$2:$J$1001,0),0), INDEX($Q$1004:$U$1004,1,MATCH(COLUMNS($Q$1006:R1006),$Q$1006:$U$1006,0)))),"Fix")))</f>
        <v xml:space="preserve"> </v>
      </c>
      <c r="D104" s="3" t="str">
        <f ca="1">IF(OR(INDEX($K$2:$K$1001,MATCH(ROWS($J$2:J104),$J$2:$J$1001,0),1)&gt;=100000,INDEX($Q$1005:$U$1005,1,MATCH(COLUMNS($Q$1006:S1006),$Q$1006:$U$1006,0))&gt;=100000), " ",IF(INDEX($Q$2:$U$1001,MATCH(ROWS($J$2:J104),$J$2:$J$1001,0),MATCH(COLUMNS($Q$1006:S1006),$Q$1006:$U$1006,0)), HYPERLINK("#",""), HYPERLINK(CONCATENATE("#metadata!", ADDRESS(INDEX($L$2:$L$1001,MATCH(ROWS($J$2:J104),$J$2:$J$1001,0),0), INDEX($Q$1004:$U$1004,1,MATCH(COLUMNS($Q$1006:S1006),$Q$1006:$U$1006,0)))),"Fix")))</f>
        <v xml:space="preserve"> </v>
      </c>
      <c r="E104" s="3" t="str">
        <f ca="1">IF(OR(INDEX($K$2:$K$1001,MATCH(ROWS($J$2:J104),$J$2:$J$1001,0),1)&gt;=100000,INDEX($Q$1005:$U$1005,1,MATCH(COLUMNS($Q$1006:T1006),$Q$1006:$U$1006,0))&gt;=100000), " ",IF(INDEX($Q$2:$U$1001,MATCH(ROWS($J$2:J104),$J$2:$J$1001,0),MATCH(COLUMNS($Q$1006:T1006),$Q$1006:$U$1006,0)), HYPERLINK("#",""), HYPERLINK(CONCATENATE("#metadata!", ADDRESS(INDEX($L$2:$L$1001,MATCH(ROWS($J$2:J104),$J$2:$J$1001,0),0), INDEX($Q$1004:$U$1004,1,MATCH(COLUMNS($Q$1006:T1006),$Q$1006:$U$1006,0)))),"Fix")))</f>
        <v xml:space="preserve"> </v>
      </c>
      <c r="F104" s="3" t="str">
        <f ca="1">IF(OR(INDEX($K$2:$K$1001,MATCH(ROWS($J$2:J104),$J$2:$J$1001,0),1)&gt;=100000,INDEX($Q$1005:$U$1005,1,MATCH(COLUMNS($Q$1006:U1006),$Q$1006:$U$1006,0))&gt;=100000), " ",IF(INDEX($Q$2:$U$1001,MATCH(ROWS($J$2:J104),$J$2:$J$1001,0),MATCH(COLUMNS($Q$1006:U1006),$Q$1006:$U$1006,0)), HYPERLINK("#",""), HYPERLINK(CONCATENATE("#metadata!", ADDRESS(INDEX($L$2:$L$1001,MATCH(ROWS($J$2:J104),$J$2:$J$1001,0),0), INDEX($Q$1004:$U$1004,1,MATCH(COLUMNS($Q$1006:U1006),$Q$1006:$U$1006,0)))),"Fix")))</f>
        <v xml:space="preserve"> </v>
      </c>
      <c r="J104">
        <v>103</v>
      </c>
      <c r="K104">
        <v>100104</v>
      </c>
      <c r="L104">
        <v>104</v>
      </c>
      <c r="M104" t="b">
        <f t="shared" si="1"/>
        <v>1</v>
      </c>
      <c r="N104" t="b">
        <f>COUNTBLANK(metadata!B104:F104)=COLUMNS(metadata!B104:F104)</f>
        <v>1</v>
      </c>
      <c r="O104" t="str">
        <v/>
      </c>
      <c r="Q104" t="b">
        <f ca="1">AND(IF(metadata!B104="",FALSE,TRUE),COUNTIF(metadata!B:B, metadata!B104) = 1,NOT(ISERROR(SUMPRODUCT(SEARCH(MID(metadata!B104,ROW(INDIRECT("1:"&amp;LEN(metadata!B104))), 1),"0123456789abcdefghijklmnopqrstuvwxyzABCDEFGHIJKLMNOPQRSTUVWXYZ.")))))</f>
        <v>0</v>
      </c>
      <c r="R104" t="b">
        <f>AND(IF(metadata!C104="",FALSE,TRUE),OR(EXACT(metadata!C104,"saline"),EXACT(metadata!C104,"non-saline")))</f>
        <v>0</v>
      </c>
      <c r="S104" t="b">
        <f>AND(IF(metadata!D104="",FALSE,TRUE),OR(EXACT(metadata!D104,"surface (non-saline)"),EXACT(metadata!D104,"aerosol (non-saline)"),EXACT(metadata!D104,"sediment (non-saline)"),EXACT(metadata!D104,"surface (saline)"),EXACT(metadata!D104,"aerosol (saline)"),EXACT(metadata!D104,"sediment (saline)")))</f>
        <v>0</v>
      </c>
      <c r="T104" t="b">
        <f>AND(IF(metadata!E104="",FALSE,TRUE),EXACT(metadata!E104,"built environment"))</f>
        <v>0</v>
      </c>
      <c r="U104" t="b">
        <f>OR(AND(IF(metadata!F104="",FALSE,TRUE),EXACT(metadata!F104,"not applicable")),AND(IF(metadata!F104="",FALSE,TRUE),EXACT(metadata!F104,"anaerobic digester content")))</f>
        <v>0</v>
      </c>
    </row>
    <row r="105" spans="1:21" x14ac:dyDescent="0.2">
      <c r="A105" s="4" t="str">
        <f ca="1">IF(B105=" "," ",HYPERLINK(CONCATENATE("#metadata!",ADDRESS(INDEX($L$2:$L$1001,MATCH(ROWS($J$2:J105),$J$2:$J$1001,0),0),1)),INDEX($O$2:$O$1001,MATCH(ROWS($J$2:J105),$J$2:$J$1001,0),0)))</f>
        <v xml:space="preserve"> </v>
      </c>
      <c r="B105" s="3" t="str">
        <f ca="1">IF(OR(INDEX($K$2:$K$1001,MATCH(ROWS($J$2:J105),$J$2:$J$1001,0),1)&gt;=100000,INDEX($Q$1005:$U$1005,1,MATCH(COLUMNS($Q$1006:Q1006),$Q$1006:$U$1006,0))&gt;=100000), " ",IF(INDEX($Q$2:$U$1001,MATCH(ROWS($J$2:J105),$J$2:$J$1001,0),MATCH(COLUMNS($Q$1006:Q1006),$Q$1006:$U$1006,0)), HYPERLINK("#",""), HYPERLINK(CONCATENATE("#metadata!", ADDRESS(INDEX($L$2:$L$1001,MATCH(ROWS($J$2:J105),$J$2:$J$1001,0),0), INDEX($Q$1004:$U$1004,1,MATCH(COLUMNS($Q$1006:Q1006),$Q$1006:$U$1006,0)))),"Fix")))</f>
        <v xml:space="preserve"> </v>
      </c>
      <c r="C105" s="3" t="str">
        <f ca="1">IF(OR(INDEX($K$2:$K$1001,MATCH(ROWS($J$2:J105),$J$2:$J$1001,0),1)&gt;=100000,INDEX($Q$1005:$U$1005,1,MATCH(COLUMNS($Q$1006:R1006),$Q$1006:$U$1006,0))&gt;=100000), " ",IF(INDEX($Q$2:$U$1001,MATCH(ROWS($J$2:J105),$J$2:$J$1001,0),MATCH(COLUMNS($Q$1006:R1006),$Q$1006:$U$1006,0)), HYPERLINK("#",""), HYPERLINK(CONCATENATE("#metadata!", ADDRESS(INDEX($L$2:$L$1001,MATCH(ROWS($J$2:J105),$J$2:$J$1001,0),0), INDEX($Q$1004:$U$1004,1,MATCH(COLUMNS($Q$1006:R1006),$Q$1006:$U$1006,0)))),"Fix")))</f>
        <v xml:space="preserve"> </v>
      </c>
      <c r="D105" s="3" t="str">
        <f ca="1">IF(OR(INDEX($K$2:$K$1001,MATCH(ROWS($J$2:J105),$J$2:$J$1001,0),1)&gt;=100000,INDEX($Q$1005:$U$1005,1,MATCH(COLUMNS($Q$1006:S1006),$Q$1006:$U$1006,0))&gt;=100000), " ",IF(INDEX($Q$2:$U$1001,MATCH(ROWS($J$2:J105),$J$2:$J$1001,0),MATCH(COLUMNS($Q$1006:S1006),$Q$1006:$U$1006,0)), HYPERLINK("#",""), HYPERLINK(CONCATENATE("#metadata!", ADDRESS(INDEX($L$2:$L$1001,MATCH(ROWS($J$2:J105),$J$2:$J$1001,0),0), INDEX($Q$1004:$U$1004,1,MATCH(COLUMNS($Q$1006:S1006),$Q$1006:$U$1006,0)))),"Fix")))</f>
        <v xml:space="preserve"> </v>
      </c>
      <c r="E105" s="3" t="str">
        <f ca="1">IF(OR(INDEX($K$2:$K$1001,MATCH(ROWS($J$2:J105),$J$2:$J$1001,0),1)&gt;=100000,INDEX($Q$1005:$U$1005,1,MATCH(COLUMNS($Q$1006:T1006),$Q$1006:$U$1006,0))&gt;=100000), " ",IF(INDEX($Q$2:$U$1001,MATCH(ROWS($J$2:J105),$J$2:$J$1001,0),MATCH(COLUMNS($Q$1006:T1006),$Q$1006:$U$1006,0)), HYPERLINK("#",""), HYPERLINK(CONCATENATE("#metadata!", ADDRESS(INDEX($L$2:$L$1001,MATCH(ROWS($J$2:J105),$J$2:$J$1001,0),0), INDEX($Q$1004:$U$1004,1,MATCH(COLUMNS($Q$1006:T1006),$Q$1006:$U$1006,0)))),"Fix")))</f>
        <v xml:space="preserve"> </v>
      </c>
      <c r="F105" s="3" t="str">
        <f ca="1">IF(OR(INDEX($K$2:$K$1001,MATCH(ROWS($J$2:J105),$J$2:$J$1001,0),1)&gt;=100000,INDEX($Q$1005:$U$1005,1,MATCH(COLUMNS($Q$1006:U1006),$Q$1006:$U$1006,0))&gt;=100000), " ",IF(INDEX($Q$2:$U$1001,MATCH(ROWS($J$2:J105),$J$2:$J$1001,0),MATCH(COLUMNS($Q$1006:U1006),$Q$1006:$U$1006,0)), HYPERLINK("#",""), HYPERLINK(CONCATENATE("#metadata!", ADDRESS(INDEX($L$2:$L$1001,MATCH(ROWS($J$2:J105),$J$2:$J$1001,0),0), INDEX($Q$1004:$U$1004,1,MATCH(COLUMNS($Q$1006:U1006),$Q$1006:$U$1006,0)))),"Fix")))</f>
        <v xml:space="preserve"> </v>
      </c>
      <c r="J105">
        <v>104</v>
      </c>
      <c r="K105">
        <v>100105</v>
      </c>
      <c r="L105">
        <v>105</v>
      </c>
      <c r="M105" t="b">
        <f t="shared" si="1"/>
        <v>1</v>
      </c>
      <c r="N105" t="b">
        <f>COUNTBLANK(metadata!B105:F105)=COLUMNS(metadata!B105:F105)</f>
        <v>1</v>
      </c>
      <c r="O105" t="str">
        <v/>
      </c>
      <c r="Q105" t="b">
        <f ca="1">AND(IF(metadata!B105="",FALSE,TRUE),COUNTIF(metadata!B:B, metadata!B105) = 1,NOT(ISERROR(SUMPRODUCT(SEARCH(MID(metadata!B105,ROW(INDIRECT("1:"&amp;LEN(metadata!B105))), 1),"0123456789abcdefghijklmnopqrstuvwxyzABCDEFGHIJKLMNOPQRSTUVWXYZ.")))))</f>
        <v>0</v>
      </c>
      <c r="R105" t="b">
        <f>AND(IF(metadata!C105="",FALSE,TRUE),OR(EXACT(metadata!C105,"saline"),EXACT(metadata!C105,"non-saline")))</f>
        <v>0</v>
      </c>
      <c r="S105" t="b">
        <f>AND(IF(metadata!D105="",FALSE,TRUE),OR(EXACT(metadata!D105,"surface (non-saline)"),EXACT(metadata!D105,"aerosol (non-saline)"),EXACT(metadata!D105,"sediment (non-saline)"),EXACT(metadata!D105,"surface (saline)"),EXACT(metadata!D105,"aerosol (saline)"),EXACT(metadata!D105,"sediment (saline)")))</f>
        <v>0</v>
      </c>
      <c r="T105" t="b">
        <f>AND(IF(metadata!E105="",FALSE,TRUE),EXACT(metadata!E105,"built environment"))</f>
        <v>0</v>
      </c>
      <c r="U105" t="b">
        <f>OR(AND(IF(metadata!F105="",FALSE,TRUE),EXACT(metadata!F105,"not applicable")),AND(IF(metadata!F105="",FALSE,TRUE),EXACT(metadata!F105,"anaerobic digester content")))</f>
        <v>0</v>
      </c>
    </row>
    <row r="106" spans="1:21" x14ac:dyDescent="0.2">
      <c r="A106" s="4" t="str">
        <f ca="1">IF(B106=" "," ",HYPERLINK(CONCATENATE("#metadata!",ADDRESS(INDEX($L$2:$L$1001,MATCH(ROWS($J$2:J106),$J$2:$J$1001,0),0),1)),INDEX($O$2:$O$1001,MATCH(ROWS($J$2:J106),$J$2:$J$1001,0),0)))</f>
        <v xml:space="preserve"> </v>
      </c>
      <c r="B106" s="3" t="str">
        <f ca="1">IF(OR(INDEX($K$2:$K$1001,MATCH(ROWS($J$2:J106),$J$2:$J$1001,0),1)&gt;=100000,INDEX($Q$1005:$U$1005,1,MATCH(COLUMNS($Q$1006:Q1006),$Q$1006:$U$1006,0))&gt;=100000), " ",IF(INDEX($Q$2:$U$1001,MATCH(ROWS($J$2:J106),$J$2:$J$1001,0),MATCH(COLUMNS($Q$1006:Q1006),$Q$1006:$U$1006,0)), HYPERLINK("#",""), HYPERLINK(CONCATENATE("#metadata!", ADDRESS(INDEX($L$2:$L$1001,MATCH(ROWS($J$2:J106),$J$2:$J$1001,0),0), INDEX($Q$1004:$U$1004,1,MATCH(COLUMNS($Q$1006:Q1006),$Q$1006:$U$1006,0)))),"Fix")))</f>
        <v xml:space="preserve"> </v>
      </c>
      <c r="C106" s="3" t="str">
        <f ca="1">IF(OR(INDEX($K$2:$K$1001,MATCH(ROWS($J$2:J106),$J$2:$J$1001,0),1)&gt;=100000,INDEX($Q$1005:$U$1005,1,MATCH(COLUMNS($Q$1006:R1006),$Q$1006:$U$1006,0))&gt;=100000), " ",IF(INDEX($Q$2:$U$1001,MATCH(ROWS($J$2:J106),$J$2:$J$1001,0),MATCH(COLUMNS($Q$1006:R1006),$Q$1006:$U$1006,0)), HYPERLINK("#",""), HYPERLINK(CONCATENATE("#metadata!", ADDRESS(INDEX($L$2:$L$1001,MATCH(ROWS($J$2:J106),$J$2:$J$1001,0),0), INDEX($Q$1004:$U$1004,1,MATCH(COLUMNS($Q$1006:R1006),$Q$1006:$U$1006,0)))),"Fix")))</f>
        <v xml:space="preserve"> </v>
      </c>
      <c r="D106" s="3" t="str">
        <f ca="1">IF(OR(INDEX($K$2:$K$1001,MATCH(ROWS($J$2:J106),$J$2:$J$1001,0),1)&gt;=100000,INDEX($Q$1005:$U$1005,1,MATCH(COLUMNS($Q$1006:S1006),$Q$1006:$U$1006,0))&gt;=100000), " ",IF(INDEX($Q$2:$U$1001,MATCH(ROWS($J$2:J106),$J$2:$J$1001,0),MATCH(COLUMNS($Q$1006:S1006),$Q$1006:$U$1006,0)), HYPERLINK("#",""), HYPERLINK(CONCATENATE("#metadata!", ADDRESS(INDEX($L$2:$L$1001,MATCH(ROWS($J$2:J106),$J$2:$J$1001,0),0), INDEX($Q$1004:$U$1004,1,MATCH(COLUMNS($Q$1006:S1006),$Q$1006:$U$1006,0)))),"Fix")))</f>
        <v xml:space="preserve"> </v>
      </c>
      <c r="E106" s="3" t="str">
        <f ca="1">IF(OR(INDEX($K$2:$K$1001,MATCH(ROWS($J$2:J106),$J$2:$J$1001,0),1)&gt;=100000,INDEX($Q$1005:$U$1005,1,MATCH(COLUMNS($Q$1006:T1006),$Q$1006:$U$1006,0))&gt;=100000), " ",IF(INDEX($Q$2:$U$1001,MATCH(ROWS($J$2:J106),$J$2:$J$1001,0),MATCH(COLUMNS($Q$1006:T1006),$Q$1006:$U$1006,0)), HYPERLINK("#",""), HYPERLINK(CONCATENATE("#metadata!", ADDRESS(INDEX($L$2:$L$1001,MATCH(ROWS($J$2:J106),$J$2:$J$1001,0),0), INDEX($Q$1004:$U$1004,1,MATCH(COLUMNS($Q$1006:T1006),$Q$1006:$U$1006,0)))),"Fix")))</f>
        <v xml:space="preserve"> </v>
      </c>
      <c r="F106" s="3" t="str">
        <f ca="1">IF(OR(INDEX($K$2:$K$1001,MATCH(ROWS($J$2:J106),$J$2:$J$1001,0),1)&gt;=100000,INDEX($Q$1005:$U$1005,1,MATCH(COLUMNS($Q$1006:U1006),$Q$1006:$U$1006,0))&gt;=100000), " ",IF(INDEX($Q$2:$U$1001,MATCH(ROWS($J$2:J106),$J$2:$J$1001,0),MATCH(COLUMNS($Q$1006:U1006),$Q$1006:$U$1006,0)), HYPERLINK("#",""), HYPERLINK(CONCATENATE("#metadata!", ADDRESS(INDEX($L$2:$L$1001,MATCH(ROWS($J$2:J106),$J$2:$J$1001,0),0), INDEX($Q$1004:$U$1004,1,MATCH(COLUMNS($Q$1006:U1006),$Q$1006:$U$1006,0)))),"Fix")))</f>
        <v xml:space="preserve"> </v>
      </c>
      <c r="J106">
        <v>105</v>
      </c>
      <c r="K106">
        <v>100106</v>
      </c>
      <c r="L106">
        <v>106</v>
      </c>
      <c r="M106" t="b">
        <f t="shared" si="1"/>
        <v>1</v>
      </c>
      <c r="N106" t="b">
        <f>COUNTBLANK(metadata!B106:F106)=COLUMNS(metadata!B106:F106)</f>
        <v>1</v>
      </c>
      <c r="O106" t="str">
        <v/>
      </c>
      <c r="Q106" t="b">
        <f ca="1">AND(IF(metadata!B106="",FALSE,TRUE),COUNTIF(metadata!B:B, metadata!B106) = 1,NOT(ISERROR(SUMPRODUCT(SEARCH(MID(metadata!B106,ROW(INDIRECT("1:"&amp;LEN(metadata!B106))), 1),"0123456789abcdefghijklmnopqrstuvwxyzABCDEFGHIJKLMNOPQRSTUVWXYZ.")))))</f>
        <v>0</v>
      </c>
      <c r="R106" t="b">
        <f>AND(IF(metadata!C106="",FALSE,TRUE),OR(EXACT(metadata!C106,"saline"),EXACT(metadata!C106,"non-saline")))</f>
        <v>0</v>
      </c>
      <c r="S106" t="b">
        <f>AND(IF(metadata!D106="",FALSE,TRUE),OR(EXACT(metadata!D106,"surface (non-saline)"),EXACT(metadata!D106,"aerosol (non-saline)"),EXACT(metadata!D106,"sediment (non-saline)"),EXACT(metadata!D106,"surface (saline)"),EXACT(metadata!D106,"aerosol (saline)"),EXACT(metadata!D106,"sediment (saline)")))</f>
        <v>0</v>
      </c>
      <c r="T106" t="b">
        <f>AND(IF(metadata!E106="",FALSE,TRUE),EXACT(metadata!E106,"built environment"))</f>
        <v>0</v>
      </c>
      <c r="U106" t="b">
        <f>OR(AND(IF(metadata!F106="",FALSE,TRUE),EXACT(metadata!F106,"not applicable")),AND(IF(metadata!F106="",FALSE,TRUE),EXACT(metadata!F106,"anaerobic digester content")))</f>
        <v>0</v>
      </c>
    </row>
    <row r="107" spans="1:21" x14ac:dyDescent="0.2">
      <c r="A107" s="4" t="str">
        <f ca="1">IF(B107=" "," ",HYPERLINK(CONCATENATE("#metadata!",ADDRESS(INDEX($L$2:$L$1001,MATCH(ROWS($J$2:J107),$J$2:$J$1001,0),0),1)),INDEX($O$2:$O$1001,MATCH(ROWS($J$2:J107),$J$2:$J$1001,0),0)))</f>
        <v xml:space="preserve"> </v>
      </c>
      <c r="B107" s="3" t="str">
        <f ca="1">IF(OR(INDEX($K$2:$K$1001,MATCH(ROWS($J$2:J107),$J$2:$J$1001,0),1)&gt;=100000,INDEX($Q$1005:$U$1005,1,MATCH(COLUMNS($Q$1006:Q1006),$Q$1006:$U$1006,0))&gt;=100000), " ",IF(INDEX($Q$2:$U$1001,MATCH(ROWS($J$2:J107),$J$2:$J$1001,0),MATCH(COLUMNS($Q$1006:Q1006),$Q$1006:$U$1006,0)), HYPERLINK("#",""), HYPERLINK(CONCATENATE("#metadata!", ADDRESS(INDEX($L$2:$L$1001,MATCH(ROWS($J$2:J107),$J$2:$J$1001,0),0), INDEX($Q$1004:$U$1004,1,MATCH(COLUMNS($Q$1006:Q1006),$Q$1006:$U$1006,0)))),"Fix")))</f>
        <v xml:space="preserve"> </v>
      </c>
      <c r="C107" s="3" t="str">
        <f ca="1">IF(OR(INDEX($K$2:$K$1001,MATCH(ROWS($J$2:J107),$J$2:$J$1001,0),1)&gt;=100000,INDEX($Q$1005:$U$1005,1,MATCH(COLUMNS($Q$1006:R1006),$Q$1006:$U$1006,0))&gt;=100000), " ",IF(INDEX($Q$2:$U$1001,MATCH(ROWS($J$2:J107),$J$2:$J$1001,0),MATCH(COLUMNS($Q$1006:R1006),$Q$1006:$U$1006,0)), HYPERLINK("#",""), HYPERLINK(CONCATENATE("#metadata!", ADDRESS(INDEX($L$2:$L$1001,MATCH(ROWS($J$2:J107),$J$2:$J$1001,0),0), INDEX($Q$1004:$U$1004,1,MATCH(COLUMNS($Q$1006:R1006),$Q$1006:$U$1006,0)))),"Fix")))</f>
        <v xml:space="preserve"> </v>
      </c>
      <c r="D107" s="3" t="str">
        <f ca="1">IF(OR(INDEX($K$2:$K$1001,MATCH(ROWS($J$2:J107),$J$2:$J$1001,0),1)&gt;=100000,INDEX($Q$1005:$U$1005,1,MATCH(COLUMNS($Q$1006:S1006),$Q$1006:$U$1006,0))&gt;=100000), " ",IF(INDEX($Q$2:$U$1001,MATCH(ROWS($J$2:J107),$J$2:$J$1001,0),MATCH(COLUMNS($Q$1006:S1006),$Q$1006:$U$1006,0)), HYPERLINK("#",""), HYPERLINK(CONCATENATE("#metadata!", ADDRESS(INDEX($L$2:$L$1001,MATCH(ROWS($J$2:J107),$J$2:$J$1001,0),0), INDEX($Q$1004:$U$1004,1,MATCH(COLUMNS($Q$1006:S1006),$Q$1006:$U$1006,0)))),"Fix")))</f>
        <v xml:space="preserve"> </v>
      </c>
      <c r="E107" s="3" t="str">
        <f ca="1">IF(OR(INDEX($K$2:$K$1001,MATCH(ROWS($J$2:J107),$J$2:$J$1001,0),1)&gt;=100000,INDEX($Q$1005:$U$1005,1,MATCH(COLUMNS($Q$1006:T1006),$Q$1006:$U$1006,0))&gt;=100000), " ",IF(INDEX($Q$2:$U$1001,MATCH(ROWS($J$2:J107),$J$2:$J$1001,0),MATCH(COLUMNS($Q$1006:T1006),$Q$1006:$U$1006,0)), HYPERLINK("#",""), HYPERLINK(CONCATENATE("#metadata!", ADDRESS(INDEX($L$2:$L$1001,MATCH(ROWS($J$2:J107),$J$2:$J$1001,0),0), INDEX($Q$1004:$U$1004,1,MATCH(COLUMNS($Q$1006:T1006),$Q$1006:$U$1006,0)))),"Fix")))</f>
        <v xml:space="preserve"> </v>
      </c>
      <c r="F107" s="3" t="str">
        <f ca="1">IF(OR(INDEX($K$2:$K$1001,MATCH(ROWS($J$2:J107),$J$2:$J$1001,0),1)&gt;=100000,INDEX($Q$1005:$U$1005,1,MATCH(COLUMNS($Q$1006:U1006),$Q$1006:$U$1006,0))&gt;=100000), " ",IF(INDEX($Q$2:$U$1001,MATCH(ROWS($J$2:J107),$J$2:$J$1001,0),MATCH(COLUMNS($Q$1006:U1006),$Q$1006:$U$1006,0)), HYPERLINK("#",""), HYPERLINK(CONCATENATE("#metadata!", ADDRESS(INDEX($L$2:$L$1001,MATCH(ROWS($J$2:J107),$J$2:$J$1001,0),0), INDEX($Q$1004:$U$1004,1,MATCH(COLUMNS($Q$1006:U1006),$Q$1006:$U$1006,0)))),"Fix")))</f>
        <v xml:space="preserve"> </v>
      </c>
      <c r="J107">
        <v>106</v>
      </c>
      <c r="K107">
        <v>100107</v>
      </c>
      <c r="L107">
        <v>107</v>
      </c>
      <c r="M107" t="b">
        <f t="shared" si="1"/>
        <v>1</v>
      </c>
      <c r="N107" t="b">
        <f>COUNTBLANK(metadata!B107:F107)=COLUMNS(metadata!B107:F107)</f>
        <v>1</v>
      </c>
      <c r="O107" t="str">
        <v/>
      </c>
      <c r="Q107" t="b">
        <f ca="1">AND(IF(metadata!B107="",FALSE,TRUE),COUNTIF(metadata!B:B, metadata!B107) = 1,NOT(ISERROR(SUMPRODUCT(SEARCH(MID(metadata!B107,ROW(INDIRECT("1:"&amp;LEN(metadata!B107))), 1),"0123456789abcdefghijklmnopqrstuvwxyzABCDEFGHIJKLMNOPQRSTUVWXYZ.")))))</f>
        <v>0</v>
      </c>
      <c r="R107" t="b">
        <f>AND(IF(metadata!C107="",FALSE,TRUE),OR(EXACT(metadata!C107,"saline"),EXACT(metadata!C107,"non-saline")))</f>
        <v>0</v>
      </c>
      <c r="S107" t="b">
        <f>AND(IF(metadata!D107="",FALSE,TRUE),OR(EXACT(metadata!D107,"surface (non-saline)"),EXACT(metadata!D107,"aerosol (non-saline)"),EXACT(metadata!D107,"sediment (non-saline)"),EXACT(metadata!D107,"surface (saline)"),EXACT(metadata!D107,"aerosol (saline)"),EXACT(metadata!D107,"sediment (saline)")))</f>
        <v>0</v>
      </c>
      <c r="T107" t="b">
        <f>AND(IF(metadata!E107="",FALSE,TRUE),EXACT(metadata!E107,"built environment"))</f>
        <v>0</v>
      </c>
      <c r="U107" t="b">
        <f>OR(AND(IF(metadata!F107="",FALSE,TRUE),EXACT(metadata!F107,"not applicable")),AND(IF(metadata!F107="",FALSE,TRUE),EXACT(metadata!F107,"anaerobic digester content")))</f>
        <v>0</v>
      </c>
    </row>
    <row r="108" spans="1:21" x14ac:dyDescent="0.2">
      <c r="A108" s="4" t="str">
        <f ca="1">IF(B108=" "," ",HYPERLINK(CONCATENATE("#metadata!",ADDRESS(INDEX($L$2:$L$1001,MATCH(ROWS($J$2:J108),$J$2:$J$1001,0),0),1)),INDEX($O$2:$O$1001,MATCH(ROWS($J$2:J108),$J$2:$J$1001,0),0)))</f>
        <v xml:space="preserve"> </v>
      </c>
      <c r="B108" s="3" t="str">
        <f ca="1">IF(OR(INDEX($K$2:$K$1001,MATCH(ROWS($J$2:J108),$J$2:$J$1001,0),1)&gt;=100000,INDEX($Q$1005:$U$1005,1,MATCH(COLUMNS($Q$1006:Q1006),$Q$1006:$U$1006,0))&gt;=100000), " ",IF(INDEX($Q$2:$U$1001,MATCH(ROWS($J$2:J108),$J$2:$J$1001,0),MATCH(COLUMNS($Q$1006:Q1006),$Q$1006:$U$1006,0)), HYPERLINK("#",""), HYPERLINK(CONCATENATE("#metadata!", ADDRESS(INDEX($L$2:$L$1001,MATCH(ROWS($J$2:J108),$J$2:$J$1001,0),0), INDEX($Q$1004:$U$1004,1,MATCH(COLUMNS($Q$1006:Q1006),$Q$1006:$U$1006,0)))),"Fix")))</f>
        <v xml:space="preserve"> </v>
      </c>
      <c r="C108" s="3" t="str">
        <f ca="1">IF(OR(INDEX($K$2:$K$1001,MATCH(ROWS($J$2:J108),$J$2:$J$1001,0),1)&gt;=100000,INDEX($Q$1005:$U$1005,1,MATCH(COLUMNS($Q$1006:R1006),$Q$1006:$U$1006,0))&gt;=100000), " ",IF(INDEX($Q$2:$U$1001,MATCH(ROWS($J$2:J108),$J$2:$J$1001,0),MATCH(COLUMNS($Q$1006:R1006),$Q$1006:$U$1006,0)), HYPERLINK("#",""), HYPERLINK(CONCATENATE("#metadata!", ADDRESS(INDEX($L$2:$L$1001,MATCH(ROWS($J$2:J108),$J$2:$J$1001,0),0), INDEX($Q$1004:$U$1004,1,MATCH(COLUMNS($Q$1006:R1006),$Q$1006:$U$1006,0)))),"Fix")))</f>
        <v xml:space="preserve"> </v>
      </c>
      <c r="D108" s="3" t="str">
        <f ca="1">IF(OR(INDEX($K$2:$K$1001,MATCH(ROWS($J$2:J108),$J$2:$J$1001,0),1)&gt;=100000,INDEX($Q$1005:$U$1005,1,MATCH(COLUMNS($Q$1006:S1006),$Q$1006:$U$1006,0))&gt;=100000), " ",IF(INDEX($Q$2:$U$1001,MATCH(ROWS($J$2:J108),$J$2:$J$1001,0),MATCH(COLUMNS($Q$1006:S1006),$Q$1006:$U$1006,0)), HYPERLINK("#",""), HYPERLINK(CONCATENATE("#metadata!", ADDRESS(INDEX($L$2:$L$1001,MATCH(ROWS($J$2:J108),$J$2:$J$1001,0),0), INDEX($Q$1004:$U$1004,1,MATCH(COLUMNS($Q$1006:S1006),$Q$1006:$U$1006,0)))),"Fix")))</f>
        <v xml:space="preserve"> </v>
      </c>
      <c r="E108" s="3" t="str">
        <f ca="1">IF(OR(INDEX($K$2:$K$1001,MATCH(ROWS($J$2:J108),$J$2:$J$1001,0),1)&gt;=100000,INDEX($Q$1005:$U$1005,1,MATCH(COLUMNS($Q$1006:T1006),$Q$1006:$U$1006,0))&gt;=100000), " ",IF(INDEX($Q$2:$U$1001,MATCH(ROWS($J$2:J108),$J$2:$J$1001,0),MATCH(COLUMNS($Q$1006:T1006),$Q$1006:$U$1006,0)), HYPERLINK("#",""), HYPERLINK(CONCATENATE("#metadata!", ADDRESS(INDEX($L$2:$L$1001,MATCH(ROWS($J$2:J108),$J$2:$J$1001,0),0), INDEX($Q$1004:$U$1004,1,MATCH(COLUMNS($Q$1006:T1006),$Q$1006:$U$1006,0)))),"Fix")))</f>
        <v xml:space="preserve"> </v>
      </c>
      <c r="F108" s="3" t="str">
        <f ca="1">IF(OR(INDEX($K$2:$K$1001,MATCH(ROWS($J$2:J108),$J$2:$J$1001,0),1)&gt;=100000,INDEX($Q$1005:$U$1005,1,MATCH(COLUMNS($Q$1006:U1006),$Q$1006:$U$1006,0))&gt;=100000), " ",IF(INDEX($Q$2:$U$1001,MATCH(ROWS($J$2:J108),$J$2:$J$1001,0),MATCH(COLUMNS($Q$1006:U1006),$Q$1006:$U$1006,0)), HYPERLINK("#",""), HYPERLINK(CONCATENATE("#metadata!", ADDRESS(INDEX($L$2:$L$1001,MATCH(ROWS($J$2:J108),$J$2:$J$1001,0),0), INDEX($Q$1004:$U$1004,1,MATCH(COLUMNS($Q$1006:U1006),$Q$1006:$U$1006,0)))),"Fix")))</f>
        <v xml:space="preserve"> </v>
      </c>
      <c r="J108">
        <v>107</v>
      </c>
      <c r="K108">
        <v>100108</v>
      </c>
      <c r="L108">
        <v>108</v>
      </c>
      <c r="M108" t="b">
        <f t="shared" si="1"/>
        <v>1</v>
      </c>
      <c r="N108" t="b">
        <f>COUNTBLANK(metadata!B108:F108)=COLUMNS(metadata!B108:F108)</f>
        <v>1</v>
      </c>
      <c r="O108" t="str">
        <v/>
      </c>
      <c r="Q108" t="b">
        <f ca="1">AND(IF(metadata!B108="",FALSE,TRUE),COUNTIF(metadata!B:B, metadata!B108) = 1,NOT(ISERROR(SUMPRODUCT(SEARCH(MID(metadata!B108,ROW(INDIRECT("1:"&amp;LEN(metadata!B108))), 1),"0123456789abcdefghijklmnopqrstuvwxyzABCDEFGHIJKLMNOPQRSTUVWXYZ.")))))</f>
        <v>0</v>
      </c>
      <c r="R108" t="b">
        <f>AND(IF(metadata!C108="",FALSE,TRUE),OR(EXACT(metadata!C108,"saline"),EXACT(metadata!C108,"non-saline")))</f>
        <v>0</v>
      </c>
      <c r="S108" t="b">
        <f>AND(IF(metadata!D108="",FALSE,TRUE),OR(EXACT(metadata!D108,"surface (non-saline)"),EXACT(metadata!D108,"aerosol (non-saline)"),EXACT(metadata!D108,"sediment (non-saline)"),EXACT(metadata!D108,"surface (saline)"),EXACT(metadata!D108,"aerosol (saline)"),EXACT(metadata!D108,"sediment (saline)")))</f>
        <v>0</v>
      </c>
      <c r="T108" t="b">
        <f>AND(IF(metadata!E108="",FALSE,TRUE),EXACT(metadata!E108,"built environment"))</f>
        <v>0</v>
      </c>
      <c r="U108" t="b">
        <f>OR(AND(IF(metadata!F108="",FALSE,TRUE),EXACT(metadata!F108,"not applicable")),AND(IF(metadata!F108="",FALSE,TRUE),EXACT(metadata!F108,"anaerobic digester content")))</f>
        <v>0</v>
      </c>
    </row>
    <row r="109" spans="1:21" x14ac:dyDescent="0.2">
      <c r="A109" s="4" t="str">
        <f ca="1">IF(B109=" "," ",HYPERLINK(CONCATENATE("#metadata!",ADDRESS(INDEX($L$2:$L$1001,MATCH(ROWS($J$2:J109),$J$2:$J$1001,0),0),1)),INDEX($O$2:$O$1001,MATCH(ROWS($J$2:J109),$J$2:$J$1001,0),0)))</f>
        <v xml:space="preserve"> </v>
      </c>
      <c r="B109" s="3" t="str">
        <f ca="1">IF(OR(INDEX($K$2:$K$1001,MATCH(ROWS($J$2:J109),$J$2:$J$1001,0),1)&gt;=100000,INDEX($Q$1005:$U$1005,1,MATCH(COLUMNS($Q$1006:Q1006),$Q$1006:$U$1006,0))&gt;=100000), " ",IF(INDEX($Q$2:$U$1001,MATCH(ROWS($J$2:J109),$J$2:$J$1001,0),MATCH(COLUMNS($Q$1006:Q1006),$Q$1006:$U$1006,0)), HYPERLINK("#",""), HYPERLINK(CONCATENATE("#metadata!", ADDRESS(INDEX($L$2:$L$1001,MATCH(ROWS($J$2:J109),$J$2:$J$1001,0),0), INDEX($Q$1004:$U$1004,1,MATCH(COLUMNS($Q$1006:Q1006),$Q$1006:$U$1006,0)))),"Fix")))</f>
        <v xml:space="preserve"> </v>
      </c>
      <c r="C109" s="3" t="str">
        <f ca="1">IF(OR(INDEX($K$2:$K$1001,MATCH(ROWS($J$2:J109),$J$2:$J$1001,0),1)&gt;=100000,INDEX($Q$1005:$U$1005,1,MATCH(COLUMNS($Q$1006:R1006),$Q$1006:$U$1006,0))&gt;=100000), " ",IF(INDEX($Q$2:$U$1001,MATCH(ROWS($J$2:J109),$J$2:$J$1001,0),MATCH(COLUMNS($Q$1006:R1006),$Q$1006:$U$1006,0)), HYPERLINK("#",""), HYPERLINK(CONCATENATE("#metadata!", ADDRESS(INDEX($L$2:$L$1001,MATCH(ROWS($J$2:J109),$J$2:$J$1001,0),0), INDEX($Q$1004:$U$1004,1,MATCH(COLUMNS($Q$1006:R1006),$Q$1006:$U$1006,0)))),"Fix")))</f>
        <v xml:space="preserve"> </v>
      </c>
      <c r="D109" s="3" t="str">
        <f ca="1">IF(OR(INDEX($K$2:$K$1001,MATCH(ROWS($J$2:J109),$J$2:$J$1001,0),1)&gt;=100000,INDEX($Q$1005:$U$1005,1,MATCH(COLUMNS($Q$1006:S1006),$Q$1006:$U$1006,0))&gt;=100000), " ",IF(INDEX($Q$2:$U$1001,MATCH(ROWS($J$2:J109),$J$2:$J$1001,0),MATCH(COLUMNS($Q$1006:S1006),$Q$1006:$U$1006,0)), HYPERLINK("#",""), HYPERLINK(CONCATENATE("#metadata!", ADDRESS(INDEX($L$2:$L$1001,MATCH(ROWS($J$2:J109),$J$2:$J$1001,0),0), INDEX($Q$1004:$U$1004,1,MATCH(COLUMNS($Q$1006:S1006),$Q$1006:$U$1006,0)))),"Fix")))</f>
        <v xml:space="preserve"> </v>
      </c>
      <c r="E109" s="3" t="str">
        <f ca="1">IF(OR(INDEX($K$2:$K$1001,MATCH(ROWS($J$2:J109),$J$2:$J$1001,0),1)&gt;=100000,INDEX($Q$1005:$U$1005,1,MATCH(COLUMNS($Q$1006:T1006),$Q$1006:$U$1006,0))&gt;=100000), " ",IF(INDEX($Q$2:$U$1001,MATCH(ROWS($J$2:J109),$J$2:$J$1001,0),MATCH(COLUMNS($Q$1006:T1006),$Q$1006:$U$1006,0)), HYPERLINK("#",""), HYPERLINK(CONCATENATE("#metadata!", ADDRESS(INDEX($L$2:$L$1001,MATCH(ROWS($J$2:J109),$J$2:$J$1001,0),0), INDEX($Q$1004:$U$1004,1,MATCH(COLUMNS($Q$1006:T1006),$Q$1006:$U$1006,0)))),"Fix")))</f>
        <v xml:space="preserve"> </v>
      </c>
      <c r="F109" s="3" t="str">
        <f ca="1">IF(OR(INDEX($K$2:$K$1001,MATCH(ROWS($J$2:J109),$J$2:$J$1001,0),1)&gt;=100000,INDEX($Q$1005:$U$1005,1,MATCH(COLUMNS($Q$1006:U1006),$Q$1006:$U$1006,0))&gt;=100000), " ",IF(INDEX($Q$2:$U$1001,MATCH(ROWS($J$2:J109),$J$2:$J$1001,0),MATCH(COLUMNS($Q$1006:U1006),$Q$1006:$U$1006,0)), HYPERLINK("#",""), HYPERLINK(CONCATENATE("#metadata!", ADDRESS(INDEX($L$2:$L$1001,MATCH(ROWS($J$2:J109),$J$2:$J$1001,0),0), INDEX($Q$1004:$U$1004,1,MATCH(COLUMNS($Q$1006:U1006),$Q$1006:$U$1006,0)))),"Fix")))</f>
        <v xml:space="preserve"> </v>
      </c>
      <c r="J109">
        <v>108</v>
      </c>
      <c r="K109">
        <v>100109</v>
      </c>
      <c r="L109">
        <v>109</v>
      </c>
      <c r="M109" t="b">
        <f t="shared" si="1"/>
        <v>1</v>
      </c>
      <c r="N109" t="b">
        <f>COUNTBLANK(metadata!B109:F109)=COLUMNS(metadata!B109:F109)</f>
        <v>1</v>
      </c>
      <c r="O109" t="str">
        <v/>
      </c>
      <c r="Q109" t="b">
        <f ca="1">AND(IF(metadata!B109="",FALSE,TRUE),COUNTIF(metadata!B:B, metadata!B109) = 1,NOT(ISERROR(SUMPRODUCT(SEARCH(MID(metadata!B109,ROW(INDIRECT("1:"&amp;LEN(metadata!B109))), 1),"0123456789abcdefghijklmnopqrstuvwxyzABCDEFGHIJKLMNOPQRSTUVWXYZ.")))))</f>
        <v>0</v>
      </c>
      <c r="R109" t="b">
        <f>AND(IF(metadata!C109="",FALSE,TRUE),OR(EXACT(metadata!C109,"saline"),EXACT(metadata!C109,"non-saline")))</f>
        <v>0</v>
      </c>
      <c r="S109" t="b">
        <f>AND(IF(metadata!D109="",FALSE,TRUE),OR(EXACT(metadata!D109,"surface (non-saline)"),EXACT(metadata!D109,"aerosol (non-saline)"),EXACT(metadata!D109,"sediment (non-saline)"),EXACT(metadata!D109,"surface (saline)"),EXACT(metadata!D109,"aerosol (saline)"),EXACT(metadata!D109,"sediment (saline)")))</f>
        <v>0</v>
      </c>
      <c r="T109" t="b">
        <f>AND(IF(metadata!E109="",FALSE,TRUE),EXACT(metadata!E109,"built environment"))</f>
        <v>0</v>
      </c>
      <c r="U109" t="b">
        <f>OR(AND(IF(metadata!F109="",FALSE,TRUE),EXACT(metadata!F109,"not applicable")),AND(IF(metadata!F109="",FALSE,TRUE),EXACT(metadata!F109,"anaerobic digester content")))</f>
        <v>0</v>
      </c>
    </row>
    <row r="110" spans="1:21" x14ac:dyDescent="0.2">
      <c r="A110" s="4" t="str">
        <f ca="1">IF(B110=" "," ",HYPERLINK(CONCATENATE("#metadata!",ADDRESS(INDEX($L$2:$L$1001,MATCH(ROWS($J$2:J110),$J$2:$J$1001,0),0),1)),INDEX($O$2:$O$1001,MATCH(ROWS($J$2:J110),$J$2:$J$1001,0),0)))</f>
        <v xml:space="preserve"> </v>
      </c>
      <c r="B110" s="3" t="str">
        <f ca="1">IF(OR(INDEX($K$2:$K$1001,MATCH(ROWS($J$2:J110),$J$2:$J$1001,0),1)&gt;=100000,INDEX($Q$1005:$U$1005,1,MATCH(COLUMNS($Q$1006:Q1006),$Q$1006:$U$1006,0))&gt;=100000), " ",IF(INDEX($Q$2:$U$1001,MATCH(ROWS($J$2:J110),$J$2:$J$1001,0),MATCH(COLUMNS($Q$1006:Q1006),$Q$1006:$U$1006,0)), HYPERLINK("#",""), HYPERLINK(CONCATENATE("#metadata!", ADDRESS(INDEX($L$2:$L$1001,MATCH(ROWS($J$2:J110),$J$2:$J$1001,0),0), INDEX($Q$1004:$U$1004,1,MATCH(COLUMNS($Q$1006:Q1006),$Q$1006:$U$1006,0)))),"Fix")))</f>
        <v xml:space="preserve"> </v>
      </c>
      <c r="C110" s="3" t="str">
        <f ca="1">IF(OR(INDEX($K$2:$K$1001,MATCH(ROWS($J$2:J110),$J$2:$J$1001,0),1)&gt;=100000,INDEX($Q$1005:$U$1005,1,MATCH(COLUMNS($Q$1006:R1006),$Q$1006:$U$1006,0))&gt;=100000), " ",IF(INDEX($Q$2:$U$1001,MATCH(ROWS($J$2:J110),$J$2:$J$1001,0),MATCH(COLUMNS($Q$1006:R1006),$Q$1006:$U$1006,0)), HYPERLINK("#",""), HYPERLINK(CONCATENATE("#metadata!", ADDRESS(INDEX($L$2:$L$1001,MATCH(ROWS($J$2:J110),$J$2:$J$1001,0),0), INDEX($Q$1004:$U$1004,1,MATCH(COLUMNS($Q$1006:R1006),$Q$1006:$U$1006,0)))),"Fix")))</f>
        <v xml:space="preserve"> </v>
      </c>
      <c r="D110" s="3" t="str">
        <f ca="1">IF(OR(INDEX($K$2:$K$1001,MATCH(ROWS($J$2:J110),$J$2:$J$1001,0),1)&gt;=100000,INDEX($Q$1005:$U$1005,1,MATCH(COLUMNS($Q$1006:S1006),$Q$1006:$U$1006,0))&gt;=100000), " ",IF(INDEX($Q$2:$U$1001,MATCH(ROWS($J$2:J110),$J$2:$J$1001,0),MATCH(COLUMNS($Q$1006:S1006),$Q$1006:$U$1006,0)), HYPERLINK("#",""), HYPERLINK(CONCATENATE("#metadata!", ADDRESS(INDEX($L$2:$L$1001,MATCH(ROWS($J$2:J110),$J$2:$J$1001,0),0), INDEX($Q$1004:$U$1004,1,MATCH(COLUMNS($Q$1006:S1006),$Q$1006:$U$1006,0)))),"Fix")))</f>
        <v xml:space="preserve"> </v>
      </c>
      <c r="E110" s="3" t="str">
        <f ca="1">IF(OR(INDEX($K$2:$K$1001,MATCH(ROWS($J$2:J110),$J$2:$J$1001,0),1)&gt;=100000,INDEX($Q$1005:$U$1005,1,MATCH(COLUMNS($Q$1006:T1006),$Q$1006:$U$1006,0))&gt;=100000), " ",IF(INDEX($Q$2:$U$1001,MATCH(ROWS($J$2:J110),$J$2:$J$1001,0),MATCH(COLUMNS($Q$1006:T1006),$Q$1006:$U$1006,0)), HYPERLINK("#",""), HYPERLINK(CONCATENATE("#metadata!", ADDRESS(INDEX($L$2:$L$1001,MATCH(ROWS($J$2:J110),$J$2:$J$1001,0),0), INDEX($Q$1004:$U$1004,1,MATCH(COLUMNS($Q$1006:T1006),$Q$1006:$U$1006,0)))),"Fix")))</f>
        <v xml:space="preserve"> </v>
      </c>
      <c r="F110" s="3" t="str">
        <f ca="1">IF(OR(INDEX($K$2:$K$1001,MATCH(ROWS($J$2:J110),$J$2:$J$1001,0),1)&gt;=100000,INDEX($Q$1005:$U$1005,1,MATCH(COLUMNS($Q$1006:U1006),$Q$1006:$U$1006,0))&gt;=100000), " ",IF(INDEX($Q$2:$U$1001,MATCH(ROWS($J$2:J110),$J$2:$J$1001,0),MATCH(COLUMNS($Q$1006:U1006),$Q$1006:$U$1006,0)), HYPERLINK("#",""), HYPERLINK(CONCATENATE("#metadata!", ADDRESS(INDEX($L$2:$L$1001,MATCH(ROWS($J$2:J110),$J$2:$J$1001,0),0), INDEX($Q$1004:$U$1004,1,MATCH(COLUMNS($Q$1006:U1006),$Q$1006:$U$1006,0)))),"Fix")))</f>
        <v xml:space="preserve"> </v>
      </c>
      <c r="J110">
        <v>109</v>
      </c>
      <c r="K110">
        <v>100110</v>
      </c>
      <c r="L110">
        <v>110</v>
      </c>
      <c r="M110" t="b">
        <f t="shared" si="1"/>
        <v>1</v>
      </c>
      <c r="N110" t="b">
        <f>COUNTBLANK(metadata!B110:F110)=COLUMNS(metadata!B110:F110)</f>
        <v>1</v>
      </c>
      <c r="O110" t="str">
        <v/>
      </c>
      <c r="Q110" t="b">
        <f ca="1">AND(IF(metadata!B110="",FALSE,TRUE),COUNTIF(metadata!B:B, metadata!B110) = 1,NOT(ISERROR(SUMPRODUCT(SEARCH(MID(metadata!B110,ROW(INDIRECT("1:"&amp;LEN(metadata!B110))), 1),"0123456789abcdefghijklmnopqrstuvwxyzABCDEFGHIJKLMNOPQRSTUVWXYZ.")))))</f>
        <v>0</v>
      </c>
      <c r="R110" t="b">
        <f>AND(IF(metadata!C110="",FALSE,TRUE),OR(EXACT(metadata!C110,"saline"),EXACT(metadata!C110,"non-saline")))</f>
        <v>0</v>
      </c>
      <c r="S110" t="b">
        <f>AND(IF(metadata!D110="",FALSE,TRUE),OR(EXACT(metadata!D110,"surface (non-saline)"),EXACT(metadata!D110,"aerosol (non-saline)"),EXACT(metadata!D110,"sediment (non-saline)"),EXACT(metadata!D110,"surface (saline)"),EXACT(metadata!D110,"aerosol (saline)"),EXACT(metadata!D110,"sediment (saline)")))</f>
        <v>0</v>
      </c>
      <c r="T110" t="b">
        <f>AND(IF(metadata!E110="",FALSE,TRUE),EXACT(metadata!E110,"built environment"))</f>
        <v>0</v>
      </c>
      <c r="U110" t="b">
        <f>OR(AND(IF(metadata!F110="",FALSE,TRUE),EXACT(metadata!F110,"not applicable")),AND(IF(metadata!F110="",FALSE,TRUE),EXACT(metadata!F110,"anaerobic digester content")))</f>
        <v>0</v>
      </c>
    </row>
    <row r="111" spans="1:21" x14ac:dyDescent="0.2">
      <c r="A111" s="4" t="str">
        <f ca="1">IF(B111=" "," ",HYPERLINK(CONCATENATE("#metadata!",ADDRESS(INDEX($L$2:$L$1001,MATCH(ROWS($J$2:J111),$J$2:$J$1001,0),0),1)),INDEX($O$2:$O$1001,MATCH(ROWS($J$2:J111),$J$2:$J$1001,0),0)))</f>
        <v xml:space="preserve"> </v>
      </c>
      <c r="B111" s="3" t="str">
        <f ca="1">IF(OR(INDEX($K$2:$K$1001,MATCH(ROWS($J$2:J111),$J$2:$J$1001,0),1)&gt;=100000,INDEX($Q$1005:$U$1005,1,MATCH(COLUMNS($Q$1006:Q1006),$Q$1006:$U$1006,0))&gt;=100000), " ",IF(INDEX($Q$2:$U$1001,MATCH(ROWS($J$2:J111),$J$2:$J$1001,0),MATCH(COLUMNS($Q$1006:Q1006),$Q$1006:$U$1006,0)), HYPERLINK("#",""), HYPERLINK(CONCATENATE("#metadata!", ADDRESS(INDEX($L$2:$L$1001,MATCH(ROWS($J$2:J111),$J$2:$J$1001,0),0), INDEX($Q$1004:$U$1004,1,MATCH(COLUMNS($Q$1006:Q1006),$Q$1006:$U$1006,0)))),"Fix")))</f>
        <v xml:space="preserve"> </v>
      </c>
      <c r="C111" s="3" t="str">
        <f ca="1">IF(OR(INDEX($K$2:$K$1001,MATCH(ROWS($J$2:J111),$J$2:$J$1001,0),1)&gt;=100000,INDEX($Q$1005:$U$1005,1,MATCH(COLUMNS($Q$1006:R1006),$Q$1006:$U$1006,0))&gt;=100000), " ",IF(INDEX($Q$2:$U$1001,MATCH(ROWS($J$2:J111),$J$2:$J$1001,0),MATCH(COLUMNS($Q$1006:R1006),$Q$1006:$U$1006,0)), HYPERLINK("#",""), HYPERLINK(CONCATENATE("#metadata!", ADDRESS(INDEX($L$2:$L$1001,MATCH(ROWS($J$2:J111),$J$2:$J$1001,0),0), INDEX($Q$1004:$U$1004,1,MATCH(COLUMNS($Q$1006:R1006),$Q$1006:$U$1006,0)))),"Fix")))</f>
        <v xml:space="preserve"> </v>
      </c>
      <c r="D111" s="3" t="str">
        <f ca="1">IF(OR(INDEX($K$2:$K$1001,MATCH(ROWS($J$2:J111),$J$2:$J$1001,0),1)&gt;=100000,INDEX($Q$1005:$U$1005,1,MATCH(COLUMNS($Q$1006:S1006),$Q$1006:$U$1006,0))&gt;=100000), " ",IF(INDEX($Q$2:$U$1001,MATCH(ROWS($J$2:J111),$J$2:$J$1001,0),MATCH(COLUMNS($Q$1006:S1006),$Q$1006:$U$1006,0)), HYPERLINK("#",""), HYPERLINK(CONCATENATE("#metadata!", ADDRESS(INDEX($L$2:$L$1001,MATCH(ROWS($J$2:J111),$J$2:$J$1001,0),0), INDEX($Q$1004:$U$1004,1,MATCH(COLUMNS($Q$1006:S1006),$Q$1006:$U$1006,0)))),"Fix")))</f>
        <v xml:space="preserve"> </v>
      </c>
      <c r="E111" s="3" t="str">
        <f ca="1">IF(OR(INDEX($K$2:$K$1001,MATCH(ROWS($J$2:J111),$J$2:$J$1001,0),1)&gt;=100000,INDEX($Q$1005:$U$1005,1,MATCH(COLUMNS($Q$1006:T1006),$Q$1006:$U$1006,0))&gt;=100000), " ",IF(INDEX($Q$2:$U$1001,MATCH(ROWS($J$2:J111),$J$2:$J$1001,0),MATCH(COLUMNS($Q$1006:T1006),$Q$1006:$U$1006,0)), HYPERLINK("#",""), HYPERLINK(CONCATENATE("#metadata!", ADDRESS(INDEX($L$2:$L$1001,MATCH(ROWS($J$2:J111),$J$2:$J$1001,0),0), INDEX($Q$1004:$U$1004,1,MATCH(COLUMNS($Q$1006:T1006),$Q$1006:$U$1006,0)))),"Fix")))</f>
        <v xml:space="preserve"> </v>
      </c>
      <c r="F111" s="3" t="str">
        <f ca="1">IF(OR(INDEX($K$2:$K$1001,MATCH(ROWS($J$2:J111),$J$2:$J$1001,0),1)&gt;=100000,INDEX($Q$1005:$U$1005,1,MATCH(COLUMNS($Q$1006:U1006),$Q$1006:$U$1006,0))&gt;=100000), " ",IF(INDEX($Q$2:$U$1001,MATCH(ROWS($J$2:J111),$J$2:$J$1001,0),MATCH(COLUMNS($Q$1006:U1006),$Q$1006:$U$1006,0)), HYPERLINK("#",""), HYPERLINK(CONCATENATE("#metadata!", ADDRESS(INDEX($L$2:$L$1001,MATCH(ROWS($J$2:J111),$J$2:$J$1001,0),0), INDEX($Q$1004:$U$1004,1,MATCH(COLUMNS($Q$1006:U1006),$Q$1006:$U$1006,0)))),"Fix")))</f>
        <v xml:space="preserve"> </v>
      </c>
      <c r="J111">
        <v>110</v>
      </c>
      <c r="K111">
        <v>100111</v>
      </c>
      <c r="L111">
        <v>111</v>
      </c>
      <c r="M111" t="b">
        <f t="shared" si="1"/>
        <v>1</v>
      </c>
      <c r="N111" t="b">
        <f>COUNTBLANK(metadata!B111:F111)=COLUMNS(metadata!B111:F111)</f>
        <v>1</v>
      </c>
      <c r="O111" t="str">
        <v/>
      </c>
      <c r="Q111" t="b">
        <f ca="1">AND(IF(metadata!B111="",FALSE,TRUE),COUNTIF(metadata!B:B, metadata!B111) = 1,NOT(ISERROR(SUMPRODUCT(SEARCH(MID(metadata!B111,ROW(INDIRECT("1:"&amp;LEN(metadata!B111))), 1),"0123456789abcdefghijklmnopqrstuvwxyzABCDEFGHIJKLMNOPQRSTUVWXYZ.")))))</f>
        <v>0</v>
      </c>
      <c r="R111" t="b">
        <f>AND(IF(metadata!C111="",FALSE,TRUE),OR(EXACT(metadata!C111,"saline"),EXACT(metadata!C111,"non-saline")))</f>
        <v>0</v>
      </c>
      <c r="S111" t="b">
        <f>AND(IF(metadata!D111="",FALSE,TRUE),OR(EXACT(metadata!D111,"surface (non-saline)"),EXACT(metadata!D111,"aerosol (non-saline)"),EXACT(metadata!D111,"sediment (non-saline)"),EXACT(metadata!D111,"surface (saline)"),EXACT(metadata!D111,"aerosol (saline)"),EXACT(metadata!D111,"sediment (saline)")))</f>
        <v>0</v>
      </c>
      <c r="T111" t="b">
        <f>AND(IF(metadata!E111="",FALSE,TRUE),EXACT(metadata!E111,"built environment"))</f>
        <v>0</v>
      </c>
      <c r="U111" t="b">
        <f>OR(AND(IF(metadata!F111="",FALSE,TRUE),EXACT(metadata!F111,"not applicable")),AND(IF(metadata!F111="",FALSE,TRUE),EXACT(metadata!F111,"anaerobic digester content")))</f>
        <v>0</v>
      </c>
    </row>
    <row r="112" spans="1:21" x14ac:dyDescent="0.2">
      <c r="A112" s="4" t="str">
        <f ca="1">IF(B112=" "," ",HYPERLINK(CONCATENATE("#metadata!",ADDRESS(INDEX($L$2:$L$1001,MATCH(ROWS($J$2:J112),$J$2:$J$1001,0),0),1)),INDEX($O$2:$O$1001,MATCH(ROWS($J$2:J112),$J$2:$J$1001,0),0)))</f>
        <v xml:space="preserve"> </v>
      </c>
      <c r="B112" s="3" t="str">
        <f ca="1">IF(OR(INDEX($K$2:$K$1001,MATCH(ROWS($J$2:J112),$J$2:$J$1001,0),1)&gt;=100000,INDEX($Q$1005:$U$1005,1,MATCH(COLUMNS($Q$1006:Q1006),$Q$1006:$U$1006,0))&gt;=100000), " ",IF(INDEX($Q$2:$U$1001,MATCH(ROWS($J$2:J112),$J$2:$J$1001,0),MATCH(COLUMNS($Q$1006:Q1006),$Q$1006:$U$1006,0)), HYPERLINK("#",""), HYPERLINK(CONCATENATE("#metadata!", ADDRESS(INDEX($L$2:$L$1001,MATCH(ROWS($J$2:J112),$J$2:$J$1001,0),0), INDEX($Q$1004:$U$1004,1,MATCH(COLUMNS($Q$1006:Q1006),$Q$1006:$U$1006,0)))),"Fix")))</f>
        <v xml:space="preserve"> </v>
      </c>
      <c r="C112" s="3" t="str">
        <f ca="1">IF(OR(INDEX($K$2:$K$1001,MATCH(ROWS($J$2:J112),$J$2:$J$1001,0),1)&gt;=100000,INDEX($Q$1005:$U$1005,1,MATCH(COLUMNS($Q$1006:R1006),$Q$1006:$U$1006,0))&gt;=100000), " ",IF(INDEX($Q$2:$U$1001,MATCH(ROWS($J$2:J112),$J$2:$J$1001,0),MATCH(COLUMNS($Q$1006:R1006),$Q$1006:$U$1006,0)), HYPERLINK("#",""), HYPERLINK(CONCATENATE("#metadata!", ADDRESS(INDEX($L$2:$L$1001,MATCH(ROWS($J$2:J112),$J$2:$J$1001,0),0), INDEX($Q$1004:$U$1004,1,MATCH(COLUMNS($Q$1006:R1006),$Q$1006:$U$1006,0)))),"Fix")))</f>
        <v xml:space="preserve"> </v>
      </c>
      <c r="D112" s="3" t="str">
        <f ca="1">IF(OR(INDEX($K$2:$K$1001,MATCH(ROWS($J$2:J112),$J$2:$J$1001,0),1)&gt;=100000,INDEX($Q$1005:$U$1005,1,MATCH(COLUMNS($Q$1006:S1006),$Q$1006:$U$1006,0))&gt;=100000), " ",IF(INDEX($Q$2:$U$1001,MATCH(ROWS($J$2:J112),$J$2:$J$1001,0),MATCH(COLUMNS($Q$1006:S1006),$Q$1006:$U$1006,0)), HYPERLINK("#",""), HYPERLINK(CONCATENATE("#metadata!", ADDRESS(INDEX($L$2:$L$1001,MATCH(ROWS($J$2:J112),$J$2:$J$1001,0),0), INDEX($Q$1004:$U$1004,1,MATCH(COLUMNS($Q$1006:S1006),$Q$1006:$U$1006,0)))),"Fix")))</f>
        <v xml:space="preserve"> </v>
      </c>
      <c r="E112" s="3" t="str">
        <f ca="1">IF(OR(INDEX($K$2:$K$1001,MATCH(ROWS($J$2:J112),$J$2:$J$1001,0),1)&gt;=100000,INDEX($Q$1005:$U$1005,1,MATCH(COLUMNS($Q$1006:T1006),$Q$1006:$U$1006,0))&gt;=100000), " ",IF(INDEX($Q$2:$U$1001,MATCH(ROWS($J$2:J112),$J$2:$J$1001,0),MATCH(COLUMNS($Q$1006:T1006),$Q$1006:$U$1006,0)), HYPERLINK("#",""), HYPERLINK(CONCATENATE("#metadata!", ADDRESS(INDEX($L$2:$L$1001,MATCH(ROWS($J$2:J112),$J$2:$J$1001,0),0), INDEX($Q$1004:$U$1004,1,MATCH(COLUMNS($Q$1006:T1006),$Q$1006:$U$1006,0)))),"Fix")))</f>
        <v xml:space="preserve"> </v>
      </c>
      <c r="F112" s="3" t="str">
        <f ca="1">IF(OR(INDEX($K$2:$K$1001,MATCH(ROWS($J$2:J112),$J$2:$J$1001,0),1)&gt;=100000,INDEX($Q$1005:$U$1005,1,MATCH(COLUMNS($Q$1006:U1006),$Q$1006:$U$1006,0))&gt;=100000), " ",IF(INDEX($Q$2:$U$1001,MATCH(ROWS($J$2:J112),$J$2:$J$1001,0),MATCH(COLUMNS($Q$1006:U1006),$Q$1006:$U$1006,0)), HYPERLINK("#",""), HYPERLINK(CONCATENATE("#metadata!", ADDRESS(INDEX($L$2:$L$1001,MATCH(ROWS($J$2:J112),$J$2:$J$1001,0),0), INDEX($Q$1004:$U$1004,1,MATCH(COLUMNS($Q$1006:U1006),$Q$1006:$U$1006,0)))),"Fix")))</f>
        <v xml:space="preserve"> </v>
      </c>
      <c r="J112">
        <v>111</v>
      </c>
      <c r="K112">
        <v>100112</v>
      </c>
      <c r="L112">
        <v>112</v>
      </c>
      <c r="M112" t="b">
        <f t="shared" si="1"/>
        <v>1</v>
      </c>
      <c r="N112" t="b">
        <f>COUNTBLANK(metadata!B112:F112)=COLUMNS(metadata!B112:F112)</f>
        <v>1</v>
      </c>
      <c r="O112" t="str">
        <v/>
      </c>
      <c r="Q112" t="b">
        <f ca="1">AND(IF(metadata!B112="",FALSE,TRUE),COUNTIF(metadata!B:B, metadata!B112) = 1,NOT(ISERROR(SUMPRODUCT(SEARCH(MID(metadata!B112,ROW(INDIRECT("1:"&amp;LEN(metadata!B112))), 1),"0123456789abcdefghijklmnopqrstuvwxyzABCDEFGHIJKLMNOPQRSTUVWXYZ.")))))</f>
        <v>0</v>
      </c>
      <c r="R112" t="b">
        <f>AND(IF(metadata!C112="",FALSE,TRUE),OR(EXACT(metadata!C112,"saline"),EXACT(metadata!C112,"non-saline")))</f>
        <v>0</v>
      </c>
      <c r="S112" t="b">
        <f>AND(IF(metadata!D112="",FALSE,TRUE),OR(EXACT(metadata!D112,"surface (non-saline)"),EXACT(metadata!D112,"aerosol (non-saline)"),EXACT(metadata!D112,"sediment (non-saline)"),EXACT(metadata!D112,"surface (saline)"),EXACT(metadata!D112,"aerosol (saline)"),EXACT(metadata!D112,"sediment (saline)")))</f>
        <v>0</v>
      </c>
      <c r="T112" t="b">
        <f>AND(IF(metadata!E112="",FALSE,TRUE),EXACT(metadata!E112,"built environment"))</f>
        <v>0</v>
      </c>
      <c r="U112" t="b">
        <f>OR(AND(IF(metadata!F112="",FALSE,TRUE),EXACT(metadata!F112,"not applicable")),AND(IF(metadata!F112="",FALSE,TRUE),EXACT(metadata!F112,"anaerobic digester content")))</f>
        <v>0</v>
      </c>
    </row>
    <row r="113" spans="1:21" x14ac:dyDescent="0.2">
      <c r="A113" s="4" t="str">
        <f ca="1">IF(B113=" "," ",HYPERLINK(CONCATENATE("#metadata!",ADDRESS(INDEX($L$2:$L$1001,MATCH(ROWS($J$2:J113),$J$2:$J$1001,0),0),1)),INDEX($O$2:$O$1001,MATCH(ROWS($J$2:J113),$J$2:$J$1001,0),0)))</f>
        <v xml:space="preserve"> </v>
      </c>
      <c r="B113" s="3" t="str">
        <f ca="1">IF(OR(INDEX($K$2:$K$1001,MATCH(ROWS($J$2:J113),$J$2:$J$1001,0),1)&gt;=100000,INDEX($Q$1005:$U$1005,1,MATCH(COLUMNS($Q$1006:Q1006),$Q$1006:$U$1006,0))&gt;=100000), " ",IF(INDEX($Q$2:$U$1001,MATCH(ROWS($J$2:J113),$J$2:$J$1001,0),MATCH(COLUMNS($Q$1006:Q1006),$Q$1006:$U$1006,0)), HYPERLINK("#",""), HYPERLINK(CONCATENATE("#metadata!", ADDRESS(INDEX($L$2:$L$1001,MATCH(ROWS($J$2:J113),$J$2:$J$1001,0),0), INDEX($Q$1004:$U$1004,1,MATCH(COLUMNS($Q$1006:Q1006),$Q$1006:$U$1006,0)))),"Fix")))</f>
        <v xml:space="preserve"> </v>
      </c>
      <c r="C113" s="3" t="str">
        <f ca="1">IF(OR(INDEX($K$2:$K$1001,MATCH(ROWS($J$2:J113),$J$2:$J$1001,0),1)&gt;=100000,INDEX($Q$1005:$U$1005,1,MATCH(COLUMNS($Q$1006:R1006),$Q$1006:$U$1006,0))&gt;=100000), " ",IF(INDEX($Q$2:$U$1001,MATCH(ROWS($J$2:J113),$J$2:$J$1001,0),MATCH(COLUMNS($Q$1006:R1006),$Q$1006:$U$1006,0)), HYPERLINK("#",""), HYPERLINK(CONCATENATE("#metadata!", ADDRESS(INDEX($L$2:$L$1001,MATCH(ROWS($J$2:J113),$J$2:$J$1001,0),0), INDEX($Q$1004:$U$1004,1,MATCH(COLUMNS($Q$1006:R1006),$Q$1006:$U$1006,0)))),"Fix")))</f>
        <v xml:space="preserve"> </v>
      </c>
      <c r="D113" s="3" t="str">
        <f ca="1">IF(OR(INDEX($K$2:$K$1001,MATCH(ROWS($J$2:J113),$J$2:$J$1001,0),1)&gt;=100000,INDEX($Q$1005:$U$1005,1,MATCH(COLUMNS($Q$1006:S1006),$Q$1006:$U$1006,0))&gt;=100000), " ",IF(INDEX($Q$2:$U$1001,MATCH(ROWS($J$2:J113),$J$2:$J$1001,0),MATCH(COLUMNS($Q$1006:S1006),$Q$1006:$U$1006,0)), HYPERLINK("#",""), HYPERLINK(CONCATENATE("#metadata!", ADDRESS(INDEX($L$2:$L$1001,MATCH(ROWS($J$2:J113),$J$2:$J$1001,0),0), INDEX($Q$1004:$U$1004,1,MATCH(COLUMNS($Q$1006:S1006),$Q$1006:$U$1006,0)))),"Fix")))</f>
        <v xml:space="preserve"> </v>
      </c>
      <c r="E113" s="3" t="str">
        <f ca="1">IF(OR(INDEX($K$2:$K$1001,MATCH(ROWS($J$2:J113),$J$2:$J$1001,0),1)&gt;=100000,INDEX($Q$1005:$U$1005,1,MATCH(COLUMNS($Q$1006:T1006),$Q$1006:$U$1006,0))&gt;=100000), " ",IF(INDEX($Q$2:$U$1001,MATCH(ROWS($J$2:J113),$J$2:$J$1001,0),MATCH(COLUMNS($Q$1006:T1006),$Q$1006:$U$1006,0)), HYPERLINK("#",""), HYPERLINK(CONCATENATE("#metadata!", ADDRESS(INDEX($L$2:$L$1001,MATCH(ROWS($J$2:J113),$J$2:$J$1001,0),0), INDEX($Q$1004:$U$1004,1,MATCH(COLUMNS($Q$1006:T1006),$Q$1006:$U$1006,0)))),"Fix")))</f>
        <v xml:space="preserve"> </v>
      </c>
      <c r="F113" s="3" t="str">
        <f ca="1">IF(OR(INDEX($K$2:$K$1001,MATCH(ROWS($J$2:J113),$J$2:$J$1001,0),1)&gt;=100000,INDEX($Q$1005:$U$1005,1,MATCH(COLUMNS($Q$1006:U1006),$Q$1006:$U$1006,0))&gt;=100000), " ",IF(INDEX($Q$2:$U$1001,MATCH(ROWS($J$2:J113),$J$2:$J$1001,0),MATCH(COLUMNS($Q$1006:U1006),$Q$1006:$U$1006,0)), HYPERLINK("#",""), HYPERLINK(CONCATENATE("#metadata!", ADDRESS(INDEX($L$2:$L$1001,MATCH(ROWS($J$2:J113),$J$2:$J$1001,0),0), INDEX($Q$1004:$U$1004,1,MATCH(COLUMNS($Q$1006:U1006),$Q$1006:$U$1006,0)))),"Fix")))</f>
        <v xml:space="preserve"> </v>
      </c>
      <c r="J113">
        <v>112</v>
      </c>
      <c r="K113">
        <v>100113</v>
      </c>
      <c r="L113">
        <v>113</v>
      </c>
      <c r="M113" t="b">
        <f t="shared" si="1"/>
        <v>1</v>
      </c>
      <c r="N113" t="b">
        <f>COUNTBLANK(metadata!B113:F113)=COLUMNS(metadata!B113:F113)</f>
        <v>1</v>
      </c>
      <c r="O113" t="str">
        <v/>
      </c>
      <c r="Q113" t="b">
        <f ca="1">AND(IF(metadata!B113="",FALSE,TRUE),COUNTIF(metadata!B:B, metadata!B113) = 1,NOT(ISERROR(SUMPRODUCT(SEARCH(MID(metadata!B113,ROW(INDIRECT("1:"&amp;LEN(metadata!B113))), 1),"0123456789abcdefghijklmnopqrstuvwxyzABCDEFGHIJKLMNOPQRSTUVWXYZ.")))))</f>
        <v>0</v>
      </c>
      <c r="R113" t="b">
        <f>AND(IF(metadata!C113="",FALSE,TRUE),OR(EXACT(metadata!C113,"saline"),EXACT(metadata!C113,"non-saline")))</f>
        <v>0</v>
      </c>
      <c r="S113" t="b">
        <f>AND(IF(metadata!D113="",FALSE,TRUE),OR(EXACT(metadata!D113,"surface (non-saline)"),EXACT(metadata!D113,"aerosol (non-saline)"),EXACT(metadata!D113,"sediment (non-saline)"),EXACT(metadata!D113,"surface (saline)"),EXACT(metadata!D113,"aerosol (saline)"),EXACT(metadata!D113,"sediment (saline)")))</f>
        <v>0</v>
      </c>
      <c r="T113" t="b">
        <f>AND(IF(metadata!E113="",FALSE,TRUE),EXACT(metadata!E113,"built environment"))</f>
        <v>0</v>
      </c>
      <c r="U113" t="b">
        <f>OR(AND(IF(metadata!F113="",FALSE,TRUE),EXACT(metadata!F113,"not applicable")),AND(IF(metadata!F113="",FALSE,TRUE),EXACT(metadata!F113,"anaerobic digester content")))</f>
        <v>0</v>
      </c>
    </row>
    <row r="114" spans="1:21" x14ac:dyDescent="0.2">
      <c r="A114" s="4" t="str">
        <f ca="1">IF(B114=" "," ",HYPERLINK(CONCATENATE("#metadata!",ADDRESS(INDEX($L$2:$L$1001,MATCH(ROWS($J$2:J114),$J$2:$J$1001,0),0),1)),INDEX($O$2:$O$1001,MATCH(ROWS($J$2:J114),$J$2:$J$1001,0),0)))</f>
        <v xml:space="preserve"> </v>
      </c>
      <c r="B114" s="3" t="str">
        <f ca="1">IF(OR(INDEX($K$2:$K$1001,MATCH(ROWS($J$2:J114),$J$2:$J$1001,0),1)&gt;=100000,INDEX($Q$1005:$U$1005,1,MATCH(COLUMNS($Q$1006:Q1006),$Q$1006:$U$1006,0))&gt;=100000), " ",IF(INDEX($Q$2:$U$1001,MATCH(ROWS($J$2:J114),$J$2:$J$1001,0),MATCH(COLUMNS($Q$1006:Q1006),$Q$1006:$U$1006,0)), HYPERLINK("#",""), HYPERLINK(CONCATENATE("#metadata!", ADDRESS(INDEX($L$2:$L$1001,MATCH(ROWS($J$2:J114),$J$2:$J$1001,0),0), INDEX($Q$1004:$U$1004,1,MATCH(COLUMNS($Q$1006:Q1006),$Q$1006:$U$1006,0)))),"Fix")))</f>
        <v xml:space="preserve"> </v>
      </c>
      <c r="C114" s="3" t="str">
        <f ca="1">IF(OR(INDEX($K$2:$K$1001,MATCH(ROWS($J$2:J114),$J$2:$J$1001,0),1)&gt;=100000,INDEX($Q$1005:$U$1005,1,MATCH(COLUMNS($Q$1006:R1006),$Q$1006:$U$1006,0))&gt;=100000), " ",IF(INDEX($Q$2:$U$1001,MATCH(ROWS($J$2:J114),$J$2:$J$1001,0),MATCH(COLUMNS($Q$1006:R1006),$Q$1006:$U$1006,0)), HYPERLINK("#",""), HYPERLINK(CONCATENATE("#metadata!", ADDRESS(INDEX($L$2:$L$1001,MATCH(ROWS($J$2:J114),$J$2:$J$1001,0),0), INDEX($Q$1004:$U$1004,1,MATCH(COLUMNS($Q$1006:R1006),$Q$1006:$U$1006,0)))),"Fix")))</f>
        <v xml:space="preserve"> </v>
      </c>
      <c r="D114" s="3" t="str">
        <f ca="1">IF(OR(INDEX($K$2:$K$1001,MATCH(ROWS($J$2:J114),$J$2:$J$1001,0),1)&gt;=100000,INDEX($Q$1005:$U$1005,1,MATCH(COLUMNS($Q$1006:S1006),$Q$1006:$U$1006,0))&gt;=100000), " ",IF(INDEX($Q$2:$U$1001,MATCH(ROWS($J$2:J114),$J$2:$J$1001,0),MATCH(COLUMNS($Q$1006:S1006),$Q$1006:$U$1006,0)), HYPERLINK("#",""), HYPERLINK(CONCATENATE("#metadata!", ADDRESS(INDEX($L$2:$L$1001,MATCH(ROWS($J$2:J114),$J$2:$J$1001,0),0), INDEX($Q$1004:$U$1004,1,MATCH(COLUMNS($Q$1006:S1006),$Q$1006:$U$1006,0)))),"Fix")))</f>
        <v xml:space="preserve"> </v>
      </c>
      <c r="E114" s="3" t="str">
        <f ca="1">IF(OR(INDEX($K$2:$K$1001,MATCH(ROWS($J$2:J114),$J$2:$J$1001,0),1)&gt;=100000,INDEX($Q$1005:$U$1005,1,MATCH(COLUMNS($Q$1006:T1006),$Q$1006:$U$1006,0))&gt;=100000), " ",IF(INDEX($Q$2:$U$1001,MATCH(ROWS($J$2:J114),$J$2:$J$1001,0),MATCH(COLUMNS($Q$1006:T1006),$Q$1006:$U$1006,0)), HYPERLINK("#",""), HYPERLINK(CONCATENATE("#metadata!", ADDRESS(INDEX($L$2:$L$1001,MATCH(ROWS($J$2:J114),$J$2:$J$1001,0),0), INDEX($Q$1004:$U$1004,1,MATCH(COLUMNS($Q$1006:T1006),$Q$1006:$U$1006,0)))),"Fix")))</f>
        <v xml:space="preserve"> </v>
      </c>
      <c r="F114" s="3" t="str">
        <f ca="1">IF(OR(INDEX($K$2:$K$1001,MATCH(ROWS($J$2:J114),$J$2:$J$1001,0),1)&gt;=100000,INDEX($Q$1005:$U$1005,1,MATCH(COLUMNS($Q$1006:U1006),$Q$1006:$U$1006,0))&gt;=100000), " ",IF(INDEX($Q$2:$U$1001,MATCH(ROWS($J$2:J114),$J$2:$J$1001,0),MATCH(COLUMNS($Q$1006:U1006),$Q$1006:$U$1006,0)), HYPERLINK("#",""), HYPERLINK(CONCATENATE("#metadata!", ADDRESS(INDEX($L$2:$L$1001,MATCH(ROWS($J$2:J114),$J$2:$J$1001,0),0), INDEX($Q$1004:$U$1004,1,MATCH(COLUMNS($Q$1006:U1006),$Q$1006:$U$1006,0)))),"Fix")))</f>
        <v xml:space="preserve"> </v>
      </c>
      <c r="J114">
        <v>113</v>
      </c>
      <c r="K114">
        <v>100114</v>
      </c>
      <c r="L114">
        <v>114</v>
      </c>
      <c r="M114" t="b">
        <f t="shared" si="1"/>
        <v>1</v>
      </c>
      <c r="N114" t="b">
        <f>COUNTBLANK(metadata!B114:F114)=COLUMNS(metadata!B114:F114)</f>
        <v>1</v>
      </c>
      <c r="O114" t="str">
        <v/>
      </c>
      <c r="Q114" t="b">
        <f ca="1">AND(IF(metadata!B114="",FALSE,TRUE),COUNTIF(metadata!B:B, metadata!B114) = 1,NOT(ISERROR(SUMPRODUCT(SEARCH(MID(metadata!B114,ROW(INDIRECT("1:"&amp;LEN(metadata!B114))), 1),"0123456789abcdefghijklmnopqrstuvwxyzABCDEFGHIJKLMNOPQRSTUVWXYZ.")))))</f>
        <v>0</v>
      </c>
      <c r="R114" t="b">
        <f>AND(IF(metadata!C114="",FALSE,TRUE),OR(EXACT(metadata!C114,"saline"),EXACT(metadata!C114,"non-saline")))</f>
        <v>0</v>
      </c>
      <c r="S114" t="b">
        <f>AND(IF(metadata!D114="",FALSE,TRUE),OR(EXACT(metadata!D114,"surface (non-saline)"),EXACT(metadata!D114,"aerosol (non-saline)"),EXACT(metadata!D114,"sediment (non-saline)"),EXACT(metadata!D114,"surface (saline)"),EXACT(metadata!D114,"aerosol (saline)"),EXACT(metadata!D114,"sediment (saline)")))</f>
        <v>0</v>
      </c>
      <c r="T114" t="b">
        <f>AND(IF(metadata!E114="",FALSE,TRUE),EXACT(metadata!E114,"built environment"))</f>
        <v>0</v>
      </c>
      <c r="U114" t="b">
        <f>OR(AND(IF(metadata!F114="",FALSE,TRUE),EXACT(metadata!F114,"not applicable")),AND(IF(metadata!F114="",FALSE,TRUE),EXACT(metadata!F114,"anaerobic digester content")))</f>
        <v>0</v>
      </c>
    </row>
    <row r="115" spans="1:21" x14ac:dyDescent="0.2">
      <c r="A115" s="4" t="str">
        <f ca="1">IF(B115=" "," ",HYPERLINK(CONCATENATE("#metadata!",ADDRESS(INDEX($L$2:$L$1001,MATCH(ROWS($J$2:J115),$J$2:$J$1001,0),0),1)),INDEX($O$2:$O$1001,MATCH(ROWS($J$2:J115),$J$2:$J$1001,0),0)))</f>
        <v xml:space="preserve"> </v>
      </c>
      <c r="B115" s="3" t="str">
        <f ca="1">IF(OR(INDEX($K$2:$K$1001,MATCH(ROWS($J$2:J115),$J$2:$J$1001,0),1)&gt;=100000,INDEX($Q$1005:$U$1005,1,MATCH(COLUMNS($Q$1006:Q1006),$Q$1006:$U$1006,0))&gt;=100000), " ",IF(INDEX($Q$2:$U$1001,MATCH(ROWS($J$2:J115),$J$2:$J$1001,0),MATCH(COLUMNS($Q$1006:Q1006),$Q$1006:$U$1006,0)), HYPERLINK("#",""), HYPERLINK(CONCATENATE("#metadata!", ADDRESS(INDEX($L$2:$L$1001,MATCH(ROWS($J$2:J115),$J$2:$J$1001,0),0), INDEX($Q$1004:$U$1004,1,MATCH(COLUMNS($Q$1006:Q1006),$Q$1006:$U$1006,0)))),"Fix")))</f>
        <v xml:space="preserve"> </v>
      </c>
      <c r="C115" s="3" t="str">
        <f ca="1">IF(OR(INDEX($K$2:$K$1001,MATCH(ROWS($J$2:J115),$J$2:$J$1001,0),1)&gt;=100000,INDEX($Q$1005:$U$1005,1,MATCH(COLUMNS($Q$1006:R1006),$Q$1006:$U$1006,0))&gt;=100000), " ",IF(INDEX($Q$2:$U$1001,MATCH(ROWS($J$2:J115),$J$2:$J$1001,0),MATCH(COLUMNS($Q$1006:R1006),$Q$1006:$U$1006,0)), HYPERLINK("#",""), HYPERLINK(CONCATENATE("#metadata!", ADDRESS(INDEX($L$2:$L$1001,MATCH(ROWS($J$2:J115),$J$2:$J$1001,0),0), INDEX($Q$1004:$U$1004,1,MATCH(COLUMNS($Q$1006:R1006),$Q$1006:$U$1006,0)))),"Fix")))</f>
        <v xml:space="preserve"> </v>
      </c>
      <c r="D115" s="3" t="str">
        <f ca="1">IF(OR(INDEX($K$2:$K$1001,MATCH(ROWS($J$2:J115),$J$2:$J$1001,0),1)&gt;=100000,INDEX($Q$1005:$U$1005,1,MATCH(COLUMNS($Q$1006:S1006),$Q$1006:$U$1006,0))&gt;=100000), " ",IF(INDEX($Q$2:$U$1001,MATCH(ROWS($J$2:J115),$J$2:$J$1001,0),MATCH(COLUMNS($Q$1006:S1006),$Q$1006:$U$1006,0)), HYPERLINK("#",""), HYPERLINK(CONCATENATE("#metadata!", ADDRESS(INDEX($L$2:$L$1001,MATCH(ROWS($J$2:J115),$J$2:$J$1001,0),0), INDEX($Q$1004:$U$1004,1,MATCH(COLUMNS($Q$1006:S1006),$Q$1006:$U$1006,0)))),"Fix")))</f>
        <v xml:space="preserve"> </v>
      </c>
      <c r="E115" s="3" t="str">
        <f ca="1">IF(OR(INDEX($K$2:$K$1001,MATCH(ROWS($J$2:J115),$J$2:$J$1001,0),1)&gt;=100000,INDEX($Q$1005:$U$1005,1,MATCH(COLUMNS($Q$1006:T1006),$Q$1006:$U$1006,0))&gt;=100000), " ",IF(INDEX($Q$2:$U$1001,MATCH(ROWS($J$2:J115),$J$2:$J$1001,0),MATCH(COLUMNS($Q$1006:T1006),$Q$1006:$U$1006,0)), HYPERLINK("#",""), HYPERLINK(CONCATENATE("#metadata!", ADDRESS(INDEX($L$2:$L$1001,MATCH(ROWS($J$2:J115),$J$2:$J$1001,0),0), INDEX($Q$1004:$U$1004,1,MATCH(COLUMNS($Q$1006:T1006),$Q$1006:$U$1006,0)))),"Fix")))</f>
        <v xml:space="preserve"> </v>
      </c>
      <c r="F115" s="3" t="str">
        <f ca="1">IF(OR(INDEX($K$2:$K$1001,MATCH(ROWS($J$2:J115),$J$2:$J$1001,0),1)&gt;=100000,INDEX($Q$1005:$U$1005,1,MATCH(COLUMNS($Q$1006:U1006),$Q$1006:$U$1006,0))&gt;=100000), " ",IF(INDEX($Q$2:$U$1001,MATCH(ROWS($J$2:J115),$J$2:$J$1001,0),MATCH(COLUMNS($Q$1006:U1006),$Q$1006:$U$1006,0)), HYPERLINK("#",""), HYPERLINK(CONCATENATE("#metadata!", ADDRESS(INDEX($L$2:$L$1001,MATCH(ROWS($J$2:J115),$J$2:$J$1001,0),0), INDEX($Q$1004:$U$1004,1,MATCH(COLUMNS($Q$1006:U1006),$Q$1006:$U$1006,0)))),"Fix")))</f>
        <v xml:space="preserve"> </v>
      </c>
      <c r="J115">
        <v>114</v>
      </c>
      <c r="K115">
        <v>100115</v>
      </c>
      <c r="L115">
        <v>115</v>
      </c>
      <c r="M115" t="b">
        <f t="shared" si="1"/>
        <v>1</v>
      </c>
      <c r="N115" t="b">
        <f>COUNTBLANK(metadata!B115:F115)=COLUMNS(metadata!B115:F115)</f>
        <v>1</v>
      </c>
      <c r="O115" t="str">
        <v/>
      </c>
      <c r="Q115" t="b">
        <f ca="1">AND(IF(metadata!B115="",FALSE,TRUE),COUNTIF(metadata!B:B, metadata!B115) = 1,NOT(ISERROR(SUMPRODUCT(SEARCH(MID(metadata!B115,ROW(INDIRECT("1:"&amp;LEN(metadata!B115))), 1),"0123456789abcdefghijklmnopqrstuvwxyzABCDEFGHIJKLMNOPQRSTUVWXYZ.")))))</f>
        <v>0</v>
      </c>
      <c r="R115" t="b">
        <f>AND(IF(metadata!C115="",FALSE,TRUE),OR(EXACT(metadata!C115,"saline"),EXACT(metadata!C115,"non-saline")))</f>
        <v>0</v>
      </c>
      <c r="S115" t="b">
        <f>AND(IF(metadata!D115="",FALSE,TRUE),OR(EXACT(metadata!D115,"surface (non-saline)"),EXACT(metadata!D115,"aerosol (non-saline)"),EXACT(metadata!D115,"sediment (non-saline)"),EXACT(metadata!D115,"surface (saline)"),EXACT(metadata!D115,"aerosol (saline)"),EXACT(metadata!D115,"sediment (saline)")))</f>
        <v>0</v>
      </c>
      <c r="T115" t="b">
        <f>AND(IF(metadata!E115="",FALSE,TRUE),EXACT(metadata!E115,"built environment"))</f>
        <v>0</v>
      </c>
      <c r="U115" t="b">
        <f>OR(AND(IF(metadata!F115="",FALSE,TRUE),EXACT(metadata!F115,"not applicable")),AND(IF(metadata!F115="",FALSE,TRUE),EXACT(metadata!F115,"anaerobic digester content")))</f>
        <v>0</v>
      </c>
    </row>
    <row r="116" spans="1:21" x14ac:dyDescent="0.2">
      <c r="A116" s="4" t="str">
        <f ca="1">IF(B116=" "," ",HYPERLINK(CONCATENATE("#metadata!",ADDRESS(INDEX($L$2:$L$1001,MATCH(ROWS($J$2:J116),$J$2:$J$1001,0),0),1)),INDEX($O$2:$O$1001,MATCH(ROWS($J$2:J116),$J$2:$J$1001,0),0)))</f>
        <v xml:space="preserve"> </v>
      </c>
      <c r="B116" s="3" t="str">
        <f ca="1">IF(OR(INDEX($K$2:$K$1001,MATCH(ROWS($J$2:J116),$J$2:$J$1001,0),1)&gt;=100000,INDEX($Q$1005:$U$1005,1,MATCH(COLUMNS($Q$1006:Q1006),$Q$1006:$U$1006,0))&gt;=100000), " ",IF(INDEX($Q$2:$U$1001,MATCH(ROWS($J$2:J116),$J$2:$J$1001,0),MATCH(COLUMNS($Q$1006:Q1006),$Q$1006:$U$1006,0)), HYPERLINK("#",""), HYPERLINK(CONCATENATE("#metadata!", ADDRESS(INDEX($L$2:$L$1001,MATCH(ROWS($J$2:J116),$J$2:$J$1001,0),0), INDEX($Q$1004:$U$1004,1,MATCH(COLUMNS($Q$1006:Q1006),$Q$1006:$U$1006,0)))),"Fix")))</f>
        <v xml:space="preserve"> </v>
      </c>
      <c r="C116" s="3" t="str">
        <f ca="1">IF(OR(INDEX($K$2:$K$1001,MATCH(ROWS($J$2:J116),$J$2:$J$1001,0),1)&gt;=100000,INDEX($Q$1005:$U$1005,1,MATCH(COLUMNS($Q$1006:R1006),$Q$1006:$U$1006,0))&gt;=100000), " ",IF(INDEX($Q$2:$U$1001,MATCH(ROWS($J$2:J116),$J$2:$J$1001,0),MATCH(COLUMNS($Q$1006:R1006),$Q$1006:$U$1006,0)), HYPERLINK("#",""), HYPERLINK(CONCATENATE("#metadata!", ADDRESS(INDEX($L$2:$L$1001,MATCH(ROWS($J$2:J116),$J$2:$J$1001,0),0), INDEX($Q$1004:$U$1004,1,MATCH(COLUMNS($Q$1006:R1006),$Q$1006:$U$1006,0)))),"Fix")))</f>
        <v xml:space="preserve"> </v>
      </c>
      <c r="D116" s="3" t="str">
        <f ca="1">IF(OR(INDEX($K$2:$K$1001,MATCH(ROWS($J$2:J116),$J$2:$J$1001,0),1)&gt;=100000,INDEX($Q$1005:$U$1005,1,MATCH(COLUMNS($Q$1006:S1006),$Q$1006:$U$1006,0))&gt;=100000), " ",IF(INDEX($Q$2:$U$1001,MATCH(ROWS($J$2:J116),$J$2:$J$1001,0),MATCH(COLUMNS($Q$1006:S1006),$Q$1006:$U$1006,0)), HYPERLINK("#",""), HYPERLINK(CONCATENATE("#metadata!", ADDRESS(INDEX($L$2:$L$1001,MATCH(ROWS($J$2:J116),$J$2:$J$1001,0),0), INDEX($Q$1004:$U$1004,1,MATCH(COLUMNS($Q$1006:S1006),$Q$1006:$U$1006,0)))),"Fix")))</f>
        <v xml:space="preserve"> </v>
      </c>
      <c r="E116" s="3" t="str">
        <f ca="1">IF(OR(INDEX($K$2:$K$1001,MATCH(ROWS($J$2:J116),$J$2:$J$1001,0),1)&gt;=100000,INDEX($Q$1005:$U$1005,1,MATCH(COLUMNS($Q$1006:T1006),$Q$1006:$U$1006,0))&gt;=100000), " ",IF(INDEX($Q$2:$U$1001,MATCH(ROWS($J$2:J116),$J$2:$J$1001,0),MATCH(COLUMNS($Q$1006:T1006),$Q$1006:$U$1006,0)), HYPERLINK("#",""), HYPERLINK(CONCATENATE("#metadata!", ADDRESS(INDEX($L$2:$L$1001,MATCH(ROWS($J$2:J116),$J$2:$J$1001,0),0), INDEX($Q$1004:$U$1004,1,MATCH(COLUMNS($Q$1006:T1006),$Q$1006:$U$1006,0)))),"Fix")))</f>
        <v xml:space="preserve"> </v>
      </c>
      <c r="F116" s="3" t="str">
        <f ca="1">IF(OR(INDEX($K$2:$K$1001,MATCH(ROWS($J$2:J116),$J$2:$J$1001,0),1)&gt;=100000,INDEX($Q$1005:$U$1005,1,MATCH(COLUMNS($Q$1006:U1006),$Q$1006:$U$1006,0))&gt;=100000), " ",IF(INDEX($Q$2:$U$1001,MATCH(ROWS($J$2:J116),$J$2:$J$1001,0),MATCH(COLUMNS($Q$1006:U1006),$Q$1006:$U$1006,0)), HYPERLINK("#",""), HYPERLINK(CONCATENATE("#metadata!", ADDRESS(INDEX($L$2:$L$1001,MATCH(ROWS($J$2:J116),$J$2:$J$1001,0),0), INDEX($Q$1004:$U$1004,1,MATCH(COLUMNS($Q$1006:U1006),$Q$1006:$U$1006,0)))),"Fix")))</f>
        <v xml:space="preserve"> </v>
      </c>
      <c r="J116">
        <v>115</v>
      </c>
      <c r="K116">
        <v>100116</v>
      </c>
      <c r="L116">
        <v>116</v>
      </c>
      <c r="M116" t="b">
        <f t="shared" si="1"/>
        <v>1</v>
      </c>
      <c r="N116" t="b">
        <f>COUNTBLANK(metadata!B116:F116)=COLUMNS(metadata!B116:F116)</f>
        <v>1</v>
      </c>
      <c r="O116" t="str">
        <v/>
      </c>
      <c r="Q116" t="b">
        <f ca="1">AND(IF(metadata!B116="",FALSE,TRUE),COUNTIF(metadata!B:B, metadata!B116) = 1,NOT(ISERROR(SUMPRODUCT(SEARCH(MID(metadata!B116,ROW(INDIRECT("1:"&amp;LEN(metadata!B116))), 1),"0123456789abcdefghijklmnopqrstuvwxyzABCDEFGHIJKLMNOPQRSTUVWXYZ.")))))</f>
        <v>0</v>
      </c>
      <c r="R116" t="b">
        <f>AND(IF(metadata!C116="",FALSE,TRUE),OR(EXACT(metadata!C116,"saline"),EXACT(metadata!C116,"non-saline")))</f>
        <v>0</v>
      </c>
      <c r="S116" t="b">
        <f>AND(IF(metadata!D116="",FALSE,TRUE),OR(EXACT(metadata!D116,"surface (non-saline)"),EXACT(metadata!D116,"aerosol (non-saline)"),EXACT(metadata!D116,"sediment (non-saline)"),EXACT(metadata!D116,"surface (saline)"),EXACT(metadata!D116,"aerosol (saline)"),EXACT(metadata!D116,"sediment (saline)")))</f>
        <v>0</v>
      </c>
      <c r="T116" t="b">
        <f>AND(IF(metadata!E116="",FALSE,TRUE),EXACT(metadata!E116,"built environment"))</f>
        <v>0</v>
      </c>
      <c r="U116" t="b">
        <f>OR(AND(IF(metadata!F116="",FALSE,TRUE),EXACT(metadata!F116,"not applicable")),AND(IF(metadata!F116="",FALSE,TRUE),EXACT(metadata!F116,"anaerobic digester content")))</f>
        <v>0</v>
      </c>
    </row>
    <row r="117" spans="1:21" x14ac:dyDescent="0.2">
      <c r="A117" s="4" t="str">
        <f ca="1">IF(B117=" "," ",HYPERLINK(CONCATENATE("#metadata!",ADDRESS(INDEX($L$2:$L$1001,MATCH(ROWS($J$2:J117),$J$2:$J$1001,0),0),1)),INDEX($O$2:$O$1001,MATCH(ROWS($J$2:J117),$J$2:$J$1001,0),0)))</f>
        <v xml:space="preserve"> </v>
      </c>
      <c r="B117" s="3" t="str">
        <f ca="1">IF(OR(INDEX($K$2:$K$1001,MATCH(ROWS($J$2:J117),$J$2:$J$1001,0),1)&gt;=100000,INDEX($Q$1005:$U$1005,1,MATCH(COLUMNS($Q$1006:Q1006),$Q$1006:$U$1006,0))&gt;=100000), " ",IF(INDEX($Q$2:$U$1001,MATCH(ROWS($J$2:J117),$J$2:$J$1001,0),MATCH(COLUMNS($Q$1006:Q1006),$Q$1006:$U$1006,0)), HYPERLINK("#",""), HYPERLINK(CONCATENATE("#metadata!", ADDRESS(INDEX($L$2:$L$1001,MATCH(ROWS($J$2:J117),$J$2:$J$1001,0),0), INDEX($Q$1004:$U$1004,1,MATCH(COLUMNS($Q$1006:Q1006),$Q$1006:$U$1006,0)))),"Fix")))</f>
        <v xml:space="preserve"> </v>
      </c>
      <c r="C117" s="3" t="str">
        <f ca="1">IF(OR(INDEX($K$2:$K$1001,MATCH(ROWS($J$2:J117),$J$2:$J$1001,0),1)&gt;=100000,INDEX($Q$1005:$U$1005,1,MATCH(COLUMNS($Q$1006:R1006),$Q$1006:$U$1006,0))&gt;=100000), " ",IF(INDEX($Q$2:$U$1001,MATCH(ROWS($J$2:J117),$J$2:$J$1001,0),MATCH(COLUMNS($Q$1006:R1006),$Q$1006:$U$1006,0)), HYPERLINK("#",""), HYPERLINK(CONCATENATE("#metadata!", ADDRESS(INDEX($L$2:$L$1001,MATCH(ROWS($J$2:J117),$J$2:$J$1001,0),0), INDEX($Q$1004:$U$1004,1,MATCH(COLUMNS($Q$1006:R1006),$Q$1006:$U$1006,0)))),"Fix")))</f>
        <v xml:space="preserve"> </v>
      </c>
      <c r="D117" s="3" t="str">
        <f ca="1">IF(OR(INDEX($K$2:$K$1001,MATCH(ROWS($J$2:J117),$J$2:$J$1001,0),1)&gt;=100000,INDEX($Q$1005:$U$1005,1,MATCH(COLUMNS($Q$1006:S1006),$Q$1006:$U$1006,0))&gt;=100000), " ",IF(INDEX($Q$2:$U$1001,MATCH(ROWS($J$2:J117),$J$2:$J$1001,0),MATCH(COLUMNS($Q$1006:S1006),$Q$1006:$U$1006,0)), HYPERLINK("#",""), HYPERLINK(CONCATENATE("#metadata!", ADDRESS(INDEX($L$2:$L$1001,MATCH(ROWS($J$2:J117),$J$2:$J$1001,0),0), INDEX($Q$1004:$U$1004,1,MATCH(COLUMNS($Q$1006:S1006),$Q$1006:$U$1006,0)))),"Fix")))</f>
        <v xml:space="preserve"> </v>
      </c>
      <c r="E117" s="3" t="str">
        <f ca="1">IF(OR(INDEX($K$2:$K$1001,MATCH(ROWS($J$2:J117),$J$2:$J$1001,0),1)&gt;=100000,INDEX($Q$1005:$U$1005,1,MATCH(COLUMNS($Q$1006:T1006),$Q$1006:$U$1006,0))&gt;=100000), " ",IF(INDEX($Q$2:$U$1001,MATCH(ROWS($J$2:J117),$J$2:$J$1001,0),MATCH(COLUMNS($Q$1006:T1006),$Q$1006:$U$1006,0)), HYPERLINK("#",""), HYPERLINK(CONCATENATE("#metadata!", ADDRESS(INDEX($L$2:$L$1001,MATCH(ROWS($J$2:J117),$J$2:$J$1001,0),0), INDEX($Q$1004:$U$1004,1,MATCH(COLUMNS($Q$1006:T1006),$Q$1006:$U$1006,0)))),"Fix")))</f>
        <v xml:space="preserve"> </v>
      </c>
      <c r="F117" s="3" t="str">
        <f ca="1">IF(OR(INDEX($K$2:$K$1001,MATCH(ROWS($J$2:J117),$J$2:$J$1001,0),1)&gt;=100000,INDEX($Q$1005:$U$1005,1,MATCH(COLUMNS($Q$1006:U1006),$Q$1006:$U$1006,0))&gt;=100000), " ",IF(INDEX($Q$2:$U$1001,MATCH(ROWS($J$2:J117),$J$2:$J$1001,0),MATCH(COLUMNS($Q$1006:U1006),$Q$1006:$U$1006,0)), HYPERLINK("#",""), HYPERLINK(CONCATENATE("#metadata!", ADDRESS(INDEX($L$2:$L$1001,MATCH(ROWS($J$2:J117),$J$2:$J$1001,0),0), INDEX($Q$1004:$U$1004,1,MATCH(COLUMNS($Q$1006:U1006),$Q$1006:$U$1006,0)))),"Fix")))</f>
        <v xml:space="preserve"> </v>
      </c>
      <c r="J117">
        <v>116</v>
      </c>
      <c r="K117">
        <v>100117</v>
      </c>
      <c r="L117">
        <v>117</v>
      </c>
      <c r="M117" t="b">
        <f t="shared" si="1"/>
        <v>1</v>
      </c>
      <c r="N117" t="b">
        <f>COUNTBLANK(metadata!B117:F117)=COLUMNS(metadata!B117:F117)</f>
        <v>1</v>
      </c>
      <c r="O117" t="str">
        <v/>
      </c>
      <c r="Q117" t="b">
        <f ca="1">AND(IF(metadata!B117="",FALSE,TRUE),COUNTIF(metadata!B:B, metadata!B117) = 1,NOT(ISERROR(SUMPRODUCT(SEARCH(MID(metadata!B117,ROW(INDIRECT("1:"&amp;LEN(metadata!B117))), 1),"0123456789abcdefghijklmnopqrstuvwxyzABCDEFGHIJKLMNOPQRSTUVWXYZ.")))))</f>
        <v>0</v>
      </c>
      <c r="R117" t="b">
        <f>AND(IF(metadata!C117="",FALSE,TRUE),OR(EXACT(metadata!C117,"saline"),EXACT(metadata!C117,"non-saline")))</f>
        <v>0</v>
      </c>
      <c r="S117" t="b">
        <f>AND(IF(metadata!D117="",FALSE,TRUE),OR(EXACT(metadata!D117,"surface (non-saline)"),EXACT(metadata!D117,"aerosol (non-saline)"),EXACT(metadata!D117,"sediment (non-saline)"),EXACT(metadata!D117,"surface (saline)"),EXACT(metadata!D117,"aerosol (saline)"),EXACT(metadata!D117,"sediment (saline)")))</f>
        <v>0</v>
      </c>
      <c r="T117" t="b">
        <f>AND(IF(metadata!E117="",FALSE,TRUE),EXACT(metadata!E117,"built environment"))</f>
        <v>0</v>
      </c>
      <c r="U117" t="b">
        <f>OR(AND(IF(metadata!F117="",FALSE,TRUE),EXACT(metadata!F117,"not applicable")),AND(IF(metadata!F117="",FALSE,TRUE),EXACT(metadata!F117,"anaerobic digester content")))</f>
        <v>0</v>
      </c>
    </row>
    <row r="118" spans="1:21" x14ac:dyDescent="0.2">
      <c r="A118" s="4" t="str">
        <f ca="1">IF(B118=" "," ",HYPERLINK(CONCATENATE("#metadata!",ADDRESS(INDEX($L$2:$L$1001,MATCH(ROWS($J$2:J118),$J$2:$J$1001,0),0),1)),INDEX($O$2:$O$1001,MATCH(ROWS($J$2:J118),$J$2:$J$1001,0),0)))</f>
        <v xml:space="preserve"> </v>
      </c>
      <c r="B118" s="3" t="str">
        <f ca="1">IF(OR(INDEX($K$2:$K$1001,MATCH(ROWS($J$2:J118),$J$2:$J$1001,0),1)&gt;=100000,INDEX($Q$1005:$U$1005,1,MATCH(COLUMNS($Q$1006:Q1006),$Q$1006:$U$1006,0))&gt;=100000), " ",IF(INDEX($Q$2:$U$1001,MATCH(ROWS($J$2:J118),$J$2:$J$1001,0),MATCH(COLUMNS($Q$1006:Q1006),$Q$1006:$U$1006,0)), HYPERLINK("#",""), HYPERLINK(CONCATENATE("#metadata!", ADDRESS(INDEX($L$2:$L$1001,MATCH(ROWS($J$2:J118),$J$2:$J$1001,0),0), INDEX($Q$1004:$U$1004,1,MATCH(COLUMNS($Q$1006:Q1006),$Q$1006:$U$1006,0)))),"Fix")))</f>
        <v xml:space="preserve"> </v>
      </c>
      <c r="C118" s="3" t="str">
        <f ca="1">IF(OR(INDEX($K$2:$K$1001,MATCH(ROWS($J$2:J118),$J$2:$J$1001,0),1)&gt;=100000,INDEX($Q$1005:$U$1005,1,MATCH(COLUMNS($Q$1006:R1006),$Q$1006:$U$1006,0))&gt;=100000), " ",IF(INDEX($Q$2:$U$1001,MATCH(ROWS($J$2:J118),$J$2:$J$1001,0),MATCH(COLUMNS($Q$1006:R1006),$Q$1006:$U$1006,0)), HYPERLINK("#",""), HYPERLINK(CONCATENATE("#metadata!", ADDRESS(INDEX($L$2:$L$1001,MATCH(ROWS($J$2:J118),$J$2:$J$1001,0),0), INDEX($Q$1004:$U$1004,1,MATCH(COLUMNS($Q$1006:R1006),$Q$1006:$U$1006,0)))),"Fix")))</f>
        <v xml:space="preserve"> </v>
      </c>
      <c r="D118" s="3" t="str">
        <f ca="1">IF(OR(INDEX($K$2:$K$1001,MATCH(ROWS($J$2:J118),$J$2:$J$1001,0),1)&gt;=100000,INDEX($Q$1005:$U$1005,1,MATCH(COLUMNS($Q$1006:S1006),$Q$1006:$U$1006,0))&gt;=100000), " ",IF(INDEX($Q$2:$U$1001,MATCH(ROWS($J$2:J118),$J$2:$J$1001,0),MATCH(COLUMNS($Q$1006:S1006),$Q$1006:$U$1006,0)), HYPERLINK("#",""), HYPERLINK(CONCATENATE("#metadata!", ADDRESS(INDEX($L$2:$L$1001,MATCH(ROWS($J$2:J118),$J$2:$J$1001,0),0), INDEX($Q$1004:$U$1004,1,MATCH(COLUMNS($Q$1006:S1006),$Q$1006:$U$1006,0)))),"Fix")))</f>
        <v xml:space="preserve"> </v>
      </c>
      <c r="E118" s="3" t="str">
        <f ca="1">IF(OR(INDEX($K$2:$K$1001,MATCH(ROWS($J$2:J118),$J$2:$J$1001,0),1)&gt;=100000,INDEX($Q$1005:$U$1005,1,MATCH(COLUMNS($Q$1006:T1006),$Q$1006:$U$1006,0))&gt;=100000), " ",IF(INDEX($Q$2:$U$1001,MATCH(ROWS($J$2:J118),$J$2:$J$1001,0),MATCH(COLUMNS($Q$1006:T1006),$Q$1006:$U$1006,0)), HYPERLINK("#",""), HYPERLINK(CONCATENATE("#metadata!", ADDRESS(INDEX($L$2:$L$1001,MATCH(ROWS($J$2:J118),$J$2:$J$1001,0),0), INDEX($Q$1004:$U$1004,1,MATCH(COLUMNS($Q$1006:T1006),$Q$1006:$U$1006,0)))),"Fix")))</f>
        <v xml:space="preserve"> </v>
      </c>
      <c r="F118" s="3" t="str">
        <f ca="1">IF(OR(INDEX($K$2:$K$1001,MATCH(ROWS($J$2:J118),$J$2:$J$1001,0),1)&gt;=100000,INDEX($Q$1005:$U$1005,1,MATCH(COLUMNS($Q$1006:U1006),$Q$1006:$U$1006,0))&gt;=100000), " ",IF(INDEX($Q$2:$U$1001,MATCH(ROWS($J$2:J118),$J$2:$J$1001,0),MATCH(COLUMNS($Q$1006:U1006),$Q$1006:$U$1006,0)), HYPERLINK("#",""), HYPERLINK(CONCATENATE("#metadata!", ADDRESS(INDEX($L$2:$L$1001,MATCH(ROWS($J$2:J118),$J$2:$J$1001,0),0), INDEX($Q$1004:$U$1004,1,MATCH(COLUMNS($Q$1006:U1006),$Q$1006:$U$1006,0)))),"Fix")))</f>
        <v xml:space="preserve"> </v>
      </c>
      <c r="J118">
        <v>117</v>
      </c>
      <c r="K118">
        <v>100118</v>
      </c>
      <c r="L118">
        <v>118</v>
      </c>
      <c r="M118" t="b">
        <f t="shared" si="1"/>
        <v>1</v>
      </c>
      <c r="N118" t="b">
        <f>COUNTBLANK(metadata!B118:F118)=COLUMNS(metadata!B118:F118)</f>
        <v>1</v>
      </c>
      <c r="O118" t="str">
        <v/>
      </c>
      <c r="Q118" t="b">
        <f ca="1">AND(IF(metadata!B118="",FALSE,TRUE),COUNTIF(metadata!B:B, metadata!B118) = 1,NOT(ISERROR(SUMPRODUCT(SEARCH(MID(metadata!B118,ROW(INDIRECT("1:"&amp;LEN(metadata!B118))), 1),"0123456789abcdefghijklmnopqrstuvwxyzABCDEFGHIJKLMNOPQRSTUVWXYZ.")))))</f>
        <v>0</v>
      </c>
      <c r="R118" t="b">
        <f>AND(IF(metadata!C118="",FALSE,TRUE),OR(EXACT(metadata!C118,"saline"),EXACT(metadata!C118,"non-saline")))</f>
        <v>0</v>
      </c>
      <c r="S118" t="b">
        <f>AND(IF(metadata!D118="",FALSE,TRUE),OR(EXACT(metadata!D118,"surface (non-saline)"),EXACT(metadata!D118,"aerosol (non-saline)"),EXACT(metadata!D118,"sediment (non-saline)"),EXACT(metadata!D118,"surface (saline)"),EXACT(metadata!D118,"aerosol (saline)"),EXACT(metadata!D118,"sediment (saline)")))</f>
        <v>0</v>
      </c>
      <c r="T118" t="b">
        <f>AND(IF(metadata!E118="",FALSE,TRUE),EXACT(metadata!E118,"built environment"))</f>
        <v>0</v>
      </c>
      <c r="U118" t="b">
        <f>OR(AND(IF(metadata!F118="",FALSE,TRUE),EXACT(metadata!F118,"not applicable")),AND(IF(metadata!F118="",FALSE,TRUE),EXACT(metadata!F118,"anaerobic digester content")))</f>
        <v>0</v>
      </c>
    </row>
    <row r="119" spans="1:21" x14ac:dyDescent="0.2">
      <c r="A119" s="4" t="str">
        <f ca="1">IF(B119=" "," ",HYPERLINK(CONCATENATE("#metadata!",ADDRESS(INDEX($L$2:$L$1001,MATCH(ROWS($J$2:J119),$J$2:$J$1001,0),0),1)),INDEX($O$2:$O$1001,MATCH(ROWS($J$2:J119),$J$2:$J$1001,0),0)))</f>
        <v xml:space="preserve"> </v>
      </c>
      <c r="B119" s="3" t="str">
        <f ca="1">IF(OR(INDEX($K$2:$K$1001,MATCH(ROWS($J$2:J119),$J$2:$J$1001,0),1)&gt;=100000,INDEX($Q$1005:$U$1005,1,MATCH(COLUMNS($Q$1006:Q1006),$Q$1006:$U$1006,0))&gt;=100000), " ",IF(INDEX($Q$2:$U$1001,MATCH(ROWS($J$2:J119),$J$2:$J$1001,0),MATCH(COLUMNS($Q$1006:Q1006),$Q$1006:$U$1006,0)), HYPERLINK("#",""), HYPERLINK(CONCATENATE("#metadata!", ADDRESS(INDEX($L$2:$L$1001,MATCH(ROWS($J$2:J119),$J$2:$J$1001,0),0), INDEX($Q$1004:$U$1004,1,MATCH(COLUMNS($Q$1006:Q1006),$Q$1006:$U$1006,0)))),"Fix")))</f>
        <v xml:space="preserve"> </v>
      </c>
      <c r="C119" s="3" t="str">
        <f ca="1">IF(OR(INDEX($K$2:$K$1001,MATCH(ROWS($J$2:J119),$J$2:$J$1001,0),1)&gt;=100000,INDEX($Q$1005:$U$1005,1,MATCH(COLUMNS($Q$1006:R1006),$Q$1006:$U$1006,0))&gt;=100000), " ",IF(INDEX($Q$2:$U$1001,MATCH(ROWS($J$2:J119),$J$2:$J$1001,0),MATCH(COLUMNS($Q$1006:R1006),$Q$1006:$U$1006,0)), HYPERLINK("#",""), HYPERLINK(CONCATENATE("#metadata!", ADDRESS(INDEX($L$2:$L$1001,MATCH(ROWS($J$2:J119),$J$2:$J$1001,0),0), INDEX($Q$1004:$U$1004,1,MATCH(COLUMNS($Q$1006:R1006),$Q$1006:$U$1006,0)))),"Fix")))</f>
        <v xml:space="preserve"> </v>
      </c>
      <c r="D119" s="3" t="str">
        <f ca="1">IF(OR(INDEX($K$2:$K$1001,MATCH(ROWS($J$2:J119),$J$2:$J$1001,0),1)&gt;=100000,INDEX($Q$1005:$U$1005,1,MATCH(COLUMNS($Q$1006:S1006),$Q$1006:$U$1006,0))&gt;=100000), " ",IF(INDEX($Q$2:$U$1001,MATCH(ROWS($J$2:J119),$J$2:$J$1001,0),MATCH(COLUMNS($Q$1006:S1006),$Q$1006:$U$1006,0)), HYPERLINK("#",""), HYPERLINK(CONCATENATE("#metadata!", ADDRESS(INDEX($L$2:$L$1001,MATCH(ROWS($J$2:J119),$J$2:$J$1001,0),0), INDEX($Q$1004:$U$1004,1,MATCH(COLUMNS($Q$1006:S1006),$Q$1006:$U$1006,0)))),"Fix")))</f>
        <v xml:space="preserve"> </v>
      </c>
      <c r="E119" s="3" t="str">
        <f ca="1">IF(OR(INDEX($K$2:$K$1001,MATCH(ROWS($J$2:J119),$J$2:$J$1001,0),1)&gt;=100000,INDEX($Q$1005:$U$1005,1,MATCH(COLUMNS($Q$1006:T1006),$Q$1006:$U$1006,0))&gt;=100000), " ",IF(INDEX($Q$2:$U$1001,MATCH(ROWS($J$2:J119),$J$2:$J$1001,0),MATCH(COLUMNS($Q$1006:T1006),$Q$1006:$U$1006,0)), HYPERLINK("#",""), HYPERLINK(CONCATENATE("#metadata!", ADDRESS(INDEX($L$2:$L$1001,MATCH(ROWS($J$2:J119),$J$2:$J$1001,0),0), INDEX($Q$1004:$U$1004,1,MATCH(COLUMNS($Q$1006:T1006),$Q$1006:$U$1006,0)))),"Fix")))</f>
        <v xml:space="preserve"> </v>
      </c>
      <c r="F119" s="3" t="str">
        <f ca="1">IF(OR(INDEX($K$2:$K$1001,MATCH(ROWS($J$2:J119),$J$2:$J$1001,0),1)&gt;=100000,INDEX($Q$1005:$U$1005,1,MATCH(COLUMNS($Q$1006:U1006),$Q$1006:$U$1006,0))&gt;=100000), " ",IF(INDEX($Q$2:$U$1001,MATCH(ROWS($J$2:J119),$J$2:$J$1001,0),MATCH(COLUMNS($Q$1006:U1006),$Q$1006:$U$1006,0)), HYPERLINK("#",""), HYPERLINK(CONCATENATE("#metadata!", ADDRESS(INDEX($L$2:$L$1001,MATCH(ROWS($J$2:J119),$J$2:$J$1001,0),0), INDEX($Q$1004:$U$1004,1,MATCH(COLUMNS($Q$1006:U1006),$Q$1006:$U$1006,0)))),"Fix")))</f>
        <v xml:space="preserve"> </v>
      </c>
      <c r="J119">
        <v>118</v>
      </c>
      <c r="K119">
        <v>100119</v>
      </c>
      <c r="L119">
        <v>119</v>
      </c>
      <c r="M119" t="b">
        <f t="shared" si="1"/>
        <v>1</v>
      </c>
      <c r="N119" t="b">
        <f>COUNTBLANK(metadata!B119:F119)=COLUMNS(metadata!B119:F119)</f>
        <v>1</v>
      </c>
      <c r="O119" t="str">
        <v/>
      </c>
      <c r="Q119" t="b">
        <f ca="1">AND(IF(metadata!B119="",FALSE,TRUE),COUNTIF(metadata!B:B, metadata!B119) = 1,NOT(ISERROR(SUMPRODUCT(SEARCH(MID(metadata!B119,ROW(INDIRECT("1:"&amp;LEN(metadata!B119))), 1),"0123456789abcdefghijklmnopqrstuvwxyzABCDEFGHIJKLMNOPQRSTUVWXYZ.")))))</f>
        <v>0</v>
      </c>
      <c r="R119" t="b">
        <f>AND(IF(metadata!C119="",FALSE,TRUE),OR(EXACT(metadata!C119,"saline"),EXACT(metadata!C119,"non-saline")))</f>
        <v>0</v>
      </c>
      <c r="S119" t="b">
        <f>AND(IF(metadata!D119="",FALSE,TRUE),OR(EXACT(metadata!D119,"surface (non-saline)"),EXACT(metadata!D119,"aerosol (non-saline)"),EXACT(metadata!D119,"sediment (non-saline)"),EXACT(metadata!D119,"surface (saline)"),EXACT(metadata!D119,"aerosol (saline)"),EXACT(metadata!D119,"sediment (saline)")))</f>
        <v>0</v>
      </c>
      <c r="T119" t="b">
        <f>AND(IF(metadata!E119="",FALSE,TRUE),EXACT(metadata!E119,"built environment"))</f>
        <v>0</v>
      </c>
      <c r="U119" t="b">
        <f>OR(AND(IF(metadata!F119="",FALSE,TRUE),EXACT(metadata!F119,"not applicable")),AND(IF(metadata!F119="",FALSE,TRUE),EXACT(metadata!F119,"anaerobic digester content")))</f>
        <v>0</v>
      </c>
    </row>
    <row r="120" spans="1:21" x14ac:dyDescent="0.2">
      <c r="A120" s="4" t="str">
        <f ca="1">IF(B120=" "," ",HYPERLINK(CONCATENATE("#metadata!",ADDRESS(INDEX($L$2:$L$1001,MATCH(ROWS($J$2:J120),$J$2:$J$1001,0),0),1)),INDEX($O$2:$O$1001,MATCH(ROWS($J$2:J120),$J$2:$J$1001,0),0)))</f>
        <v xml:space="preserve"> </v>
      </c>
      <c r="B120" s="3" t="str">
        <f ca="1">IF(OR(INDEX($K$2:$K$1001,MATCH(ROWS($J$2:J120),$J$2:$J$1001,0),1)&gt;=100000,INDEX($Q$1005:$U$1005,1,MATCH(COLUMNS($Q$1006:Q1006),$Q$1006:$U$1006,0))&gt;=100000), " ",IF(INDEX($Q$2:$U$1001,MATCH(ROWS($J$2:J120),$J$2:$J$1001,0),MATCH(COLUMNS($Q$1006:Q1006),$Q$1006:$U$1006,0)), HYPERLINK("#",""), HYPERLINK(CONCATENATE("#metadata!", ADDRESS(INDEX($L$2:$L$1001,MATCH(ROWS($J$2:J120),$J$2:$J$1001,0),0), INDEX($Q$1004:$U$1004,1,MATCH(COLUMNS($Q$1006:Q1006),$Q$1006:$U$1006,0)))),"Fix")))</f>
        <v xml:space="preserve"> </v>
      </c>
      <c r="C120" s="3" t="str">
        <f ca="1">IF(OR(INDEX($K$2:$K$1001,MATCH(ROWS($J$2:J120),$J$2:$J$1001,0),1)&gt;=100000,INDEX($Q$1005:$U$1005,1,MATCH(COLUMNS($Q$1006:R1006),$Q$1006:$U$1006,0))&gt;=100000), " ",IF(INDEX($Q$2:$U$1001,MATCH(ROWS($J$2:J120),$J$2:$J$1001,0),MATCH(COLUMNS($Q$1006:R1006),$Q$1006:$U$1006,0)), HYPERLINK("#",""), HYPERLINK(CONCATENATE("#metadata!", ADDRESS(INDEX($L$2:$L$1001,MATCH(ROWS($J$2:J120),$J$2:$J$1001,0),0), INDEX($Q$1004:$U$1004,1,MATCH(COLUMNS($Q$1006:R1006),$Q$1006:$U$1006,0)))),"Fix")))</f>
        <v xml:space="preserve"> </v>
      </c>
      <c r="D120" s="3" t="str">
        <f ca="1">IF(OR(INDEX($K$2:$K$1001,MATCH(ROWS($J$2:J120),$J$2:$J$1001,0),1)&gt;=100000,INDEX($Q$1005:$U$1005,1,MATCH(COLUMNS($Q$1006:S1006),$Q$1006:$U$1006,0))&gt;=100000), " ",IF(INDEX($Q$2:$U$1001,MATCH(ROWS($J$2:J120),$J$2:$J$1001,0),MATCH(COLUMNS($Q$1006:S1006),$Q$1006:$U$1006,0)), HYPERLINK("#",""), HYPERLINK(CONCATENATE("#metadata!", ADDRESS(INDEX($L$2:$L$1001,MATCH(ROWS($J$2:J120),$J$2:$J$1001,0),0), INDEX($Q$1004:$U$1004,1,MATCH(COLUMNS($Q$1006:S1006),$Q$1006:$U$1006,0)))),"Fix")))</f>
        <v xml:space="preserve"> </v>
      </c>
      <c r="E120" s="3" t="str">
        <f ca="1">IF(OR(INDEX($K$2:$K$1001,MATCH(ROWS($J$2:J120),$J$2:$J$1001,0),1)&gt;=100000,INDEX($Q$1005:$U$1005,1,MATCH(COLUMNS($Q$1006:T1006),$Q$1006:$U$1006,0))&gt;=100000), " ",IF(INDEX($Q$2:$U$1001,MATCH(ROWS($J$2:J120),$J$2:$J$1001,0),MATCH(COLUMNS($Q$1006:T1006),$Q$1006:$U$1006,0)), HYPERLINK("#",""), HYPERLINK(CONCATENATE("#metadata!", ADDRESS(INDEX($L$2:$L$1001,MATCH(ROWS($J$2:J120),$J$2:$J$1001,0),0), INDEX($Q$1004:$U$1004,1,MATCH(COLUMNS($Q$1006:T1006),$Q$1006:$U$1006,0)))),"Fix")))</f>
        <v xml:space="preserve"> </v>
      </c>
      <c r="F120" s="3" t="str">
        <f ca="1">IF(OR(INDEX($K$2:$K$1001,MATCH(ROWS($J$2:J120),$J$2:$J$1001,0),1)&gt;=100000,INDEX($Q$1005:$U$1005,1,MATCH(COLUMNS($Q$1006:U1006),$Q$1006:$U$1006,0))&gt;=100000), " ",IF(INDEX($Q$2:$U$1001,MATCH(ROWS($J$2:J120),$J$2:$J$1001,0),MATCH(COLUMNS($Q$1006:U1006),$Q$1006:$U$1006,0)), HYPERLINK("#",""), HYPERLINK(CONCATENATE("#metadata!", ADDRESS(INDEX($L$2:$L$1001,MATCH(ROWS($J$2:J120),$J$2:$J$1001,0),0), INDEX($Q$1004:$U$1004,1,MATCH(COLUMNS($Q$1006:U1006),$Q$1006:$U$1006,0)))),"Fix")))</f>
        <v xml:space="preserve"> </v>
      </c>
      <c r="J120">
        <v>119</v>
      </c>
      <c r="K120">
        <v>100120</v>
      </c>
      <c r="L120">
        <v>120</v>
      </c>
      <c r="M120" t="b">
        <f t="shared" si="1"/>
        <v>1</v>
      </c>
      <c r="N120" t="b">
        <f>COUNTBLANK(metadata!B120:F120)=COLUMNS(metadata!B120:F120)</f>
        <v>1</v>
      </c>
      <c r="O120" t="str">
        <v/>
      </c>
      <c r="Q120" t="b">
        <f ca="1">AND(IF(metadata!B120="",FALSE,TRUE),COUNTIF(metadata!B:B, metadata!B120) = 1,NOT(ISERROR(SUMPRODUCT(SEARCH(MID(metadata!B120,ROW(INDIRECT("1:"&amp;LEN(metadata!B120))), 1),"0123456789abcdefghijklmnopqrstuvwxyzABCDEFGHIJKLMNOPQRSTUVWXYZ.")))))</f>
        <v>0</v>
      </c>
      <c r="R120" t="b">
        <f>AND(IF(metadata!C120="",FALSE,TRUE),OR(EXACT(metadata!C120,"saline"),EXACT(metadata!C120,"non-saline")))</f>
        <v>0</v>
      </c>
      <c r="S120" t="b">
        <f>AND(IF(metadata!D120="",FALSE,TRUE),OR(EXACT(metadata!D120,"surface (non-saline)"),EXACT(metadata!D120,"aerosol (non-saline)"),EXACT(metadata!D120,"sediment (non-saline)"),EXACT(metadata!D120,"surface (saline)"),EXACT(metadata!D120,"aerosol (saline)"),EXACT(metadata!D120,"sediment (saline)")))</f>
        <v>0</v>
      </c>
      <c r="T120" t="b">
        <f>AND(IF(metadata!E120="",FALSE,TRUE),EXACT(metadata!E120,"built environment"))</f>
        <v>0</v>
      </c>
      <c r="U120" t="b">
        <f>OR(AND(IF(metadata!F120="",FALSE,TRUE),EXACT(metadata!F120,"not applicable")),AND(IF(metadata!F120="",FALSE,TRUE),EXACT(metadata!F120,"anaerobic digester content")))</f>
        <v>0</v>
      </c>
    </row>
    <row r="121" spans="1:21" x14ac:dyDescent="0.2">
      <c r="A121" s="4" t="str">
        <f ca="1">IF(B121=" "," ",HYPERLINK(CONCATENATE("#metadata!",ADDRESS(INDEX($L$2:$L$1001,MATCH(ROWS($J$2:J121),$J$2:$J$1001,0),0),1)),INDEX($O$2:$O$1001,MATCH(ROWS($J$2:J121),$J$2:$J$1001,0),0)))</f>
        <v xml:space="preserve"> </v>
      </c>
      <c r="B121" s="3" t="str">
        <f ca="1">IF(OR(INDEX($K$2:$K$1001,MATCH(ROWS($J$2:J121),$J$2:$J$1001,0),1)&gt;=100000,INDEX($Q$1005:$U$1005,1,MATCH(COLUMNS($Q$1006:Q1006),$Q$1006:$U$1006,0))&gt;=100000), " ",IF(INDEX($Q$2:$U$1001,MATCH(ROWS($J$2:J121),$J$2:$J$1001,0),MATCH(COLUMNS($Q$1006:Q1006),$Q$1006:$U$1006,0)), HYPERLINK("#",""), HYPERLINK(CONCATENATE("#metadata!", ADDRESS(INDEX($L$2:$L$1001,MATCH(ROWS($J$2:J121),$J$2:$J$1001,0),0), INDEX($Q$1004:$U$1004,1,MATCH(COLUMNS($Q$1006:Q1006),$Q$1006:$U$1006,0)))),"Fix")))</f>
        <v xml:space="preserve"> </v>
      </c>
      <c r="C121" s="3" t="str">
        <f ca="1">IF(OR(INDEX($K$2:$K$1001,MATCH(ROWS($J$2:J121),$J$2:$J$1001,0),1)&gt;=100000,INDEX($Q$1005:$U$1005,1,MATCH(COLUMNS($Q$1006:R1006),$Q$1006:$U$1006,0))&gt;=100000), " ",IF(INDEX($Q$2:$U$1001,MATCH(ROWS($J$2:J121),$J$2:$J$1001,0),MATCH(COLUMNS($Q$1006:R1006),$Q$1006:$U$1006,0)), HYPERLINK("#",""), HYPERLINK(CONCATENATE("#metadata!", ADDRESS(INDEX($L$2:$L$1001,MATCH(ROWS($J$2:J121),$J$2:$J$1001,0),0), INDEX($Q$1004:$U$1004,1,MATCH(COLUMNS($Q$1006:R1006),$Q$1006:$U$1006,0)))),"Fix")))</f>
        <v xml:space="preserve"> </v>
      </c>
      <c r="D121" s="3" t="str">
        <f ca="1">IF(OR(INDEX($K$2:$K$1001,MATCH(ROWS($J$2:J121),$J$2:$J$1001,0),1)&gt;=100000,INDEX($Q$1005:$U$1005,1,MATCH(COLUMNS($Q$1006:S1006),$Q$1006:$U$1006,0))&gt;=100000), " ",IF(INDEX($Q$2:$U$1001,MATCH(ROWS($J$2:J121),$J$2:$J$1001,0),MATCH(COLUMNS($Q$1006:S1006),$Q$1006:$U$1006,0)), HYPERLINK("#",""), HYPERLINK(CONCATENATE("#metadata!", ADDRESS(INDEX($L$2:$L$1001,MATCH(ROWS($J$2:J121),$J$2:$J$1001,0),0), INDEX($Q$1004:$U$1004,1,MATCH(COLUMNS($Q$1006:S1006),$Q$1006:$U$1006,0)))),"Fix")))</f>
        <v xml:space="preserve"> </v>
      </c>
      <c r="E121" s="3" t="str">
        <f ca="1">IF(OR(INDEX($K$2:$K$1001,MATCH(ROWS($J$2:J121),$J$2:$J$1001,0),1)&gt;=100000,INDEX($Q$1005:$U$1005,1,MATCH(COLUMNS($Q$1006:T1006),$Q$1006:$U$1006,0))&gt;=100000), " ",IF(INDEX($Q$2:$U$1001,MATCH(ROWS($J$2:J121),$J$2:$J$1001,0),MATCH(COLUMNS($Q$1006:T1006),$Q$1006:$U$1006,0)), HYPERLINK("#",""), HYPERLINK(CONCATENATE("#metadata!", ADDRESS(INDEX($L$2:$L$1001,MATCH(ROWS($J$2:J121),$J$2:$J$1001,0),0), INDEX($Q$1004:$U$1004,1,MATCH(COLUMNS($Q$1006:T1006),$Q$1006:$U$1006,0)))),"Fix")))</f>
        <v xml:space="preserve"> </v>
      </c>
      <c r="F121" s="3" t="str">
        <f ca="1">IF(OR(INDEX($K$2:$K$1001,MATCH(ROWS($J$2:J121),$J$2:$J$1001,0),1)&gt;=100000,INDEX($Q$1005:$U$1005,1,MATCH(COLUMNS($Q$1006:U1006),$Q$1006:$U$1006,0))&gt;=100000), " ",IF(INDEX($Q$2:$U$1001,MATCH(ROWS($J$2:J121),$J$2:$J$1001,0),MATCH(COLUMNS($Q$1006:U1006),$Q$1006:$U$1006,0)), HYPERLINK("#",""), HYPERLINK(CONCATENATE("#metadata!", ADDRESS(INDEX($L$2:$L$1001,MATCH(ROWS($J$2:J121),$J$2:$J$1001,0),0), INDEX($Q$1004:$U$1004,1,MATCH(COLUMNS($Q$1006:U1006),$Q$1006:$U$1006,0)))),"Fix")))</f>
        <v xml:space="preserve"> </v>
      </c>
      <c r="J121">
        <v>120</v>
      </c>
      <c r="K121">
        <v>100121</v>
      </c>
      <c r="L121">
        <v>121</v>
      </c>
      <c r="M121" t="b">
        <f t="shared" si="1"/>
        <v>1</v>
      </c>
      <c r="N121" t="b">
        <f>COUNTBLANK(metadata!B121:F121)=COLUMNS(metadata!B121:F121)</f>
        <v>1</v>
      </c>
      <c r="O121" t="str">
        <v/>
      </c>
      <c r="Q121" t="b">
        <f ca="1">AND(IF(metadata!B121="",FALSE,TRUE),COUNTIF(metadata!B:B, metadata!B121) = 1,NOT(ISERROR(SUMPRODUCT(SEARCH(MID(metadata!B121,ROW(INDIRECT("1:"&amp;LEN(metadata!B121))), 1),"0123456789abcdefghijklmnopqrstuvwxyzABCDEFGHIJKLMNOPQRSTUVWXYZ.")))))</f>
        <v>0</v>
      </c>
      <c r="R121" t="b">
        <f>AND(IF(metadata!C121="",FALSE,TRUE),OR(EXACT(metadata!C121,"saline"),EXACT(metadata!C121,"non-saline")))</f>
        <v>0</v>
      </c>
      <c r="S121" t="b">
        <f>AND(IF(metadata!D121="",FALSE,TRUE),OR(EXACT(metadata!D121,"surface (non-saline)"),EXACT(metadata!D121,"aerosol (non-saline)"),EXACT(metadata!D121,"sediment (non-saline)"),EXACT(metadata!D121,"surface (saline)"),EXACT(metadata!D121,"aerosol (saline)"),EXACT(metadata!D121,"sediment (saline)")))</f>
        <v>0</v>
      </c>
      <c r="T121" t="b">
        <f>AND(IF(metadata!E121="",FALSE,TRUE),EXACT(metadata!E121,"built environment"))</f>
        <v>0</v>
      </c>
      <c r="U121" t="b">
        <f>OR(AND(IF(metadata!F121="",FALSE,TRUE),EXACT(metadata!F121,"not applicable")),AND(IF(metadata!F121="",FALSE,TRUE),EXACT(metadata!F121,"anaerobic digester content")))</f>
        <v>0</v>
      </c>
    </row>
    <row r="122" spans="1:21" x14ac:dyDescent="0.2">
      <c r="A122" s="4" t="str">
        <f ca="1">IF(B122=" "," ",HYPERLINK(CONCATENATE("#metadata!",ADDRESS(INDEX($L$2:$L$1001,MATCH(ROWS($J$2:J122),$J$2:$J$1001,0),0),1)),INDEX($O$2:$O$1001,MATCH(ROWS($J$2:J122),$J$2:$J$1001,0),0)))</f>
        <v xml:space="preserve"> </v>
      </c>
      <c r="B122" s="3" t="str">
        <f ca="1">IF(OR(INDEX($K$2:$K$1001,MATCH(ROWS($J$2:J122),$J$2:$J$1001,0),1)&gt;=100000,INDEX($Q$1005:$U$1005,1,MATCH(COLUMNS($Q$1006:Q1006),$Q$1006:$U$1006,0))&gt;=100000), " ",IF(INDEX($Q$2:$U$1001,MATCH(ROWS($J$2:J122),$J$2:$J$1001,0),MATCH(COLUMNS($Q$1006:Q1006),$Q$1006:$U$1006,0)), HYPERLINK("#",""), HYPERLINK(CONCATENATE("#metadata!", ADDRESS(INDEX($L$2:$L$1001,MATCH(ROWS($J$2:J122),$J$2:$J$1001,0),0), INDEX($Q$1004:$U$1004,1,MATCH(COLUMNS($Q$1006:Q1006),$Q$1006:$U$1006,0)))),"Fix")))</f>
        <v xml:space="preserve"> </v>
      </c>
      <c r="C122" s="3" t="str">
        <f ca="1">IF(OR(INDEX($K$2:$K$1001,MATCH(ROWS($J$2:J122),$J$2:$J$1001,0),1)&gt;=100000,INDEX($Q$1005:$U$1005,1,MATCH(COLUMNS($Q$1006:R1006),$Q$1006:$U$1006,0))&gt;=100000), " ",IF(INDEX($Q$2:$U$1001,MATCH(ROWS($J$2:J122),$J$2:$J$1001,0),MATCH(COLUMNS($Q$1006:R1006),$Q$1006:$U$1006,0)), HYPERLINK("#",""), HYPERLINK(CONCATENATE("#metadata!", ADDRESS(INDEX($L$2:$L$1001,MATCH(ROWS($J$2:J122),$J$2:$J$1001,0),0), INDEX($Q$1004:$U$1004,1,MATCH(COLUMNS($Q$1006:R1006),$Q$1006:$U$1006,0)))),"Fix")))</f>
        <v xml:space="preserve"> </v>
      </c>
      <c r="D122" s="3" t="str">
        <f ca="1">IF(OR(INDEX($K$2:$K$1001,MATCH(ROWS($J$2:J122),$J$2:$J$1001,0),1)&gt;=100000,INDEX($Q$1005:$U$1005,1,MATCH(COLUMNS($Q$1006:S1006),$Q$1006:$U$1006,0))&gt;=100000), " ",IF(INDEX($Q$2:$U$1001,MATCH(ROWS($J$2:J122),$J$2:$J$1001,0),MATCH(COLUMNS($Q$1006:S1006),$Q$1006:$U$1006,0)), HYPERLINK("#",""), HYPERLINK(CONCATENATE("#metadata!", ADDRESS(INDEX($L$2:$L$1001,MATCH(ROWS($J$2:J122),$J$2:$J$1001,0),0), INDEX($Q$1004:$U$1004,1,MATCH(COLUMNS($Q$1006:S1006),$Q$1006:$U$1006,0)))),"Fix")))</f>
        <v xml:space="preserve"> </v>
      </c>
      <c r="E122" s="3" t="str">
        <f ca="1">IF(OR(INDEX($K$2:$K$1001,MATCH(ROWS($J$2:J122),$J$2:$J$1001,0),1)&gt;=100000,INDEX($Q$1005:$U$1005,1,MATCH(COLUMNS($Q$1006:T1006),$Q$1006:$U$1006,0))&gt;=100000), " ",IF(INDEX($Q$2:$U$1001,MATCH(ROWS($J$2:J122),$J$2:$J$1001,0),MATCH(COLUMNS($Q$1006:T1006),$Q$1006:$U$1006,0)), HYPERLINK("#",""), HYPERLINK(CONCATENATE("#metadata!", ADDRESS(INDEX($L$2:$L$1001,MATCH(ROWS($J$2:J122),$J$2:$J$1001,0),0), INDEX($Q$1004:$U$1004,1,MATCH(COLUMNS($Q$1006:T1006),$Q$1006:$U$1006,0)))),"Fix")))</f>
        <v xml:space="preserve"> </v>
      </c>
      <c r="F122" s="3" t="str">
        <f ca="1">IF(OR(INDEX($K$2:$K$1001,MATCH(ROWS($J$2:J122),$J$2:$J$1001,0),1)&gt;=100000,INDEX($Q$1005:$U$1005,1,MATCH(COLUMNS($Q$1006:U1006),$Q$1006:$U$1006,0))&gt;=100000), " ",IF(INDEX($Q$2:$U$1001,MATCH(ROWS($J$2:J122),$J$2:$J$1001,0),MATCH(COLUMNS($Q$1006:U1006),$Q$1006:$U$1006,0)), HYPERLINK("#",""), HYPERLINK(CONCATENATE("#metadata!", ADDRESS(INDEX($L$2:$L$1001,MATCH(ROWS($J$2:J122),$J$2:$J$1001,0),0), INDEX($Q$1004:$U$1004,1,MATCH(COLUMNS($Q$1006:U1006),$Q$1006:$U$1006,0)))),"Fix")))</f>
        <v xml:space="preserve"> </v>
      </c>
      <c r="J122">
        <v>121</v>
      </c>
      <c r="K122">
        <v>100122</v>
      </c>
      <c r="L122">
        <v>122</v>
      </c>
      <c r="M122" t="b">
        <f t="shared" si="1"/>
        <v>1</v>
      </c>
      <c r="N122" t="b">
        <f>COUNTBLANK(metadata!B122:F122)=COLUMNS(metadata!B122:F122)</f>
        <v>1</v>
      </c>
      <c r="O122" t="str">
        <v/>
      </c>
      <c r="Q122" t="b">
        <f ca="1">AND(IF(metadata!B122="",FALSE,TRUE),COUNTIF(metadata!B:B, metadata!B122) = 1,NOT(ISERROR(SUMPRODUCT(SEARCH(MID(metadata!B122,ROW(INDIRECT("1:"&amp;LEN(metadata!B122))), 1),"0123456789abcdefghijklmnopqrstuvwxyzABCDEFGHIJKLMNOPQRSTUVWXYZ.")))))</f>
        <v>0</v>
      </c>
      <c r="R122" t="b">
        <f>AND(IF(metadata!C122="",FALSE,TRUE),OR(EXACT(metadata!C122,"saline"),EXACT(metadata!C122,"non-saline")))</f>
        <v>0</v>
      </c>
      <c r="S122" t="b">
        <f>AND(IF(metadata!D122="",FALSE,TRUE),OR(EXACT(metadata!D122,"surface (non-saline)"),EXACT(metadata!D122,"aerosol (non-saline)"),EXACT(metadata!D122,"sediment (non-saline)"),EXACT(metadata!D122,"surface (saline)"),EXACT(metadata!D122,"aerosol (saline)"),EXACT(metadata!D122,"sediment (saline)")))</f>
        <v>0</v>
      </c>
      <c r="T122" t="b">
        <f>AND(IF(metadata!E122="",FALSE,TRUE),EXACT(metadata!E122,"built environment"))</f>
        <v>0</v>
      </c>
      <c r="U122" t="b">
        <f>OR(AND(IF(metadata!F122="",FALSE,TRUE),EXACT(metadata!F122,"not applicable")),AND(IF(metadata!F122="",FALSE,TRUE),EXACT(metadata!F122,"anaerobic digester content")))</f>
        <v>0</v>
      </c>
    </row>
    <row r="123" spans="1:21" x14ac:dyDescent="0.2">
      <c r="A123" s="4" t="str">
        <f ca="1">IF(B123=" "," ",HYPERLINK(CONCATENATE("#metadata!",ADDRESS(INDEX($L$2:$L$1001,MATCH(ROWS($J$2:J123),$J$2:$J$1001,0),0),1)),INDEX($O$2:$O$1001,MATCH(ROWS($J$2:J123),$J$2:$J$1001,0),0)))</f>
        <v xml:space="preserve"> </v>
      </c>
      <c r="B123" s="3" t="str">
        <f ca="1">IF(OR(INDEX($K$2:$K$1001,MATCH(ROWS($J$2:J123),$J$2:$J$1001,0),1)&gt;=100000,INDEX($Q$1005:$U$1005,1,MATCH(COLUMNS($Q$1006:Q1006),$Q$1006:$U$1006,0))&gt;=100000), " ",IF(INDEX($Q$2:$U$1001,MATCH(ROWS($J$2:J123),$J$2:$J$1001,0),MATCH(COLUMNS($Q$1006:Q1006),$Q$1006:$U$1006,0)), HYPERLINK("#",""), HYPERLINK(CONCATENATE("#metadata!", ADDRESS(INDEX($L$2:$L$1001,MATCH(ROWS($J$2:J123),$J$2:$J$1001,0),0), INDEX($Q$1004:$U$1004,1,MATCH(COLUMNS($Q$1006:Q1006),$Q$1006:$U$1006,0)))),"Fix")))</f>
        <v xml:space="preserve"> </v>
      </c>
      <c r="C123" s="3" t="str">
        <f ca="1">IF(OR(INDEX($K$2:$K$1001,MATCH(ROWS($J$2:J123),$J$2:$J$1001,0),1)&gt;=100000,INDEX($Q$1005:$U$1005,1,MATCH(COLUMNS($Q$1006:R1006),$Q$1006:$U$1006,0))&gt;=100000), " ",IF(INDEX($Q$2:$U$1001,MATCH(ROWS($J$2:J123),$J$2:$J$1001,0),MATCH(COLUMNS($Q$1006:R1006),$Q$1006:$U$1006,0)), HYPERLINK("#",""), HYPERLINK(CONCATENATE("#metadata!", ADDRESS(INDEX($L$2:$L$1001,MATCH(ROWS($J$2:J123),$J$2:$J$1001,0),0), INDEX($Q$1004:$U$1004,1,MATCH(COLUMNS($Q$1006:R1006),$Q$1006:$U$1006,0)))),"Fix")))</f>
        <v xml:space="preserve"> </v>
      </c>
      <c r="D123" s="3" t="str">
        <f ca="1">IF(OR(INDEX($K$2:$K$1001,MATCH(ROWS($J$2:J123),$J$2:$J$1001,0),1)&gt;=100000,INDEX($Q$1005:$U$1005,1,MATCH(COLUMNS($Q$1006:S1006),$Q$1006:$U$1006,0))&gt;=100000), " ",IF(INDEX($Q$2:$U$1001,MATCH(ROWS($J$2:J123),$J$2:$J$1001,0),MATCH(COLUMNS($Q$1006:S1006),$Q$1006:$U$1006,0)), HYPERLINK("#",""), HYPERLINK(CONCATENATE("#metadata!", ADDRESS(INDEX($L$2:$L$1001,MATCH(ROWS($J$2:J123),$J$2:$J$1001,0),0), INDEX($Q$1004:$U$1004,1,MATCH(COLUMNS($Q$1006:S1006),$Q$1006:$U$1006,0)))),"Fix")))</f>
        <v xml:space="preserve"> </v>
      </c>
      <c r="E123" s="3" t="str">
        <f ca="1">IF(OR(INDEX($K$2:$K$1001,MATCH(ROWS($J$2:J123),$J$2:$J$1001,0),1)&gt;=100000,INDEX($Q$1005:$U$1005,1,MATCH(COLUMNS($Q$1006:T1006),$Q$1006:$U$1006,0))&gt;=100000), " ",IF(INDEX($Q$2:$U$1001,MATCH(ROWS($J$2:J123),$J$2:$J$1001,0),MATCH(COLUMNS($Q$1006:T1006),$Q$1006:$U$1006,0)), HYPERLINK("#",""), HYPERLINK(CONCATENATE("#metadata!", ADDRESS(INDEX($L$2:$L$1001,MATCH(ROWS($J$2:J123),$J$2:$J$1001,0),0), INDEX($Q$1004:$U$1004,1,MATCH(COLUMNS($Q$1006:T1006),$Q$1006:$U$1006,0)))),"Fix")))</f>
        <v xml:space="preserve"> </v>
      </c>
      <c r="F123" s="3" t="str">
        <f ca="1">IF(OR(INDEX($K$2:$K$1001,MATCH(ROWS($J$2:J123),$J$2:$J$1001,0),1)&gt;=100000,INDEX($Q$1005:$U$1005,1,MATCH(COLUMNS($Q$1006:U1006),$Q$1006:$U$1006,0))&gt;=100000), " ",IF(INDEX($Q$2:$U$1001,MATCH(ROWS($J$2:J123),$J$2:$J$1001,0),MATCH(COLUMNS($Q$1006:U1006),$Q$1006:$U$1006,0)), HYPERLINK("#",""), HYPERLINK(CONCATENATE("#metadata!", ADDRESS(INDEX($L$2:$L$1001,MATCH(ROWS($J$2:J123),$J$2:$J$1001,0),0), INDEX($Q$1004:$U$1004,1,MATCH(COLUMNS($Q$1006:U1006),$Q$1006:$U$1006,0)))),"Fix")))</f>
        <v xml:space="preserve"> </v>
      </c>
      <c r="J123">
        <v>122</v>
      </c>
      <c r="K123">
        <v>100123</v>
      </c>
      <c r="L123">
        <v>123</v>
      </c>
      <c r="M123" t="b">
        <f t="shared" si="1"/>
        <v>1</v>
      </c>
      <c r="N123" t="b">
        <f>COUNTBLANK(metadata!B123:F123)=COLUMNS(metadata!B123:F123)</f>
        <v>1</v>
      </c>
      <c r="O123" t="str">
        <v/>
      </c>
      <c r="Q123" t="b">
        <f ca="1">AND(IF(metadata!B123="",FALSE,TRUE),COUNTIF(metadata!B:B, metadata!B123) = 1,NOT(ISERROR(SUMPRODUCT(SEARCH(MID(metadata!B123,ROW(INDIRECT("1:"&amp;LEN(metadata!B123))), 1),"0123456789abcdefghijklmnopqrstuvwxyzABCDEFGHIJKLMNOPQRSTUVWXYZ.")))))</f>
        <v>0</v>
      </c>
      <c r="R123" t="b">
        <f>AND(IF(metadata!C123="",FALSE,TRUE),OR(EXACT(metadata!C123,"saline"),EXACT(metadata!C123,"non-saline")))</f>
        <v>0</v>
      </c>
      <c r="S123" t="b">
        <f>AND(IF(metadata!D123="",FALSE,TRUE),OR(EXACT(metadata!D123,"surface (non-saline)"),EXACT(metadata!D123,"aerosol (non-saline)"),EXACT(metadata!D123,"sediment (non-saline)"),EXACT(metadata!D123,"surface (saline)"),EXACT(metadata!D123,"aerosol (saline)"),EXACT(metadata!D123,"sediment (saline)")))</f>
        <v>0</v>
      </c>
      <c r="T123" t="b">
        <f>AND(IF(metadata!E123="",FALSE,TRUE),EXACT(metadata!E123,"built environment"))</f>
        <v>0</v>
      </c>
      <c r="U123" t="b">
        <f>OR(AND(IF(metadata!F123="",FALSE,TRUE),EXACT(metadata!F123,"not applicable")),AND(IF(metadata!F123="",FALSE,TRUE),EXACT(metadata!F123,"anaerobic digester content")))</f>
        <v>0</v>
      </c>
    </row>
    <row r="124" spans="1:21" x14ac:dyDescent="0.2">
      <c r="A124" s="4" t="str">
        <f ca="1">IF(B124=" "," ",HYPERLINK(CONCATENATE("#metadata!",ADDRESS(INDEX($L$2:$L$1001,MATCH(ROWS($J$2:J124),$J$2:$J$1001,0),0),1)),INDEX($O$2:$O$1001,MATCH(ROWS($J$2:J124),$J$2:$J$1001,0),0)))</f>
        <v xml:space="preserve"> </v>
      </c>
      <c r="B124" s="3" t="str">
        <f ca="1">IF(OR(INDEX($K$2:$K$1001,MATCH(ROWS($J$2:J124),$J$2:$J$1001,0),1)&gt;=100000,INDEX($Q$1005:$U$1005,1,MATCH(COLUMNS($Q$1006:Q1006),$Q$1006:$U$1006,0))&gt;=100000), " ",IF(INDEX($Q$2:$U$1001,MATCH(ROWS($J$2:J124),$J$2:$J$1001,0),MATCH(COLUMNS($Q$1006:Q1006),$Q$1006:$U$1006,0)), HYPERLINK("#",""), HYPERLINK(CONCATENATE("#metadata!", ADDRESS(INDEX($L$2:$L$1001,MATCH(ROWS($J$2:J124),$J$2:$J$1001,0),0), INDEX($Q$1004:$U$1004,1,MATCH(COLUMNS($Q$1006:Q1006),$Q$1006:$U$1006,0)))),"Fix")))</f>
        <v xml:space="preserve"> </v>
      </c>
      <c r="C124" s="3" t="str">
        <f ca="1">IF(OR(INDEX($K$2:$K$1001,MATCH(ROWS($J$2:J124),$J$2:$J$1001,0),1)&gt;=100000,INDEX($Q$1005:$U$1005,1,MATCH(COLUMNS($Q$1006:R1006),$Q$1006:$U$1006,0))&gt;=100000), " ",IF(INDEX($Q$2:$U$1001,MATCH(ROWS($J$2:J124),$J$2:$J$1001,0),MATCH(COLUMNS($Q$1006:R1006),$Q$1006:$U$1006,0)), HYPERLINK("#",""), HYPERLINK(CONCATENATE("#metadata!", ADDRESS(INDEX($L$2:$L$1001,MATCH(ROWS($J$2:J124),$J$2:$J$1001,0),0), INDEX($Q$1004:$U$1004,1,MATCH(COLUMNS($Q$1006:R1006),$Q$1006:$U$1006,0)))),"Fix")))</f>
        <v xml:space="preserve"> </v>
      </c>
      <c r="D124" s="3" t="str">
        <f ca="1">IF(OR(INDEX($K$2:$K$1001,MATCH(ROWS($J$2:J124),$J$2:$J$1001,0),1)&gt;=100000,INDEX($Q$1005:$U$1005,1,MATCH(COLUMNS($Q$1006:S1006),$Q$1006:$U$1006,0))&gt;=100000), " ",IF(INDEX($Q$2:$U$1001,MATCH(ROWS($J$2:J124),$J$2:$J$1001,0),MATCH(COLUMNS($Q$1006:S1006),$Q$1006:$U$1006,0)), HYPERLINK("#",""), HYPERLINK(CONCATENATE("#metadata!", ADDRESS(INDEX($L$2:$L$1001,MATCH(ROWS($J$2:J124),$J$2:$J$1001,0),0), INDEX($Q$1004:$U$1004,1,MATCH(COLUMNS($Q$1006:S1006),$Q$1006:$U$1006,0)))),"Fix")))</f>
        <v xml:space="preserve"> </v>
      </c>
      <c r="E124" s="3" t="str">
        <f ca="1">IF(OR(INDEX($K$2:$K$1001,MATCH(ROWS($J$2:J124),$J$2:$J$1001,0),1)&gt;=100000,INDEX($Q$1005:$U$1005,1,MATCH(COLUMNS($Q$1006:T1006),$Q$1006:$U$1006,0))&gt;=100000), " ",IF(INDEX($Q$2:$U$1001,MATCH(ROWS($J$2:J124),$J$2:$J$1001,0),MATCH(COLUMNS($Q$1006:T1006),$Q$1006:$U$1006,0)), HYPERLINK("#",""), HYPERLINK(CONCATENATE("#metadata!", ADDRESS(INDEX($L$2:$L$1001,MATCH(ROWS($J$2:J124),$J$2:$J$1001,0),0), INDEX($Q$1004:$U$1004,1,MATCH(COLUMNS($Q$1006:T1006),$Q$1006:$U$1006,0)))),"Fix")))</f>
        <v xml:space="preserve"> </v>
      </c>
      <c r="F124" s="3" t="str">
        <f ca="1">IF(OR(INDEX($K$2:$K$1001,MATCH(ROWS($J$2:J124),$J$2:$J$1001,0),1)&gt;=100000,INDEX($Q$1005:$U$1005,1,MATCH(COLUMNS($Q$1006:U1006),$Q$1006:$U$1006,0))&gt;=100000), " ",IF(INDEX($Q$2:$U$1001,MATCH(ROWS($J$2:J124),$J$2:$J$1001,0),MATCH(COLUMNS($Q$1006:U1006),$Q$1006:$U$1006,0)), HYPERLINK("#",""), HYPERLINK(CONCATENATE("#metadata!", ADDRESS(INDEX($L$2:$L$1001,MATCH(ROWS($J$2:J124),$J$2:$J$1001,0),0), INDEX($Q$1004:$U$1004,1,MATCH(COLUMNS($Q$1006:U1006),$Q$1006:$U$1006,0)))),"Fix")))</f>
        <v xml:space="preserve"> </v>
      </c>
      <c r="J124">
        <v>123</v>
      </c>
      <c r="K124">
        <v>100124</v>
      </c>
      <c r="L124">
        <v>124</v>
      </c>
      <c r="M124" t="b">
        <f t="shared" si="1"/>
        <v>1</v>
      </c>
      <c r="N124" t="b">
        <f>COUNTBLANK(metadata!B124:F124)=COLUMNS(metadata!B124:F124)</f>
        <v>1</v>
      </c>
      <c r="O124" t="str">
        <v/>
      </c>
      <c r="Q124" t="b">
        <f ca="1">AND(IF(metadata!B124="",FALSE,TRUE),COUNTIF(metadata!B:B, metadata!B124) = 1,NOT(ISERROR(SUMPRODUCT(SEARCH(MID(metadata!B124,ROW(INDIRECT("1:"&amp;LEN(metadata!B124))), 1),"0123456789abcdefghijklmnopqrstuvwxyzABCDEFGHIJKLMNOPQRSTUVWXYZ.")))))</f>
        <v>0</v>
      </c>
      <c r="R124" t="b">
        <f>AND(IF(metadata!C124="",FALSE,TRUE),OR(EXACT(metadata!C124,"saline"),EXACT(metadata!C124,"non-saline")))</f>
        <v>0</v>
      </c>
      <c r="S124" t="b">
        <f>AND(IF(metadata!D124="",FALSE,TRUE),OR(EXACT(metadata!D124,"surface (non-saline)"),EXACT(metadata!D124,"aerosol (non-saline)"),EXACT(metadata!D124,"sediment (non-saline)"),EXACT(metadata!D124,"surface (saline)"),EXACT(metadata!D124,"aerosol (saline)"),EXACT(metadata!D124,"sediment (saline)")))</f>
        <v>0</v>
      </c>
      <c r="T124" t="b">
        <f>AND(IF(metadata!E124="",FALSE,TRUE),EXACT(metadata!E124,"built environment"))</f>
        <v>0</v>
      </c>
      <c r="U124" t="b">
        <f>OR(AND(IF(metadata!F124="",FALSE,TRUE),EXACT(metadata!F124,"not applicable")),AND(IF(metadata!F124="",FALSE,TRUE),EXACT(metadata!F124,"anaerobic digester content")))</f>
        <v>0</v>
      </c>
    </row>
    <row r="125" spans="1:21" x14ac:dyDescent="0.2">
      <c r="A125" s="4" t="str">
        <f ca="1">IF(B125=" "," ",HYPERLINK(CONCATENATE("#metadata!",ADDRESS(INDEX($L$2:$L$1001,MATCH(ROWS($J$2:J125),$J$2:$J$1001,0),0),1)),INDEX($O$2:$O$1001,MATCH(ROWS($J$2:J125),$J$2:$J$1001,0),0)))</f>
        <v xml:space="preserve"> </v>
      </c>
      <c r="B125" s="3" t="str">
        <f ca="1">IF(OR(INDEX($K$2:$K$1001,MATCH(ROWS($J$2:J125),$J$2:$J$1001,0),1)&gt;=100000,INDEX($Q$1005:$U$1005,1,MATCH(COLUMNS($Q$1006:Q1006),$Q$1006:$U$1006,0))&gt;=100000), " ",IF(INDEX($Q$2:$U$1001,MATCH(ROWS($J$2:J125),$J$2:$J$1001,0),MATCH(COLUMNS($Q$1006:Q1006),$Q$1006:$U$1006,0)), HYPERLINK("#",""), HYPERLINK(CONCATENATE("#metadata!", ADDRESS(INDEX($L$2:$L$1001,MATCH(ROWS($J$2:J125),$J$2:$J$1001,0),0), INDEX($Q$1004:$U$1004,1,MATCH(COLUMNS($Q$1006:Q1006),$Q$1006:$U$1006,0)))),"Fix")))</f>
        <v xml:space="preserve"> </v>
      </c>
      <c r="C125" s="3" t="str">
        <f ca="1">IF(OR(INDEX($K$2:$K$1001,MATCH(ROWS($J$2:J125),$J$2:$J$1001,0),1)&gt;=100000,INDEX($Q$1005:$U$1005,1,MATCH(COLUMNS($Q$1006:R1006),$Q$1006:$U$1006,0))&gt;=100000), " ",IF(INDEX($Q$2:$U$1001,MATCH(ROWS($J$2:J125),$J$2:$J$1001,0),MATCH(COLUMNS($Q$1006:R1006),$Q$1006:$U$1006,0)), HYPERLINK("#",""), HYPERLINK(CONCATENATE("#metadata!", ADDRESS(INDEX($L$2:$L$1001,MATCH(ROWS($J$2:J125),$J$2:$J$1001,0),0), INDEX($Q$1004:$U$1004,1,MATCH(COLUMNS($Q$1006:R1006),$Q$1006:$U$1006,0)))),"Fix")))</f>
        <v xml:space="preserve"> </v>
      </c>
      <c r="D125" s="3" t="str">
        <f ca="1">IF(OR(INDEX($K$2:$K$1001,MATCH(ROWS($J$2:J125),$J$2:$J$1001,0),1)&gt;=100000,INDEX($Q$1005:$U$1005,1,MATCH(COLUMNS($Q$1006:S1006),$Q$1006:$U$1006,0))&gt;=100000), " ",IF(INDEX($Q$2:$U$1001,MATCH(ROWS($J$2:J125),$J$2:$J$1001,0),MATCH(COLUMNS($Q$1006:S1006),$Q$1006:$U$1006,0)), HYPERLINK("#",""), HYPERLINK(CONCATENATE("#metadata!", ADDRESS(INDEX($L$2:$L$1001,MATCH(ROWS($J$2:J125),$J$2:$J$1001,0),0), INDEX($Q$1004:$U$1004,1,MATCH(COLUMNS($Q$1006:S1006),$Q$1006:$U$1006,0)))),"Fix")))</f>
        <v xml:space="preserve"> </v>
      </c>
      <c r="E125" s="3" t="str">
        <f ca="1">IF(OR(INDEX($K$2:$K$1001,MATCH(ROWS($J$2:J125),$J$2:$J$1001,0),1)&gt;=100000,INDEX($Q$1005:$U$1005,1,MATCH(COLUMNS($Q$1006:T1006),$Q$1006:$U$1006,0))&gt;=100000), " ",IF(INDEX($Q$2:$U$1001,MATCH(ROWS($J$2:J125),$J$2:$J$1001,0),MATCH(COLUMNS($Q$1006:T1006),$Q$1006:$U$1006,0)), HYPERLINK("#",""), HYPERLINK(CONCATENATE("#metadata!", ADDRESS(INDEX($L$2:$L$1001,MATCH(ROWS($J$2:J125),$J$2:$J$1001,0),0), INDEX($Q$1004:$U$1004,1,MATCH(COLUMNS($Q$1006:T1006),$Q$1006:$U$1006,0)))),"Fix")))</f>
        <v xml:space="preserve"> </v>
      </c>
      <c r="F125" s="3" t="str">
        <f ca="1">IF(OR(INDEX($K$2:$K$1001,MATCH(ROWS($J$2:J125),$J$2:$J$1001,0),1)&gt;=100000,INDEX($Q$1005:$U$1005,1,MATCH(COLUMNS($Q$1006:U1006),$Q$1006:$U$1006,0))&gt;=100000), " ",IF(INDEX($Q$2:$U$1001,MATCH(ROWS($J$2:J125),$J$2:$J$1001,0),MATCH(COLUMNS($Q$1006:U1006),$Q$1006:$U$1006,0)), HYPERLINK("#",""), HYPERLINK(CONCATENATE("#metadata!", ADDRESS(INDEX($L$2:$L$1001,MATCH(ROWS($J$2:J125),$J$2:$J$1001,0),0), INDEX($Q$1004:$U$1004,1,MATCH(COLUMNS($Q$1006:U1006),$Q$1006:$U$1006,0)))),"Fix")))</f>
        <v xml:space="preserve"> </v>
      </c>
      <c r="J125">
        <v>124</v>
      </c>
      <c r="K125">
        <v>100125</v>
      </c>
      <c r="L125">
        <v>125</v>
      </c>
      <c r="M125" t="b">
        <f t="shared" si="1"/>
        <v>1</v>
      </c>
      <c r="N125" t="b">
        <f>COUNTBLANK(metadata!B125:F125)=COLUMNS(metadata!B125:F125)</f>
        <v>1</v>
      </c>
      <c r="O125" t="str">
        <v/>
      </c>
      <c r="Q125" t="b">
        <f ca="1">AND(IF(metadata!B125="",FALSE,TRUE),COUNTIF(metadata!B:B, metadata!B125) = 1,NOT(ISERROR(SUMPRODUCT(SEARCH(MID(metadata!B125,ROW(INDIRECT("1:"&amp;LEN(metadata!B125))), 1),"0123456789abcdefghijklmnopqrstuvwxyzABCDEFGHIJKLMNOPQRSTUVWXYZ.")))))</f>
        <v>0</v>
      </c>
      <c r="R125" t="b">
        <f>AND(IF(metadata!C125="",FALSE,TRUE),OR(EXACT(metadata!C125,"saline"),EXACT(metadata!C125,"non-saline")))</f>
        <v>0</v>
      </c>
      <c r="S125" t="b">
        <f>AND(IF(metadata!D125="",FALSE,TRUE),OR(EXACT(metadata!D125,"surface (non-saline)"),EXACT(metadata!D125,"aerosol (non-saline)"),EXACT(metadata!D125,"sediment (non-saline)"),EXACT(metadata!D125,"surface (saline)"),EXACT(metadata!D125,"aerosol (saline)"),EXACT(metadata!D125,"sediment (saline)")))</f>
        <v>0</v>
      </c>
      <c r="T125" t="b">
        <f>AND(IF(metadata!E125="",FALSE,TRUE),EXACT(metadata!E125,"built environment"))</f>
        <v>0</v>
      </c>
      <c r="U125" t="b">
        <f>OR(AND(IF(metadata!F125="",FALSE,TRUE),EXACT(metadata!F125,"not applicable")),AND(IF(metadata!F125="",FALSE,TRUE),EXACT(metadata!F125,"anaerobic digester content")))</f>
        <v>0</v>
      </c>
    </row>
    <row r="126" spans="1:21" x14ac:dyDescent="0.2">
      <c r="A126" s="4" t="str">
        <f ca="1">IF(B126=" "," ",HYPERLINK(CONCATENATE("#metadata!",ADDRESS(INDEX($L$2:$L$1001,MATCH(ROWS($J$2:J126),$J$2:$J$1001,0),0),1)),INDEX($O$2:$O$1001,MATCH(ROWS($J$2:J126),$J$2:$J$1001,0),0)))</f>
        <v xml:space="preserve"> </v>
      </c>
      <c r="B126" s="3" t="str">
        <f ca="1">IF(OR(INDEX($K$2:$K$1001,MATCH(ROWS($J$2:J126),$J$2:$J$1001,0),1)&gt;=100000,INDEX($Q$1005:$U$1005,1,MATCH(COLUMNS($Q$1006:Q1006),$Q$1006:$U$1006,0))&gt;=100000), " ",IF(INDEX($Q$2:$U$1001,MATCH(ROWS($J$2:J126),$J$2:$J$1001,0),MATCH(COLUMNS($Q$1006:Q1006),$Q$1006:$U$1006,0)), HYPERLINK("#",""), HYPERLINK(CONCATENATE("#metadata!", ADDRESS(INDEX($L$2:$L$1001,MATCH(ROWS($J$2:J126),$J$2:$J$1001,0),0), INDEX($Q$1004:$U$1004,1,MATCH(COLUMNS($Q$1006:Q1006),$Q$1006:$U$1006,0)))),"Fix")))</f>
        <v xml:space="preserve"> </v>
      </c>
      <c r="C126" s="3" t="str">
        <f ca="1">IF(OR(INDEX($K$2:$K$1001,MATCH(ROWS($J$2:J126),$J$2:$J$1001,0),1)&gt;=100000,INDEX($Q$1005:$U$1005,1,MATCH(COLUMNS($Q$1006:R1006),$Q$1006:$U$1006,0))&gt;=100000), " ",IF(INDEX($Q$2:$U$1001,MATCH(ROWS($J$2:J126),$J$2:$J$1001,0),MATCH(COLUMNS($Q$1006:R1006),$Q$1006:$U$1006,0)), HYPERLINK("#",""), HYPERLINK(CONCATENATE("#metadata!", ADDRESS(INDEX($L$2:$L$1001,MATCH(ROWS($J$2:J126),$J$2:$J$1001,0),0), INDEX($Q$1004:$U$1004,1,MATCH(COLUMNS($Q$1006:R1006),$Q$1006:$U$1006,0)))),"Fix")))</f>
        <v xml:space="preserve"> </v>
      </c>
      <c r="D126" s="3" t="str">
        <f ca="1">IF(OR(INDEX($K$2:$K$1001,MATCH(ROWS($J$2:J126),$J$2:$J$1001,0),1)&gt;=100000,INDEX($Q$1005:$U$1005,1,MATCH(COLUMNS($Q$1006:S1006),$Q$1006:$U$1006,0))&gt;=100000), " ",IF(INDEX($Q$2:$U$1001,MATCH(ROWS($J$2:J126),$J$2:$J$1001,0),MATCH(COLUMNS($Q$1006:S1006),$Q$1006:$U$1006,0)), HYPERLINK("#",""), HYPERLINK(CONCATENATE("#metadata!", ADDRESS(INDEX($L$2:$L$1001,MATCH(ROWS($J$2:J126),$J$2:$J$1001,0),0), INDEX($Q$1004:$U$1004,1,MATCH(COLUMNS($Q$1006:S1006),$Q$1006:$U$1006,0)))),"Fix")))</f>
        <v xml:space="preserve"> </v>
      </c>
      <c r="E126" s="3" t="str">
        <f ca="1">IF(OR(INDEX($K$2:$K$1001,MATCH(ROWS($J$2:J126),$J$2:$J$1001,0),1)&gt;=100000,INDEX($Q$1005:$U$1005,1,MATCH(COLUMNS($Q$1006:T1006),$Q$1006:$U$1006,0))&gt;=100000), " ",IF(INDEX($Q$2:$U$1001,MATCH(ROWS($J$2:J126),$J$2:$J$1001,0),MATCH(COLUMNS($Q$1006:T1006),$Q$1006:$U$1006,0)), HYPERLINK("#",""), HYPERLINK(CONCATENATE("#metadata!", ADDRESS(INDEX($L$2:$L$1001,MATCH(ROWS($J$2:J126),$J$2:$J$1001,0),0), INDEX($Q$1004:$U$1004,1,MATCH(COLUMNS($Q$1006:T1006),$Q$1006:$U$1006,0)))),"Fix")))</f>
        <v xml:space="preserve"> </v>
      </c>
      <c r="F126" s="3" t="str">
        <f ca="1">IF(OR(INDEX($K$2:$K$1001,MATCH(ROWS($J$2:J126),$J$2:$J$1001,0),1)&gt;=100000,INDEX($Q$1005:$U$1005,1,MATCH(COLUMNS($Q$1006:U1006),$Q$1006:$U$1006,0))&gt;=100000), " ",IF(INDEX($Q$2:$U$1001,MATCH(ROWS($J$2:J126),$J$2:$J$1001,0),MATCH(COLUMNS($Q$1006:U1006),$Q$1006:$U$1006,0)), HYPERLINK("#",""), HYPERLINK(CONCATENATE("#metadata!", ADDRESS(INDEX($L$2:$L$1001,MATCH(ROWS($J$2:J126),$J$2:$J$1001,0),0), INDEX($Q$1004:$U$1004,1,MATCH(COLUMNS($Q$1006:U1006),$Q$1006:$U$1006,0)))),"Fix")))</f>
        <v xml:space="preserve"> </v>
      </c>
      <c r="J126">
        <v>125</v>
      </c>
      <c r="K126">
        <v>100126</v>
      </c>
      <c r="L126">
        <v>126</v>
      </c>
      <c r="M126" t="b">
        <f t="shared" si="1"/>
        <v>1</v>
      </c>
      <c r="N126" t="b">
        <f>COUNTBLANK(metadata!B126:F126)=COLUMNS(metadata!B126:F126)</f>
        <v>1</v>
      </c>
      <c r="O126" t="str">
        <v/>
      </c>
      <c r="Q126" t="b">
        <f ca="1">AND(IF(metadata!B126="",FALSE,TRUE),COUNTIF(metadata!B:B, metadata!B126) = 1,NOT(ISERROR(SUMPRODUCT(SEARCH(MID(metadata!B126,ROW(INDIRECT("1:"&amp;LEN(metadata!B126))), 1),"0123456789abcdefghijklmnopqrstuvwxyzABCDEFGHIJKLMNOPQRSTUVWXYZ.")))))</f>
        <v>0</v>
      </c>
      <c r="R126" t="b">
        <f>AND(IF(metadata!C126="",FALSE,TRUE),OR(EXACT(metadata!C126,"saline"),EXACT(metadata!C126,"non-saline")))</f>
        <v>0</v>
      </c>
      <c r="S126" t="b">
        <f>AND(IF(metadata!D126="",FALSE,TRUE),OR(EXACT(metadata!D126,"surface (non-saline)"),EXACT(metadata!D126,"aerosol (non-saline)"),EXACT(metadata!D126,"sediment (non-saline)"),EXACT(metadata!D126,"surface (saline)"),EXACT(metadata!D126,"aerosol (saline)"),EXACT(metadata!D126,"sediment (saline)")))</f>
        <v>0</v>
      </c>
      <c r="T126" t="b">
        <f>AND(IF(metadata!E126="",FALSE,TRUE),EXACT(metadata!E126,"built environment"))</f>
        <v>0</v>
      </c>
      <c r="U126" t="b">
        <f>OR(AND(IF(metadata!F126="",FALSE,TRUE),EXACT(metadata!F126,"not applicable")),AND(IF(metadata!F126="",FALSE,TRUE),EXACT(metadata!F126,"anaerobic digester content")))</f>
        <v>0</v>
      </c>
    </row>
    <row r="127" spans="1:21" x14ac:dyDescent="0.2">
      <c r="A127" s="4" t="str">
        <f ca="1">IF(B127=" "," ",HYPERLINK(CONCATENATE("#metadata!",ADDRESS(INDEX($L$2:$L$1001,MATCH(ROWS($J$2:J127),$J$2:$J$1001,0),0),1)),INDEX($O$2:$O$1001,MATCH(ROWS($J$2:J127),$J$2:$J$1001,0),0)))</f>
        <v xml:space="preserve"> </v>
      </c>
      <c r="B127" s="3" t="str">
        <f ca="1">IF(OR(INDEX($K$2:$K$1001,MATCH(ROWS($J$2:J127),$J$2:$J$1001,0),1)&gt;=100000,INDEX($Q$1005:$U$1005,1,MATCH(COLUMNS($Q$1006:Q1006),$Q$1006:$U$1006,0))&gt;=100000), " ",IF(INDEX($Q$2:$U$1001,MATCH(ROWS($J$2:J127),$J$2:$J$1001,0),MATCH(COLUMNS($Q$1006:Q1006),$Q$1006:$U$1006,0)), HYPERLINK("#",""), HYPERLINK(CONCATENATE("#metadata!", ADDRESS(INDEX($L$2:$L$1001,MATCH(ROWS($J$2:J127),$J$2:$J$1001,0),0), INDEX($Q$1004:$U$1004,1,MATCH(COLUMNS($Q$1006:Q1006),$Q$1006:$U$1006,0)))),"Fix")))</f>
        <v xml:space="preserve"> </v>
      </c>
      <c r="C127" s="3" t="str">
        <f ca="1">IF(OR(INDEX($K$2:$K$1001,MATCH(ROWS($J$2:J127),$J$2:$J$1001,0),1)&gt;=100000,INDEX($Q$1005:$U$1005,1,MATCH(COLUMNS($Q$1006:R1006),$Q$1006:$U$1006,0))&gt;=100000), " ",IF(INDEX($Q$2:$U$1001,MATCH(ROWS($J$2:J127),$J$2:$J$1001,0),MATCH(COLUMNS($Q$1006:R1006),$Q$1006:$U$1006,0)), HYPERLINK("#",""), HYPERLINK(CONCATENATE("#metadata!", ADDRESS(INDEX($L$2:$L$1001,MATCH(ROWS($J$2:J127),$J$2:$J$1001,0),0), INDEX($Q$1004:$U$1004,1,MATCH(COLUMNS($Q$1006:R1006),$Q$1006:$U$1006,0)))),"Fix")))</f>
        <v xml:space="preserve"> </v>
      </c>
      <c r="D127" s="3" t="str">
        <f ca="1">IF(OR(INDEX($K$2:$K$1001,MATCH(ROWS($J$2:J127),$J$2:$J$1001,0),1)&gt;=100000,INDEX($Q$1005:$U$1005,1,MATCH(COLUMNS($Q$1006:S1006),$Q$1006:$U$1006,0))&gt;=100000), " ",IF(INDEX($Q$2:$U$1001,MATCH(ROWS($J$2:J127),$J$2:$J$1001,0),MATCH(COLUMNS($Q$1006:S1006),$Q$1006:$U$1006,0)), HYPERLINK("#",""), HYPERLINK(CONCATENATE("#metadata!", ADDRESS(INDEX($L$2:$L$1001,MATCH(ROWS($J$2:J127),$J$2:$J$1001,0),0), INDEX($Q$1004:$U$1004,1,MATCH(COLUMNS($Q$1006:S1006),$Q$1006:$U$1006,0)))),"Fix")))</f>
        <v xml:space="preserve"> </v>
      </c>
      <c r="E127" s="3" t="str">
        <f ca="1">IF(OR(INDEX($K$2:$K$1001,MATCH(ROWS($J$2:J127),$J$2:$J$1001,0),1)&gt;=100000,INDEX($Q$1005:$U$1005,1,MATCH(COLUMNS($Q$1006:T1006),$Q$1006:$U$1006,0))&gt;=100000), " ",IF(INDEX($Q$2:$U$1001,MATCH(ROWS($J$2:J127),$J$2:$J$1001,0),MATCH(COLUMNS($Q$1006:T1006),$Q$1006:$U$1006,0)), HYPERLINK("#",""), HYPERLINK(CONCATENATE("#metadata!", ADDRESS(INDEX($L$2:$L$1001,MATCH(ROWS($J$2:J127),$J$2:$J$1001,0),0), INDEX($Q$1004:$U$1004,1,MATCH(COLUMNS($Q$1006:T1006),$Q$1006:$U$1006,0)))),"Fix")))</f>
        <v xml:space="preserve"> </v>
      </c>
      <c r="F127" s="3" t="str">
        <f ca="1">IF(OR(INDEX($K$2:$K$1001,MATCH(ROWS($J$2:J127),$J$2:$J$1001,0),1)&gt;=100000,INDEX($Q$1005:$U$1005,1,MATCH(COLUMNS($Q$1006:U1006),$Q$1006:$U$1006,0))&gt;=100000), " ",IF(INDEX($Q$2:$U$1001,MATCH(ROWS($J$2:J127),$J$2:$J$1001,0),MATCH(COLUMNS($Q$1006:U1006),$Q$1006:$U$1006,0)), HYPERLINK("#",""), HYPERLINK(CONCATENATE("#metadata!", ADDRESS(INDEX($L$2:$L$1001,MATCH(ROWS($J$2:J127),$J$2:$J$1001,0),0), INDEX($Q$1004:$U$1004,1,MATCH(COLUMNS($Q$1006:U1006),$Q$1006:$U$1006,0)))),"Fix")))</f>
        <v xml:space="preserve"> </v>
      </c>
      <c r="J127">
        <v>126</v>
      </c>
      <c r="K127">
        <v>100127</v>
      </c>
      <c r="L127">
        <v>127</v>
      </c>
      <c r="M127" t="b">
        <f t="shared" si="1"/>
        <v>1</v>
      </c>
      <c r="N127" t="b">
        <f>COUNTBLANK(metadata!B127:F127)=COLUMNS(metadata!B127:F127)</f>
        <v>1</v>
      </c>
      <c r="O127" t="str">
        <v/>
      </c>
      <c r="Q127" t="b">
        <f ca="1">AND(IF(metadata!B127="",FALSE,TRUE),COUNTIF(metadata!B:B, metadata!B127) = 1,NOT(ISERROR(SUMPRODUCT(SEARCH(MID(metadata!B127,ROW(INDIRECT("1:"&amp;LEN(metadata!B127))), 1),"0123456789abcdefghijklmnopqrstuvwxyzABCDEFGHIJKLMNOPQRSTUVWXYZ.")))))</f>
        <v>0</v>
      </c>
      <c r="R127" t="b">
        <f>AND(IF(metadata!C127="",FALSE,TRUE),OR(EXACT(metadata!C127,"saline"),EXACT(metadata!C127,"non-saline")))</f>
        <v>0</v>
      </c>
      <c r="S127" t="b">
        <f>AND(IF(metadata!D127="",FALSE,TRUE),OR(EXACT(metadata!D127,"surface (non-saline)"),EXACT(metadata!D127,"aerosol (non-saline)"),EXACT(metadata!D127,"sediment (non-saline)"),EXACT(metadata!D127,"surface (saline)"),EXACT(metadata!D127,"aerosol (saline)"),EXACT(metadata!D127,"sediment (saline)")))</f>
        <v>0</v>
      </c>
      <c r="T127" t="b">
        <f>AND(IF(metadata!E127="",FALSE,TRUE),EXACT(metadata!E127,"built environment"))</f>
        <v>0</v>
      </c>
      <c r="U127" t="b">
        <f>OR(AND(IF(metadata!F127="",FALSE,TRUE),EXACT(metadata!F127,"not applicable")),AND(IF(metadata!F127="",FALSE,TRUE),EXACT(metadata!F127,"anaerobic digester content")))</f>
        <v>0</v>
      </c>
    </row>
    <row r="128" spans="1:21" x14ac:dyDescent="0.2">
      <c r="A128" s="4" t="str">
        <f ca="1">IF(B128=" "," ",HYPERLINK(CONCATENATE("#metadata!",ADDRESS(INDEX($L$2:$L$1001,MATCH(ROWS($J$2:J128),$J$2:$J$1001,0),0),1)),INDEX($O$2:$O$1001,MATCH(ROWS($J$2:J128),$J$2:$J$1001,0),0)))</f>
        <v xml:space="preserve"> </v>
      </c>
      <c r="B128" s="3" t="str">
        <f ca="1">IF(OR(INDEX($K$2:$K$1001,MATCH(ROWS($J$2:J128),$J$2:$J$1001,0),1)&gt;=100000,INDEX($Q$1005:$U$1005,1,MATCH(COLUMNS($Q$1006:Q1006),$Q$1006:$U$1006,0))&gt;=100000), " ",IF(INDEX($Q$2:$U$1001,MATCH(ROWS($J$2:J128),$J$2:$J$1001,0),MATCH(COLUMNS($Q$1006:Q1006),$Q$1006:$U$1006,0)), HYPERLINK("#",""), HYPERLINK(CONCATENATE("#metadata!", ADDRESS(INDEX($L$2:$L$1001,MATCH(ROWS($J$2:J128),$J$2:$J$1001,0),0), INDEX($Q$1004:$U$1004,1,MATCH(COLUMNS($Q$1006:Q1006),$Q$1006:$U$1006,0)))),"Fix")))</f>
        <v xml:space="preserve"> </v>
      </c>
      <c r="C128" s="3" t="str">
        <f ca="1">IF(OR(INDEX($K$2:$K$1001,MATCH(ROWS($J$2:J128),$J$2:$J$1001,0),1)&gt;=100000,INDEX($Q$1005:$U$1005,1,MATCH(COLUMNS($Q$1006:R1006),$Q$1006:$U$1006,0))&gt;=100000), " ",IF(INDEX($Q$2:$U$1001,MATCH(ROWS($J$2:J128),$J$2:$J$1001,0),MATCH(COLUMNS($Q$1006:R1006),$Q$1006:$U$1006,0)), HYPERLINK("#",""), HYPERLINK(CONCATENATE("#metadata!", ADDRESS(INDEX($L$2:$L$1001,MATCH(ROWS($J$2:J128),$J$2:$J$1001,0),0), INDEX($Q$1004:$U$1004,1,MATCH(COLUMNS($Q$1006:R1006),$Q$1006:$U$1006,0)))),"Fix")))</f>
        <v xml:space="preserve"> </v>
      </c>
      <c r="D128" s="3" t="str">
        <f ca="1">IF(OR(INDEX($K$2:$K$1001,MATCH(ROWS($J$2:J128),$J$2:$J$1001,0),1)&gt;=100000,INDEX($Q$1005:$U$1005,1,MATCH(COLUMNS($Q$1006:S1006),$Q$1006:$U$1006,0))&gt;=100000), " ",IF(INDEX($Q$2:$U$1001,MATCH(ROWS($J$2:J128),$J$2:$J$1001,0),MATCH(COLUMNS($Q$1006:S1006),$Q$1006:$U$1006,0)), HYPERLINK("#",""), HYPERLINK(CONCATENATE("#metadata!", ADDRESS(INDEX($L$2:$L$1001,MATCH(ROWS($J$2:J128),$J$2:$J$1001,0),0), INDEX($Q$1004:$U$1004,1,MATCH(COLUMNS($Q$1006:S1006),$Q$1006:$U$1006,0)))),"Fix")))</f>
        <v xml:space="preserve"> </v>
      </c>
      <c r="E128" s="3" t="str">
        <f ca="1">IF(OR(INDEX($K$2:$K$1001,MATCH(ROWS($J$2:J128),$J$2:$J$1001,0),1)&gt;=100000,INDEX($Q$1005:$U$1005,1,MATCH(COLUMNS($Q$1006:T1006),$Q$1006:$U$1006,0))&gt;=100000), " ",IF(INDEX($Q$2:$U$1001,MATCH(ROWS($J$2:J128),$J$2:$J$1001,0),MATCH(COLUMNS($Q$1006:T1006),$Q$1006:$U$1006,0)), HYPERLINK("#",""), HYPERLINK(CONCATENATE("#metadata!", ADDRESS(INDEX($L$2:$L$1001,MATCH(ROWS($J$2:J128),$J$2:$J$1001,0),0), INDEX($Q$1004:$U$1004,1,MATCH(COLUMNS($Q$1006:T1006),$Q$1006:$U$1006,0)))),"Fix")))</f>
        <v xml:space="preserve"> </v>
      </c>
      <c r="F128" s="3" t="str">
        <f ca="1">IF(OR(INDEX($K$2:$K$1001,MATCH(ROWS($J$2:J128),$J$2:$J$1001,0),1)&gt;=100000,INDEX($Q$1005:$U$1005,1,MATCH(COLUMNS($Q$1006:U1006),$Q$1006:$U$1006,0))&gt;=100000), " ",IF(INDEX($Q$2:$U$1001,MATCH(ROWS($J$2:J128),$J$2:$J$1001,0),MATCH(COLUMNS($Q$1006:U1006),$Q$1006:$U$1006,0)), HYPERLINK("#",""), HYPERLINK(CONCATENATE("#metadata!", ADDRESS(INDEX($L$2:$L$1001,MATCH(ROWS($J$2:J128),$J$2:$J$1001,0),0), INDEX($Q$1004:$U$1004,1,MATCH(COLUMNS($Q$1006:U1006),$Q$1006:$U$1006,0)))),"Fix")))</f>
        <v xml:space="preserve"> </v>
      </c>
      <c r="J128">
        <v>127</v>
      </c>
      <c r="K128">
        <v>100128</v>
      </c>
      <c r="L128">
        <v>128</v>
      </c>
      <c r="M128" t="b">
        <f t="shared" si="1"/>
        <v>1</v>
      </c>
      <c r="N128" t="b">
        <f>COUNTBLANK(metadata!B128:F128)=COLUMNS(metadata!B128:F128)</f>
        <v>1</v>
      </c>
      <c r="O128" t="str">
        <v/>
      </c>
      <c r="Q128" t="b">
        <f ca="1">AND(IF(metadata!B128="",FALSE,TRUE),COUNTIF(metadata!B:B, metadata!B128) = 1,NOT(ISERROR(SUMPRODUCT(SEARCH(MID(metadata!B128,ROW(INDIRECT("1:"&amp;LEN(metadata!B128))), 1),"0123456789abcdefghijklmnopqrstuvwxyzABCDEFGHIJKLMNOPQRSTUVWXYZ.")))))</f>
        <v>0</v>
      </c>
      <c r="R128" t="b">
        <f>AND(IF(metadata!C128="",FALSE,TRUE),OR(EXACT(metadata!C128,"saline"),EXACT(metadata!C128,"non-saline")))</f>
        <v>0</v>
      </c>
      <c r="S128" t="b">
        <f>AND(IF(metadata!D128="",FALSE,TRUE),OR(EXACT(metadata!D128,"surface (non-saline)"),EXACT(metadata!D128,"aerosol (non-saline)"),EXACT(metadata!D128,"sediment (non-saline)"),EXACT(metadata!D128,"surface (saline)"),EXACT(metadata!D128,"aerosol (saline)"),EXACT(metadata!D128,"sediment (saline)")))</f>
        <v>0</v>
      </c>
      <c r="T128" t="b">
        <f>AND(IF(metadata!E128="",FALSE,TRUE),EXACT(metadata!E128,"built environment"))</f>
        <v>0</v>
      </c>
      <c r="U128" t="b">
        <f>OR(AND(IF(metadata!F128="",FALSE,TRUE),EXACT(metadata!F128,"not applicable")),AND(IF(metadata!F128="",FALSE,TRUE),EXACT(metadata!F128,"anaerobic digester content")))</f>
        <v>0</v>
      </c>
    </row>
    <row r="129" spans="1:21" x14ac:dyDescent="0.2">
      <c r="A129" s="4" t="str">
        <f ca="1">IF(B129=" "," ",HYPERLINK(CONCATENATE("#metadata!",ADDRESS(INDEX($L$2:$L$1001,MATCH(ROWS($J$2:J129),$J$2:$J$1001,0),0),1)),INDEX($O$2:$O$1001,MATCH(ROWS($J$2:J129),$J$2:$J$1001,0),0)))</f>
        <v xml:space="preserve"> </v>
      </c>
      <c r="B129" s="3" t="str">
        <f ca="1">IF(OR(INDEX($K$2:$K$1001,MATCH(ROWS($J$2:J129),$J$2:$J$1001,0),1)&gt;=100000,INDEX($Q$1005:$U$1005,1,MATCH(COLUMNS($Q$1006:Q1006),$Q$1006:$U$1006,0))&gt;=100000), " ",IF(INDEX($Q$2:$U$1001,MATCH(ROWS($J$2:J129),$J$2:$J$1001,0),MATCH(COLUMNS($Q$1006:Q1006),$Q$1006:$U$1006,0)), HYPERLINK("#",""), HYPERLINK(CONCATENATE("#metadata!", ADDRESS(INDEX($L$2:$L$1001,MATCH(ROWS($J$2:J129),$J$2:$J$1001,0),0), INDEX($Q$1004:$U$1004,1,MATCH(COLUMNS($Q$1006:Q1006),$Q$1006:$U$1006,0)))),"Fix")))</f>
        <v xml:space="preserve"> </v>
      </c>
      <c r="C129" s="3" t="str">
        <f ca="1">IF(OR(INDEX($K$2:$K$1001,MATCH(ROWS($J$2:J129),$J$2:$J$1001,0),1)&gt;=100000,INDEX($Q$1005:$U$1005,1,MATCH(COLUMNS($Q$1006:R1006),$Q$1006:$U$1006,0))&gt;=100000), " ",IF(INDEX($Q$2:$U$1001,MATCH(ROWS($J$2:J129),$J$2:$J$1001,0),MATCH(COLUMNS($Q$1006:R1006),$Q$1006:$U$1006,0)), HYPERLINK("#",""), HYPERLINK(CONCATENATE("#metadata!", ADDRESS(INDEX($L$2:$L$1001,MATCH(ROWS($J$2:J129),$J$2:$J$1001,0),0), INDEX($Q$1004:$U$1004,1,MATCH(COLUMNS($Q$1006:R1006),$Q$1006:$U$1006,0)))),"Fix")))</f>
        <v xml:space="preserve"> </v>
      </c>
      <c r="D129" s="3" t="str">
        <f ca="1">IF(OR(INDEX($K$2:$K$1001,MATCH(ROWS($J$2:J129),$J$2:$J$1001,0),1)&gt;=100000,INDEX($Q$1005:$U$1005,1,MATCH(COLUMNS($Q$1006:S1006),$Q$1006:$U$1006,0))&gt;=100000), " ",IF(INDEX($Q$2:$U$1001,MATCH(ROWS($J$2:J129),$J$2:$J$1001,0),MATCH(COLUMNS($Q$1006:S1006),$Q$1006:$U$1006,0)), HYPERLINK("#",""), HYPERLINK(CONCATENATE("#metadata!", ADDRESS(INDEX($L$2:$L$1001,MATCH(ROWS($J$2:J129),$J$2:$J$1001,0),0), INDEX($Q$1004:$U$1004,1,MATCH(COLUMNS($Q$1006:S1006),$Q$1006:$U$1006,0)))),"Fix")))</f>
        <v xml:space="preserve"> </v>
      </c>
      <c r="E129" s="3" t="str">
        <f ca="1">IF(OR(INDEX($K$2:$K$1001,MATCH(ROWS($J$2:J129),$J$2:$J$1001,0),1)&gt;=100000,INDEX($Q$1005:$U$1005,1,MATCH(COLUMNS($Q$1006:T1006),$Q$1006:$U$1006,0))&gt;=100000), " ",IF(INDEX($Q$2:$U$1001,MATCH(ROWS($J$2:J129),$J$2:$J$1001,0),MATCH(COLUMNS($Q$1006:T1006),$Q$1006:$U$1006,0)), HYPERLINK("#",""), HYPERLINK(CONCATENATE("#metadata!", ADDRESS(INDEX($L$2:$L$1001,MATCH(ROWS($J$2:J129),$J$2:$J$1001,0),0), INDEX($Q$1004:$U$1004,1,MATCH(COLUMNS($Q$1006:T1006),$Q$1006:$U$1006,0)))),"Fix")))</f>
        <v xml:space="preserve"> </v>
      </c>
      <c r="F129" s="3" t="str">
        <f ca="1">IF(OR(INDEX($K$2:$K$1001,MATCH(ROWS($J$2:J129),$J$2:$J$1001,0),1)&gt;=100000,INDEX($Q$1005:$U$1005,1,MATCH(COLUMNS($Q$1006:U1006),$Q$1006:$U$1006,0))&gt;=100000), " ",IF(INDEX($Q$2:$U$1001,MATCH(ROWS($J$2:J129),$J$2:$J$1001,0),MATCH(COLUMNS($Q$1006:U1006),$Q$1006:$U$1006,0)), HYPERLINK("#",""), HYPERLINK(CONCATENATE("#metadata!", ADDRESS(INDEX($L$2:$L$1001,MATCH(ROWS($J$2:J129),$J$2:$J$1001,0),0), INDEX($Q$1004:$U$1004,1,MATCH(COLUMNS($Q$1006:U1006),$Q$1006:$U$1006,0)))),"Fix")))</f>
        <v xml:space="preserve"> </v>
      </c>
      <c r="J129">
        <v>128</v>
      </c>
      <c r="K129">
        <v>100129</v>
      </c>
      <c r="L129">
        <v>129</v>
      </c>
      <c r="M129" t="b">
        <f t="shared" si="1"/>
        <v>1</v>
      </c>
      <c r="N129" t="b">
        <f>COUNTBLANK(metadata!B129:F129)=COLUMNS(metadata!B129:F129)</f>
        <v>1</v>
      </c>
      <c r="O129" t="str">
        <v/>
      </c>
      <c r="Q129" t="b">
        <f ca="1">AND(IF(metadata!B129="",FALSE,TRUE),COUNTIF(metadata!B:B, metadata!B129) = 1,NOT(ISERROR(SUMPRODUCT(SEARCH(MID(metadata!B129,ROW(INDIRECT("1:"&amp;LEN(metadata!B129))), 1),"0123456789abcdefghijklmnopqrstuvwxyzABCDEFGHIJKLMNOPQRSTUVWXYZ.")))))</f>
        <v>0</v>
      </c>
      <c r="R129" t="b">
        <f>AND(IF(metadata!C129="",FALSE,TRUE),OR(EXACT(metadata!C129,"saline"),EXACT(metadata!C129,"non-saline")))</f>
        <v>0</v>
      </c>
      <c r="S129" t="b">
        <f>AND(IF(metadata!D129="",FALSE,TRUE),OR(EXACT(metadata!D129,"surface (non-saline)"),EXACT(metadata!D129,"aerosol (non-saline)"),EXACT(metadata!D129,"sediment (non-saline)"),EXACT(metadata!D129,"surface (saline)"),EXACT(metadata!D129,"aerosol (saline)"),EXACT(metadata!D129,"sediment (saline)")))</f>
        <v>0</v>
      </c>
      <c r="T129" t="b">
        <f>AND(IF(metadata!E129="",FALSE,TRUE),EXACT(metadata!E129,"built environment"))</f>
        <v>0</v>
      </c>
      <c r="U129" t="b">
        <f>OR(AND(IF(metadata!F129="",FALSE,TRUE),EXACT(metadata!F129,"not applicable")),AND(IF(metadata!F129="",FALSE,TRUE),EXACT(metadata!F129,"anaerobic digester content")))</f>
        <v>0</v>
      </c>
    </row>
    <row r="130" spans="1:21" x14ac:dyDescent="0.2">
      <c r="A130" s="4" t="str">
        <f ca="1">IF(B130=" "," ",HYPERLINK(CONCATENATE("#metadata!",ADDRESS(INDEX($L$2:$L$1001,MATCH(ROWS($J$2:J130),$J$2:$J$1001,0),0),1)),INDEX($O$2:$O$1001,MATCH(ROWS($J$2:J130),$J$2:$J$1001,0),0)))</f>
        <v xml:space="preserve"> </v>
      </c>
      <c r="B130" s="3" t="str">
        <f ca="1">IF(OR(INDEX($K$2:$K$1001,MATCH(ROWS($J$2:J130),$J$2:$J$1001,0),1)&gt;=100000,INDEX($Q$1005:$U$1005,1,MATCH(COLUMNS($Q$1006:Q1006),$Q$1006:$U$1006,0))&gt;=100000), " ",IF(INDEX($Q$2:$U$1001,MATCH(ROWS($J$2:J130),$J$2:$J$1001,0),MATCH(COLUMNS($Q$1006:Q1006),$Q$1006:$U$1006,0)), HYPERLINK("#",""), HYPERLINK(CONCATENATE("#metadata!", ADDRESS(INDEX($L$2:$L$1001,MATCH(ROWS($J$2:J130),$J$2:$J$1001,0),0), INDEX($Q$1004:$U$1004,1,MATCH(COLUMNS($Q$1006:Q1006),$Q$1006:$U$1006,0)))),"Fix")))</f>
        <v xml:space="preserve"> </v>
      </c>
      <c r="C130" s="3" t="str">
        <f ca="1">IF(OR(INDEX($K$2:$K$1001,MATCH(ROWS($J$2:J130),$J$2:$J$1001,0),1)&gt;=100000,INDEX($Q$1005:$U$1005,1,MATCH(COLUMNS($Q$1006:R1006),$Q$1006:$U$1006,0))&gt;=100000), " ",IF(INDEX($Q$2:$U$1001,MATCH(ROWS($J$2:J130),$J$2:$J$1001,0),MATCH(COLUMNS($Q$1006:R1006),$Q$1006:$U$1006,0)), HYPERLINK("#",""), HYPERLINK(CONCATENATE("#metadata!", ADDRESS(INDEX($L$2:$L$1001,MATCH(ROWS($J$2:J130),$J$2:$J$1001,0),0), INDEX($Q$1004:$U$1004,1,MATCH(COLUMNS($Q$1006:R1006),$Q$1006:$U$1006,0)))),"Fix")))</f>
        <v xml:space="preserve"> </v>
      </c>
      <c r="D130" s="3" t="str">
        <f ca="1">IF(OR(INDEX($K$2:$K$1001,MATCH(ROWS($J$2:J130),$J$2:$J$1001,0),1)&gt;=100000,INDEX($Q$1005:$U$1005,1,MATCH(COLUMNS($Q$1006:S1006),$Q$1006:$U$1006,0))&gt;=100000), " ",IF(INDEX($Q$2:$U$1001,MATCH(ROWS($J$2:J130),$J$2:$J$1001,0),MATCH(COLUMNS($Q$1006:S1006),$Q$1006:$U$1006,0)), HYPERLINK("#",""), HYPERLINK(CONCATENATE("#metadata!", ADDRESS(INDEX($L$2:$L$1001,MATCH(ROWS($J$2:J130),$J$2:$J$1001,0),0), INDEX($Q$1004:$U$1004,1,MATCH(COLUMNS($Q$1006:S1006),$Q$1006:$U$1006,0)))),"Fix")))</f>
        <v xml:space="preserve"> </v>
      </c>
      <c r="E130" s="3" t="str">
        <f ca="1">IF(OR(INDEX($K$2:$K$1001,MATCH(ROWS($J$2:J130),$J$2:$J$1001,0),1)&gt;=100000,INDEX($Q$1005:$U$1005,1,MATCH(COLUMNS($Q$1006:T1006),$Q$1006:$U$1006,0))&gt;=100000), " ",IF(INDEX($Q$2:$U$1001,MATCH(ROWS($J$2:J130),$J$2:$J$1001,0),MATCH(COLUMNS($Q$1006:T1006),$Q$1006:$U$1006,0)), HYPERLINK("#",""), HYPERLINK(CONCATENATE("#metadata!", ADDRESS(INDEX($L$2:$L$1001,MATCH(ROWS($J$2:J130),$J$2:$J$1001,0),0), INDEX($Q$1004:$U$1004,1,MATCH(COLUMNS($Q$1006:T1006),$Q$1006:$U$1006,0)))),"Fix")))</f>
        <v xml:space="preserve"> </v>
      </c>
      <c r="F130" s="3" t="str">
        <f ca="1">IF(OR(INDEX($K$2:$K$1001,MATCH(ROWS($J$2:J130),$J$2:$J$1001,0),1)&gt;=100000,INDEX($Q$1005:$U$1005,1,MATCH(COLUMNS($Q$1006:U1006),$Q$1006:$U$1006,0))&gt;=100000), " ",IF(INDEX($Q$2:$U$1001,MATCH(ROWS($J$2:J130),$J$2:$J$1001,0),MATCH(COLUMNS($Q$1006:U1006),$Q$1006:$U$1006,0)), HYPERLINK("#",""), HYPERLINK(CONCATENATE("#metadata!", ADDRESS(INDEX($L$2:$L$1001,MATCH(ROWS($J$2:J130),$J$2:$J$1001,0),0), INDEX($Q$1004:$U$1004,1,MATCH(COLUMNS($Q$1006:U1006),$Q$1006:$U$1006,0)))),"Fix")))</f>
        <v xml:space="preserve"> </v>
      </c>
      <c r="J130">
        <v>129</v>
      </c>
      <c r="K130">
        <v>100130</v>
      </c>
      <c r="L130">
        <v>130</v>
      </c>
      <c r="M130" t="b">
        <f t="shared" ref="M130:M193" si="2">IF(N130,TRUE,AND(Q130:U130))</f>
        <v>1</v>
      </c>
      <c r="N130" t="b">
        <f>COUNTBLANK(metadata!B130:F130)=COLUMNS(metadata!B130:F130)</f>
        <v>1</v>
      </c>
      <c r="O130" t="str">
        <v/>
      </c>
      <c r="Q130" t="b">
        <f ca="1">AND(IF(metadata!B130="",FALSE,TRUE),COUNTIF(metadata!B:B, metadata!B130) = 1,NOT(ISERROR(SUMPRODUCT(SEARCH(MID(metadata!B130,ROW(INDIRECT("1:"&amp;LEN(metadata!B130))), 1),"0123456789abcdefghijklmnopqrstuvwxyzABCDEFGHIJKLMNOPQRSTUVWXYZ.")))))</f>
        <v>0</v>
      </c>
      <c r="R130" t="b">
        <f>AND(IF(metadata!C130="",FALSE,TRUE),OR(EXACT(metadata!C130,"saline"),EXACT(metadata!C130,"non-saline")))</f>
        <v>0</v>
      </c>
      <c r="S130" t="b">
        <f>AND(IF(metadata!D130="",FALSE,TRUE),OR(EXACT(metadata!D130,"surface (non-saline)"),EXACT(metadata!D130,"aerosol (non-saline)"),EXACT(metadata!D130,"sediment (non-saline)"),EXACT(metadata!D130,"surface (saline)"),EXACT(metadata!D130,"aerosol (saline)"),EXACT(metadata!D130,"sediment (saline)")))</f>
        <v>0</v>
      </c>
      <c r="T130" t="b">
        <f>AND(IF(metadata!E130="",FALSE,TRUE),EXACT(metadata!E130,"built environment"))</f>
        <v>0</v>
      </c>
      <c r="U130" t="b">
        <f>OR(AND(IF(metadata!F130="",FALSE,TRUE),EXACT(metadata!F130,"not applicable")),AND(IF(metadata!F130="",FALSE,TRUE),EXACT(metadata!F130,"anaerobic digester content")))</f>
        <v>0</v>
      </c>
    </row>
    <row r="131" spans="1:21" x14ac:dyDescent="0.2">
      <c r="A131" s="4" t="str">
        <f ca="1">IF(B131=" "," ",HYPERLINK(CONCATENATE("#metadata!",ADDRESS(INDEX($L$2:$L$1001,MATCH(ROWS($J$2:J131),$J$2:$J$1001,0),0),1)),INDEX($O$2:$O$1001,MATCH(ROWS($J$2:J131),$J$2:$J$1001,0),0)))</f>
        <v xml:space="preserve"> </v>
      </c>
      <c r="B131" s="3" t="str">
        <f ca="1">IF(OR(INDEX($K$2:$K$1001,MATCH(ROWS($J$2:J131),$J$2:$J$1001,0),1)&gt;=100000,INDEX($Q$1005:$U$1005,1,MATCH(COLUMNS($Q$1006:Q1006),$Q$1006:$U$1006,0))&gt;=100000), " ",IF(INDEX($Q$2:$U$1001,MATCH(ROWS($J$2:J131),$J$2:$J$1001,0),MATCH(COLUMNS($Q$1006:Q1006),$Q$1006:$U$1006,0)), HYPERLINK("#",""), HYPERLINK(CONCATENATE("#metadata!", ADDRESS(INDEX($L$2:$L$1001,MATCH(ROWS($J$2:J131),$J$2:$J$1001,0),0), INDEX($Q$1004:$U$1004,1,MATCH(COLUMNS($Q$1006:Q1006),$Q$1006:$U$1006,0)))),"Fix")))</f>
        <v xml:space="preserve"> </v>
      </c>
      <c r="C131" s="3" t="str">
        <f ca="1">IF(OR(INDEX($K$2:$K$1001,MATCH(ROWS($J$2:J131),$J$2:$J$1001,0),1)&gt;=100000,INDEX($Q$1005:$U$1005,1,MATCH(COLUMNS($Q$1006:R1006),$Q$1006:$U$1006,0))&gt;=100000), " ",IF(INDEX($Q$2:$U$1001,MATCH(ROWS($J$2:J131),$J$2:$J$1001,0),MATCH(COLUMNS($Q$1006:R1006),$Q$1006:$U$1006,0)), HYPERLINK("#",""), HYPERLINK(CONCATENATE("#metadata!", ADDRESS(INDEX($L$2:$L$1001,MATCH(ROWS($J$2:J131),$J$2:$J$1001,0),0), INDEX($Q$1004:$U$1004,1,MATCH(COLUMNS($Q$1006:R1006),$Q$1006:$U$1006,0)))),"Fix")))</f>
        <v xml:space="preserve"> </v>
      </c>
      <c r="D131" s="3" t="str">
        <f ca="1">IF(OR(INDEX($K$2:$K$1001,MATCH(ROWS($J$2:J131),$J$2:$J$1001,0),1)&gt;=100000,INDEX($Q$1005:$U$1005,1,MATCH(COLUMNS($Q$1006:S1006),$Q$1006:$U$1006,0))&gt;=100000), " ",IF(INDEX($Q$2:$U$1001,MATCH(ROWS($J$2:J131),$J$2:$J$1001,0),MATCH(COLUMNS($Q$1006:S1006),$Q$1006:$U$1006,0)), HYPERLINK("#",""), HYPERLINK(CONCATENATE("#metadata!", ADDRESS(INDEX($L$2:$L$1001,MATCH(ROWS($J$2:J131),$J$2:$J$1001,0),0), INDEX($Q$1004:$U$1004,1,MATCH(COLUMNS($Q$1006:S1006),$Q$1006:$U$1006,0)))),"Fix")))</f>
        <v xml:space="preserve"> </v>
      </c>
      <c r="E131" s="3" t="str">
        <f ca="1">IF(OR(INDEX($K$2:$K$1001,MATCH(ROWS($J$2:J131),$J$2:$J$1001,0),1)&gt;=100000,INDEX($Q$1005:$U$1005,1,MATCH(COLUMNS($Q$1006:T1006),$Q$1006:$U$1006,0))&gt;=100000), " ",IF(INDEX($Q$2:$U$1001,MATCH(ROWS($J$2:J131),$J$2:$J$1001,0),MATCH(COLUMNS($Q$1006:T1006),$Q$1006:$U$1006,0)), HYPERLINK("#",""), HYPERLINK(CONCATENATE("#metadata!", ADDRESS(INDEX($L$2:$L$1001,MATCH(ROWS($J$2:J131),$J$2:$J$1001,0),0), INDEX($Q$1004:$U$1004,1,MATCH(COLUMNS($Q$1006:T1006),$Q$1006:$U$1006,0)))),"Fix")))</f>
        <v xml:space="preserve"> </v>
      </c>
      <c r="F131" s="3" t="str">
        <f ca="1">IF(OR(INDEX($K$2:$K$1001,MATCH(ROWS($J$2:J131),$J$2:$J$1001,0),1)&gt;=100000,INDEX($Q$1005:$U$1005,1,MATCH(COLUMNS($Q$1006:U1006),$Q$1006:$U$1006,0))&gt;=100000), " ",IF(INDEX($Q$2:$U$1001,MATCH(ROWS($J$2:J131),$J$2:$J$1001,0),MATCH(COLUMNS($Q$1006:U1006),$Q$1006:$U$1006,0)), HYPERLINK("#",""), HYPERLINK(CONCATENATE("#metadata!", ADDRESS(INDEX($L$2:$L$1001,MATCH(ROWS($J$2:J131),$J$2:$J$1001,0),0), INDEX($Q$1004:$U$1004,1,MATCH(COLUMNS($Q$1006:U1006),$Q$1006:$U$1006,0)))),"Fix")))</f>
        <v xml:space="preserve"> </v>
      </c>
      <c r="J131">
        <v>130</v>
      </c>
      <c r="K131">
        <v>100131</v>
      </c>
      <c r="L131">
        <v>131</v>
      </c>
      <c r="M131" t="b">
        <f t="shared" si="2"/>
        <v>1</v>
      </c>
      <c r="N131" t="b">
        <f>COUNTBLANK(metadata!B131:F131)=COLUMNS(metadata!B131:F131)</f>
        <v>1</v>
      </c>
      <c r="O131" t="str">
        <v/>
      </c>
      <c r="Q131" t="b">
        <f ca="1">AND(IF(metadata!B131="",FALSE,TRUE),COUNTIF(metadata!B:B, metadata!B131) = 1,NOT(ISERROR(SUMPRODUCT(SEARCH(MID(metadata!B131,ROW(INDIRECT("1:"&amp;LEN(metadata!B131))), 1),"0123456789abcdefghijklmnopqrstuvwxyzABCDEFGHIJKLMNOPQRSTUVWXYZ.")))))</f>
        <v>0</v>
      </c>
      <c r="R131" t="b">
        <f>AND(IF(metadata!C131="",FALSE,TRUE),OR(EXACT(metadata!C131,"saline"),EXACT(metadata!C131,"non-saline")))</f>
        <v>0</v>
      </c>
      <c r="S131" t="b">
        <f>AND(IF(metadata!D131="",FALSE,TRUE),OR(EXACT(metadata!D131,"surface (non-saline)"),EXACT(metadata!D131,"aerosol (non-saline)"),EXACT(metadata!D131,"sediment (non-saline)"),EXACT(metadata!D131,"surface (saline)"),EXACT(metadata!D131,"aerosol (saline)"),EXACT(metadata!D131,"sediment (saline)")))</f>
        <v>0</v>
      </c>
      <c r="T131" t="b">
        <f>AND(IF(metadata!E131="",FALSE,TRUE),EXACT(metadata!E131,"built environment"))</f>
        <v>0</v>
      </c>
      <c r="U131" t="b">
        <f>OR(AND(IF(metadata!F131="",FALSE,TRUE),EXACT(metadata!F131,"not applicable")),AND(IF(metadata!F131="",FALSE,TRUE),EXACT(metadata!F131,"anaerobic digester content")))</f>
        <v>0</v>
      </c>
    </row>
    <row r="132" spans="1:21" x14ac:dyDescent="0.2">
      <c r="A132" s="4" t="str">
        <f ca="1">IF(B132=" "," ",HYPERLINK(CONCATENATE("#metadata!",ADDRESS(INDEX($L$2:$L$1001,MATCH(ROWS($J$2:J132),$J$2:$J$1001,0),0),1)),INDEX($O$2:$O$1001,MATCH(ROWS($J$2:J132),$J$2:$J$1001,0),0)))</f>
        <v xml:space="preserve"> </v>
      </c>
      <c r="B132" s="3" t="str">
        <f ca="1">IF(OR(INDEX($K$2:$K$1001,MATCH(ROWS($J$2:J132),$J$2:$J$1001,0),1)&gt;=100000,INDEX($Q$1005:$U$1005,1,MATCH(COLUMNS($Q$1006:Q1006),$Q$1006:$U$1006,0))&gt;=100000), " ",IF(INDEX($Q$2:$U$1001,MATCH(ROWS($J$2:J132),$J$2:$J$1001,0),MATCH(COLUMNS($Q$1006:Q1006),$Q$1006:$U$1006,0)), HYPERLINK("#",""), HYPERLINK(CONCATENATE("#metadata!", ADDRESS(INDEX($L$2:$L$1001,MATCH(ROWS($J$2:J132),$J$2:$J$1001,0),0), INDEX($Q$1004:$U$1004,1,MATCH(COLUMNS($Q$1006:Q1006),$Q$1006:$U$1006,0)))),"Fix")))</f>
        <v xml:space="preserve"> </v>
      </c>
      <c r="C132" s="3" t="str">
        <f ca="1">IF(OR(INDEX($K$2:$K$1001,MATCH(ROWS($J$2:J132),$J$2:$J$1001,0),1)&gt;=100000,INDEX($Q$1005:$U$1005,1,MATCH(COLUMNS($Q$1006:R1006),$Q$1006:$U$1006,0))&gt;=100000), " ",IF(INDEX($Q$2:$U$1001,MATCH(ROWS($J$2:J132),$J$2:$J$1001,0),MATCH(COLUMNS($Q$1006:R1006),$Q$1006:$U$1006,0)), HYPERLINK("#",""), HYPERLINK(CONCATENATE("#metadata!", ADDRESS(INDEX($L$2:$L$1001,MATCH(ROWS($J$2:J132),$J$2:$J$1001,0),0), INDEX($Q$1004:$U$1004,1,MATCH(COLUMNS($Q$1006:R1006),$Q$1006:$U$1006,0)))),"Fix")))</f>
        <v xml:space="preserve"> </v>
      </c>
      <c r="D132" s="3" t="str">
        <f ca="1">IF(OR(INDEX($K$2:$K$1001,MATCH(ROWS($J$2:J132),$J$2:$J$1001,0),1)&gt;=100000,INDEX($Q$1005:$U$1005,1,MATCH(COLUMNS($Q$1006:S1006),$Q$1006:$U$1006,0))&gt;=100000), " ",IF(INDEX($Q$2:$U$1001,MATCH(ROWS($J$2:J132),$J$2:$J$1001,0),MATCH(COLUMNS($Q$1006:S1006),$Q$1006:$U$1006,0)), HYPERLINK("#",""), HYPERLINK(CONCATENATE("#metadata!", ADDRESS(INDEX($L$2:$L$1001,MATCH(ROWS($J$2:J132),$J$2:$J$1001,0),0), INDEX($Q$1004:$U$1004,1,MATCH(COLUMNS($Q$1006:S1006),$Q$1006:$U$1006,0)))),"Fix")))</f>
        <v xml:space="preserve"> </v>
      </c>
      <c r="E132" s="3" t="str">
        <f ca="1">IF(OR(INDEX($K$2:$K$1001,MATCH(ROWS($J$2:J132),$J$2:$J$1001,0),1)&gt;=100000,INDEX($Q$1005:$U$1005,1,MATCH(COLUMNS($Q$1006:T1006),$Q$1006:$U$1006,0))&gt;=100000), " ",IF(INDEX($Q$2:$U$1001,MATCH(ROWS($J$2:J132),$J$2:$J$1001,0),MATCH(COLUMNS($Q$1006:T1006),$Q$1006:$U$1006,0)), HYPERLINK("#",""), HYPERLINK(CONCATENATE("#metadata!", ADDRESS(INDEX($L$2:$L$1001,MATCH(ROWS($J$2:J132),$J$2:$J$1001,0),0), INDEX($Q$1004:$U$1004,1,MATCH(COLUMNS($Q$1006:T1006),$Q$1006:$U$1006,0)))),"Fix")))</f>
        <v xml:space="preserve"> </v>
      </c>
      <c r="F132" s="3" t="str">
        <f ca="1">IF(OR(INDEX($K$2:$K$1001,MATCH(ROWS($J$2:J132),$J$2:$J$1001,0),1)&gt;=100000,INDEX($Q$1005:$U$1005,1,MATCH(COLUMNS($Q$1006:U1006),$Q$1006:$U$1006,0))&gt;=100000), " ",IF(INDEX($Q$2:$U$1001,MATCH(ROWS($J$2:J132),$J$2:$J$1001,0),MATCH(COLUMNS($Q$1006:U1006),$Q$1006:$U$1006,0)), HYPERLINK("#",""), HYPERLINK(CONCATENATE("#metadata!", ADDRESS(INDEX($L$2:$L$1001,MATCH(ROWS($J$2:J132),$J$2:$J$1001,0),0), INDEX($Q$1004:$U$1004,1,MATCH(COLUMNS($Q$1006:U1006),$Q$1006:$U$1006,0)))),"Fix")))</f>
        <v xml:space="preserve"> </v>
      </c>
      <c r="J132">
        <v>131</v>
      </c>
      <c r="K132">
        <v>100132</v>
      </c>
      <c r="L132">
        <v>132</v>
      </c>
      <c r="M132" t="b">
        <f t="shared" si="2"/>
        <v>1</v>
      </c>
      <c r="N132" t="b">
        <f>COUNTBLANK(metadata!B132:F132)=COLUMNS(metadata!B132:F132)</f>
        <v>1</v>
      </c>
      <c r="O132" t="str">
        <v/>
      </c>
      <c r="Q132" t="b">
        <f ca="1">AND(IF(metadata!B132="",FALSE,TRUE),COUNTIF(metadata!B:B, metadata!B132) = 1,NOT(ISERROR(SUMPRODUCT(SEARCH(MID(metadata!B132,ROW(INDIRECT("1:"&amp;LEN(metadata!B132))), 1),"0123456789abcdefghijklmnopqrstuvwxyzABCDEFGHIJKLMNOPQRSTUVWXYZ.")))))</f>
        <v>0</v>
      </c>
      <c r="R132" t="b">
        <f>AND(IF(metadata!C132="",FALSE,TRUE),OR(EXACT(metadata!C132,"saline"),EXACT(metadata!C132,"non-saline")))</f>
        <v>0</v>
      </c>
      <c r="S132" t="b">
        <f>AND(IF(metadata!D132="",FALSE,TRUE),OR(EXACT(metadata!D132,"surface (non-saline)"),EXACT(metadata!D132,"aerosol (non-saline)"),EXACT(metadata!D132,"sediment (non-saline)"),EXACT(metadata!D132,"surface (saline)"),EXACT(metadata!D132,"aerosol (saline)"),EXACT(metadata!D132,"sediment (saline)")))</f>
        <v>0</v>
      </c>
      <c r="T132" t="b">
        <f>AND(IF(metadata!E132="",FALSE,TRUE),EXACT(metadata!E132,"built environment"))</f>
        <v>0</v>
      </c>
      <c r="U132" t="b">
        <f>OR(AND(IF(metadata!F132="",FALSE,TRUE),EXACT(metadata!F132,"not applicable")),AND(IF(metadata!F132="",FALSE,TRUE),EXACT(metadata!F132,"anaerobic digester content")))</f>
        <v>0</v>
      </c>
    </row>
    <row r="133" spans="1:21" x14ac:dyDescent="0.2">
      <c r="A133" s="4" t="str">
        <f ca="1">IF(B133=" "," ",HYPERLINK(CONCATENATE("#metadata!",ADDRESS(INDEX($L$2:$L$1001,MATCH(ROWS($J$2:J133),$J$2:$J$1001,0),0),1)),INDEX($O$2:$O$1001,MATCH(ROWS($J$2:J133),$J$2:$J$1001,0),0)))</f>
        <v xml:space="preserve"> </v>
      </c>
      <c r="B133" s="3" t="str">
        <f ca="1">IF(OR(INDEX($K$2:$K$1001,MATCH(ROWS($J$2:J133),$J$2:$J$1001,0),1)&gt;=100000,INDEX($Q$1005:$U$1005,1,MATCH(COLUMNS($Q$1006:Q1006),$Q$1006:$U$1006,0))&gt;=100000), " ",IF(INDEX($Q$2:$U$1001,MATCH(ROWS($J$2:J133),$J$2:$J$1001,0),MATCH(COLUMNS($Q$1006:Q1006),$Q$1006:$U$1006,0)), HYPERLINK("#",""), HYPERLINK(CONCATENATE("#metadata!", ADDRESS(INDEX($L$2:$L$1001,MATCH(ROWS($J$2:J133),$J$2:$J$1001,0),0), INDEX($Q$1004:$U$1004,1,MATCH(COLUMNS($Q$1006:Q1006),$Q$1006:$U$1006,0)))),"Fix")))</f>
        <v xml:space="preserve"> </v>
      </c>
      <c r="C133" s="3" t="str">
        <f ca="1">IF(OR(INDEX($K$2:$K$1001,MATCH(ROWS($J$2:J133),$J$2:$J$1001,0),1)&gt;=100000,INDEX($Q$1005:$U$1005,1,MATCH(COLUMNS($Q$1006:R1006),$Q$1006:$U$1006,0))&gt;=100000), " ",IF(INDEX($Q$2:$U$1001,MATCH(ROWS($J$2:J133),$J$2:$J$1001,0),MATCH(COLUMNS($Q$1006:R1006),$Q$1006:$U$1006,0)), HYPERLINK("#",""), HYPERLINK(CONCATENATE("#metadata!", ADDRESS(INDEX($L$2:$L$1001,MATCH(ROWS($J$2:J133),$J$2:$J$1001,0),0), INDEX($Q$1004:$U$1004,1,MATCH(COLUMNS($Q$1006:R1006),$Q$1006:$U$1006,0)))),"Fix")))</f>
        <v xml:space="preserve"> </v>
      </c>
      <c r="D133" s="3" t="str">
        <f ca="1">IF(OR(INDEX($K$2:$K$1001,MATCH(ROWS($J$2:J133),$J$2:$J$1001,0),1)&gt;=100000,INDEX($Q$1005:$U$1005,1,MATCH(COLUMNS($Q$1006:S1006),$Q$1006:$U$1006,0))&gt;=100000), " ",IF(INDEX($Q$2:$U$1001,MATCH(ROWS($J$2:J133),$J$2:$J$1001,0),MATCH(COLUMNS($Q$1006:S1006),$Q$1006:$U$1006,0)), HYPERLINK("#",""), HYPERLINK(CONCATENATE("#metadata!", ADDRESS(INDEX($L$2:$L$1001,MATCH(ROWS($J$2:J133),$J$2:$J$1001,0),0), INDEX($Q$1004:$U$1004,1,MATCH(COLUMNS($Q$1006:S1006),$Q$1006:$U$1006,0)))),"Fix")))</f>
        <v xml:space="preserve"> </v>
      </c>
      <c r="E133" s="3" t="str">
        <f ca="1">IF(OR(INDEX($K$2:$K$1001,MATCH(ROWS($J$2:J133),$J$2:$J$1001,0),1)&gt;=100000,INDEX($Q$1005:$U$1005,1,MATCH(COLUMNS($Q$1006:T1006),$Q$1006:$U$1006,0))&gt;=100000), " ",IF(INDEX($Q$2:$U$1001,MATCH(ROWS($J$2:J133),$J$2:$J$1001,0),MATCH(COLUMNS($Q$1006:T1006),$Q$1006:$U$1006,0)), HYPERLINK("#",""), HYPERLINK(CONCATENATE("#metadata!", ADDRESS(INDEX($L$2:$L$1001,MATCH(ROWS($J$2:J133),$J$2:$J$1001,0),0), INDEX($Q$1004:$U$1004,1,MATCH(COLUMNS($Q$1006:T1006),$Q$1006:$U$1006,0)))),"Fix")))</f>
        <v xml:space="preserve"> </v>
      </c>
      <c r="F133" s="3" t="str">
        <f ca="1">IF(OR(INDEX($K$2:$K$1001,MATCH(ROWS($J$2:J133),$J$2:$J$1001,0),1)&gt;=100000,INDEX($Q$1005:$U$1005,1,MATCH(COLUMNS($Q$1006:U1006),$Q$1006:$U$1006,0))&gt;=100000), " ",IF(INDEX($Q$2:$U$1001,MATCH(ROWS($J$2:J133),$J$2:$J$1001,0),MATCH(COLUMNS($Q$1006:U1006),$Q$1006:$U$1006,0)), HYPERLINK("#",""), HYPERLINK(CONCATENATE("#metadata!", ADDRESS(INDEX($L$2:$L$1001,MATCH(ROWS($J$2:J133),$J$2:$J$1001,0),0), INDEX($Q$1004:$U$1004,1,MATCH(COLUMNS($Q$1006:U1006),$Q$1006:$U$1006,0)))),"Fix")))</f>
        <v xml:space="preserve"> </v>
      </c>
      <c r="J133">
        <v>132</v>
      </c>
      <c r="K133">
        <v>100133</v>
      </c>
      <c r="L133">
        <v>133</v>
      </c>
      <c r="M133" t="b">
        <f t="shared" si="2"/>
        <v>1</v>
      </c>
      <c r="N133" t="b">
        <f>COUNTBLANK(metadata!B133:F133)=COLUMNS(metadata!B133:F133)</f>
        <v>1</v>
      </c>
      <c r="O133" t="str">
        <v/>
      </c>
      <c r="Q133" t="b">
        <f ca="1">AND(IF(metadata!B133="",FALSE,TRUE),COUNTIF(metadata!B:B, metadata!B133) = 1,NOT(ISERROR(SUMPRODUCT(SEARCH(MID(metadata!B133,ROW(INDIRECT("1:"&amp;LEN(metadata!B133))), 1),"0123456789abcdefghijklmnopqrstuvwxyzABCDEFGHIJKLMNOPQRSTUVWXYZ.")))))</f>
        <v>0</v>
      </c>
      <c r="R133" t="b">
        <f>AND(IF(metadata!C133="",FALSE,TRUE),OR(EXACT(metadata!C133,"saline"),EXACT(metadata!C133,"non-saline")))</f>
        <v>0</v>
      </c>
      <c r="S133" t="b">
        <f>AND(IF(metadata!D133="",FALSE,TRUE),OR(EXACT(metadata!D133,"surface (non-saline)"),EXACT(metadata!D133,"aerosol (non-saline)"),EXACT(metadata!D133,"sediment (non-saline)"),EXACT(metadata!D133,"surface (saline)"),EXACT(metadata!D133,"aerosol (saline)"),EXACT(metadata!D133,"sediment (saline)")))</f>
        <v>0</v>
      </c>
      <c r="T133" t="b">
        <f>AND(IF(metadata!E133="",FALSE,TRUE),EXACT(metadata!E133,"built environment"))</f>
        <v>0</v>
      </c>
      <c r="U133" t="b">
        <f>OR(AND(IF(metadata!F133="",FALSE,TRUE),EXACT(metadata!F133,"not applicable")),AND(IF(metadata!F133="",FALSE,TRUE),EXACT(metadata!F133,"anaerobic digester content")))</f>
        <v>0</v>
      </c>
    </row>
    <row r="134" spans="1:21" x14ac:dyDescent="0.2">
      <c r="A134" s="4" t="str">
        <f ca="1">IF(B134=" "," ",HYPERLINK(CONCATENATE("#metadata!",ADDRESS(INDEX($L$2:$L$1001,MATCH(ROWS($J$2:J134),$J$2:$J$1001,0),0),1)),INDEX($O$2:$O$1001,MATCH(ROWS($J$2:J134),$J$2:$J$1001,0),0)))</f>
        <v xml:space="preserve"> </v>
      </c>
      <c r="B134" s="3" t="str">
        <f ca="1">IF(OR(INDEX($K$2:$K$1001,MATCH(ROWS($J$2:J134),$J$2:$J$1001,0),1)&gt;=100000,INDEX($Q$1005:$U$1005,1,MATCH(COLUMNS($Q$1006:Q1006),$Q$1006:$U$1006,0))&gt;=100000), " ",IF(INDEX($Q$2:$U$1001,MATCH(ROWS($J$2:J134),$J$2:$J$1001,0),MATCH(COLUMNS($Q$1006:Q1006),$Q$1006:$U$1006,0)), HYPERLINK("#",""), HYPERLINK(CONCATENATE("#metadata!", ADDRESS(INDEX($L$2:$L$1001,MATCH(ROWS($J$2:J134),$J$2:$J$1001,0),0), INDEX($Q$1004:$U$1004,1,MATCH(COLUMNS($Q$1006:Q1006),$Q$1006:$U$1006,0)))),"Fix")))</f>
        <v xml:space="preserve"> </v>
      </c>
      <c r="C134" s="3" t="str">
        <f ca="1">IF(OR(INDEX($K$2:$K$1001,MATCH(ROWS($J$2:J134),$J$2:$J$1001,0),1)&gt;=100000,INDEX($Q$1005:$U$1005,1,MATCH(COLUMNS($Q$1006:R1006),$Q$1006:$U$1006,0))&gt;=100000), " ",IF(INDEX($Q$2:$U$1001,MATCH(ROWS($J$2:J134),$J$2:$J$1001,0),MATCH(COLUMNS($Q$1006:R1006),$Q$1006:$U$1006,0)), HYPERLINK("#",""), HYPERLINK(CONCATENATE("#metadata!", ADDRESS(INDEX($L$2:$L$1001,MATCH(ROWS($J$2:J134),$J$2:$J$1001,0),0), INDEX($Q$1004:$U$1004,1,MATCH(COLUMNS($Q$1006:R1006),$Q$1006:$U$1006,0)))),"Fix")))</f>
        <v xml:space="preserve"> </v>
      </c>
      <c r="D134" s="3" t="str">
        <f ca="1">IF(OR(INDEX($K$2:$K$1001,MATCH(ROWS($J$2:J134),$J$2:$J$1001,0),1)&gt;=100000,INDEX($Q$1005:$U$1005,1,MATCH(COLUMNS($Q$1006:S1006),$Q$1006:$U$1006,0))&gt;=100000), " ",IF(INDEX($Q$2:$U$1001,MATCH(ROWS($J$2:J134),$J$2:$J$1001,0),MATCH(COLUMNS($Q$1006:S1006),$Q$1006:$U$1006,0)), HYPERLINK("#",""), HYPERLINK(CONCATENATE("#metadata!", ADDRESS(INDEX($L$2:$L$1001,MATCH(ROWS($J$2:J134),$J$2:$J$1001,0),0), INDEX($Q$1004:$U$1004,1,MATCH(COLUMNS($Q$1006:S1006),$Q$1006:$U$1006,0)))),"Fix")))</f>
        <v xml:space="preserve"> </v>
      </c>
      <c r="E134" s="3" t="str">
        <f ca="1">IF(OR(INDEX($K$2:$K$1001,MATCH(ROWS($J$2:J134),$J$2:$J$1001,0),1)&gt;=100000,INDEX($Q$1005:$U$1005,1,MATCH(COLUMNS($Q$1006:T1006),$Q$1006:$U$1006,0))&gt;=100000), " ",IF(INDEX($Q$2:$U$1001,MATCH(ROWS($J$2:J134),$J$2:$J$1001,0),MATCH(COLUMNS($Q$1006:T1006),$Q$1006:$U$1006,0)), HYPERLINK("#",""), HYPERLINK(CONCATENATE("#metadata!", ADDRESS(INDEX($L$2:$L$1001,MATCH(ROWS($J$2:J134),$J$2:$J$1001,0),0), INDEX($Q$1004:$U$1004,1,MATCH(COLUMNS($Q$1006:T1006),$Q$1006:$U$1006,0)))),"Fix")))</f>
        <v xml:space="preserve"> </v>
      </c>
      <c r="F134" s="3" t="str">
        <f ca="1">IF(OR(INDEX($K$2:$K$1001,MATCH(ROWS($J$2:J134),$J$2:$J$1001,0),1)&gt;=100000,INDEX($Q$1005:$U$1005,1,MATCH(COLUMNS($Q$1006:U1006),$Q$1006:$U$1006,0))&gt;=100000), " ",IF(INDEX($Q$2:$U$1001,MATCH(ROWS($J$2:J134),$J$2:$J$1001,0),MATCH(COLUMNS($Q$1006:U1006),$Q$1006:$U$1006,0)), HYPERLINK("#",""), HYPERLINK(CONCATENATE("#metadata!", ADDRESS(INDEX($L$2:$L$1001,MATCH(ROWS($J$2:J134),$J$2:$J$1001,0),0), INDEX($Q$1004:$U$1004,1,MATCH(COLUMNS($Q$1006:U1006),$Q$1006:$U$1006,0)))),"Fix")))</f>
        <v xml:space="preserve"> </v>
      </c>
      <c r="J134">
        <v>133</v>
      </c>
      <c r="K134">
        <v>100134</v>
      </c>
      <c r="L134">
        <v>134</v>
      </c>
      <c r="M134" t="b">
        <f t="shared" si="2"/>
        <v>1</v>
      </c>
      <c r="N134" t="b">
        <f>COUNTBLANK(metadata!B134:F134)=COLUMNS(metadata!B134:F134)</f>
        <v>1</v>
      </c>
      <c r="O134" t="str">
        <v/>
      </c>
      <c r="Q134" t="b">
        <f ca="1">AND(IF(metadata!B134="",FALSE,TRUE),COUNTIF(metadata!B:B, metadata!B134) = 1,NOT(ISERROR(SUMPRODUCT(SEARCH(MID(metadata!B134,ROW(INDIRECT("1:"&amp;LEN(metadata!B134))), 1),"0123456789abcdefghijklmnopqrstuvwxyzABCDEFGHIJKLMNOPQRSTUVWXYZ.")))))</f>
        <v>0</v>
      </c>
      <c r="R134" t="b">
        <f>AND(IF(metadata!C134="",FALSE,TRUE),OR(EXACT(metadata!C134,"saline"),EXACT(metadata!C134,"non-saline")))</f>
        <v>0</v>
      </c>
      <c r="S134" t="b">
        <f>AND(IF(metadata!D134="",FALSE,TRUE),OR(EXACT(metadata!D134,"surface (non-saline)"),EXACT(metadata!D134,"aerosol (non-saline)"),EXACT(metadata!D134,"sediment (non-saline)"),EXACT(metadata!D134,"surface (saline)"),EXACT(metadata!D134,"aerosol (saline)"),EXACT(metadata!D134,"sediment (saline)")))</f>
        <v>0</v>
      </c>
      <c r="T134" t="b">
        <f>AND(IF(metadata!E134="",FALSE,TRUE),EXACT(metadata!E134,"built environment"))</f>
        <v>0</v>
      </c>
      <c r="U134" t="b">
        <f>OR(AND(IF(metadata!F134="",FALSE,TRUE),EXACT(metadata!F134,"not applicable")),AND(IF(metadata!F134="",FALSE,TRUE),EXACT(metadata!F134,"anaerobic digester content")))</f>
        <v>0</v>
      </c>
    </row>
    <row r="135" spans="1:21" x14ac:dyDescent="0.2">
      <c r="A135" s="4" t="str">
        <f ca="1">IF(B135=" "," ",HYPERLINK(CONCATENATE("#metadata!",ADDRESS(INDEX($L$2:$L$1001,MATCH(ROWS($J$2:J135),$J$2:$J$1001,0),0),1)),INDEX($O$2:$O$1001,MATCH(ROWS($J$2:J135),$J$2:$J$1001,0),0)))</f>
        <v xml:space="preserve"> </v>
      </c>
      <c r="B135" s="3" t="str">
        <f ca="1">IF(OR(INDEX($K$2:$K$1001,MATCH(ROWS($J$2:J135),$J$2:$J$1001,0),1)&gt;=100000,INDEX($Q$1005:$U$1005,1,MATCH(COLUMNS($Q$1006:Q1006),$Q$1006:$U$1006,0))&gt;=100000), " ",IF(INDEX($Q$2:$U$1001,MATCH(ROWS($J$2:J135),$J$2:$J$1001,0),MATCH(COLUMNS($Q$1006:Q1006),$Q$1006:$U$1006,0)), HYPERLINK("#",""), HYPERLINK(CONCATENATE("#metadata!", ADDRESS(INDEX($L$2:$L$1001,MATCH(ROWS($J$2:J135),$J$2:$J$1001,0),0), INDEX($Q$1004:$U$1004,1,MATCH(COLUMNS($Q$1006:Q1006),$Q$1006:$U$1006,0)))),"Fix")))</f>
        <v xml:space="preserve"> </v>
      </c>
      <c r="C135" s="3" t="str">
        <f ca="1">IF(OR(INDEX($K$2:$K$1001,MATCH(ROWS($J$2:J135),$J$2:$J$1001,0),1)&gt;=100000,INDEX($Q$1005:$U$1005,1,MATCH(COLUMNS($Q$1006:R1006),$Q$1006:$U$1006,0))&gt;=100000), " ",IF(INDEX($Q$2:$U$1001,MATCH(ROWS($J$2:J135),$J$2:$J$1001,0),MATCH(COLUMNS($Q$1006:R1006),$Q$1006:$U$1006,0)), HYPERLINK("#",""), HYPERLINK(CONCATENATE("#metadata!", ADDRESS(INDEX($L$2:$L$1001,MATCH(ROWS($J$2:J135),$J$2:$J$1001,0),0), INDEX($Q$1004:$U$1004,1,MATCH(COLUMNS($Q$1006:R1006),$Q$1006:$U$1006,0)))),"Fix")))</f>
        <v xml:space="preserve"> </v>
      </c>
      <c r="D135" s="3" t="str">
        <f ca="1">IF(OR(INDEX($K$2:$K$1001,MATCH(ROWS($J$2:J135),$J$2:$J$1001,0),1)&gt;=100000,INDEX($Q$1005:$U$1005,1,MATCH(COLUMNS($Q$1006:S1006),$Q$1006:$U$1006,0))&gt;=100000), " ",IF(INDEX($Q$2:$U$1001,MATCH(ROWS($J$2:J135),$J$2:$J$1001,0),MATCH(COLUMNS($Q$1006:S1006),$Q$1006:$U$1006,0)), HYPERLINK("#",""), HYPERLINK(CONCATENATE("#metadata!", ADDRESS(INDEX($L$2:$L$1001,MATCH(ROWS($J$2:J135),$J$2:$J$1001,0),0), INDEX($Q$1004:$U$1004,1,MATCH(COLUMNS($Q$1006:S1006),$Q$1006:$U$1006,0)))),"Fix")))</f>
        <v xml:space="preserve"> </v>
      </c>
      <c r="E135" s="3" t="str">
        <f ca="1">IF(OR(INDEX($K$2:$K$1001,MATCH(ROWS($J$2:J135),$J$2:$J$1001,0),1)&gt;=100000,INDEX($Q$1005:$U$1005,1,MATCH(COLUMNS($Q$1006:T1006),$Q$1006:$U$1006,0))&gt;=100000), " ",IF(INDEX($Q$2:$U$1001,MATCH(ROWS($J$2:J135),$J$2:$J$1001,0),MATCH(COLUMNS($Q$1006:T1006),$Q$1006:$U$1006,0)), HYPERLINK("#",""), HYPERLINK(CONCATENATE("#metadata!", ADDRESS(INDEX($L$2:$L$1001,MATCH(ROWS($J$2:J135),$J$2:$J$1001,0),0), INDEX($Q$1004:$U$1004,1,MATCH(COLUMNS($Q$1006:T1006),$Q$1006:$U$1006,0)))),"Fix")))</f>
        <v xml:space="preserve"> </v>
      </c>
      <c r="F135" s="3" t="str">
        <f ca="1">IF(OR(INDEX($K$2:$K$1001,MATCH(ROWS($J$2:J135),$J$2:$J$1001,0),1)&gt;=100000,INDEX($Q$1005:$U$1005,1,MATCH(COLUMNS($Q$1006:U1006),$Q$1006:$U$1006,0))&gt;=100000), " ",IF(INDEX($Q$2:$U$1001,MATCH(ROWS($J$2:J135),$J$2:$J$1001,0),MATCH(COLUMNS($Q$1006:U1006),$Q$1006:$U$1006,0)), HYPERLINK("#",""), HYPERLINK(CONCATENATE("#metadata!", ADDRESS(INDEX($L$2:$L$1001,MATCH(ROWS($J$2:J135),$J$2:$J$1001,0),0), INDEX($Q$1004:$U$1004,1,MATCH(COLUMNS($Q$1006:U1006),$Q$1006:$U$1006,0)))),"Fix")))</f>
        <v xml:space="preserve"> </v>
      </c>
      <c r="J135">
        <v>134</v>
      </c>
      <c r="K135">
        <v>100135</v>
      </c>
      <c r="L135">
        <v>135</v>
      </c>
      <c r="M135" t="b">
        <f t="shared" si="2"/>
        <v>1</v>
      </c>
      <c r="N135" t="b">
        <f>COUNTBLANK(metadata!B135:F135)=COLUMNS(metadata!B135:F135)</f>
        <v>1</v>
      </c>
      <c r="O135" t="str">
        <v/>
      </c>
      <c r="Q135" t="b">
        <f ca="1">AND(IF(metadata!B135="",FALSE,TRUE),COUNTIF(metadata!B:B, metadata!B135) = 1,NOT(ISERROR(SUMPRODUCT(SEARCH(MID(metadata!B135,ROW(INDIRECT("1:"&amp;LEN(metadata!B135))), 1),"0123456789abcdefghijklmnopqrstuvwxyzABCDEFGHIJKLMNOPQRSTUVWXYZ.")))))</f>
        <v>0</v>
      </c>
      <c r="R135" t="b">
        <f>AND(IF(metadata!C135="",FALSE,TRUE),OR(EXACT(metadata!C135,"saline"),EXACT(metadata!C135,"non-saline")))</f>
        <v>0</v>
      </c>
      <c r="S135" t="b">
        <f>AND(IF(metadata!D135="",FALSE,TRUE),OR(EXACT(metadata!D135,"surface (non-saline)"),EXACT(metadata!D135,"aerosol (non-saline)"),EXACT(metadata!D135,"sediment (non-saline)"),EXACT(metadata!D135,"surface (saline)"),EXACT(metadata!D135,"aerosol (saline)"),EXACT(metadata!D135,"sediment (saline)")))</f>
        <v>0</v>
      </c>
      <c r="T135" t="b">
        <f>AND(IF(metadata!E135="",FALSE,TRUE),EXACT(metadata!E135,"built environment"))</f>
        <v>0</v>
      </c>
      <c r="U135" t="b">
        <f>OR(AND(IF(metadata!F135="",FALSE,TRUE),EXACT(metadata!F135,"not applicable")),AND(IF(metadata!F135="",FALSE,TRUE),EXACT(metadata!F135,"anaerobic digester content")))</f>
        <v>0</v>
      </c>
    </row>
    <row r="136" spans="1:21" x14ac:dyDescent="0.2">
      <c r="A136" s="4" t="str">
        <f ca="1">IF(B136=" "," ",HYPERLINK(CONCATENATE("#metadata!",ADDRESS(INDEX($L$2:$L$1001,MATCH(ROWS($J$2:J136),$J$2:$J$1001,0),0),1)),INDEX($O$2:$O$1001,MATCH(ROWS($J$2:J136),$J$2:$J$1001,0),0)))</f>
        <v xml:space="preserve"> </v>
      </c>
      <c r="B136" s="3" t="str">
        <f ca="1">IF(OR(INDEX($K$2:$K$1001,MATCH(ROWS($J$2:J136),$J$2:$J$1001,0),1)&gt;=100000,INDEX($Q$1005:$U$1005,1,MATCH(COLUMNS($Q$1006:Q1006),$Q$1006:$U$1006,0))&gt;=100000), " ",IF(INDEX($Q$2:$U$1001,MATCH(ROWS($J$2:J136),$J$2:$J$1001,0),MATCH(COLUMNS($Q$1006:Q1006),$Q$1006:$U$1006,0)), HYPERLINK("#",""), HYPERLINK(CONCATENATE("#metadata!", ADDRESS(INDEX($L$2:$L$1001,MATCH(ROWS($J$2:J136),$J$2:$J$1001,0),0), INDEX($Q$1004:$U$1004,1,MATCH(COLUMNS($Q$1006:Q1006),$Q$1006:$U$1006,0)))),"Fix")))</f>
        <v xml:space="preserve"> </v>
      </c>
      <c r="C136" s="3" t="str">
        <f ca="1">IF(OR(INDEX($K$2:$K$1001,MATCH(ROWS($J$2:J136),$J$2:$J$1001,0),1)&gt;=100000,INDEX($Q$1005:$U$1005,1,MATCH(COLUMNS($Q$1006:R1006),$Q$1006:$U$1006,0))&gt;=100000), " ",IF(INDEX($Q$2:$U$1001,MATCH(ROWS($J$2:J136),$J$2:$J$1001,0),MATCH(COLUMNS($Q$1006:R1006),$Q$1006:$U$1006,0)), HYPERLINK("#",""), HYPERLINK(CONCATENATE("#metadata!", ADDRESS(INDEX($L$2:$L$1001,MATCH(ROWS($J$2:J136),$J$2:$J$1001,0),0), INDEX($Q$1004:$U$1004,1,MATCH(COLUMNS($Q$1006:R1006),$Q$1006:$U$1006,0)))),"Fix")))</f>
        <v xml:space="preserve"> </v>
      </c>
      <c r="D136" s="3" t="str">
        <f ca="1">IF(OR(INDEX($K$2:$K$1001,MATCH(ROWS($J$2:J136),$J$2:$J$1001,0),1)&gt;=100000,INDEX($Q$1005:$U$1005,1,MATCH(COLUMNS($Q$1006:S1006),$Q$1006:$U$1006,0))&gt;=100000), " ",IF(INDEX($Q$2:$U$1001,MATCH(ROWS($J$2:J136),$J$2:$J$1001,0),MATCH(COLUMNS($Q$1006:S1006),$Q$1006:$U$1006,0)), HYPERLINK("#",""), HYPERLINK(CONCATENATE("#metadata!", ADDRESS(INDEX($L$2:$L$1001,MATCH(ROWS($J$2:J136),$J$2:$J$1001,0),0), INDEX($Q$1004:$U$1004,1,MATCH(COLUMNS($Q$1006:S1006),$Q$1006:$U$1006,0)))),"Fix")))</f>
        <v xml:space="preserve"> </v>
      </c>
      <c r="E136" s="3" t="str">
        <f ca="1">IF(OR(INDEX($K$2:$K$1001,MATCH(ROWS($J$2:J136),$J$2:$J$1001,0),1)&gt;=100000,INDEX($Q$1005:$U$1005,1,MATCH(COLUMNS($Q$1006:T1006),$Q$1006:$U$1006,0))&gt;=100000), " ",IF(INDEX($Q$2:$U$1001,MATCH(ROWS($J$2:J136),$J$2:$J$1001,0),MATCH(COLUMNS($Q$1006:T1006),$Q$1006:$U$1006,0)), HYPERLINK("#",""), HYPERLINK(CONCATENATE("#metadata!", ADDRESS(INDEX($L$2:$L$1001,MATCH(ROWS($J$2:J136),$J$2:$J$1001,0),0), INDEX($Q$1004:$U$1004,1,MATCH(COLUMNS($Q$1006:T1006),$Q$1006:$U$1006,0)))),"Fix")))</f>
        <v xml:space="preserve"> </v>
      </c>
      <c r="F136" s="3" t="str">
        <f ca="1">IF(OR(INDEX($K$2:$K$1001,MATCH(ROWS($J$2:J136),$J$2:$J$1001,0),1)&gt;=100000,INDEX($Q$1005:$U$1005,1,MATCH(COLUMNS($Q$1006:U1006),$Q$1006:$U$1006,0))&gt;=100000), " ",IF(INDEX($Q$2:$U$1001,MATCH(ROWS($J$2:J136),$J$2:$J$1001,0),MATCH(COLUMNS($Q$1006:U1006),$Q$1006:$U$1006,0)), HYPERLINK("#",""), HYPERLINK(CONCATENATE("#metadata!", ADDRESS(INDEX($L$2:$L$1001,MATCH(ROWS($J$2:J136),$J$2:$J$1001,0),0), INDEX($Q$1004:$U$1004,1,MATCH(COLUMNS($Q$1006:U1006),$Q$1006:$U$1006,0)))),"Fix")))</f>
        <v xml:space="preserve"> </v>
      </c>
      <c r="J136">
        <v>135</v>
      </c>
      <c r="K136">
        <v>100136</v>
      </c>
      <c r="L136">
        <v>136</v>
      </c>
      <c r="M136" t="b">
        <f t="shared" si="2"/>
        <v>1</v>
      </c>
      <c r="N136" t="b">
        <f>COUNTBLANK(metadata!B136:F136)=COLUMNS(metadata!B136:F136)</f>
        <v>1</v>
      </c>
      <c r="O136" t="str">
        <v/>
      </c>
      <c r="Q136" t="b">
        <f ca="1">AND(IF(metadata!B136="",FALSE,TRUE),COUNTIF(metadata!B:B, metadata!B136) = 1,NOT(ISERROR(SUMPRODUCT(SEARCH(MID(metadata!B136,ROW(INDIRECT("1:"&amp;LEN(metadata!B136))), 1),"0123456789abcdefghijklmnopqrstuvwxyzABCDEFGHIJKLMNOPQRSTUVWXYZ.")))))</f>
        <v>0</v>
      </c>
      <c r="R136" t="b">
        <f>AND(IF(metadata!C136="",FALSE,TRUE),OR(EXACT(metadata!C136,"saline"),EXACT(metadata!C136,"non-saline")))</f>
        <v>0</v>
      </c>
      <c r="S136" t="b">
        <f>AND(IF(metadata!D136="",FALSE,TRUE),OR(EXACT(metadata!D136,"surface (non-saline)"),EXACT(metadata!D136,"aerosol (non-saline)"),EXACT(metadata!D136,"sediment (non-saline)"),EXACT(metadata!D136,"surface (saline)"),EXACT(metadata!D136,"aerosol (saline)"),EXACT(metadata!D136,"sediment (saline)")))</f>
        <v>0</v>
      </c>
      <c r="T136" t="b">
        <f>AND(IF(metadata!E136="",FALSE,TRUE),EXACT(metadata!E136,"built environment"))</f>
        <v>0</v>
      </c>
      <c r="U136" t="b">
        <f>OR(AND(IF(metadata!F136="",FALSE,TRUE),EXACT(metadata!F136,"not applicable")),AND(IF(metadata!F136="",FALSE,TRUE),EXACT(metadata!F136,"anaerobic digester content")))</f>
        <v>0</v>
      </c>
    </row>
    <row r="137" spans="1:21" x14ac:dyDescent="0.2">
      <c r="A137" s="4" t="str">
        <f ca="1">IF(B137=" "," ",HYPERLINK(CONCATENATE("#metadata!",ADDRESS(INDEX($L$2:$L$1001,MATCH(ROWS($J$2:J137),$J$2:$J$1001,0),0),1)),INDEX($O$2:$O$1001,MATCH(ROWS($J$2:J137),$J$2:$J$1001,0),0)))</f>
        <v xml:space="preserve"> </v>
      </c>
      <c r="B137" s="3" t="str">
        <f ca="1">IF(OR(INDEX($K$2:$K$1001,MATCH(ROWS($J$2:J137),$J$2:$J$1001,0),1)&gt;=100000,INDEX($Q$1005:$U$1005,1,MATCH(COLUMNS($Q$1006:Q1006),$Q$1006:$U$1006,0))&gt;=100000), " ",IF(INDEX($Q$2:$U$1001,MATCH(ROWS($J$2:J137),$J$2:$J$1001,0),MATCH(COLUMNS($Q$1006:Q1006),$Q$1006:$U$1006,0)), HYPERLINK("#",""), HYPERLINK(CONCATENATE("#metadata!", ADDRESS(INDEX($L$2:$L$1001,MATCH(ROWS($J$2:J137),$J$2:$J$1001,0),0), INDEX($Q$1004:$U$1004,1,MATCH(COLUMNS($Q$1006:Q1006),$Q$1006:$U$1006,0)))),"Fix")))</f>
        <v xml:space="preserve"> </v>
      </c>
      <c r="C137" s="3" t="str">
        <f ca="1">IF(OR(INDEX($K$2:$K$1001,MATCH(ROWS($J$2:J137),$J$2:$J$1001,0),1)&gt;=100000,INDEX($Q$1005:$U$1005,1,MATCH(COLUMNS($Q$1006:R1006),$Q$1006:$U$1006,0))&gt;=100000), " ",IF(INDEX($Q$2:$U$1001,MATCH(ROWS($J$2:J137),$J$2:$J$1001,0),MATCH(COLUMNS($Q$1006:R1006),$Q$1006:$U$1006,0)), HYPERLINK("#",""), HYPERLINK(CONCATENATE("#metadata!", ADDRESS(INDEX($L$2:$L$1001,MATCH(ROWS($J$2:J137),$J$2:$J$1001,0),0), INDEX($Q$1004:$U$1004,1,MATCH(COLUMNS($Q$1006:R1006),$Q$1006:$U$1006,0)))),"Fix")))</f>
        <v xml:space="preserve"> </v>
      </c>
      <c r="D137" s="3" t="str">
        <f ca="1">IF(OR(INDEX($K$2:$K$1001,MATCH(ROWS($J$2:J137),$J$2:$J$1001,0),1)&gt;=100000,INDEX($Q$1005:$U$1005,1,MATCH(COLUMNS($Q$1006:S1006),$Q$1006:$U$1006,0))&gt;=100000), " ",IF(INDEX($Q$2:$U$1001,MATCH(ROWS($J$2:J137),$J$2:$J$1001,0),MATCH(COLUMNS($Q$1006:S1006),$Q$1006:$U$1006,0)), HYPERLINK("#",""), HYPERLINK(CONCATENATE("#metadata!", ADDRESS(INDEX($L$2:$L$1001,MATCH(ROWS($J$2:J137),$J$2:$J$1001,0),0), INDEX($Q$1004:$U$1004,1,MATCH(COLUMNS($Q$1006:S1006),$Q$1006:$U$1006,0)))),"Fix")))</f>
        <v xml:space="preserve"> </v>
      </c>
      <c r="E137" s="3" t="str">
        <f ca="1">IF(OR(INDEX($K$2:$K$1001,MATCH(ROWS($J$2:J137),$J$2:$J$1001,0),1)&gt;=100000,INDEX($Q$1005:$U$1005,1,MATCH(COLUMNS($Q$1006:T1006),$Q$1006:$U$1006,0))&gt;=100000), " ",IF(INDEX($Q$2:$U$1001,MATCH(ROWS($J$2:J137),$J$2:$J$1001,0),MATCH(COLUMNS($Q$1006:T1006),$Q$1006:$U$1006,0)), HYPERLINK("#",""), HYPERLINK(CONCATENATE("#metadata!", ADDRESS(INDEX($L$2:$L$1001,MATCH(ROWS($J$2:J137),$J$2:$J$1001,0),0), INDEX($Q$1004:$U$1004,1,MATCH(COLUMNS($Q$1006:T1006),$Q$1006:$U$1006,0)))),"Fix")))</f>
        <v xml:space="preserve"> </v>
      </c>
      <c r="F137" s="3" t="str">
        <f ca="1">IF(OR(INDEX($K$2:$K$1001,MATCH(ROWS($J$2:J137),$J$2:$J$1001,0),1)&gt;=100000,INDEX($Q$1005:$U$1005,1,MATCH(COLUMNS($Q$1006:U1006),$Q$1006:$U$1006,0))&gt;=100000), " ",IF(INDEX($Q$2:$U$1001,MATCH(ROWS($J$2:J137),$J$2:$J$1001,0),MATCH(COLUMNS($Q$1006:U1006),$Q$1006:$U$1006,0)), HYPERLINK("#",""), HYPERLINK(CONCATENATE("#metadata!", ADDRESS(INDEX($L$2:$L$1001,MATCH(ROWS($J$2:J137),$J$2:$J$1001,0),0), INDEX($Q$1004:$U$1004,1,MATCH(COLUMNS($Q$1006:U1006),$Q$1006:$U$1006,0)))),"Fix")))</f>
        <v xml:space="preserve"> </v>
      </c>
      <c r="J137">
        <v>136</v>
      </c>
      <c r="K137">
        <v>100137</v>
      </c>
      <c r="L137">
        <v>137</v>
      </c>
      <c r="M137" t="b">
        <f t="shared" si="2"/>
        <v>1</v>
      </c>
      <c r="N137" t="b">
        <f>COUNTBLANK(metadata!B137:F137)=COLUMNS(metadata!B137:F137)</f>
        <v>1</v>
      </c>
      <c r="O137" t="str">
        <v/>
      </c>
      <c r="Q137" t="b">
        <f ca="1">AND(IF(metadata!B137="",FALSE,TRUE),COUNTIF(metadata!B:B, metadata!B137) = 1,NOT(ISERROR(SUMPRODUCT(SEARCH(MID(metadata!B137,ROW(INDIRECT("1:"&amp;LEN(metadata!B137))), 1),"0123456789abcdefghijklmnopqrstuvwxyzABCDEFGHIJKLMNOPQRSTUVWXYZ.")))))</f>
        <v>0</v>
      </c>
      <c r="R137" t="b">
        <f>AND(IF(metadata!C137="",FALSE,TRUE),OR(EXACT(metadata!C137,"saline"),EXACT(metadata!C137,"non-saline")))</f>
        <v>0</v>
      </c>
      <c r="S137" t="b">
        <f>AND(IF(metadata!D137="",FALSE,TRUE),OR(EXACT(metadata!D137,"surface (non-saline)"),EXACT(metadata!D137,"aerosol (non-saline)"),EXACT(metadata!D137,"sediment (non-saline)"),EXACT(metadata!D137,"surface (saline)"),EXACT(metadata!D137,"aerosol (saline)"),EXACT(metadata!D137,"sediment (saline)")))</f>
        <v>0</v>
      </c>
      <c r="T137" t="b">
        <f>AND(IF(metadata!E137="",FALSE,TRUE),EXACT(metadata!E137,"built environment"))</f>
        <v>0</v>
      </c>
      <c r="U137" t="b">
        <f>OR(AND(IF(metadata!F137="",FALSE,TRUE),EXACT(metadata!F137,"not applicable")),AND(IF(metadata!F137="",FALSE,TRUE),EXACT(metadata!F137,"anaerobic digester content")))</f>
        <v>0</v>
      </c>
    </row>
    <row r="138" spans="1:21" x14ac:dyDescent="0.2">
      <c r="A138" s="4" t="str">
        <f ca="1">IF(B138=" "," ",HYPERLINK(CONCATENATE("#metadata!",ADDRESS(INDEX($L$2:$L$1001,MATCH(ROWS($J$2:J138),$J$2:$J$1001,0),0),1)),INDEX($O$2:$O$1001,MATCH(ROWS($J$2:J138),$J$2:$J$1001,0),0)))</f>
        <v xml:space="preserve"> </v>
      </c>
      <c r="B138" s="3" t="str">
        <f ca="1">IF(OR(INDEX($K$2:$K$1001,MATCH(ROWS($J$2:J138),$J$2:$J$1001,0),1)&gt;=100000,INDEX($Q$1005:$U$1005,1,MATCH(COLUMNS($Q$1006:Q1006),$Q$1006:$U$1006,0))&gt;=100000), " ",IF(INDEX($Q$2:$U$1001,MATCH(ROWS($J$2:J138),$J$2:$J$1001,0),MATCH(COLUMNS($Q$1006:Q1006),$Q$1006:$U$1006,0)), HYPERLINK("#",""), HYPERLINK(CONCATENATE("#metadata!", ADDRESS(INDEX($L$2:$L$1001,MATCH(ROWS($J$2:J138),$J$2:$J$1001,0),0), INDEX($Q$1004:$U$1004,1,MATCH(COLUMNS($Q$1006:Q1006),$Q$1006:$U$1006,0)))),"Fix")))</f>
        <v xml:space="preserve"> </v>
      </c>
      <c r="C138" s="3" t="str">
        <f ca="1">IF(OR(INDEX($K$2:$K$1001,MATCH(ROWS($J$2:J138),$J$2:$J$1001,0),1)&gt;=100000,INDEX($Q$1005:$U$1005,1,MATCH(COLUMNS($Q$1006:R1006),$Q$1006:$U$1006,0))&gt;=100000), " ",IF(INDEX($Q$2:$U$1001,MATCH(ROWS($J$2:J138),$J$2:$J$1001,0),MATCH(COLUMNS($Q$1006:R1006),$Q$1006:$U$1006,0)), HYPERLINK("#",""), HYPERLINK(CONCATENATE("#metadata!", ADDRESS(INDEX($L$2:$L$1001,MATCH(ROWS($J$2:J138),$J$2:$J$1001,0),0), INDEX($Q$1004:$U$1004,1,MATCH(COLUMNS($Q$1006:R1006),$Q$1006:$U$1006,0)))),"Fix")))</f>
        <v xml:space="preserve"> </v>
      </c>
      <c r="D138" s="3" t="str">
        <f ca="1">IF(OR(INDEX($K$2:$K$1001,MATCH(ROWS($J$2:J138),$J$2:$J$1001,0),1)&gt;=100000,INDEX($Q$1005:$U$1005,1,MATCH(COLUMNS($Q$1006:S1006),$Q$1006:$U$1006,0))&gt;=100000), " ",IF(INDEX($Q$2:$U$1001,MATCH(ROWS($J$2:J138),$J$2:$J$1001,0),MATCH(COLUMNS($Q$1006:S1006),$Q$1006:$U$1006,0)), HYPERLINK("#",""), HYPERLINK(CONCATENATE("#metadata!", ADDRESS(INDEX($L$2:$L$1001,MATCH(ROWS($J$2:J138),$J$2:$J$1001,0),0), INDEX($Q$1004:$U$1004,1,MATCH(COLUMNS($Q$1006:S1006),$Q$1006:$U$1006,0)))),"Fix")))</f>
        <v xml:space="preserve"> </v>
      </c>
      <c r="E138" s="3" t="str">
        <f ca="1">IF(OR(INDEX($K$2:$K$1001,MATCH(ROWS($J$2:J138),$J$2:$J$1001,0),1)&gt;=100000,INDEX($Q$1005:$U$1005,1,MATCH(COLUMNS($Q$1006:T1006),$Q$1006:$U$1006,0))&gt;=100000), " ",IF(INDEX($Q$2:$U$1001,MATCH(ROWS($J$2:J138),$J$2:$J$1001,0),MATCH(COLUMNS($Q$1006:T1006),$Q$1006:$U$1006,0)), HYPERLINK("#",""), HYPERLINK(CONCATENATE("#metadata!", ADDRESS(INDEX($L$2:$L$1001,MATCH(ROWS($J$2:J138),$J$2:$J$1001,0),0), INDEX($Q$1004:$U$1004,1,MATCH(COLUMNS($Q$1006:T1006),$Q$1006:$U$1006,0)))),"Fix")))</f>
        <v xml:space="preserve"> </v>
      </c>
      <c r="F138" s="3" t="str">
        <f ca="1">IF(OR(INDEX($K$2:$K$1001,MATCH(ROWS($J$2:J138),$J$2:$J$1001,0),1)&gt;=100000,INDEX($Q$1005:$U$1005,1,MATCH(COLUMNS($Q$1006:U1006),$Q$1006:$U$1006,0))&gt;=100000), " ",IF(INDEX($Q$2:$U$1001,MATCH(ROWS($J$2:J138),$J$2:$J$1001,0),MATCH(COLUMNS($Q$1006:U1006),$Q$1006:$U$1006,0)), HYPERLINK("#",""), HYPERLINK(CONCATENATE("#metadata!", ADDRESS(INDEX($L$2:$L$1001,MATCH(ROWS($J$2:J138),$J$2:$J$1001,0),0), INDEX($Q$1004:$U$1004,1,MATCH(COLUMNS($Q$1006:U1006),$Q$1006:$U$1006,0)))),"Fix")))</f>
        <v xml:space="preserve"> </v>
      </c>
      <c r="J138">
        <v>137</v>
      </c>
      <c r="K138">
        <v>100138</v>
      </c>
      <c r="L138">
        <v>138</v>
      </c>
      <c r="M138" t="b">
        <f t="shared" si="2"/>
        <v>1</v>
      </c>
      <c r="N138" t="b">
        <f>COUNTBLANK(metadata!B138:F138)=COLUMNS(metadata!B138:F138)</f>
        <v>1</v>
      </c>
      <c r="O138" t="str">
        <v/>
      </c>
      <c r="Q138" t="b">
        <f ca="1">AND(IF(metadata!B138="",FALSE,TRUE),COUNTIF(metadata!B:B, metadata!B138) = 1,NOT(ISERROR(SUMPRODUCT(SEARCH(MID(metadata!B138,ROW(INDIRECT("1:"&amp;LEN(metadata!B138))), 1),"0123456789abcdefghijklmnopqrstuvwxyzABCDEFGHIJKLMNOPQRSTUVWXYZ.")))))</f>
        <v>0</v>
      </c>
      <c r="R138" t="b">
        <f>AND(IF(metadata!C138="",FALSE,TRUE),OR(EXACT(metadata!C138,"saline"),EXACT(metadata!C138,"non-saline")))</f>
        <v>0</v>
      </c>
      <c r="S138" t="b">
        <f>AND(IF(metadata!D138="",FALSE,TRUE),OR(EXACT(metadata!D138,"surface (non-saline)"),EXACT(metadata!D138,"aerosol (non-saline)"),EXACT(metadata!D138,"sediment (non-saline)"),EXACT(metadata!D138,"surface (saline)"),EXACT(metadata!D138,"aerosol (saline)"),EXACT(metadata!D138,"sediment (saline)")))</f>
        <v>0</v>
      </c>
      <c r="T138" t="b">
        <f>AND(IF(metadata!E138="",FALSE,TRUE),EXACT(metadata!E138,"built environment"))</f>
        <v>0</v>
      </c>
      <c r="U138" t="b">
        <f>OR(AND(IF(metadata!F138="",FALSE,TRUE),EXACT(metadata!F138,"not applicable")),AND(IF(metadata!F138="",FALSE,TRUE),EXACT(metadata!F138,"anaerobic digester content")))</f>
        <v>0</v>
      </c>
    </row>
    <row r="139" spans="1:21" x14ac:dyDescent="0.2">
      <c r="A139" s="4" t="str">
        <f ca="1">IF(B139=" "," ",HYPERLINK(CONCATENATE("#metadata!",ADDRESS(INDEX($L$2:$L$1001,MATCH(ROWS($J$2:J139),$J$2:$J$1001,0),0),1)),INDEX($O$2:$O$1001,MATCH(ROWS($J$2:J139),$J$2:$J$1001,0),0)))</f>
        <v xml:space="preserve"> </v>
      </c>
      <c r="B139" s="3" t="str">
        <f ca="1">IF(OR(INDEX($K$2:$K$1001,MATCH(ROWS($J$2:J139),$J$2:$J$1001,0),1)&gt;=100000,INDEX($Q$1005:$U$1005,1,MATCH(COLUMNS($Q$1006:Q1006),$Q$1006:$U$1006,0))&gt;=100000), " ",IF(INDEX($Q$2:$U$1001,MATCH(ROWS($J$2:J139),$J$2:$J$1001,0),MATCH(COLUMNS($Q$1006:Q1006),$Q$1006:$U$1006,0)), HYPERLINK("#",""), HYPERLINK(CONCATENATE("#metadata!", ADDRESS(INDEX($L$2:$L$1001,MATCH(ROWS($J$2:J139),$J$2:$J$1001,0),0), INDEX($Q$1004:$U$1004,1,MATCH(COLUMNS($Q$1006:Q1006),$Q$1006:$U$1006,0)))),"Fix")))</f>
        <v xml:space="preserve"> </v>
      </c>
      <c r="C139" s="3" t="str">
        <f ca="1">IF(OR(INDEX($K$2:$K$1001,MATCH(ROWS($J$2:J139),$J$2:$J$1001,0),1)&gt;=100000,INDEX($Q$1005:$U$1005,1,MATCH(COLUMNS($Q$1006:R1006),$Q$1006:$U$1006,0))&gt;=100000), " ",IF(INDEX($Q$2:$U$1001,MATCH(ROWS($J$2:J139),$J$2:$J$1001,0),MATCH(COLUMNS($Q$1006:R1006),$Q$1006:$U$1006,0)), HYPERLINK("#",""), HYPERLINK(CONCATENATE("#metadata!", ADDRESS(INDEX($L$2:$L$1001,MATCH(ROWS($J$2:J139),$J$2:$J$1001,0),0), INDEX($Q$1004:$U$1004,1,MATCH(COLUMNS($Q$1006:R1006),$Q$1006:$U$1006,0)))),"Fix")))</f>
        <v xml:space="preserve"> </v>
      </c>
      <c r="D139" s="3" t="str">
        <f ca="1">IF(OR(INDEX($K$2:$K$1001,MATCH(ROWS($J$2:J139),$J$2:$J$1001,0),1)&gt;=100000,INDEX($Q$1005:$U$1005,1,MATCH(COLUMNS($Q$1006:S1006),$Q$1006:$U$1006,0))&gt;=100000), " ",IF(INDEX($Q$2:$U$1001,MATCH(ROWS($J$2:J139),$J$2:$J$1001,0),MATCH(COLUMNS($Q$1006:S1006),$Q$1006:$U$1006,0)), HYPERLINK("#",""), HYPERLINK(CONCATENATE("#metadata!", ADDRESS(INDEX($L$2:$L$1001,MATCH(ROWS($J$2:J139),$J$2:$J$1001,0),0), INDEX($Q$1004:$U$1004,1,MATCH(COLUMNS($Q$1006:S1006),$Q$1006:$U$1006,0)))),"Fix")))</f>
        <v xml:space="preserve"> </v>
      </c>
      <c r="E139" s="3" t="str">
        <f ca="1">IF(OR(INDEX($K$2:$K$1001,MATCH(ROWS($J$2:J139),$J$2:$J$1001,0),1)&gt;=100000,INDEX($Q$1005:$U$1005,1,MATCH(COLUMNS($Q$1006:T1006),$Q$1006:$U$1006,0))&gt;=100000), " ",IF(INDEX($Q$2:$U$1001,MATCH(ROWS($J$2:J139),$J$2:$J$1001,0),MATCH(COLUMNS($Q$1006:T1006),$Q$1006:$U$1006,0)), HYPERLINK("#",""), HYPERLINK(CONCATENATE("#metadata!", ADDRESS(INDEX($L$2:$L$1001,MATCH(ROWS($J$2:J139),$J$2:$J$1001,0),0), INDEX($Q$1004:$U$1004,1,MATCH(COLUMNS($Q$1006:T1006),$Q$1006:$U$1006,0)))),"Fix")))</f>
        <v xml:space="preserve"> </v>
      </c>
      <c r="F139" s="3" t="str">
        <f ca="1">IF(OR(INDEX($K$2:$K$1001,MATCH(ROWS($J$2:J139),$J$2:$J$1001,0),1)&gt;=100000,INDEX($Q$1005:$U$1005,1,MATCH(COLUMNS($Q$1006:U1006),$Q$1006:$U$1006,0))&gt;=100000), " ",IF(INDEX($Q$2:$U$1001,MATCH(ROWS($J$2:J139),$J$2:$J$1001,0),MATCH(COLUMNS($Q$1006:U1006),$Q$1006:$U$1006,0)), HYPERLINK("#",""), HYPERLINK(CONCATENATE("#metadata!", ADDRESS(INDEX($L$2:$L$1001,MATCH(ROWS($J$2:J139),$J$2:$J$1001,0),0), INDEX($Q$1004:$U$1004,1,MATCH(COLUMNS($Q$1006:U1006),$Q$1006:$U$1006,0)))),"Fix")))</f>
        <v xml:space="preserve"> </v>
      </c>
      <c r="J139">
        <v>138</v>
      </c>
      <c r="K139">
        <v>100139</v>
      </c>
      <c r="L139">
        <v>139</v>
      </c>
      <c r="M139" t="b">
        <f t="shared" si="2"/>
        <v>1</v>
      </c>
      <c r="N139" t="b">
        <f>COUNTBLANK(metadata!B139:F139)=COLUMNS(metadata!B139:F139)</f>
        <v>1</v>
      </c>
      <c r="O139" t="str">
        <v/>
      </c>
      <c r="Q139" t="b">
        <f ca="1">AND(IF(metadata!B139="",FALSE,TRUE),COUNTIF(metadata!B:B, metadata!B139) = 1,NOT(ISERROR(SUMPRODUCT(SEARCH(MID(metadata!B139,ROW(INDIRECT("1:"&amp;LEN(metadata!B139))), 1),"0123456789abcdefghijklmnopqrstuvwxyzABCDEFGHIJKLMNOPQRSTUVWXYZ.")))))</f>
        <v>0</v>
      </c>
      <c r="R139" t="b">
        <f>AND(IF(metadata!C139="",FALSE,TRUE),OR(EXACT(metadata!C139,"saline"),EXACT(metadata!C139,"non-saline")))</f>
        <v>0</v>
      </c>
      <c r="S139" t="b">
        <f>AND(IF(metadata!D139="",FALSE,TRUE),OR(EXACT(metadata!D139,"surface (non-saline)"),EXACT(metadata!D139,"aerosol (non-saline)"),EXACT(metadata!D139,"sediment (non-saline)"),EXACT(metadata!D139,"surface (saline)"),EXACT(metadata!D139,"aerosol (saline)"),EXACT(metadata!D139,"sediment (saline)")))</f>
        <v>0</v>
      </c>
      <c r="T139" t="b">
        <f>AND(IF(metadata!E139="",FALSE,TRUE),EXACT(metadata!E139,"built environment"))</f>
        <v>0</v>
      </c>
      <c r="U139" t="b">
        <f>OR(AND(IF(metadata!F139="",FALSE,TRUE),EXACT(metadata!F139,"not applicable")),AND(IF(metadata!F139="",FALSE,TRUE),EXACT(metadata!F139,"anaerobic digester content")))</f>
        <v>0</v>
      </c>
    </row>
    <row r="140" spans="1:21" x14ac:dyDescent="0.2">
      <c r="A140" s="4" t="str">
        <f ca="1">IF(B140=" "," ",HYPERLINK(CONCATENATE("#metadata!",ADDRESS(INDEX($L$2:$L$1001,MATCH(ROWS($J$2:J140),$J$2:$J$1001,0),0),1)),INDEX($O$2:$O$1001,MATCH(ROWS($J$2:J140),$J$2:$J$1001,0),0)))</f>
        <v xml:space="preserve"> </v>
      </c>
      <c r="B140" s="3" t="str">
        <f ca="1">IF(OR(INDEX($K$2:$K$1001,MATCH(ROWS($J$2:J140),$J$2:$J$1001,0),1)&gt;=100000,INDEX($Q$1005:$U$1005,1,MATCH(COLUMNS($Q$1006:Q1006),$Q$1006:$U$1006,0))&gt;=100000), " ",IF(INDEX($Q$2:$U$1001,MATCH(ROWS($J$2:J140),$J$2:$J$1001,0),MATCH(COLUMNS($Q$1006:Q1006),$Q$1006:$U$1006,0)), HYPERLINK("#",""), HYPERLINK(CONCATENATE("#metadata!", ADDRESS(INDEX($L$2:$L$1001,MATCH(ROWS($J$2:J140),$J$2:$J$1001,0),0), INDEX($Q$1004:$U$1004,1,MATCH(COLUMNS($Q$1006:Q1006),$Q$1006:$U$1006,0)))),"Fix")))</f>
        <v xml:space="preserve"> </v>
      </c>
      <c r="C140" s="3" t="str">
        <f ca="1">IF(OR(INDEX($K$2:$K$1001,MATCH(ROWS($J$2:J140),$J$2:$J$1001,0),1)&gt;=100000,INDEX($Q$1005:$U$1005,1,MATCH(COLUMNS($Q$1006:R1006),$Q$1006:$U$1006,0))&gt;=100000), " ",IF(INDEX($Q$2:$U$1001,MATCH(ROWS($J$2:J140),$J$2:$J$1001,0),MATCH(COLUMNS($Q$1006:R1006),$Q$1006:$U$1006,0)), HYPERLINK("#",""), HYPERLINK(CONCATENATE("#metadata!", ADDRESS(INDEX($L$2:$L$1001,MATCH(ROWS($J$2:J140),$J$2:$J$1001,0),0), INDEX($Q$1004:$U$1004,1,MATCH(COLUMNS($Q$1006:R1006),$Q$1006:$U$1006,0)))),"Fix")))</f>
        <v xml:space="preserve"> </v>
      </c>
      <c r="D140" s="3" t="str">
        <f ca="1">IF(OR(INDEX($K$2:$K$1001,MATCH(ROWS($J$2:J140),$J$2:$J$1001,0),1)&gt;=100000,INDEX($Q$1005:$U$1005,1,MATCH(COLUMNS($Q$1006:S1006),$Q$1006:$U$1006,0))&gt;=100000), " ",IF(INDEX($Q$2:$U$1001,MATCH(ROWS($J$2:J140),$J$2:$J$1001,0),MATCH(COLUMNS($Q$1006:S1006),$Q$1006:$U$1006,0)), HYPERLINK("#",""), HYPERLINK(CONCATENATE("#metadata!", ADDRESS(INDEX($L$2:$L$1001,MATCH(ROWS($J$2:J140),$J$2:$J$1001,0),0), INDEX($Q$1004:$U$1004,1,MATCH(COLUMNS($Q$1006:S1006),$Q$1006:$U$1006,0)))),"Fix")))</f>
        <v xml:space="preserve"> </v>
      </c>
      <c r="E140" s="3" t="str">
        <f ca="1">IF(OR(INDEX($K$2:$K$1001,MATCH(ROWS($J$2:J140),$J$2:$J$1001,0),1)&gt;=100000,INDEX($Q$1005:$U$1005,1,MATCH(COLUMNS($Q$1006:T1006),$Q$1006:$U$1006,0))&gt;=100000), " ",IF(INDEX($Q$2:$U$1001,MATCH(ROWS($J$2:J140),$J$2:$J$1001,0),MATCH(COLUMNS($Q$1006:T1006),$Q$1006:$U$1006,0)), HYPERLINK("#",""), HYPERLINK(CONCATENATE("#metadata!", ADDRESS(INDEX($L$2:$L$1001,MATCH(ROWS($J$2:J140),$J$2:$J$1001,0),0), INDEX($Q$1004:$U$1004,1,MATCH(COLUMNS($Q$1006:T1006),$Q$1006:$U$1006,0)))),"Fix")))</f>
        <v xml:space="preserve"> </v>
      </c>
      <c r="F140" s="3" t="str">
        <f ca="1">IF(OR(INDEX($K$2:$K$1001,MATCH(ROWS($J$2:J140),$J$2:$J$1001,0),1)&gt;=100000,INDEX($Q$1005:$U$1005,1,MATCH(COLUMNS($Q$1006:U1006),$Q$1006:$U$1006,0))&gt;=100000), " ",IF(INDEX($Q$2:$U$1001,MATCH(ROWS($J$2:J140),$J$2:$J$1001,0),MATCH(COLUMNS($Q$1006:U1006),$Q$1006:$U$1006,0)), HYPERLINK("#",""), HYPERLINK(CONCATENATE("#metadata!", ADDRESS(INDEX($L$2:$L$1001,MATCH(ROWS($J$2:J140),$J$2:$J$1001,0),0), INDEX($Q$1004:$U$1004,1,MATCH(COLUMNS($Q$1006:U1006),$Q$1006:$U$1006,0)))),"Fix")))</f>
        <v xml:space="preserve"> </v>
      </c>
      <c r="J140">
        <v>139</v>
      </c>
      <c r="K140">
        <v>100140</v>
      </c>
      <c r="L140">
        <v>140</v>
      </c>
      <c r="M140" t="b">
        <f t="shared" si="2"/>
        <v>1</v>
      </c>
      <c r="N140" t="b">
        <f>COUNTBLANK(metadata!B140:F140)=COLUMNS(metadata!B140:F140)</f>
        <v>1</v>
      </c>
      <c r="O140" t="str">
        <v/>
      </c>
      <c r="Q140" t="b">
        <f ca="1">AND(IF(metadata!B140="",FALSE,TRUE),COUNTIF(metadata!B:B, metadata!B140) = 1,NOT(ISERROR(SUMPRODUCT(SEARCH(MID(metadata!B140,ROW(INDIRECT("1:"&amp;LEN(metadata!B140))), 1),"0123456789abcdefghijklmnopqrstuvwxyzABCDEFGHIJKLMNOPQRSTUVWXYZ.")))))</f>
        <v>0</v>
      </c>
      <c r="R140" t="b">
        <f>AND(IF(metadata!C140="",FALSE,TRUE),OR(EXACT(metadata!C140,"saline"),EXACT(metadata!C140,"non-saline")))</f>
        <v>0</v>
      </c>
      <c r="S140" t="b">
        <f>AND(IF(metadata!D140="",FALSE,TRUE),OR(EXACT(metadata!D140,"surface (non-saline)"),EXACT(metadata!D140,"aerosol (non-saline)"),EXACT(metadata!D140,"sediment (non-saline)"),EXACT(metadata!D140,"surface (saline)"),EXACT(metadata!D140,"aerosol (saline)"),EXACT(metadata!D140,"sediment (saline)")))</f>
        <v>0</v>
      </c>
      <c r="T140" t="b">
        <f>AND(IF(metadata!E140="",FALSE,TRUE),EXACT(metadata!E140,"built environment"))</f>
        <v>0</v>
      </c>
      <c r="U140" t="b">
        <f>OR(AND(IF(metadata!F140="",FALSE,TRUE),EXACT(metadata!F140,"not applicable")),AND(IF(metadata!F140="",FALSE,TRUE),EXACT(metadata!F140,"anaerobic digester content")))</f>
        <v>0</v>
      </c>
    </row>
    <row r="141" spans="1:21" x14ac:dyDescent="0.2">
      <c r="A141" s="4" t="str">
        <f ca="1">IF(B141=" "," ",HYPERLINK(CONCATENATE("#metadata!",ADDRESS(INDEX($L$2:$L$1001,MATCH(ROWS($J$2:J141),$J$2:$J$1001,0),0),1)),INDEX($O$2:$O$1001,MATCH(ROWS($J$2:J141),$J$2:$J$1001,0),0)))</f>
        <v xml:space="preserve"> </v>
      </c>
      <c r="B141" s="3" t="str">
        <f ca="1">IF(OR(INDEX($K$2:$K$1001,MATCH(ROWS($J$2:J141),$J$2:$J$1001,0),1)&gt;=100000,INDEX($Q$1005:$U$1005,1,MATCH(COLUMNS($Q$1006:Q1006),$Q$1006:$U$1006,0))&gt;=100000), " ",IF(INDEX($Q$2:$U$1001,MATCH(ROWS($J$2:J141),$J$2:$J$1001,0),MATCH(COLUMNS($Q$1006:Q1006),$Q$1006:$U$1006,0)), HYPERLINK("#",""), HYPERLINK(CONCATENATE("#metadata!", ADDRESS(INDEX($L$2:$L$1001,MATCH(ROWS($J$2:J141),$J$2:$J$1001,0),0), INDEX($Q$1004:$U$1004,1,MATCH(COLUMNS($Q$1006:Q1006),$Q$1006:$U$1006,0)))),"Fix")))</f>
        <v xml:space="preserve"> </v>
      </c>
      <c r="C141" s="3" t="str">
        <f ca="1">IF(OR(INDEX($K$2:$K$1001,MATCH(ROWS($J$2:J141),$J$2:$J$1001,0),1)&gt;=100000,INDEX($Q$1005:$U$1005,1,MATCH(COLUMNS($Q$1006:R1006),$Q$1006:$U$1006,0))&gt;=100000), " ",IF(INDEX($Q$2:$U$1001,MATCH(ROWS($J$2:J141),$J$2:$J$1001,0),MATCH(COLUMNS($Q$1006:R1006),$Q$1006:$U$1006,0)), HYPERLINK("#",""), HYPERLINK(CONCATENATE("#metadata!", ADDRESS(INDEX($L$2:$L$1001,MATCH(ROWS($J$2:J141),$J$2:$J$1001,0),0), INDEX($Q$1004:$U$1004,1,MATCH(COLUMNS($Q$1006:R1006),$Q$1006:$U$1006,0)))),"Fix")))</f>
        <v xml:space="preserve"> </v>
      </c>
      <c r="D141" s="3" t="str">
        <f ca="1">IF(OR(INDEX($K$2:$K$1001,MATCH(ROWS($J$2:J141),$J$2:$J$1001,0),1)&gt;=100000,INDEX($Q$1005:$U$1005,1,MATCH(COLUMNS($Q$1006:S1006),$Q$1006:$U$1006,0))&gt;=100000), " ",IF(INDEX($Q$2:$U$1001,MATCH(ROWS($J$2:J141),$J$2:$J$1001,0),MATCH(COLUMNS($Q$1006:S1006),$Q$1006:$U$1006,0)), HYPERLINK("#",""), HYPERLINK(CONCATENATE("#metadata!", ADDRESS(INDEX($L$2:$L$1001,MATCH(ROWS($J$2:J141),$J$2:$J$1001,0),0), INDEX($Q$1004:$U$1004,1,MATCH(COLUMNS($Q$1006:S1006),$Q$1006:$U$1006,0)))),"Fix")))</f>
        <v xml:space="preserve"> </v>
      </c>
      <c r="E141" s="3" t="str">
        <f ca="1">IF(OR(INDEX($K$2:$K$1001,MATCH(ROWS($J$2:J141),$J$2:$J$1001,0),1)&gt;=100000,INDEX($Q$1005:$U$1005,1,MATCH(COLUMNS($Q$1006:T1006),$Q$1006:$U$1006,0))&gt;=100000), " ",IF(INDEX($Q$2:$U$1001,MATCH(ROWS($J$2:J141),$J$2:$J$1001,0),MATCH(COLUMNS($Q$1006:T1006),$Q$1006:$U$1006,0)), HYPERLINK("#",""), HYPERLINK(CONCATENATE("#metadata!", ADDRESS(INDEX($L$2:$L$1001,MATCH(ROWS($J$2:J141),$J$2:$J$1001,0),0), INDEX($Q$1004:$U$1004,1,MATCH(COLUMNS($Q$1006:T1006),$Q$1006:$U$1006,0)))),"Fix")))</f>
        <v xml:space="preserve"> </v>
      </c>
      <c r="F141" s="3" t="str">
        <f ca="1">IF(OR(INDEX($K$2:$K$1001,MATCH(ROWS($J$2:J141),$J$2:$J$1001,0),1)&gt;=100000,INDEX($Q$1005:$U$1005,1,MATCH(COLUMNS($Q$1006:U1006),$Q$1006:$U$1006,0))&gt;=100000), " ",IF(INDEX($Q$2:$U$1001,MATCH(ROWS($J$2:J141),$J$2:$J$1001,0),MATCH(COLUMNS($Q$1006:U1006),$Q$1006:$U$1006,0)), HYPERLINK("#",""), HYPERLINK(CONCATENATE("#metadata!", ADDRESS(INDEX($L$2:$L$1001,MATCH(ROWS($J$2:J141),$J$2:$J$1001,0),0), INDEX($Q$1004:$U$1004,1,MATCH(COLUMNS($Q$1006:U1006),$Q$1006:$U$1006,0)))),"Fix")))</f>
        <v xml:space="preserve"> </v>
      </c>
      <c r="J141">
        <v>140</v>
      </c>
      <c r="K141">
        <v>100141</v>
      </c>
      <c r="L141">
        <v>141</v>
      </c>
      <c r="M141" t="b">
        <f t="shared" si="2"/>
        <v>1</v>
      </c>
      <c r="N141" t="b">
        <f>COUNTBLANK(metadata!B141:F141)=COLUMNS(metadata!B141:F141)</f>
        <v>1</v>
      </c>
      <c r="O141" t="str">
        <v/>
      </c>
      <c r="Q141" t="b">
        <f ca="1">AND(IF(metadata!B141="",FALSE,TRUE),COUNTIF(metadata!B:B, metadata!B141) = 1,NOT(ISERROR(SUMPRODUCT(SEARCH(MID(metadata!B141,ROW(INDIRECT("1:"&amp;LEN(metadata!B141))), 1),"0123456789abcdefghijklmnopqrstuvwxyzABCDEFGHIJKLMNOPQRSTUVWXYZ.")))))</f>
        <v>0</v>
      </c>
      <c r="R141" t="b">
        <f>AND(IF(metadata!C141="",FALSE,TRUE),OR(EXACT(metadata!C141,"saline"),EXACT(metadata!C141,"non-saline")))</f>
        <v>0</v>
      </c>
      <c r="S141" t="b">
        <f>AND(IF(metadata!D141="",FALSE,TRUE),OR(EXACT(metadata!D141,"surface (non-saline)"),EXACT(metadata!D141,"aerosol (non-saline)"),EXACT(metadata!D141,"sediment (non-saline)"),EXACT(metadata!D141,"surface (saline)"),EXACT(metadata!D141,"aerosol (saline)"),EXACT(metadata!D141,"sediment (saline)")))</f>
        <v>0</v>
      </c>
      <c r="T141" t="b">
        <f>AND(IF(metadata!E141="",FALSE,TRUE),EXACT(metadata!E141,"built environment"))</f>
        <v>0</v>
      </c>
      <c r="U141" t="b">
        <f>OR(AND(IF(metadata!F141="",FALSE,TRUE),EXACT(metadata!F141,"not applicable")),AND(IF(metadata!F141="",FALSE,TRUE),EXACT(metadata!F141,"anaerobic digester content")))</f>
        <v>0</v>
      </c>
    </row>
    <row r="142" spans="1:21" x14ac:dyDescent="0.2">
      <c r="A142" s="4" t="str">
        <f ca="1">IF(B142=" "," ",HYPERLINK(CONCATENATE("#metadata!",ADDRESS(INDEX($L$2:$L$1001,MATCH(ROWS($J$2:J142),$J$2:$J$1001,0),0),1)),INDEX($O$2:$O$1001,MATCH(ROWS($J$2:J142),$J$2:$J$1001,0),0)))</f>
        <v xml:space="preserve"> </v>
      </c>
      <c r="B142" s="3" t="str">
        <f ca="1">IF(OR(INDEX($K$2:$K$1001,MATCH(ROWS($J$2:J142),$J$2:$J$1001,0),1)&gt;=100000,INDEX($Q$1005:$U$1005,1,MATCH(COLUMNS($Q$1006:Q1006),$Q$1006:$U$1006,0))&gt;=100000), " ",IF(INDEX($Q$2:$U$1001,MATCH(ROWS($J$2:J142),$J$2:$J$1001,0),MATCH(COLUMNS($Q$1006:Q1006),$Q$1006:$U$1006,0)), HYPERLINK("#",""), HYPERLINK(CONCATENATE("#metadata!", ADDRESS(INDEX($L$2:$L$1001,MATCH(ROWS($J$2:J142),$J$2:$J$1001,0),0), INDEX($Q$1004:$U$1004,1,MATCH(COLUMNS($Q$1006:Q1006),$Q$1006:$U$1006,0)))),"Fix")))</f>
        <v xml:space="preserve"> </v>
      </c>
      <c r="C142" s="3" t="str">
        <f ca="1">IF(OR(INDEX($K$2:$K$1001,MATCH(ROWS($J$2:J142),$J$2:$J$1001,0),1)&gt;=100000,INDEX($Q$1005:$U$1005,1,MATCH(COLUMNS($Q$1006:R1006),$Q$1006:$U$1006,0))&gt;=100000), " ",IF(INDEX($Q$2:$U$1001,MATCH(ROWS($J$2:J142),$J$2:$J$1001,0),MATCH(COLUMNS($Q$1006:R1006),$Q$1006:$U$1006,0)), HYPERLINK("#",""), HYPERLINK(CONCATENATE("#metadata!", ADDRESS(INDEX($L$2:$L$1001,MATCH(ROWS($J$2:J142),$J$2:$J$1001,0),0), INDEX($Q$1004:$U$1004,1,MATCH(COLUMNS($Q$1006:R1006),$Q$1006:$U$1006,0)))),"Fix")))</f>
        <v xml:space="preserve"> </v>
      </c>
      <c r="D142" s="3" t="str">
        <f ca="1">IF(OR(INDEX($K$2:$K$1001,MATCH(ROWS($J$2:J142),$J$2:$J$1001,0),1)&gt;=100000,INDEX($Q$1005:$U$1005,1,MATCH(COLUMNS($Q$1006:S1006),$Q$1006:$U$1006,0))&gt;=100000), " ",IF(INDEX($Q$2:$U$1001,MATCH(ROWS($J$2:J142),$J$2:$J$1001,0),MATCH(COLUMNS($Q$1006:S1006),$Q$1006:$U$1006,0)), HYPERLINK("#",""), HYPERLINK(CONCATENATE("#metadata!", ADDRESS(INDEX($L$2:$L$1001,MATCH(ROWS($J$2:J142),$J$2:$J$1001,0),0), INDEX($Q$1004:$U$1004,1,MATCH(COLUMNS($Q$1006:S1006),$Q$1006:$U$1006,0)))),"Fix")))</f>
        <v xml:space="preserve"> </v>
      </c>
      <c r="E142" s="3" t="str">
        <f ca="1">IF(OR(INDEX($K$2:$K$1001,MATCH(ROWS($J$2:J142),$J$2:$J$1001,0),1)&gt;=100000,INDEX($Q$1005:$U$1005,1,MATCH(COLUMNS($Q$1006:T1006),$Q$1006:$U$1006,0))&gt;=100000), " ",IF(INDEX($Q$2:$U$1001,MATCH(ROWS($J$2:J142),$J$2:$J$1001,0),MATCH(COLUMNS($Q$1006:T1006),$Q$1006:$U$1006,0)), HYPERLINK("#",""), HYPERLINK(CONCATENATE("#metadata!", ADDRESS(INDEX($L$2:$L$1001,MATCH(ROWS($J$2:J142),$J$2:$J$1001,0),0), INDEX($Q$1004:$U$1004,1,MATCH(COLUMNS($Q$1006:T1006),$Q$1006:$U$1006,0)))),"Fix")))</f>
        <v xml:space="preserve"> </v>
      </c>
      <c r="F142" s="3" t="str">
        <f ca="1">IF(OR(INDEX($K$2:$K$1001,MATCH(ROWS($J$2:J142),$J$2:$J$1001,0),1)&gt;=100000,INDEX($Q$1005:$U$1005,1,MATCH(COLUMNS($Q$1006:U1006),$Q$1006:$U$1006,0))&gt;=100000), " ",IF(INDEX($Q$2:$U$1001,MATCH(ROWS($J$2:J142),$J$2:$J$1001,0),MATCH(COLUMNS($Q$1006:U1006),$Q$1006:$U$1006,0)), HYPERLINK("#",""), HYPERLINK(CONCATENATE("#metadata!", ADDRESS(INDEX($L$2:$L$1001,MATCH(ROWS($J$2:J142),$J$2:$J$1001,0),0), INDEX($Q$1004:$U$1004,1,MATCH(COLUMNS($Q$1006:U1006),$Q$1006:$U$1006,0)))),"Fix")))</f>
        <v xml:space="preserve"> </v>
      </c>
      <c r="J142">
        <v>141</v>
      </c>
      <c r="K142">
        <v>100142</v>
      </c>
      <c r="L142">
        <v>142</v>
      </c>
      <c r="M142" t="b">
        <f t="shared" si="2"/>
        <v>1</v>
      </c>
      <c r="N142" t="b">
        <f>COUNTBLANK(metadata!B142:F142)=COLUMNS(metadata!B142:F142)</f>
        <v>1</v>
      </c>
      <c r="O142" t="str">
        <v/>
      </c>
      <c r="Q142" t="b">
        <f ca="1">AND(IF(metadata!B142="",FALSE,TRUE),COUNTIF(metadata!B:B, metadata!B142) = 1,NOT(ISERROR(SUMPRODUCT(SEARCH(MID(metadata!B142,ROW(INDIRECT("1:"&amp;LEN(metadata!B142))), 1),"0123456789abcdefghijklmnopqrstuvwxyzABCDEFGHIJKLMNOPQRSTUVWXYZ.")))))</f>
        <v>0</v>
      </c>
      <c r="R142" t="b">
        <f>AND(IF(metadata!C142="",FALSE,TRUE),OR(EXACT(metadata!C142,"saline"),EXACT(metadata!C142,"non-saline")))</f>
        <v>0</v>
      </c>
      <c r="S142" t="b">
        <f>AND(IF(metadata!D142="",FALSE,TRUE),OR(EXACT(metadata!D142,"surface (non-saline)"),EXACT(metadata!D142,"aerosol (non-saline)"),EXACT(metadata!D142,"sediment (non-saline)"),EXACT(metadata!D142,"surface (saline)"),EXACT(metadata!D142,"aerosol (saline)"),EXACT(metadata!D142,"sediment (saline)")))</f>
        <v>0</v>
      </c>
      <c r="T142" t="b">
        <f>AND(IF(metadata!E142="",FALSE,TRUE),EXACT(metadata!E142,"built environment"))</f>
        <v>0</v>
      </c>
      <c r="U142" t="b">
        <f>OR(AND(IF(metadata!F142="",FALSE,TRUE),EXACT(metadata!F142,"not applicable")),AND(IF(metadata!F142="",FALSE,TRUE),EXACT(metadata!F142,"anaerobic digester content")))</f>
        <v>0</v>
      </c>
    </row>
    <row r="143" spans="1:21" x14ac:dyDescent="0.2">
      <c r="A143" s="4" t="str">
        <f ca="1">IF(B143=" "," ",HYPERLINK(CONCATENATE("#metadata!",ADDRESS(INDEX($L$2:$L$1001,MATCH(ROWS($J$2:J143),$J$2:$J$1001,0),0),1)),INDEX($O$2:$O$1001,MATCH(ROWS($J$2:J143),$J$2:$J$1001,0),0)))</f>
        <v xml:space="preserve"> </v>
      </c>
      <c r="B143" s="3" t="str">
        <f ca="1">IF(OR(INDEX($K$2:$K$1001,MATCH(ROWS($J$2:J143),$J$2:$J$1001,0),1)&gt;=100000,INDEX($Q$1005:$U$1005,1,MATCH(COLUMNS($Q$1006:Q1006),$Q$1006:$U$1006,0))&gt;=100000), " ",IF(INDEX($Q$2:$U$1001,MATCH(ROWS($J$2:J143),$J$2:$J$1001,0),MATCH(COLUMNS($Q$1006:Q1006),$Q$1006:$U$1006,0)), HYPERLINK("#",""), HYPERLINK(CONCATENATE("#metadata!", ADDRESS(INDEX($L$2:$L$1001,MATCH(ROWS($J$2:J143),$J$2:$J$1001,0),0), INDEX($Q$1004:$U$1004,1,MATCH(COLUMNS($Q$1006:Q1006),$Q$1006:$U$1006,0)))),"Fix")))</f>
        <v xml:space="preserve"> </v>
      </c>
      <c r="C143" s="3" t="str">
        <f ca="1">IF(OR(INDEX($K$2:$K$1001,MATCH(ROWS($J$2:J143),$J$2:$J$1001,0),1)&gt;=100000,INDEX($Q$1005:$U$1005,1,MATCH(COLUMNS($Q$1006:R1006),$Q$1006:$U$1006,0))&gt;=100000), " ",IF(INDEX($Q$2:$U$1001,MATCH(ROWS($J$2:J143),$J$2:$J$1001,0),MATCH(COLUMNS($Q$1006:R1006),$Q$1006:$U$1006,0)), HYPERLINK("#",""), HYPERLINK(CONCATENATE("#metadata!", ADDRESS(INDEX($L$2:$L$1001,MATCH(ROWS($J$2:J143),$J$2:$J$1001,0),0), INDEX($Q$1004:$U$1004,1,MATCH(COLUMNS($Q$1006:R1006),$Q$1006:$U$1006,0)))),"Fix")))</f>
        <v xml:space="preserve"> </v>
      </c>
      <c r="D143" s="3" t="str">
        <f ca="1">IF(OR(INDEX($K$2:$K$1001,MATCH(ROWS($J$2:J143),$J$2:$J$1001,0),1)&gt;=100000,INDEX($Q$1005:$U$1005,1,MATCH(COLUMNS($Q$1006:S1006),$Q$1006:$U$1006,0))&gt;=100000), " ",IF(INDEX($Q$2:$U$1001,MATCH(ROWS($J$2:J143),$J$2:$J$1001,0),MATCH(COLUMNS($Q$1006:S1006),$Q$1006:$U$1006,0)), HYPERLINK("#",""), HYPERLINK(CONCATENATE("#metadata!", ADDRESS(INDEX($L$2:$L$1001,MATCH(ROWS($J$2:J143),$J$2:$J$1001,0),0), INDEX($Q$1004:$U$1004,1,MATCH(COLUMNS($Q$1006:S1006),$Q$1006:$U$1006,0)))),"Fix")))</f>
        <v xml:space="preserve"> </v>
      </c>
      <c r="E143" s="3" t="str">
        <f ca="1">IF(OR(INDEX($K$2:$K$1001,MATCH(ROWS($J$2:J143),$J$2:$J$1001,0),1)&gt;=100000,INDEX($Q$1005:$U$1005,1,MATCH(COLUMNS($Q$1006:T1006),$Q$1006:$U$1006,0))&gt;=100000), " ",IF(INDEX($Q$2:$U$1001,MATCH(ROWS($J$2:J143),$J$2:$J$1001,0),MATCH(COLUMNS($Q$1006:T1006),$Q$1006:$U$1006,0)), HYPERLINK("#",""), HYPERLINK(CONCATENATE("#metadata!", ADDRESS(INDEX($L$2:$L$1001,MATCH(ROWS($J$2:J143),$J$2:$J$1001,0),0), INDEX($Q$1004:$U$1004,1,MATCH(COLUMNS($Q$1006:T1006),$Q$1006:$U$1006,0)))),"Fix")))</f>
        <v xml:space="preserve"> </v>
      </c>
      <c r="F143" s="3" t="str">
        <f ca="1">IF(OR(INDEX($K$2:$K$1001,MATCH(ROWS($J$2:J143),$J$2:$J$1001,0),1)&gt;=100000,INDEX($Q$1005:$U$1005,1,MATCH(COLUMNS($Q$1006:U1006),$Q$1006:$U$1006,0))&gt;=100000), " ",IF(INDEX($Q$2:$U$1001,MATCH(ROWS($J$2:J143),$J$2:$J$1001,0),MATCH(COLUMNS($Q$1006:U1006),$Q$1006:$U$1006,0)), HYPERLINK("#",""), HYPERLINK(CONCATENATE("#metadata!", ADDRESS(INDEX($L$2:$L$1001,MATCH(ROWS($J$2:J143),$J$2:$J$1001,0),0), INDEX($Q$1004:$U$1004,1,MATCH(COLUMNS($Q$1006:U1006),$Q$1006:$U$1006,0)))),"Fix")))</f>
        <v xml:space="preserve"> </v>
      </c>
      <c r="J143">
        <v>142</v>
      </c>
      <c r="K143">
        <v>100143</v>
      </c>
      <c r="L143">
        <v>143</v>
      </c>
      <c r="M143" t="b">
        <f t="shared" si="2"/>
        <v>1</v>
      </c>
      <c r="N143" t="b">
        <f>COUNTBLANK(metadata!B143:F143)=COLUMNS(metadata!B143:F143)</f>
        <v>1</v>
      </c>
      <c r="O143" t="str">
        <v/>
      </c>
      <c r="Q143" t="b">
        <f ca="1">AND(IF(metadata!B143="",FALSE,TRUE),COUNTIF(metadata!B:B, metadata!B143) = 1,NOT(ISERROR(SUMPRODUCT(SEARCH(MID(metadata!B143,ROW(INDIRECT("1:"&amp;LEN(metadata!B143))), 1),"0123456789abcdefghijklmnopqrstuvwxyzABCDEFGHIJKLMNOPQRSTUVWXYZ.")))))</f>
        <v>0</v>
      </c>
      <c r="R143" t="b">
        <f>AND(IF(metadata!C143="",FALSE,TRUE),OR(EXACT(metadata!C143,"saline"),EXACT(metadata!C143,"non-saline")))</f>
        <v>0</v>
      </c>
      <c r="S143" t="b">
        <f>AND(IF(metadata!D143="",FALSE,TRUE),OR(EXACT(metadata!D143,"surface (non-saline)"),EXACT(metadata!D143,"aerosol (non-saline)"),EXACT(metadata!D143,"sediment (non-saline)"),EXACT(metadata!D143,"surface (saline)"),EXACT(metadata!D143,"aerosol (saline)"),EXACT(metadata!D143,"sediment (saline)")))</f>
        <v>0</v>
      </c>
      <c r="T143" t="b">
        <f>AND(IF(metadata!E143="",FALSE,TRUE),EXACT(metadata!E143,"built environment"))</f>
        <v>0</v>
      </c>
      <c r="U143" t="b">
        <f>OR(AND(IF(metadata!F143="",FALSE,TRUE),EXACT(metadata!F143,"not applicable")),AND(IF(metadata!F143="",FALSE,TRUE),EXACT(metadata!F143,"anaerobic digester content")))</f>
        <v>0</v>
      </c>
    </row>
    <row r="144" spans="1:21" x14ac:dyDescent="0.2">
      <c r="A144" s="4" t="str">
        <f ca="1">IF(B144=" "," ",HYPERLINK(CONCATENATE("#metadata!",ADDRESS(INDEX($L$2:$L$1001,MATCH(ROWS($J$2:J144),$J$2:$J$1001,0),0),1)),INDEX($O$2:$O$1001,MATCH(ROWS($J$2:J144),$J$2:$J$1001,0),0)))</f>
        <v xml:space="preserve"> </v>
      </c>
      <c r="B144" s="3" t="str">
        <f ca="1">IF(OR(INDEX($K$2:$K$1001,MATCH(ROWS($J$2:J144),$J$2:$J$1001,0),1)&gt;=100000,INDEX($Q$1005:$U$1005,1,MATCH(COLUMNS($Q$1006:Q1006),$Q$1006:$U$1006,0))&gt;=100000), " ",IF(INDEX($Q$2:$U$1001,MATCH(ROWS($J$2:J144),$J$2:$J$1001,0),MATCH(COLUMNS($Q$1006:Q1006),$Q$1006:$U$1006,0)), HYPERLINK("#",""), HYPERLINK(CONCATENATE("#metadata!", ADDRESS(INDEX($L$2:$L$1001,MATCH(ROWS($J$2:J144),$J$2:$J$1001,0),0), INDEX($Q$1004:$U$1004,1,MATCH(COLUMNS($Q$1006:Q1006),$Q$1006:$U$1006,0)))),"Fix")))</f>
        <v xml:space="preserve"> </v>
      </c>
      <c r="C144" s="3" t="str">
        <f ca="1">IF(OR(INDEX($K$2:$K$1001,MATCH(ROWS($J$2:J144),$J$2:$J$1001,0),1)&gt;=100000,INDEX($Q$1005:$U$1005,1,MATCH(COLUMNS($Q$1006:R1006),$Q$1006:$U$1006,0))&gt;=100000), " ",IF(INDEX($Q$2:$U$1001,MATCH(ROWS($J$2:J144),$J$2:$J$1001,0),MATCH(COLUMNS($Q$1006:R1006),$Q$1006:$U$1006,0)), HYPERLINK("#",""), HYPERLINK(CONCATENATE("#metadata!", ADDRESS(INDEX($L$2:$L$1001,MATCH(ROWS($J$2:J144),$J$2:$J$1001,0),0), INDEX($Q$1004:$U$1004,1,MATCH(COLUMNS($Q$1006:R1006),$Q$1006:$U$1006,0)))),"Fix")))</f>
        <v xml:space="preserve"> </v>
      </c>
      <c r="D144" s="3" t="str">
        <f ca="1">IF(OR(INDEX($K$2:$K$1001,MATCH(ROWS($J$2:J144),$J$2:$J$1001,0),1)&gt;=100000,INDEX($Q$1005:$U$1005,1,MATCH(COLUMNS($Q$1006:S1006),$Q$1006:$U$1006,0))&gt;=100000), " ",IF(INDEX($Q$2:$U$1001,MATCH(ROWS($J$2:J144),$J$2:$J$1001,0),MATCH(COLUMNS($Q$1006:S1006),$Q$1006:$U$1006,0)), HYPERLINK("#",""), HYPERLINK(CONCATENATE("#metadata!", ADDRESS(INDEX($L$2:$L$1001,MATCH(ROWS($J$2:J144),$J$2:$J$1001,0),0), INDEX($Q$1004:$U$1004,1,MATCH(COLUMNS($Q$1006:S1006),$Q$1006:$U$1006,0)))),"Fix")))</f>
        <v xml:space="preserve"> </v>
      </c>
      <c r="E144" s="3" t="str">
        <f ca="1">IF(OR(INDEX($K$2:$K$1001,MATCH(ROWS($J$2:J144),$J$2:$J$1001,0),1)&gt;=100000,INDEX($Q$1005:$U$1005,1,MATCH(COLUMNS($Q$1006:T1006),$Q$1006:$U$1006,0))&gt;=100000), " ",IF(INDEX($Q$2:$U$1001,MATCH(ROWS($J$2:J144),$J$2:$J$1001,0),MATCH(COLUMNS($Q$1006:T1006),$Q$1006:$U$1006,0)), HYPERLINK("#",""), HYPERLINK(CONCATENATE("#metadata!", ADDRESS(INDEX($L$2:$L$1001,MATCH(ROWS($J$2:J144),$J$2:$J$1001,0),0), INDEX($Q$1004:$U$1004,1,MATCH(COLUMNS($Q$1006:T1006),$Q$1006:$U$1006,0)))),"Fix")))</f>
        <v xml:space="preserve"> </v>
      </c>
      <c r="F144" s="3" t="str">
        <f ca="1">IF(OR(INDEX($K$2:$K$1001,MATCH(ROWS($J$2:J144),$J$2:$J$1001,0),1)&gt;=100000,INDEX($Q$1005:$U$1005,1,MATCH(COLUMNS($Q$1006:U1006),$Q$1006:$U$1006,0))&gt;=100000), " ",IF(INDEX($Q$2:$U$1001,MATCH(ROWS($J$2:J144),$J$2:$J$1001,0),MATCH(COLUMNS($Q$1006:U1006),$Q$1006:$U$1006,0)), HYPERLINK("#",""), HYPERLINK(CONCATENATE("#metadata!", ADDRESS(INDEX($L$2:$L$1001,MATCH(ROWS($J$2:J144),$J$2:$J$1001,0),0), INDEX($Q$1004:$U$1004,1,MATCH(COLUMNS($Q$1006:U1006),$Q$1006:$U$1006,0)))),"Fix")))</f>
        <v xml:space="preserve"> </v>
      </c>
      <c r="J144">
        <v>143</v>
      </c>
      <c r="K144">
        <v>100144</v>
      </c>
      <c r="L144">
        <v>144</v>
      </c>
      <c r="M144" t="b">
        <f t="shared" si="2"/>
        <v>1</v>
      </c>
      <c r="N144" t="b">
        <f>COUNTBLANK(metadata!B144:F144)=COLUMNS(metadata!B144:F144)</f>
        <v>1</v>
      </c>
      <c r="O144" t="str">
        <v/>
      </c>
      <c r="Q144" t="b">
        <f ca="1">AND(IF(metadata!B144="",FALSE,TRUE),COUNTIF(metadata!B:B, metadata!B144) = 1,NOT(ISERROR(SUMPRODUCT(SEARCH(MID(metadata!B144,ROW(INDIRECT("1:"&amp;LEN(metadata!B144))), 1),"0123456789abcdefghijklmnopqrstuvwxyzABCDEFGHIJKLMNOPQRSTUVWXYZ.")))))</f>
        <v>0</v>
      </c>
      <c r="R144" t="b">
        <f>AND(IF(metadata!C144="",FALSE,TRUE),OR(EXACT(metadata!C144,"saline"),EXACT(metadata!C144,"non-saline")))</f>
        <v>0</v>
      </c>
      <c r="S144" t="b">
        <f>AND(IF(metadata!D144="",FALSE,TRUE),OR(EXACT(metadata!D144,"surface (non-saline)"),EXACT(metadata!D144,"aerosol (non-saline)"),EXACT(metadata!D144,"sediment (non-saline)"),EXACT(metadata!D144,"surface (saline)"),EXACT(metadata!D144,"aerosol (saline)"),EXACT(metadata!D144,"sediment (saline)")))</f>
        <v>0</v>
      </c>
      <c r="T144" t="b">
        <f>AND(IF(metadata!E144="",FALSE,TRUE),EXACT(metadata!E144,"built environment"))</f>
        <v>0</v>
      </c>
      <c r="U144" t="b">
        <f>OR(AND(IF(metadata!F144="",FALSE,TRUE),EXACT(metadata!F144,"not applicable")),AND(IF(metadata!F144="",FALSE,TRUE),EXACT(metadata!F144,"anaerobic digester content")))</f>
        <v>0</v>
      </c>
    </row>
    <row r="145" spans="1:21" x14ac:dyDescent="0.2">
      <c r="A145" s="4" t="str">
        <f ca="1">IF(B145=" "," ",HYPERLINK(CONCATENATE("#metadata!",ADDRESS(INDEX($L$2:$L$1001,MATCH(ROWS($J$2:J145),$J$2:$J$1001,0),0),1)),INDEX($O$2:$O$1001,MATCH(ROWS($J$2:J145),$J$2:$J$1001,0),0)))</f>
        <v xml:space="preserve"> </v>
      </c>
      <c r="B145" s="3" t="str">
        <f ca="1">IF(OR(INDEX($K$2:$K$1001,MATCH(ROWS($J$2:J145),$J$2:$J$1001,0),1)&gt;=100000,INDEX($Q$1005:$U$1005,1,MATCH(COLUMNS($Q$1006:Q1006),$Q$1006:$U$1006,0))&gt;=100000), " ",IF(INDEX($Q$2:$U$1001,MATCH(ROWS($J$2:J145),$J$2:$J$1001,0),MATCH(COLUMNS($Q$1006:Q1006),$Q$1006:$U$1006,0)), HYPERLINK("#",""), HYPERLINK(CONCATENATE("#metadata!", ADDRESS(INDEX($L$2:$L$1001,MATCH(ROWS($J$2:J145),$J$2:$J$1001,0),0), INDEX($Q$1004:$U$1004,1,MATCH(COLUMNS($Q$1006:Q1006),$Q$1006:$U$1006,0)))),"Fix")))</f>
        <v xml:space="preserve"> </v>
      </c>
      <c r="C145" s="3" t="str">
        <f ca="1">IF(OR(INDEX($K$2:$K$1001,MATCH(ROWS($J$2:J145),$J$2:$J$1001,0),1)&gt;=100000,INDEX($Q$1005:$U$1005,1,MATCH(COLUMNS($Q$1006:R1006),$Q$1006:$U$1006,0))&gt;=100000), " ",IF(INDEX($Q$2:$U$1001,MATCH(ROWS($J$2:J145),$J$2:$J$1001,0),MATCH(COLUMNS($Q$1006:R1006),$Q$1006:$U$1006,0)), HYPERLINK("#",""), HYPERLINK(CONCATENATE("#metadata!", ADDRESS(INDEX($L$2:$L$1001,MATCH(ROWS($J$2:J145),$J$2:$J$1001,0),0), INDEX($Q$1004:$U$1004,1,MATCH(COLUMNS($Q$1006:R1006),$Q$1006:$U$1006,0)))),"Fix")))</f>
        <v xml:space="preserve"> </v>
      </c>
      <c r="D145" s="3" t="str">
        <f ca="1">IF(OR(INDEX($K$2:$K$1001,MATCH(ROWS($J$2:J145),$J$2:$J$1001,0),1)&gt;=100000,INDEX($Q$1005:$U$1005,1,MATCH(COLUMNS($Q$1006:S1006),$Q$1006:$U$1006,0))&gt;=100000), " ",IF(INDEX($Q$2:$U$1001,MATCH(ROWS($J$2:J145),$J$2:$J$1001,0),MATCH(COLUMNS($Q$1006:S1006),$Q$1006:$U$1006,0)), HYPERLINK("#",""), HYPERLINK(CONCATENATE("#metadata!", ADDRESS(INDEX($L$2:$L$1001,MATCH(ROWS($J$2:J145),$J$2:$J$1001,0),0), INDEX($Q$1004:$U$1004,1,MATCH(COLUMNS($Q$1006:S1006),$Q$1006:$U$1006,0)))),"Fix")))</f>
        <v xml:space="preserve"> </v>
      </c>
      <c r="E145" s="3" t="str">
        <f ca="1">IF(OR(INDEX($K$2:$K$1001,MATCH(ROWS($J$2:J145),$J$2:$J$1001,0),1)&gt;=100000,INDEX($Q$1005:$U$1005,1,MATCH(COLUMNS($Q$1006:T1006),$Q$1006:$U$1006,0))&gt;=100000), " ",IF(INDEX($Q$2:$U$1001,MATCH(ROWS($J$2:J145),$J$2:$J$1001,0),MATCH(COLUMNS($Q$1006:T1006),$Q$1006:$U$1006,0)), HYPERLINK("#",""), HYPERLINK(CONCATENATE("#metadata!", ADDRESS(INDEX($L$2:$L$1001,MATCH(ROWS($J$2:J145),$J$2:$J$1001,0),0), INDEX($Q$1004:$U$1004,1,MATCH(COLUMNS($Q$1006:T1006),$Q$1006:$U$1006,0)))),"Fix")))</f>
        <v xml:space="preserve"> </v>
      </c>
      <c r="F145" s="3" t="str">
        <f ca="1">IF(OR(INDEX($K$2:$K$1001,MATCH(ROWS($J$2:J145),$J$2:$J$1001,0),1)&gt;=100000,INDEX($Q$1005:$U$1005,1,MATCH(COLUMNS($Q$1006:U1006),$Q$1006:$U$1006,0))&gt;=100000), " ",IF(INDEX($Q$2:$U$1001,MATCH(ROWS($J$2:J145),$J$2:$J$1001,0),MATCH(COLUMNS($Q$1006:U1006),$Q$1006:$U$1006,0)), HYPERLINK("#",""), HYPERLINK(CONCATENATE("#metadata!", ADDRESS(INDEX($L$2:$L$1001,MATCH(ROWS($J$2:J145),$J$2:$J$1001,0),0), INDEX($Q$1004:$U$1004,1,MATCH(COLUMNS($Q$1006:U1006),$Q$1006:$U$1006,0)))),"Fix")))</f>
        <v xml:space="preserve"> </v>
      </c>
      <c r="J145">
        <v>144</v>
      </c>
      <c r="K145">
        <v>100145</v>
      </c>
      <c r="L145">
        <v>145</v>
      </c>
      <c r="M145" t="b">
        <f t="shared" si="2"/>
        <v>1</v>
      </c>
      <c r="N145" t="b">
        <f>COUNTBLANK(metadata!B145:F145)=COLUMNS(metadata!B145:F145)</f>
        <v>1</v>
      </c>
      <c r="O145" t="str">
        <v/>
      </c>
      <c r="Q145" t="b">
        <f ca="1">AND(IF(metadata!B145="",FALSE,TRUE),COUNTIF(metadata!B:B, metadata!B145) = 1,NOT(ISERROR(SUMPRODUCT(SEARCH(MID(metadata!B145,ROW(INDIRECT("1:"&amp;LEN(metadata!B145))), 1),"0123456789abcdefghijklmnopqrstuvwxyzABCDEFGHIJKLMNOPQRSTUVWXYZ.")))))</f>
        <v>0</v>
      </c>
      <c r="R145" t="b">
        <f>AND(IF(metadata!C145="",FALSE,TRUE),OR(EXACT(metadata!C145,"saline"),EXACT(metadata!C145,"non-saline")))</f>
        <v>0</v>
      </c>
      <c r="S145" t="b">
        <f>AND(IF(metadata!D145="",FALSE,TRUE),OR(EXACT(metadata!D145,"surface (non-saline)"),EXACT(metadata!D145,"aerosol (non-saline)"),EXACT(metadata!D145,"sediment (non-saline)"),EXACT(metadata!D145,"surface (saline)"),EXACT(metadata!D145,"aerosol (saline)"),EXACT(metadata!D145,"sediment (saline)")))</f>
        <v>0</v>
      </c>
      <c r="T145" t="b">
        <f>AND(IF(metadata!E145="",FALSE,TRUE),EXACT(metadata!E145,"built environment"))</f>
        <v>0</v>
      </c>
      <c r="U145" t="b">
        <f>OR(AND(IF(metadata!F145="",FALSE,TRUE),EXACT(metadata!F145,"not applicable")),AND(IF(metadata!F145="",FALSE,TRUE),EXACT(metadata!F145,"anaerobic digester content")))</f>
        <v>0</v>
      </c>
    </row>
    <row r="146" spans="1:21" x14ac:dyDescent="0.2">
      <c r="A146" s="4" t="str">
        <f ca="1">IF(B146=" "," ",HYPERLINK(CONCATENATE("#metadata!",ADDRESS(INDEX($L$2:$L$1001,MATCH(ROWS($J$2:J146),$J$2:$J$1001,0),0),1)),INDEX($O$2:$O$1001,MATCH(ROWS($J$2:J146),$J$2:$J$1001,0),0)))</f>
        <v xml:space="preserve"> </v>
      </c>
      <c r="B146" s="3" t="str">
        <f ca="1">IF(OR(INDEX($K$2:$K$1001,MATCH(ROWS($J$2:J146),$J$2:$J$1001,0),1)&gt;=100000,INDEX($Q$1005:$U$1005,1,MATCH(COLUMNS($Q$1006:Q1006),$Q$1006:$U$1006,0))&gt;=100000), " ",IF(INDEX($Q$2:$U$1001,MATCH(ROWS($J$2:J146),$J$2:$J$1001,0),MATCH(COLUMNS($Q$1006:Q1006),$Q$1006:$U$1006,0)), HYPERLINK("#",""), HYPERLINK(CONCATENATE("#metadata!", ADDRESS(INDEX($L$2:$L$1001,MATCH(ROWS($J$2:J146),$J$2:$J$1001,0),0), INDEX($Q$1004:$U$1004,1,MATCH(COLUMNS($Q$1006:Q1006),$Q$1006:$U$1006,0)))),"Fix")))</f>
        <v xml:space="preserve"> </v>
      </c>
      <c r="C146" s="3" t="str">
        <f ca="1">IF(OR(INDEX($K$2:$K$1001,MATCH(ROWS($J$2:J146),$J$2:$J$1001,0),1)&gt;=100000,INDEX($Q$1005:$U$1005,1,MATCH(COLUMNS($Q$1006:R1006),$Q$1006:$U$1006,0))&gt;=100000), " ",IF(INDEX($Q$2:$U$1001,MATCH(ROWS($J$2:J146),$J$2:$J$1001,0),MATCH(COLUMNS($Q$1006:R1006),$Q$1006:$U$1006,0)), HYPERLINK("#",""), HYPERLINK(CONCATENATE("#metadata!", ADDRESS(INDEX($L$2:$L$1001,MATCH(ROWS($J$2:J146),$J$2:$J$1001,0),0), INDEX($Q$1004:$U$1004,1,MATCH(COLUMNS($Q$1006:R1006),$Q$1006:$U$1006,0)))),"Fix")))</f>
        <v xml:space="preserve"> </v>
      </c>
      <c r="D146" s="3" t="str">
        <f ca="1">IF(OR(INDEX($K$2:$K$1001,MATCH(ROWS($J$2:J146),$J$2:$J$1001,0),1)&gt;=100000,INDEX($Q$1005:$U$1005,1,MATCH(COLUMNS($Q$1006:S1006),$Q$1006:$U$1006,0))&gt;=100000), " ",IF(INDEX($Q$2:$U$1001,MATCH(ROWS($J$2:J146),$J$2:$J$1001,0),MATCH(COLUMNS($Q$1006:S1006),$Q$1006:$U$1006,0)), HYPERLINK("#",""), HYPERLINK(CONCATENATE("#metadata!", ADDRESS(INDEX($L$2:$L$1001,MATCH(ROWS($J$2:J146),$J$2:$J$1001,0),0), INDEX($Q$1004:$U$1004,1,MATCH(COLUMNS($Q$1006:S1006),$Q$1006:$U$1006,0)))),"Fix")))</f>
        <v xml:space="preserve"> </v>
      </c>
      <c r="E146" s="3" t="str">
        <f ca="1">IF(OR(INDEX($K$2:$K$1001,MATCH(ROWS($J$2:J146),$J$2:$J$1001,0),1)&gt;=100000,INDEX($Q$1005:$U$1005,1,MATCH(COLUMNS($Q$1006:T1006),$Q$1006:$U$1006,0))&gt;=100000), " ",IF(INDEX($Q$2:$U$1001,MATCH(ROWS($J$2:J146),$J$2:$J$1001,0),MATCH(COLUMNS($Q$1006:T1006),$Q$1006:$U$1006,0)), HYPERLINK("#",""), HYPERLINK(CONCATENATE("#metadata!", ADDRESS(INDEX($L$2:$L$1001,MATCH(ROWS($J$2:J146),$J$2:$J$1001,0),0), INDEX($Q$1004:$U$1004,1,MATCH(COLUMNS($Q$1006:T1006),$Q$1006:$U$1006,0)))),"Fix")))</f>
        <v xml:space="preserve"> </v>
      </c>
      <c r="F146" s="3" t="str">
        <f ca="1">IF(OR(INDEX($K$2:$K$1001,MATCH(ROWS($J$2:J146),$J$2:$J$1001,0),1)&gt;=100000,INDEX($Q$1005:$U$1005,1,MATCH(COLUMNS($Q$1006:U1006),$Q$1006:$U$1006,0))&gt;=100000), " ",IF(INDEX($Q$2:$U$1001,MATCH(ROWS($J$2:J146),$J$2:$J$1001,0),MATCH(COLUMNS($Q$1006:U1006),$Q$1006:$U$1006,0)), HYPERLINK("#",""), HYPERLINK(CONCATENATE("#metadata!", ADDRESS(INDEX($L$2:$L$1001,MATCH(ROWS($J$2:J146),$J$2:$J$1001,0),0), INDEX($Q$1004:$U$1004,1,MATCH(COLUMNS($Q$1006:U1006),$Q$1006:$U$1006,0)))),"Fix")))</f>
        <v xml:space="preserve"> </v>
      </c>
      <c r="J146">
        <v>145</v>
      </c>
      <c r="K146">
        <v>100146</v>
      </c>
      <c r="L146">
        <v>146</v>
      </c>
      <c r="M146" t="b">
        <f t="shared" si="2"/>
        <v>1</v>
      </c>
      <c r="N146" t="b">
        <f>COUNTBLANK(metadata!B146:F146)=COLUMNS(metadata!B146:F146)</f>
        <v>1</v>
      </c>
      <c r="O146" t="str">
        <v/>
      </c>
      <c r="Q146" t="b">
        <f ca="1">AND(IF(metadata!B146="",FALSE,TRUE),COUNTIF(metadata!B:B, metadata!B146) = 1,NOT(ISERROR(SUMPRODUCT(SEARCH(MID(metadata!B146,ROW(INDIRECT("1:"&amp;LEN(metadata!B146))), 1),"0123456789abcdefghijklmnopqrstuvwxyzABCDEFGHIJKLMNOPQRSTUVWXYZ.")))))</f>
        <v>0</v>
      </c>
      <c r="R146" t="b">
        <f>AND(IF(metadata!C146="",FALSE,TRUE),OR(EXACT(metadata!C146,"saline"),EXACT(metadata!C146,"non-saline")))</f>
        <v>0</v>
      </c>
      <c r="S146" t="b">
        <f>AND(IF(metadata!D146="",FALSE,TRUE),OR(EXACT(metadata!D146,"surface (non-saline)"),EXACT(metadata!D146,"aerosol (non-saline)"),EXACT(metadata!D146,"sediment (non-saline)"),EXACT(metadata!D146,"surface (saline)"),EXACT(metadata!D146,"aerosol (saline)"),EXACT(metadata!D146,"sediment (saline)")))</f>
        <v>0</v>
      </c>
      <c r="T146" t="b">
        <f>AND(IF(metadata!E146="",FALSE,TRUE),EXACT(metadata!E146,"built environment"))</f>
        <v>0</v>
      </c>
      <c r="U146" t="b">
        <f>OR(AND(IF(metadata!F146="",FALSE,TRUE),EXACT(metadata!F146,"not applicable")),AND(IF(metadata!F146="",FALSE,TRUE),EXACT(metadata!F146,"anaerobic digester content")))</f>
        <v>0</v>
      </c>
    </row>
    <row r="147" spans="1:21" x14ac:dyDescent="0.2">
      <c r="A147" s="4" t="str">
        <f ca="1">IF(B147=" "," ",HYPERLINK(CONCATENATE("#metadata!",ADDRESS(INDEX($L$2:$L$1001,MATCH(ROWS($J$2:J147),$J$2:$J$1001,0),0),1)),INDEX($O$2:$O$1001,MATCH(ROWS($J$2:J147),$J$2:$J$1001,0),0)))</f>
        <v xml:space="preserve"> </v>
      </c>
      <c r="B147" s="3" t="str">
        <f ca="1">IF(OR(INDEX($K$2:$K$1001,MATCH(ROWS($J$2:J147),$J$2:$J$1001,0),1)&gt;=100000,INDEX($Q$1005:$U$1005,1,MATCH(COLUMNS($Q$1006:Q1006),$Q$1006:$U$1006,0))&gt;=100000), " ",IF(INDEX($Q$2:$U$1001,MATCH(ROWS($J$2:J147),$J$2:$J$1001,0),MATCH(COLUMNS($Q$1006:Q1006),$Q$1006:$U$1006,0)), HYPERLINK("#",""), HYPERLINK(CONCATENATE("#metadata!", ADDRESS(INDEX($L$2:$L$1001,MATCH(ROWS($J$2:J147),$J$2:$J$1001,0),0), INDEX($Q$1004:$U$1004,1,MATCH(COLUMNS($Q$1006:Q1006),$Q$1006:$U$1006,0)))),"Fix")))</f>
        <v xml:space="preserve"> </v>
      </c>
      <c r="C147" s="3" t="str">
        <f ca="1">IF(OR(INDEX($K$2:$K$1001,MATCH(ROWS($J$2:J147),$J$2:$J$1001,0),1)&gt;=100000,INDEX($Q$1005:$U$1005,1,MATCH(COLUMNS($Q$1006:R1006),$Q$1006:$U$1006,0))&gt;=100000), " ",IF(INDEX($Q$2:$U$1001,MATCH(ROWS($J$2:J147),$J$2:$J$1001,0),MATCH(COLUMNS($Q$1006:R1006),$Q$1006:$U$1006,0)), HYPERLINK("#",""), HYPERLINK(CONCATENATE("#metadata!", ADDRESS(INDEX($L$2:$L$1001,MATCH(ROWS($J$2:J147),$J$2:$J$1001,0),0), INDEX($Q$1004:$U$1004,1,MATCH(COLUMNS($Q$1006:R1006),$Q$1006:$U$1006,0)))),"Fix")))</f>
        <v xml:space="preserve"> </v>
      </c>
      <c r="D147" s="3" t="str">
        <f ca="1">IF(OR(INDEX($K$2:$K$1001,MATCH(ROWS($J$2:J147),$J$2:$J$1001,0),1)&gt;=100000,INDEX($Q$1005:$U$1005,1,MATCH(COLUMNS($Q$1006:S1006),$Q$1006:$U$1006,0))&gt;=100000), " ",IF(INDEX($Q$2:$U$1001,MATCH(ROWS($J$2:J147),$J$2:$J$1001,0),MATCH(COLUMNS($Q$1006:S1006),$Q$1006:$U$1006,0)), HYPERLINK("#",""), HYPERLINK(CONCATENATE("#metadata!", ADDRESS(INDEX($L$2:$L$1001,MATCH(ROWS($J$2:J147),$J$2:$J$1001,0),0), INDEX($Q$1004:$U$1004,1,MATCH(COLUMNS($Q$1006:S1006),$Q$1006:$U$1006,0)))),"Fix")))</f>
        <v xml:space="preserve"> </v>
      </c>
      <c r="E147" s="3" t="str">
        <f ca="1">IF(OR(INDEX($K$2:$K$1001,MATCH(ROWS($J$2:J147),$J$2:$J$1001,0),1)&gt;=100000,INDEX($Q$1005:$U$1005,1,MATCH(COLUMNS($Q$1006:T1006),$Q$1006:$U$1006,0))&gt;=100000), " ",IF(INDEX($Q$2:$U$1001,MATCH(ROWS($J$2:J147),$J$2:$J$1001,0),MATCH(COLUMNS($Q$1006:T1006),$Q$1006:$U$1006,0)), HYPERLINK("#",""), HYPERLINK(CONCATENATE("#metadata!", ADDRESS(INDEX($L$2:$L$1001,MATCH(ROWS($J$2:J147),$J$2:$J$1001,0),0), INDEX($Q$1004:$U$1004,1,MATCH(COLUMNS($Q$1006:T1006),$Q$1006:$U$1006,0)))),"Fix")))</f>
        <v xml:space="preserve"> </v>
      </c>
      <c r="F147" s="3" t="str">
        <f ca="1">IF(OR(INDEX($K$2:$K$1001,MATCH(ROWS($J$2:J147),$J$2:$J$1001,0),1)&gt;=100000,INDEX($Q$1005:$U$1005,1,MATCH(COLUMNS($Q$1006:U1006),$Q$1006:$U$1006,0))&gt;=100000), " ",IF(INDEX($Q$2:$U$1001,MATCH(ROWS($J$2:J147),$J$2:$J$1001,0),MATCH(COLUMNS($Q$1006:U1006),$Q$1006:$U$1006,0)), HYPERLINK("#",""), HYPERLINK(CONCATENATE("#metadata!", ADDRESS(INDEX($L$2:$L$1001,MATCH(ROWS($J$2:J147),$J$2:$J$1001,0),0), INDEX($Q$1004:$U$1004,1,MATCH(COLUMNS($Q$1006:U1006),$Q$1006:$U$1006,0)))),"Fix")))</f>
        <v xml:space="preserve"> </v>
      </c>
      <c r="J147">
        <v>146</v>
      </c>
      <c r="K147">
        <v>100147</v>
      </c>
      <c r="L147">
        <v>147</v>
      </c>
      <c r="M147" t="b">
        <f t="shared" si="2"/>
        <v>1</v>
      </c>
      <c r="N147" t="b">
        <f>COUNTBLANK(metadata!B147:F147)=COLUMNS(metadata!B147:F147)</f>
        <v>1</v>
      </c>
      <c r="O147" t="str">
        <v/>
      </c>
      <c r="Q147" t="b">
        <f ca="1">AND(IF(metadata!B147="",FALSE,TRUE),COUNTIF(metadata!B:B, metadata!B147) = 1,NOT(ISERROR(SUMPRODUCT(SEARCH(MID(metadata!B147,ROW(INDIRECT("1:"&amp;LEN(metadata!B147))), 1),"0123456789abcdefghijklmnopqrstuvwxyzABCDEFGHIJKLMNOPQRSTUVWXYZ.")))))</f>
        <v>0</v>
      </c>
      <c r="R147" t="b">
        <f>AND(IF(metadata!C147="",FALSE,TRUE),OR(EXACT(metadata!C147,"saline"),EXACT(metadata!C147,"non-saline")))</f>
        <v>0</v>
      </c>
      <c r="S147" t="b">
        <f>AND(IF(metadata!D147="",FALSE,TRUE),OR(EXACT(metadata!D147,"surface (non-saline)"),EXACT(metadata!D147,"aerosol (non-saline)"),EXACT(metadata!D147,"sediment (non-saline)"),EXACT(metadata!D147,"surface (saline)"),EXACT(metadata!D147,"aerosol (saline)"),EXACT(metadata!D147,"sediment (saline)")))</f>
        <v>0</v>
      </c>
      <c r="T147" t="b">
        <f>AND(IF(metadata!E147="",FALSE,TRUE),EXACT(metadata!E147,"built environment"))</f>
        <v>0</v>
      </c>
      <c r="U147" t="b">
        <f>OR(AND(IF(metadata!F147="",FALSE,TRUE),EXACT(metadata!F147,"not applicable")),AND(IF(metadata!F147="",FALSE,TRUE),EXACT(metadata!F147,"anaerobic digester content")))</f>
        <v>0</v>
      </c>
    </row>
    <row r="148" spans="1:21" x14ac:dyDescent="0.2">
      <c r="A148" s="4" t="str">
        <f ca="1">IF(B148=" "," ",HYPERLINK(CONCATENATE("#metadata!",ADDRESS(INDEX($L$2:$L$1001,MATCH(ROWS($J$2:J148),$J$2:$J$1001,0),0),1)),INDEX($O$2:$O$1001,MATCH(ROWS($J$2:J148),$J$2:$J$1001,0),0)))</f>
        <v xml:space="preserve"> </v>
      </c>
      <c r="B148" s="3" t="str">
        <f ca="1">IF(OR(INDEX($K$2:$K$1001,MATCH(ROWS($J$2:J148),$J$2:$J$1001,0),1)&gt;=100000,INDEX($Q$1005:$U$1005,1,MATCH(COLUMNS($Q$1006:Q1006),$Q$1006:$U$1006,0))&gt;=100000), " ",IF(INDEX($Q$2:$U$1001,MATCH(ROWS($J$2:J148),$J$2:$J$1001,0),MATCH(COLUMNS($Q$1006:Q1006),$Q$1006:$U$1006,0)), HYPERLINK("#",""), HYPERLINK(CONCATENATE("#metadata!", ADDRESS(INDEX($L$2:$L$1001,MATCH(ROWS($J$2:J148),$J$2:$J$1001,0),0), INDEX($Q$1004:$U$1004,1,MATCH(COLUMNS($Q$1006:Q1006),$Q$1006:$U$1006,0)))),"Fix")))</f>
        <v xml:space="preserve"> </v>
      </c>
      <c r="C148" s="3" t="str">
        <f ca="1">IF(OR(INDEX($K$2:$K$1001,MATCH(ROWS($J$2:J148),$J$2:$J$1001,0),1)&gt;=100000,INDEX($Q$1005:$U$1005,1,MATCH(COLUMNS($Q$1006:R1006),$Q$1006:$U$1006,0))&gt;=100000), " ",IF(INDEX($Q$2:$U$1001,MATCH(ROWS($J$2:J148),$J$2:$J$1001,0),MATCH(COLUMNS($Q$1006:R1006),$Q$1006:$U$1006,0)), HYPERLINK("#",""), HYPERLINK(CONCATENATE("#metadata!", ADDRESS(INDEX($L$2:$L$1001,MATCH(ROWS($J$2:J148),$J$2:$J$1001,0),0), INDEX($Q$1004:$U$1004,1,MATCH(COLUMNS($Q$1006:R1006),$Q$1006:$U$1006,0)))),"Fix")))</f>
        <v xml:space="preserve"> </v>
      </c>
      <c r="D148" s="3" t="str">
        <f ca="1">IF(OR(INDEX($K$2:$K$1001,MATCH(ROWS($J$2:J148),$J$2:$J$1001,0),1)&gt;=100000,INDEX($Q$1005:$U$1005,1,MATCH(COLUMNS($Q$1006:S1006),$Q$1006:$U$1006,0))&gt;=100000), " ",IF(INDEX($Q$2:$U$1001,MATCH(ROWS($J$2:J148),$J$2:$J$1001,0),MATCH(COLUMNS($Q$1006:S1006),$Q$1006:$U$1006,0)), HYPERLINK("#",""), HYPERLINK(CONCATENATE("#metadata!", ADDRESS(INDEX($L$2:$L$1001,MATCH(ROWS($J$2:J148),$J$2:$J$1001,0),0), INDEX($Q$1004:$U$1004,1,MATCH(COLUMNS($Q$1006:S1006),$Q$1006:$U$1006,0)))),"Fix")))</f>
        <v xml:space="preserve"> </v>
      </c>
      <c r="E148" s="3" t="str">
        <f ca="1">IF(OR(INDEX($K$2:$K$1001,MATCH(ROWS($J$2:J148),$J$2:$J$1001,0),1)&gt;=100000,INDEX($Q$1005:$U$1005,1,MATCH(COLUMNS($Q$1006:T1006),$Q$1006:$U$1006,0))&gt;=100000), " ",IF(INDEX($Q$2:$U$1001,MATCH(ROWS($J$2:J148),$J$2:$J$1001,0),MATCH(COLUMNS($Q$1006:T1006),$Q$1006:$U$1006,0)), HYPERLINK("#",""), HYPERLINK(CONCATENATE("#metadata!", ADDRESS(INDEX($L$2:$L$1001,MATCH(ROWS($J$2:J148),$J$2:$J$1001,0),0), INDEX($Q$1004:$U$1004,1,MATCH(COLUMNS($Q$1006:T1006),$Q$1006:$U$1006,0)))),"Fix")))</f>
        <v xml:space="preserve"> </v>
      </c>
      <c r="F148" s="3" t="str">
        <f ca="1">IF(OR(INDEX($K$2:$K$1001,MATCH(ROWS($J$2:J148),$J$2:$J$1001,0),1)&gt;=100000,INDEX($Q$1005:$U$1005,1,MATCH(COLUMNS($Q$1006:U1006),$Q$1006:$U$1006,0))&gt;=100000), " ",IF(INDEX($Q$2:$U$1001,MATCH(ROWS($J$2:J148),$J$2:$J$1001,0),MATCH(COLUMNS($Q$1006:U1006),$Q$1006:$U$1006,0)), HYPERLINK("#",""), HYPERLINK(CONCATENATE("#metadata!", ADDRESS(INDEX($L$2:$L$1001,MATCH(ROWS($J$2:J148),$J$2:$J$1001,0),0), INDEX($Q$1004:$U$1004,1,MATCH(COLUMNS($Q$1006:U1006),$Q$1006:$U$1006,0)))),"Fix")))</f>
        <v xml:space="preserve"> </v>
      </c>
      <c r="J148">
        <v>147</v>
      </c>
      <c r="K148">
        <v>100148</v>
      </c>
      <c r="L148">
        <v>148</v>
      </c>
      <c r="M148" t="b">
        <f t="shared" si="2"/>
        <v>1</v>
      </c>
      <c r="N148" t="b">
        <f>COUNTBLANK(metadata!B148:F148)=COLUMNS(metadata!B148:F148)</f>
        <v>1</v>
      </c>
      <c r="O148" t="str">
        <v/>
      </c>
      <c r="Q148" t="b">
        <f ca="1">AND(IF(metadata!B148="",FALSE,TRUE),COUNTIF(metadata!B:B, metadata!B148) = 1,NOT(ISERROR(SUMPRODUCT(SEARCH(MID(metadata!B148,ROW(INDIRECT("1:"&amp;LEN(metadata!B148))), 1),"0123456789abcdefghijklmnopqrstuvwxyzABCDEFGHIJKLMNOPQRSTUVWXYZ.")))))</f>
        <v>0</v>
      </c>
      <c r="R148" t="b">
        <f>AND(IF(metadata!C148="",FALSE,TRUE),OR(EXACT(metadata!C148,"saline"),EXACT(metadata!C148,"non-saline")))</f>
        <v>0</v>
      </c>
      <c r="S148" t="b">
        <f>AND(IF(metadata!D148="",FALSE,TRUE),OR(EXACT(metadata!D148,"surface (non-saline)"),EXACT(metadata!D148,"aerosol (non-saline)"),EXACT(metadata!D148,"sediment (non-saline)"),EXACT(metadata!D148,"surface (saline)"),EXACT(metadata!D148,"aerosol (saline)"),EXACT(metadata!D148,"sediment (saline)")))</f>
        <v>0</v>
      </c>
      <c r="T148" t="b">
        <f>AND(IF(metadata!E148="",FALSE,TRUE),EXACT(metadata!E148,"built environment"))</f>
        <v>0</v>
      </c>
      <c r="U148" t="b">
        <f>OR(AND(IF(metadata!F148="",FALSE,TRUE),EXACT(metadata!F148,"not applicable")),AND(IF(metadata!F148="",FALSE,TRUE),EXACT(metadata!F148,"anaerobic digester content")))</f>
        <v>0</v>
      </c>
    </row>
    <row r="149" spans="1:21" x14ac:dyDescent="0.2">
      <c r="A149" s="4" t="str">
        <f ca="1">IF(B149=" "," ",HYPERLINK(CONCATENATE("#metadata!",ADDRESS(INDEX($L$2:$L$1001,MATCH(ROWS($J$2:J149),$J$2:$J$1001,0),0),1)),INDEX($O$2:$O$1001,MATCH(ROWS($J$2:J149),$J$2:$J$1001,0),0)))</f>
        <v xml:space="preserve"> </v>
      </c>
      <c r="B149" s="3" t="str">
        <f ca="1">IF(OR(INDEX($K$2:$K$1001,MATCH(ROWS($J$2:J149),$J$2:$J$1001,0),1)&gt;=100000,INDEX($Q$1005:$U$1005,1,MATCH(COLUMNS($Q$1006:Q1006),$Q$1006:$U$1006,0))&gt;=100000), " ",IF(INDEX($Q$2:$U$1001,MATCH(ROWS($J$2:J149),$J$2:$J$1001,0),MATCH(COLUMNS($Q$1006:Q1006),$Q$1006:$U$1006,0)), HYPERLINK("#",""), HYPERLINK(CONCATENATE("#metadata!", ADDRESS(INDEX($L$2:$L$1001,MATCH(ROWS($J$2:J149),$J$2:$J$1001,0),0), INDEX($Q$1004:$U$1004,1,MATCH(COLUMNS($Q$1006:Q1006),$Q$1006:$U$1006,0)))),"Fix")))</f>
        <v xml:space="preserve"> </v>
      </c>
      <c r="C149" s="3" t="str">
        <f ca="1">IF(OR(INDEX($K$2:$K$1001,MATCH(ROWS($J$2:J149),$J$2:$J$1001,0),1)&gt;=100000,INDEX($Q$1005:$U$1005,1,MATCH(COLUMNS($Q$1006:R1006),$Q$1006:$U$1006,0))&gt;=100000), " ",IF(INDEX($Q$2:$U$1001,MATCH(ROWS($J$2:J149),$J$2:$J$1001,0),MATCH(COLUMNS($Q$1006:R1006),$Q$1006:$U$1006,0)), HYPERLINK("#",""), HYPERLINK(CONCATENATE("#metadata!", ADDRESS(INDEX($L$2:$L$1001,MATCH(ROWS($J$2:J149),$J$2:$J$1001,0),0), INDEX($Q$1004:$U$1004,1,MATCH(COLUMNS($Q$1006:R1006),$Q$1006:$U$1006,0)))),"Fix")))</f>
        <v xml:space="preserve"> </v>
      </c>
      <c r="D149" s="3" t="str">
        <f ca="1">IF(OR(INDEX($K$2:$K$1001,MATCH(ROWS($J$2:J149),$J$2:$J$1001,0),1)&gt;=100000,INDEX($Q$1005:$U$1005,1,MATCH(COLUMNS($Q$1006:S1006),$Q$1006:$U$1006,0))&gt;=100000), " ",IF(INDEX($Q$2:$U$1001,MATCH(ROWS($J$2:J149),$J$2:$J$1001,0),MATCH(COLUMNS($Q$1006:S1006),$Q$1006:$U$1006,0)), HYPERLINK("#",""), HYPERLINK(CONCATENATE("#metadata!", ADDRESS(INDEX($L$2:$L$1001,MATCH(ROWS($J$2:J149),$J$2:$J$1001,0),0), INDEX($Q$1004:$U$1004,1,MATCH(COLUMNS($Q$1006:S1006),$Q$1006:$U$1006,0)))),"Fix")))</f>
        <v xml:space="preserve"> </v>
      </c>
      <c r="E149" s="3" t="str">
        <f ca="1">IF(OR(INDEX($K$2:$K$1001,MATCH(ROWS($J$2:J149),$J$2:$J$1001,0),1)&gt;=100000,INDEX($Q$1005:$U$1005,1,MATCH(COLUMNS($Q$1006:T1006),$Q$1006:$U$1006,0))&gt;=100000), " ",IF(INDEX($Q$2:$U$1001,MATCH(ROWS($J$2:J149),$J$2:$J$1001,0),MATCH(COLUMNS($Q$1006:T1006),$Q$1006:$U$1006,0)), HYPERLINK("#",""), HYPERLINK(CONCATENATE("#metadata!", ADDRESS(INDEX($L$2:$L$1001,MATCH(ROWS($J$2:J149),$J$2:$J$1001,0),0), INDEX($Q$1004:$U$1004,1,MATCH(COLUMNS($Q$1006:T1006),$Q$1006:$U$1006,0)))),"Fix")))</f>
        <v xml:space="preserve"> </v>
      </c>
      <c r="F149" s="3" t="str">
        <f ca="1">IF(OR(INDEX($K$2:$K$1001,MATCH(ROWS($J$2:J149),$J$2:$J$1001,0),1)&gt;=100000,INDEX($Q$1005:$U$1005,1,MATCH(COLUMNS($Q$1006:U1006),$Q$1006:$U$1006,0))&gt;=100000), " ",IF(INDEX($Q$2:$U$1001,MATCH(ROWS($J$2:J149),$J$2:$J$1001,0),MATCH(COLUMNS($Q$1006:U1006),$Q$1006:$U$1006,0)), HYPERLINK("#",""), HYPERLINK(CONCATENATE("#metadata!", ADDRESS(INDEX($L$2:$L$1001,MATCH(ROWS($J$2:J149),$J$2:$J$1001,0),0), INDEX($Q$1004:$U$1004,1,MATCH(COLUMNS($Q$1006:U1006),$Q$1006:$U$1006,0)))),"Fix")))</f>
        <v xml:space="preserve"> </v>
      </c>
      <c r="J149">
        <v>148</v>
      </c>
      <c r="K149">
        <v>100149</v>
      </c>
      <c r="L149">
        <v>149</v>
      </c>
      <c r="M149" t="b">
        <f t="shared" si="2"/>
        <v>1</v>
      </c>
      <c r="N149" t="b">
        <f>COUNTBLANK(metadata!B149:F149)=COLUMNS(metadata!B149:F149)</f>
        <v>1</v>
      </c>
      <c r="O149" t="str">
        <v/>
      </c>
      <c r="Q149" t="b">
        <f ca="1">AND(IF(metadata!B149="",FALSE,TRUE),COUNTIF(metadata!B:B, metadata!B149) = 1,NOT(ISERROR(SUMPRODUCT(SEARCH(MID(metadata!B149,ROW(INDIRECT("1:"&amp;LEN(metadata!B149))), 1),"0123456789abcdefghijklmnopqrstuvwxyzABCDEFGHIJKLMNOPQRSTUVWXYZ.")))))</f>
        <v>0</v>
      </c>
      <c r="R149" t="b">
        <f>AND(IF(metadata!C149="",FALSE,TRUE),OR(EXACT(metadata!C149,"saline"),EXACT(metadata!C149,"non-saline")))</f>
        <v>0</v>
      </c>
      <c r="S149" t="b">
        <f>AND(IF(metadata!D149="",FALSE,TRUE),OR(EXACT(metadata!D149,"surface (non-saline)"),EXACT(metadata!D149,"aerosol (non-saline)"),EXACT(metadata!D149,"sediment (non-saline)"),EXACT(metadata!D149,"surface (saline)"),EXACT(metadata!D149,"aerosol (saline)"),EXACT(metadata!D149,"sediment (saline)")))</f>
        <v>0</v>
      </c>
      <c r="T149" t="b">
        <f>AND(IF(metadata!E149="",FALSE,TRUE),EXACT(metadata!E149,"built environment"))</f>
        <v>0</v>
      </c>
      <c r="U149" t="b">
        <f>OR(AND(IF(metadata!F149="",FALSE,TRUE),EXACT(metadata!F149,"not applicable")),AND(IF(metadata!F149="",FALSE,TRUE),EXACT(metadata!F149,"anaerobic digester content")))</f>
        <v>0</v>
      </c>
    </row>
    <row r="150" spans="1:21" x14ac:dyDescent="0.2">
      <c r="A150" s="4" t="str">
        <f ca="1">IF(B150=" "," ",HYPERLINK(CONCATENATE("#metadata!",ADDRESS(INDEX($L$2:$L$1001,MATCH(ROWS($J$2:J150),$J$2:$J$1001,0),0),1)),INDEX($O$2:$O$1001,MATCH(ROWS($J$2:J150),$J$2:$J$1001,0),0)))</f>
        <v xml:space="preserve"> </v>
      </c>
      <c r="B150" s="3" t="str">
        <f ca="1">IF(OR(INDEX($K$2:$K$1001,MATCH(ROWS($J$2:J150),$J$2:$J$1001,0),1)&gt;=100000,INDEX($Q$1005:$U$1005,1,MATCH(COLUMNS($Q$1006:Q1006),$Q$1006:$U$1006,0))&gt;=100000), " ",IF(INDEX($Q$2:$U$1001,MATCH(ROWS($J$2:J150),$J$2:$J$1001,0),MATCH(COLUMNS($Q$1006:Q1006),$Q$1006:$U$1006,0)), HYPERLINK("#",""), HYPERLINK(CONCATENATE("#metadata!", ADDRESS(INDEX($L$2:$L$1001,MATCH(ROWS($J$2:J150),$J$2:$J$1001,0),0), INDEX($Q$1004:$U$1004,1,MATCH(COLUMNS($Q$1006:Q1006),$Q$1006:$U$1006,0)))),"Fix")))</f>
        <v xml:space="preserve"> </v>
      </c>
      <c r="C150" s="3" t="str">
        <f ca="1">IF(OR(INDEX($K$2:$K$1001,MATCH(ROWS($J$2:J150),$J$2:$J$1001,0),1)&gt;=100000,INDEX($Q$1005:$U$1005,1,MATCH(COLUMNS($Q$1006:R1006),$Q$1006:$U$1006,0))&gt;=100000), " ",IF(INDEX($Q$2:$U$1001,MATCH(ROWS($J$2:J150),$J$2:$J$1001,0),MATCH(COLUMNS($Q$1006:R1006),$Q$1006:$U$1006,0)), HYPERLINK("#",""), HYPERLINK(CONCATENATE("#metadata!", ADDRESS(INDEX($L$2:$L$1001,MATCH(ROWS($J$2:J150),$J$2:$J$1001,0),0), INDEX($Q$1004:$U$1004,1,MATCH(COLUMNS($Q$1006:R1006),$Q$1006:$U$1006,0)))),"Fix")))</f>
        <v xml:space="preserve"> </v>
      </c>
      <c r="D150" s="3" t="str">
        <f ca="1">IF(OR(INDEX($K$2:$K$1001,MATCH(ROWS($J$2:J150),$J$2:$J$1001,0),1)&gt;=100000,INDEX($Q$1005:$U$1005,1,MATCH(COLUMNS($Q$1006:S1006),$Q$1006:$U$1006,0))&gt;=100000), " ",IF(INDEX($Q$2:$U$1001,MATCH(ROWS($J$2:J150),$J$2:$J$1001,0),MATCH(COLUMNS($Q$1006:S1006),$Q$1006:$U$1006,0)), HYPERLINK("#",""), HYPERLINK(CONCATENATE("#metadata!", ADDRESS(INDEX($L$2:$L$1001,MATCH(ROWS($J$2:J150),$J$2:$J$1001,0),0), INDEX($Q$1004:$U$1004,1,MATCH(COLUMNS($Q$1006:S1006),$Q$1006:$U$1006,0)))),"Fix")))</f>
        <v xml:space="preserve"> </v>
      </c>
      <c r="E150" s="3" t="str">
        <f ca="1">IF(OR(INDEX($K$2:$K$1001,MATCH(ROWS($J$2:J150),$J$2:$J$1001,0),1)&gt;=100000,INDEX($Q$1005:$U$1005,1,MATCH(COLUMNS($Q$1006:T1006),$Q$1006:$U$1006,0))&gt;=100000), " ",IF(INDEX($Q$2:$U$1001,MATCH(ROWS($J$2:J150),$J$2:$J$1001,0),MATCH(COLUMNS($Q$1006:T1006),$Q$1006:$U$1006,0)), HYPERLINK("#",""), HYPERLINK(CONCATENATE("#metadata!", ADDRESS(INDEX($L$2:$L$1001,MATCH(ROWS($J$2:J150),$J$2:$J$1001,0),0), INDEX($Q$1004:$U$1004,1,MATCH(COLUMNS($Q$1006:T1006),$Q$1006:$U$1006,0)))),"Fix")))</f>
        <v xml:space="preserve"> </v>
      </c>
      <c r="F150" s="3" t="str">
        <f ca="1">IF(OR(INDEX($K$2:$K$1001,MATCH(ROWS($J$2:J150),$J$2:$J$1001,0),1)&gt;=100000,INDEX($Q$1005:$U$1005,1,MATCH(COLUMNS($Q$1006:U1006),$Q$1006:$U$1006,0))&gt;=100000), " ",IF(INDEX($Q$2:$U$1001,MATCH(ROWS($J$2:J150),$J$2:$J$1001,0),MATCH(COLUMNS($Q$1006:U1006),$Q$1006:$U$1006,0)), HYPERLINK("#",""), HYPERLINK(CONCATENATE("#metadata!", ADDRESS(INDEX($L$2:$L$1001,MATCH(ROWS($J$2:J150),$J$2:$J$1001,0),0), INDEX($Q$1004:$U$1004,1,MATCH(COLUMNS($Q$1006:U1006),$Q$1006:$U$1006,0)))),"Fix")))</f>
        <v xml:space="preserve"> </v>
      </c>
      <c r="J150">
        <v>149</v>
      </c>
      <c r="K150">
        <v>100150</v>
      </c>
      <c r="L150">
        <v>150</v>
      </c>
      <c r="M150" t="b">
        <f t="shared" si="2"/>
        <v>1</v>
      </c>
      <c r="N150" t="b">
        <f>COUNTBLANK(metadata!B150:F150)=COLUMNS(metadata!B150:F150)</f>
        <v>1</v>
      </c>
      <c r="O150" t="str">
        <v/>
      </c>
      <c r="Q150" t="b">
        <f ca="1">AND(IF(metadata!B150="",FALSE,TRUE),COUNTIF(metadata!B:B, metadata!B150) = 1,NOT(ISERROR(SUMPRODUCT(SEARCH(MID(metadata!B150,ROW(INDIRECT("1:"&amp;LEN(metadata!B150))), 1),"0123456789abcdefghijklmnopqrstuvwxyzABCDEFGHIJKLMNOPQRSTUVWXYZ.")))))</f>
        <v>0</v>
      </c>
      <c r="R150" t="b">
        <f>AND(IF(metadata!C150="",FALSE,TRUE),OR(EXACT(metadata!C150,"saline"),EXACT(metadata!C150,"non-saline")))</f>
        <v>0</v>
      </c>
      <c r="S150" t="b">
        <f>AND(IF(metadata!D150="",FALSE,TRUE),OR(EXACT(metadata!D150,"surface (non-saline)"),EXACT(metadata!D150,"aerosol (non-saline)"),EXACT(metadata!D150,"sediment (non-saline)"),EXACT(metadata!D150,"surface (saline)"),EXACT(metadata!D150,"aerosol (saline)"),EXACT(metadata!D150,"sediment (saline)")))</f>
        <v>0</v>
      </c>
      <c r="T150" t="b">
        <f>AND(IF(metadata!E150="",FALSE,TRUE),EXACT(metadata!E150,"built environment"))</f>
        <v>0</v>
      </c>
      <c r="U150" t="b">
        <f>OR(AND(IF(metadata!F150="",FALSE,TRUE),EXACT(metadata!F150,"not applicable")),AND(IF(metadata!F150="",FALSE,TRUE),EXACT(metadata!F150,"anaerobic digester content")))</f>
        <v>0</v>
      </c>
    </row>
    <row r="151" spans="1:21" x14ac:dyDescent="0.2">
      <c r="A151" s="4" t="str">
        <f ca="1">IF(B151=" "," ",HYPERLINK(CONCATENATE("#metadata!",ADDRESS(INDEX($L$2:$L$1001,MATCH(ROWS($J$2:J151),$J$2:$J$1001,0),0),1)),INDEX($O$2:$O$1001,MATCH(ROWS($J$2:J151),$J$2:$J$1001,0),0)))</f>
        <v xml:space="preserve"> </v>
      </c>
      <c r="B151" s="3" t="str">
        <f ca="1">IF(OR(INDEX($K$2:$K$1001,MATCH(ROWS($J$2:J151),$J$2:$J$1001,0),1)&gt;=100000,INDEX($Q$1005:$U$1005,1,MATCH(COLUMNS($Q$1006:Q1006),$Q$1006:$U$1006,0))&gt;=100000), " ",IF(INDEX($Q$2:$U$1001,MATCH(ROWS($J$2:J151),$J$2:$J$1001,0),MATCH(COLUMNS($Q$1006:Q1006),$Q$1006:$U$1006,0)), HYPERLINK("#",""), HYPERLINK(CONCATENATE("#metadata!", ADDRESS(INDEX($L$2:$L$1001,MATCH(ROWS($J$2:J151),$J$2:$J$1001,0),0), INDEX($Q$1004:$U$1004,1,MATCH(COLUMNS($Q$1006:Q1006),$Q$1006:$U$1006,0)))),"Fix")))</f>
        <v xml:space="preserve"> </v>
      </c>
      <c r="C151" s="3" t="str">
        <f ca="1">IF(OR(INDEX($K$2:$K$1001,MATCH(ROWS($J$2:J151),$J$2:$J$1001,0),1)&gt;=100000,INDEX($Q$1005:$U$1005,1,MATCH(COLUMNS($Q$1006:R1006),$Q$1006:$U$1006,0))&gt;=100000), " ",IF(INDEX($Q$2:$U$1001,MATCH(ROWS($J$2:J151),$J$2:$J$1001,0),MATCH(COLUMNS($Q$1006:R1006),$Q$1006:$U$1006,0)), HYPERLINK("#",""), HYPERLINK(CONCATENATE("#metadata!", ADDRESS(INDEX($L$2:$L$1001,MATCH(ROWS($J$2:J151),$J$2:$J$1001,0),0), INDEX($Q$1004:$U$1004,1,MATCH(COLUMNS($Q$1006:R1006),$Q$1006:$U$1006,0)))),"Fix")))</f>
        <v xml:space="preserve"> </v>
      </c>
      <c r="D151" s="3" t="str">
        <f ca="1">IF(OR(INDEX($K$2:$K$1001,MATCH(ROWS($J$2:J151),$J$2:$J$1001,0),1)&gt;=100000,INDEX($Q$1005:$U$1005,1,MATCH(COLUMNS($Q$1006:S1006),$Q$1006:$U$1006,0))&gt;=100000), " ",IF(INDEX($Q$2:$U$1001,MATCH(ROWS($J$2:J151),$J$2:$J$1001,0),MATCH(COLUMNS($Q$1006:S1006),$Q$1006:$U$1006,0)), HYPERLINK("#",""), HYPERLINK(CONCATENATE("#metadata!", ADDRESS(INDEX($L$2:$L$1001,MATCH(ROWS($J$2:J151),$J$2:$J$1001,0),0), INDEX($Q$1004:$U$1004,1,MATCH(COLUMNS($Q$1006:S1006),$Q$1006:$U$1006,0)))),"Fix")))</f>
        <v xml:space="preserve"> </v>
      </c>
      <c r="E151" s="3" t="str">
        <f ca="1">IF(OR(INDEX($K$2:$K$1001,MATCH(ROWS($J$2:J151),$J$2:$J$1001,0),1)&gt;=100000,INDEX($Q$1005:$U$1005,1,MATCH(COLUMNS($Q$1006:T1006),$Q$1006:$U$1006,0))&gt;=100000), " ",IF(INDEX($Q$2:$U$1001,MATCH(ROWS($J$2:J151),$J$2:$J$1001,0),MATCH(COLUMNS($Q$1006:T1006),$Q$1006:$U$1006,0)), HYPERLINK("#",""), HYPERLINK(CONCATENATE("#metadata!", ADDRESS(INDEX($L$2:$L$1001,MATCH(ROWS($J$2:J151),$J$2:$J$1001,0),0), INDEX($Q$1004:$U$1004,1,MATCH(COLUMNS($Q$1006:T1006),$Q$1006:$U$1006,0)))),"Fix")))</f>
        <v xml:space="preserve"> </v>
      </c>
      <c r="F151" s="3" t="str">
        <f ca="1">IF(OR(INDEX($K$2:$K$1001,MATCH(ROWS($J$2:J151),$J$2:$J$1001,0),1)&gt;=100000,INDEX($Q$1005:$U$1005,1,MATCH(COLUMNS($Q$1006:U1006),$Q$1006:$U$1006,0))&gt;=100000), " ",IF(INDEX($Q$2:$U$1001,MATCH(ROWS($J$2:J151),$J$2:$J$1001,0),MATCH(COLUMNS($Q$1006:U1006),$Q$1006:$U$1006,0)), HYPERLINK("#",""), HYPERLINK(CONCATENATE("#metadata!", ADDRESS(INDEX($L$2:$L$1001,MATCH(ROWS($J$2:J151),$J$2:$J$1001,0),0), INDEX($Q$1004:$U$1004,1,MATCH(COLUMNS($Q$1006:U1006),$Q$1006:$U$1006,0)))),"Fix")))</f>
        <v xml:space="preserve"> </v>
      </c>
      <c r="J151">
        <v>150</v>
      </c>
      <c r="K151">
        <v>100151</v>
      </c>
      <c r="L151">
        <v>151</v>
      </c>
      <c r="M151" t="b">
        <f t="shared" si="2"/>
        <v>1</v>
      </c>
      <c r="N151" t="b">
        <f>COUNTBLANK(metadata!B151:F151)=COLUMNS(metadata!B151:F151)</f>
        <v>1</v>
      </c>
      <c r="O151" t="str">
        <v/>
      </c>
      <c r="Q151" t="b">
        <f ca="1">AND(IF(metadata!B151="",FALSE,TRUE),COUNTIF(metadata!B:B, metadata!B151) = 1,NOT(ISERROR(SUMPRODUCT(SEARCH(MID(metadata!B151,ROW(INDIRECT("1:"&amp;LEN(metadata!B151))), 1),"0123456789abcdefghijklmnopqrstuvwxyzABCDEFGHIJKLMNOPQRSTUVWXYZ.")))))</f>
        <v>0</v>
      </c>
      <c r="R151" t="b">
        <f>AND(IF(metadata!C151="",FALSE,TRUE),OR(EXACT(metadata!C151,"saline"),EXACT(metadata!C151,"non-saline")))</f>
        <v>0</v>
      </c>
      <c r="S151" t="b">
        <f>AND(IF(metadata!D151="",FALSE,TRUE),OR(EXACT(metadata!D151,"surface (non-saline)"),EXACT(metadata!D151,"aerosol (non-saline)"),EXACT(metadata!D151,"sediment (non-saline)"),EXACT(metadata!D151,"surface (saline)"),EXACT(metadata!D151,"aerosol (saline)"),EXACT(metadata!D151,"sediment (saline)")))</f>
        <v>0</v>
      </c>
      <c r="T151" t="b">
        <f>AND(IF(metadata!E151="",FALSE,TRUE),EXACT(metadata!E151,"built environment"))</f>
        <v>0</v>
      </c>
      <c r="U151" t="b">
        <f>OR(AND(IF(metadata!F151="",FALSE,TRUE),EXACT(metadata!F151,"not applicable")),AND(IF(metadata!F151="",FALSE,TRUE),EXACT(metadata!F151,"anaerobic digester content")))</f>
        <v>0</v>
      </c>
    </row>
    <row r="152" spans="1:21" x14ac:dyDescent="0.2">
      <c r="A152" s="4" t="str">
        <f ca="1">IF(B152=" "," ",HYPERLINK(CONCATENATE("#metadata!",ADDRESS(INDEX($L$2:$L$1001,MATCH(ROWS($J$2:J152),$J$2:$J$1001,0),0),1)),INDEX($O$2:$O$1001,MATCH(ROWS($J$2:J152),$J$2:$J$1001,0),0)))</f>
        <v xml:space="preserve"> </v>
      </c>
      <c r="B152" s="3" t="str">
        <f ca="1">IF(OR(INDEX($K$2:$K$1001,MATCH(ROWS($J$2:J152),$J$2:$J$1001,0),1)&gt;=100000,INDEX($Q$1005:$U$1005,1,MATCH(COLUMNS($Q$1006:Q1006),$Q$1006:$U$1006,0))&gt;=100000), " ",IF(INDEX($Q$2:$U$1001,MATCH(ROWS($J$2:J152),$J$2:$J$1001,0),MATCH(COLUMNS($Q$1006:Q1006),$Q$1006:$U$1006,0)), HYPERLINK("#",""), HYPERLINK(CONCATENATE("#metadata!", ADDRESS(INDEX($L$2:$L$1001,MATCH(ROWS($J$2:J152),$J$2:$J$1001,0),0), INDEX($Q$1004:$U$1004,1,MATCH(COLUMNS($Q$1006:Q1006),$Q$1006:$U$1006,0)))),"Fix")))</f>
        <v xml:space="preserve"> </v>
      </c>
      <c r="C152" s="3" t="str">
        <f ca="1">IF(OR(INDEX($K$2:$K$1001,MATCH(ROWS($J$2:J152),$J$2:$J$1001,0),1)&gt;=100000,INDEX($Q$1005:$U$1005,1,MATCH(COLUMNS($Q$1006:R1006),$Q$1006:$U$1006,0))&gt;=100000), " ",IF(INDEX($Q$2:$U$1001,MATCH(ROWS($J$2:J152),$J$2:$J$1001,0),MATCH(COLUMNS($Q$1006:R1006),$Q$1006:$U$1006,0)), HYPERLINK("#",""), HYPERLINK(CONCATENATE("#metadata!", ADDRESS(INDEX($L$2:$L$1001,MATCH(ROWS($J$2:J152),$J$2:$J$1001,0),0), INDEX($Q$1004:$U$1004,1,MATCH(COLUMNS($Q$1006:R1006),$Q$1006:$U$1006,0)))),"Fix")))</f>
        <v xml:space="preserve"> </v>
      </c>
      <c r="D152" s="3" t="str">
        <f ca="1">IF(OR(INDEX($K$2:$K$1001,MATCH(ROWS($J$2:J152),$J$2:$J$1001,0),1)&gt;=100000,INDEX($Q$1005:$U$1005,1,MATCH(COLUMNS($Q$1006:S1006),$Q$1006:$U$1006,0))&gt;=100000), " ",IF(INDEX($Q$2:$U$1001,MATCH(ROWS($J$2:J152),$J$2:$J$1001,0),MATCH(COLUMNS($Q$1006:S1006),$Q$1006:$U$1006,0)), HYPERLINK("#",""), HYPERLINK(CONCATENATE("#metadata!", ADDRESS(INDEX($L$2:$L$1001,MATCH(ROWS($J$2:J152),$J$2:$J$1001,0),0), INDEX($Q$1004:$U$1004,1,MATCH(COLUMNS($Q$1006:S1006),$Q$1006:$U$1006,0)))),"Fix")))</f>
        <v xml:space="preserve"> </v>
      </c>
      <c r="E152" s="3" t="str">
        <f ca="1">IF(OR(INDEX($K$2:$K$1001,MATCH(ROWS($J$2:J152),$J$2:$J$1001,0),1)&gt;=100000,INDEX($Q$1005:$U$1005,1,MATCH(COLUMNS($Q$1006:T1006),$Q$1006:$U$1006,0))&gt;=100000), " ",IF(INDEX($Q$2:$U$1001,MATCH(ROWS($J$2:J152),$J$2:$J$1001,0),MATCH(COLUMNS($Q$1006:T1006),$Q$1006:$U$1006,0)), HYPERLINK("#",""), HYPERLINK(CONCATENATE("#metadata!", ADDRESS(INDEX($L$2:$L$1001,MATCH(ROWS($J$2:J152),$J$2:$J$1001,0),0), INDEX($Q$1004:$U$1004,1,MATCH(COLUMNS($Q$1006:T1006),$Q$1006:$U$1006,0)))),"Fix")))</f>
        <v xml:space="preserve"> </v>
      </c>
      <c r="F152" s="3" t="str">
        <f ca="1">IF(OR(INDEX($K$2:$K$1001,MATCH(ROWS($J$2:J152),$J$2:$J$1001,0),1)&gt;=100000,INDEX($Q$1005:$U$1005,1,MATCH(COLUMNS($Q$1006:U1006),$Q$1006:$U$1006,0))&gt;=100000), " ",IF(INDEX($Q$2:$U$1001,MATCH(ROWS($J$2:J152),$J$2:$J$1001,0),MATCH(COLUMNS($Q$1006:U1006),$Q$1006:$U$1006,0)), HYPERLINK("#",""), HYPERLINK(CONCATENATE("#metadata!", ADDRESS(INDEX($L$2:$L$1001,MATCH(ROWS($J$2:J152),$J$2:$J$1001,0),0), INDEX($Q$1004:$U$1004,1,MATCH(COLUMNS($Q$1006:U1006),$Q$1006:$U$1006,0)))),"Fix")))</f>
        <v xml:space="preserve"> </v>
      </c>
      <c r="J152">
        <v>151</v>
      </c>
      <c r="K152">
        <v>100152</v>
      </c>
      <c r="L152">
        <v>152</v>
      </c>
      <c r="M152" t="b">
        <f t="shared" si="2"/>
        <v>1</v>
      </c>
      <c r="N152" t="b">
        <f>COUNTBLANK(metadata!B152:F152)=COLUMNS(metadata!B152:F152)</f>
        <v>1</v>
      </c>
      <c r="O152" t="str">
        <v/>
      </c>
      <c r="Q152" t="b">
        <f ca="1">AND(IF(metadata!B152="",FALSE,TRUE),COUNTIF(metadata!B:B, metadata!B152) = 1,NOT(ISERROR(SUMPRODUCT(SEARCH(MID(metadata!B152,ROW(INDIRECT("1:"&amp;LEN(metadata!B152))), 1),"0123456789abcdefghijklmnopqrstuvwxyzABCDEFGHIJKLMNOPQRSTUVWXYZ.")))))</f>
        <v>0</v>
      </c>
      <c r="R152" t="b">
        <f>AND(IF(metadata!C152="",FALSE,TRUE),OR(EXACT(metadata!C152,"saline"),EXACT(metadata!C152,"non-saline")))</f>
        <v>0</v>
      </c>
      <c r="S152" t="b">
        <f>AND(IF(metadata!D152="",FALSE,TRUE),OR(EXACT(metadata!D152,"surface (non-saline)"),EXACT(metadata!D152,"aerosol (non-saline)"),EXACT(metadata!D152,"sediment (non-saline)"),EXACT(metadata!D152,"surface (saline)"),EXACT(metadata!D152,"aerosol (saline)"),EXACT(metadata!D152,"sediment (saline)")))</f>
        <v>0</v>
      </c>
      <c r="T152" t="b">
        <f>AND(IF(metadata!E152="",FALSE,TRUE),EXACT(metadata!E152,"built environment"))</f>
        <v>0</v>
      </c>
      <c r="U152" t="b">
        <f>OR(AND(IF(metadata!F152="",FALSE,TRUE),EXACT(metadata!F152,"not applicable")),AND(IF(metadata!F152="",FALSE,TRUE),EXACT(metadata!F152,"anaerobic digester content")))</f>
        <v>0</v>
      </c>
    </row>
    <row r="153" spans="1:21" x14ac:dyDescent="0.2">
      <c r="A153" s="4" t="str">
        <f ca="1">IF(B153=" "," ",HYPERLINK(CONCATENATE("#metadata!",ADDRESS(INDEX($L$2:$L$1001,MATCH(ROWS($J$2:J153),$J$2:$J$1001,0),0),1)),INDEX($O$2:$O$1001,MATCH(ROWS($J$2:J153),$J$2:$J$1001,0),0)))</f>
        <v xml:space="preserve"> </v>
      </c>
      <c r="B153" s="3" t="str">
        <f ca="1">IF(OR(INDEX($K$2:$K$1001,MATCH(ROWS($J$2:J153),$J$2:$J$1001,0),1)&gt;=100000,INDEX($Q$1005:$U$1005,1,MATCH(COLUMNS($Q$1006:Q1006),$Q$1006:$U$1006,0))&gt;=100000), " ",IF(INDEX($Q$2:$U$1001,MATCH(ROWS($J$2:J153),$J$2:$J$1001,0),MATCH(COLUMNS($Q$1006:Q1006),$Q$1006:$U$1006,0)), HYPERLINK("#",""), HYPERLINK(CONCATENATE("#metadata!", ADDRESS(INDEX($L$2:$L$1001,MATCH(ROWS($J$2:J153),$J$2:$J$1001,0),0), INDEX($Q$1004:$U$1004,1,MATCH(COLUMNS($Q$1006:Q1006),$Q$1006:$U$1006,0)))),"Fix")))</f>
        <v xml:space="preserve"> </v>
      </c>
      <c r="C153" s="3" t="str">
        <f ca="1">IF(OR(INDEX($K$2:$K$1001,MATCH(ROWS($J$2:J153),$J$2:$J$1001,0),1)&gt;=100000,INDEX($Q$1005:$U$1005,1,MATCH(COLUMNS($Q$1006:R1006),$Q$1006:$U$1006,0))&gt;=100000), " ",IF(INDEX($Q$2:$U$1001,MATCH(ROWS($J$2:J153),$J$2:$J$1001,0),MATCH(COLUMNS($Q$1006:R1006),$Q$1006:$U$1006,0)), HYPERLINK("#",""), HYPERLINK(CONCATENATE("#metadata!", ADDRESS(INDEX($L$2:$L$1001,MATCH(ROWS($J$2:J153),$J$2:$J$1001,0),0), INDEX($Q$1004:$U$1004,1,MATCH(COLUMNS($Q$1006:R1006),$Q$1006:$U$1006,0)))),"Fix")))</f>
        <v xml:space="preserve"> </v>
      </c>
      <c r="D153" s="3" t="str">
        <f ca="1">IF(OR(INDEX($K$2:$K$1001,MATCH(ROWS($J$2:J153),$J$2:$J$1001,0),1)&gt;=100000,INDEX($Q$1005:$U$1005,1,MATCH(COLUMNS($Q$1006:S1006),$Q$1006:$U$1006,0))&gt;=100000), " ",IF(INDEX($Q$2:$U$1001,MATCH(ROWS($J$2:J153),$J$2:$J$1001,0),MATCH(COLUMNS($Q$1006:S1006),$Q$1006:$U$1006,0)), HYPERLINK("#",""), HYPERLINK(CONCATENATE("#metadata!", ADDRESS(INDEX($L$2:$L$1001,MATCH(ROWS($J$2:J153),$J$2:$J$1001,0),0), INDEX($Q$1004:$U$1004,1,MATCH(COLUMNS($Q$1006:S1006),$Q$1006:$U$1006,0)))),"Fix")))</f>
        <v xml:space="preserve"> </v>
      </c>
      <c r="E153" s="3" t="str">
        <f ca="1">IF(OR(INDEX($K$2:$K$1001,MATCH(ROWS($J$2:J153),$J$2:$J$1001,0),1)&gt;=100000,INDEX($Q$1005:$U$1005,1,MATCH(COLUMNS($Q$1006:T1006),$Q$1006:$U$1006,0))&gt;=100000), " ",IF(INDEX($Q$2:$U$1001,MATCH(ROWS($J$2:J153),$J$2:$J$1001,0),MATCH(COLUMNS($Q$1006:T1006),$Q$1006:$U$1006,0)), HYPERLINK("#",""), HYPERLINK(CONCATENATE("#metadata!", ADDRESS(INDEX($L$2:$L$1001,MATCH(ROWS($J$2:J153),$J$2:$J$1001,0),0), INDEX($Q$1004:$U$1004,1,MATCH(COLUMNS($Q$1006:T1006),$Q$1006:$U$1006,0)))),"Fix")))</f>
        <v xml:space="preserve"> </v>
      </c>
      <c r="F153" s="3" t="str">
        <f ca="1">IF(OR(INDEX($K$2:$K$1001,MATCH(ROWS($J$2:J153),$J$2:$J$1001,0),1)&gt;=100000,INDEX($Q$1005:$U$1005,1,MATCH(COLUMNS($Q$1006:U1006),$Q$1006:$U$1006,0))&gt;=100000), " ",IF(INDEX($Q$2:$U$1001,MATCH(ROWS($J$2:J153),$J$2:$J$1001,0),MATCH(COLUMNS($Q$1006:U1006),$Q$1006:$U$1006,0)), HYPERLINK("#",""), HYPERLINK(CONCATENATE("#metadata!", ADDRESS(INDEX($L$2:$L$1001,MATCH(ROWS($J$2:J153),$J$2:$J$1001,0),0), INDEX($Q$1004:$U$1004,1,MATCH(COLUMNS($Q$1006:U1006),$Q$1006:$U$1006,0)))),"Fix")))</f>
        <v xml:space="preserve"> </v>
      </c>
      <c r="J153">
        <v>152</v>
      </c>
      <c r="K153">
        <v>100153</v>
      </c>
      <c r="L153">
        <v>153</v>
      </c>
      <c r="M153" t="b">
        <f t="shared" si="2"/>
        <v>1</v>
      </c>
      <c r="N153" t="b">
        <f>COUNTBLANK(metadata!B153:F153)=COLUMNS(metadata!B153:F153)</f>
        <v>1</v>
      </c>
      <c r="O153" t="str">
        <v/>
      </c>
      <c r="Q153" t="b">
        <f ca="1">AND(IF(metadata!B153="",FALSE,TRUE),COUNTIF(metadata!B:B, metadata!B153) = 1,NOT(ISERROR(SUMPRODUCT(SEARCH(MID(metadata!B153,ROW(INDIRECT("1:"&amp;LEN(metadata!B153))), 1),"0123456789abcdefghijklmnopqrstuvwxyzABCDEFGHIJKLMNOPQRSTUVWXYZ.")))))</f>
        <v>0</v>
      </c>
      <c r="R153" t="b">
        <f>AND(IF(metadata!C153="",FALSE,TRUE),OR(EXACT(metadata!C153,"saline"),EXACT(metadata!C153,"non-saline")))</f>
        <v>0</v>
      </c>
      <c r="S153" t="b">
        <f>AND(IF(metadata!D153="",FALSE,TRUE),OR(EXACT(metadata!D153,"surface (non-saline)"),EXACT(metadata!D153,"aerosol (non-saline)"),EXACT(metadata!D153,"sediment (non-saline)"),EXACT(metadata!D153,"surface (saline)"),EXACT(metadata!D153,"aerosol (saline)"),EXACT(metadata!D153,"sediment (saline)")))</f>
        <v>0</v>
      </c>
      <c r="T153" t="b">
        <f>AND(IF(metadata!E153="",FALSE,TRUE),EXACT(metadata!E153,"built environment"))</f>
        <v>0</v>
      </c>
      <c r="U153" t="b">
        <f>OR(AND(IF(metadata!F153="",FALSE,TRUE),EXACT(metadata!F153,"not applicable")),AND(IF(metadata!F153="",FALSE,TRUE),EXACT(metadata!F153,"anaerobic digester content")))</f>
        <v>0</v>
      </c>
    </row>
    <row r="154" spans="1:21" x14ac:dyDescent="0.2">
      <c r="A154" s="4" t="str">
        <f ca="1">IF(B154=" "," ",HYPERLINK(CONCATENATE("#metadata!",ADDRESS(INDEX($L$2:$L$1001,MATCH(ROWS($J$2:J154),$J$2:$J$1001,0),0),1)),INDEX($O$2:$O$1001,MATCH(ROWS($J$2:J154),$J$2:$J$1001,0),0)))</f>
        <v xml:space="preserve"> </v>
      </c>
      <c r="B154" s="3" t="str">
        <f ca="1">IF(OR(INDEX($K$2:$K$1001,MATCH(ROWS($J$2:J154),$J$2:$J$1001,0),1)&gt;=100000,INDEX($Q$1005:$U$1005,1,MATCH(COLUMNS($Q$1006:Q1006),$Q$1006:$U$1006,0))&gt;=100000), " ",IF(INDEX($Q$2:$U$1001,MATCH(ROWS($J$2:J154),$J$2:$J$1001,0),MATCH(COLUMNS($Q$1006:Q1006),$Q$1006:$U$1006,0)), HYPERLINK("#",""), HYPERLINK(CONCATENATE("#metadata!", ADDRESS(INDEX($L$2:$L$1001,MATCH(ROWS($J$2:J154),$J$2:$J$1001,0),0), INDEX($Q$1004:$U$1004,1,MATCH(COLUMNS($Q$1006:Q1006),$Q$1006:$U$1006,0)))),"Fix")))</f>
        <v xml:space="preserve"> </v>
      </c>
      <c r="C154" s="3" t="str">
        <f ca="1">IF(OR(INDEX($K$2:$K$1001,MATCH(ROWS($J$2:J154),$J$2:$J$1001,0),1)&gt;=100000,INDEX($Q$1005:$U$1005,1,MATCH(COLUMNS($Q$1006:R1006),$Q$1006:$U$1006,0))&gt;=100000), " ",IF(INDEX($Q$2:$U$1001,MATCH(ROWS($J$2:J154),$J$2:$J$1001,0),MATCH(COLUMNS($Q$1006:R1006),$Q$1006:$U$1006,0)), HYPERLINK("#",""), HYPERLINK(CONCATENATE("#metadata!", ADDRESS(INDEX($L$2:$L$1001,MATCH(ROWS($J$2:J154),$J$2:$J$1001,0),0), INDEX($Q$1004:$U$1004,1,MATCH(COLUMNS($Q$1006:R1006),$Q$1006:$U$1006,0)))),"Fix")))</f>
        <v xml:space="preserve"> </v>
      </c>
      <c r="D154" s="3" t="str">
        <f ca="1">IF(OR(INDEX($K$2:$K$1001,MATCH(ROWS($J$2:J154),$J$2:$J$1001,0),1)&gt;=100000,INDEX($Q$1005:$U$1005,1,MATCH(COLUMNS($Q$1006:S1006),$Q$1006:$U$1006,0))&gt;=100000), " ",IF(INDEX($Q$2:$U$1001,MATCH(ROWS($J$2:J154),$J$2:$J$1001,0),MATCH(COLUMNS($Q$1006:S1006),$Q$1006:$U$1006,0)), HYPERLINK("#",""), HYPERLINK(CONCATENATE("#metadata!", ADDRESS(INDEX($L$2:$L$1001,MATCH(ROWS($J$2:J154),$J$2:$J$1001,0),0), INDEX($Q$1004:$U$1004,1,MATCH(COLUMNS($Q$1006:S1006),$Q$1006:$U$1006,0)))),"Fix")))</f>
        <v xml:space="preserve"> </v>
      </c>
      <c r="E154" s="3" t="str">
        <f ca="1">IF(OR(INDEX($K$2:$K$1001,MATCH(ROWS($J$2:J154),$J$2:$J$1001,0),1)&gt;=100000,INDEX($Q$1005:$U$1005,1,MATCH(COLUMNS($Q$1006:T1006),$Q$1006:$U$1006,0))&gt;=100000), " ",IF(INDEX($Q$2:$U$1001,MATCH(ROWS($J$2:J154),$J$2:$J$1001,0),MATCH(COLUMNS($Q$1006:T1006),$Q$1006:$U$1006,0)), HYPERLINK("#",""), HYPERLINK(CONCATENATE("#metadata!", ADDRESS(INDEX($L$2:$L$1001,MATCH(ROWS($J$2:J154),$J$2:$J$1001,0),0), INDEX($Q$1004:$U$1004,1,MATCH(COLUMNS($Q$1006:T1006),$Q$1006:$U$1006,0)))),"Fix")))</f>
        <v xml:space="preserve"> </v>
      </c>
      <c r="F154" s="3" t="str">
        <f ca="1">IF(OR(INDEX($K$2:$K$1001,MATCH(ROWS($J$2:J154),$J$2:$J$1001,0),1)&gt;=100000,INDEX($Q$1005:$U$1005,1,MATCH(COLUMNS($Q$1006:U1006),$Q$1006:$U$1006,0))&gt;=100000), " ",IF(INDEX($Q$2:$U$1001,MATCH(ROWS($J$2:J154),$J$2:$J$1001,0),MATCH(COLUMNS($Q$1006:U1006),$Q$1006:$U$1006,0)), HYPERLINK("#",""), HYPERLINK(CONCATENATE("#metadata!", ADDRESS(INDEX($L$2:$L$1001,MATCH(ROWS($J$2:J154),$J$2:$J$1001,0),0), INDEX($Q$1004:$U$1004,1,MATCH(COLUMNS($Q$1006:U1006),$Q$1006:$U$1006,0)))),"Fix")))</f>
        <v xml:space="preserve"> </v>
      </c>
      <c r="J154">
        <v>153</v>
      </c>
      <c r="K154">
        <v>100154</v>
      </c>
      <c r="L154">
        <v>154</v>
      </c>
      <c r="M154" t="b">
        <f t="shared" si="2"/>
        <v>1</v>
      </c>
      <c r="N154" t="b">
        <f>COUNTBLANK(metadata!B154:F154)=COLUMNS(metadata!B154:F154)</f>
        <v>1</v>
      </c>
      <c r="O154" t="str">
        <v/>
      </c>
      <c r="Q154" t="b">
        <f ca="1">AND(IF(metadata!B154="",FALSE,TRUE),COUNTIF(metadata!B:B, metadata!B154) = 1,NOT(ISERROR(SUMPRODUCT(SEARCH(MID(metadata!B154,ROW(INDIRECT("1:"&amp;LEN(metadata!B154))), 1),"0123456789abcdefghijklmnopqrstuvwxyzABCDEFGHIJKLMNOPQRSTUVWXYZ.")))))</f>
        <v>0</v>
      </c>
      <c r="R154" t="b">
        <f>AND(IF(metadata!C154="",FALSE,TRUE),OR(EXACT(metadata!C154,"saline"),EXACT(metadata!C154,"non-saline")))</f>
        <v>0</v>
      </c>
      <c r="S154" t="b">
        <f>AND(IF(metadata!D154="",FALSE,TRUE),OR(EXACT(metadata!D154,"surface (non-saline)"),EXACT(metadata!D154,"aerosol (non-saline)"),EXACT(metadata!D154,"sediment (non-saline)"),EXACT(metadata!D154,"surface (saline)"),EXACT(metadata!D154,"aerosol (saline)"),EXACT(metadata!D154,"sediment (saline)")))</f>
        <v>0</v>
      </c>
      <c r="T154" t="b">
        <f>AND(IF(metadata!E154="",FALSE,TRUE),EXACT(metadata!E154,"built environment"))</f>
        <v>0</v>
      </c>
      <c r="U154" t="b">
        <f>OR(AND(IF(metadata!F154="",FALSE,TRUE),EXACT(metadata!F154,"not applicable")),AND(IF(metadata!F154="",FALSE,TRUE),EXACT(metadata!F154,"anaerobic digester content")))</f>
        <v>0</v>
      </c>
    </row>
    <row r="155" spans="1:21" x14ac:dyDescent="0.2">
      <c r="A155" s="4" t="str">
        <f ca="1">IF(B155=" "," ",HYPERLINK(CONCATENATE("#metadata!",ADDRESS(INDEX($L$2:$L$1001,MATCH(ROWS($J$2:J155),$J$2:$J$1001,0),0),1)),INDEX($O$2:$O$1001,MATCH(ROWS($J$2:J155),$J$2:$J$1001,0),0)))</f>
        <v xml:space="preserve"> </v>
      </c>
      <c r="B155" s="3" t="str">
        <f ca="1">IF(OR(INDEX($K$2:$K$1001,MATCH(ROWS($J$2:J155),$J$2:$J$1001,0),1)&gt;=100000,INDEX($Q$1005:$U$1005,1,MATCH(COLUMNS($Q$1006:Q1006),$Q$1006:$U$1006,0))&gt;=100000), " ",IF(INDEX($Q$2:$U$1001,MATCH(ROWS($J$2:J155),$J$2:$J$1001,0),MATCH(COLUMNS($Q$1006:Q1006),$Q$1006:$U$1006,0)), HYPERLINK("#",""), HYPERLINK(CONCATENATE("#metadata!", ADDRESS(INDEX($L$2:$L$1001,MATCH(ROWS($J$2:J155),$J$2:$J$1001,0),0), INDEX($Q$1004:$U$1004,1,MATCH(COLUMNS($Q$1006:Q1006),$Q$1006:$U$1006,0)))),"Fix")))</f>
        <v xml:space="preserve"> </v>
      </c>
      <c r="C155" s="3" t="str">
        <f ca="1">IF(OR(INDEX($K$2:$K$1001,MATCH(ROWS($J$2:J155),$J$2:$J$1001,0),1)&gt;=100000,INDEX($Q$1005:$U$1005,1,MATCH(COLUMNS($Q$1006:R1006),$Q$1006:$U$1006,0))&gt;=100000), " ",IF(INDEX($Q$2:$U$1001,MATCH(ROWS($J$2:J155),$J$2:$J$1001,0),MATCH(COLUMNS($Q$1006:R1006),$Q$1006:$U$1006,0)), HYPERLINK("#",""), HYPERLINK(CONCATENATE("#metadata!", ADDRESS(INDEX($L$2:$L$1001,MATCH(ROWS($J$2:J155),$J$2:$J$1001,0),0), INDEX($Q$1004:$U$1004,1,MATCH(COLUMNS($Q$1006:R1006),$Q$1006:$U$1006,0)))),"Fix")))</f>
        <v xml:space="preserve"> </v>
      </c>
      <c r="D155" s="3" t="str">
        <f ca="1">IF(OR(INDEX($K$2:$K$1001,MATCH(ROWS($J$2:J155),$J$2:$J$1001,0),1)&gt;=100000,INDEX($Q$1005:$U$1005,1,MATCH(COLUMNS($Q$1006:S1006),$Q$1006:$U$1006,0))&gt;=100000), " ",IF(INDEX($Q$2:$U$1001,MATCH(ROWS($J$2:J155),$J$2:$J$1001,0),MATCH(COLUMNS($Q$1006:S1006),$Q$1006:$U$1006,0)), HYPERLINK("#",""), HYPERLINK(CONCATENATE("#metadata!", ADDRESS(INDEX($L$2:$L$1001,MATCH(ROWS($J$2:J155),$J$2:$J$1001,0),0), INDEX($Q$1004:$U$1004,1,MATCH(COLUMNS($Q$1006:S1006),$Q$1006:$U$1006,0)))),"Fix")))</f>
        <v xml:space="preserve"> </v>
      </c>
      <c r="E155" s="3" t="str">
        <f ca="1">IF(OR(INDEX($K$2:$K$1001,MATCH(ROWS($J$2:J155),$J$2:$J$1001,0),1)&gt;=100000,INDEX($Q$1005:$U$1005,1,MATCH(COLUMNS($Q$1006:T1006),$Q$1006:$U$1006,0))&gt;=100000), " ",IF(INDEX($Q$2:$U$1001,MATCH(ROWS($J$2:J155),$J$2:$J$1001,0),MATCH(COLUMNS($Q$1006:T1006),$Q$1006:$U$1006,0)), HYPERLINK("#",""), HYPERLINK(CONCATENATE("#metadata!", ADDRESS(INDEX($L$2:$L$1001,MATCH(ROWS($J$2:J155),$J$2:$J$1001,0),0), INDEX($Q$1004:$U$1004,1,MATCH(COLUMNS($Q$1006:T1006),$Q$1006:$U$1006,0)))),"Fix")))</f>
        <v xml:space="preserve"> </v>
      </c>
      <c r="F155" s="3" t="str">
        <f ca="1">IF(OR(INDEX($K$2:$K$1001,MATCH(ROWS($J$2:J155),$J$2:$J$1001,0),1)&gt;=100000,INDEX($Q$1005:$U$1005,1,MATCH(COLUMNS($Q$1006:U1006),$Q$1006:$U$1006,0))&gt;=100000), " ",IF(INDEX($Q$2:$U$1001,MATCH(ROWS($J$2:J155),$J$2:$J$1001,0),MATCH(COLUMNS($Q$1006:U1006),$Q$1006:$U$1006,0)), HYPERLINK("#",""), HYPERLINK(CONCATENATE("#metadata!", ADDRESS(INDEX($L$2:$L$1001,MATCH(ROWS($J$2:J155),$J$2:$J$1001,0),0), INDEX($Q$1004:$U$1004,1,MATCH(COLUMNS($Q$1006:U1006),$Q$1006:$U$1006,0)))),"Fix")))</f>
        <v xml:space="preserve"> </v>
      </c>
      <c r="J155">
        <v>154</v>
      </c>
      <c r="K155">
        <v>100155</v>
      </c>
      <c r="L155">
        <v>155</v>
      </c>
      <c r="M155" t="b">
        <f t="shared" si="2"/>
        <v>1</v>
      </c>
      <c r="N155" t="b">
        <f>COUNTBLANK(metadata!B155:F155)=COLUMNS(metadata!B155:F155)</f>
        <v>1</v>
      </c>
      <c r="O155" t="str">
        <v/>
      </c>
      <c r="Q155" t="b">
        <f ca="1">AND(IF(metadata!B155="",FALSE,TRUE),COUNTIF(metadata!B:B, metadata!B155) = 1,NOT(ISERROR(SUMPRODUCT(SEARCH(MID(metadata!B155,ROW(INDIRECT("1:"&amp;LEN(metadata!B155))), 1),"0123456789abcdefghijklmnopqrstuvwxyzABCDEFGHIJKLMNOPQRSTUVWXYZ.")))))</f>
        <v>0</v>
      </c>
      <c r="R155" t="b">
        <f>AND(IF(metadata!C155="",FALSE,TRUE),OR(EXACT(metadata!C155,"saline"),EXACT(metadata!C155,"non-saline")))</f>
        <v>0</v>
      </c>
      <c r="S155" t="b">
        <f>AND(IF(metadata!D155="",FALSE,TRUE),OR(EXACT(metadata!D155,"surface (non-saline)"),EXACT(metadata!D155,"aerosol (non-saline)"),EXACT(metadata!D155,"sediment (non-saline)"),EXACT(metadata!D155,"surface (saline)"),EXACT(metadata!D155,"aerosol (saline)"),EXACT(metadata!D155,"sediment (saline)")))</f>
        <v>0</v>
      </c>
      <c r="T155" t="b">
        <f>AND(IF(metadata!E155="",FALSE,TRUE),EXACT(metadata!E155,"built environment"))</f>
        <v>0</v>
      </c>
      <c r="U155" t="b">
        <f>OR(AND(IF(metadata!F155="",FALSE,TRUE),EXACT(metadata!F155,"not applicable")),AND(IF(metadata!F155="",FALSE,TRUE),EXACT(metadata!F155,"anaerobic digester content")))</f>
        <v>0</v>
      </c>
    </row>
    <row r="156" spans="1:21" x14ac:dyDescent="0.2">
      <c r="A156" s="4" t="str">
        <f ca="1">IF(B156=" "," ",HYPERLINK(CONCATENATE("#metadata!",ADDRESS(INDEX($L$2:$L$1001,MATCH(ROWS($J$2:J156),$J$2:$J$1001,0),0),1)),INDEX($O$2:$O$1001,MATCH(ROWS($J$2:J156),$J$2:$J$1001,0),0)))</f>
        <v xml:space="preserve"> </v>
      </c>
      <c r="B156" s="3" t="str">
        <f ca="1">IF(OR(INDEX($K$2:$K$1001,MATCH(ROWS($J$2:J156),$J$2:$J$1001,0),1)&gt;=100000,INDEX($Q$1005:$U$1005,1,MATCH(COLUMNS($Q$1006:Q1006),$Q$1006:$U$1006,0))&gt;=100000), " ",IF(INDEX($Q$2:$U$1001,MATCH(ROWS($J$2:J156),$J$2:$J$1001,0),MATCH(COLUMNS($Q$1006:Q1006),$Q$1006:$U$1006,0)), HYPERLINK("#",""), HYPERLINK(CONCATENATE("#metadata!", ADDRESS(INDEX($L$2:$L$1001,MATCH(ROWS($J$2:J156),$J$2:$J$1001,0),0), INDEX($Q$1004:$U$1004,1,MATCH(COLUMNS($Q$1006:Q1006),$Q$1006:$U$1006,0)))),"Fix")))</f>
        <v xml:space="preserve"> </v>
      </c>
      <c r="C156" s="3" t="str">
        <f ca="1">IF(OR(INDEX($K$2:$K$1001,MATCH(ROWS($J$2:J156),$J$2:$J$1001,0),1)&gt;=100000,INDEX($Q$1005:$U$1005,1,MATCH(COLUMNS($Q$1006:R1006),$Q$1006:$U$1006,0))&gt;=100000), " ",IF(INDEX($Q$2:$U$1001,MATCH(ROWS($J$2:J156),$J$2:$J$1001,0),MATCH(COLUMNS($Q$1006:R1006),$Q$1006:$U$1006,0)), HYPERLINK("#",""), HYPERLINK(CONCATENATE("#metadata!", ADDRESS(INDEX($L$2:$L$1001,MATCH(ROWS($J$2:J156),$J$2:$J$1001,0),0), INDEX($Q$1004:$U$1004,1,MATCH(COLUMNS($Q$1006:R1006),$Q$1006:$U$1006,0)))),"Fix")))</f>
        <v xml:space="preserve"> </v>
      </c>
      <c r="D156" s="3" t="str">
        <f ca="1">IF(OR(INDEX($K$2:$K$1001,MATCH(ROWS($J$2:J156),$J$2:$J$1001,0),1)&gt;=100000,INDEX($Q$1005:$U$1005,1,MATCH(COLUMNS($Q$1006:S1006),$Q$1006:$U$1006,0))&gt;=100000), " ",IF(INDEX($Q$2:$U$1001,MATCH(ROWS($J$2:J156),$J$2:$J$1001,0),MATCH(COLUMNS($Q$1006:S1006),$Q$1006:$U$1006,0)), HYPERLINK("#",""), HYPERLINK(CONCATENATE("#metadata!", ADDRESS(INDEX($L$2:$L$1001,MATCH(ROWS($J$2:J156),$J$2:$J$1001,0),0), INDEX($Q$1004:$U$1004,1,MATCH(COLUMNS($Q$1006:S1006),$Q$1006:$U$1006,0)))),"Fix")))</f>
        <v xml:space="preserve"> </v>
      </c>
      <c r="E156" s="3" t="str">
        <f ca="1">IF(OR(INDEX($K$2:$K$1001,MATCH(ROWS($J$2:J156),$J$2:$J$1001,0),1)&gt;=100000,INDEX($Q$1005:$U$1005,1,MATCH(COLUMNS($Q$1006:T1006),$Q$1006:$U$1006,0))&gt;=100000), " ",IF(INDEX($Q$2:$U$1001,MATCH(ROWS($J$2:J156),$J$2:$J$1001,0),MATCH(COLUMNS($Q$1006:T1006),$Q$1006:$U$1006,0)), HYPERLINK("#",""), HYPERLINK(CONCATENATE("#metadata!", ADDRESS(INDEX($L$2:$L$1001,MATCH(ROWS($J$2:J156),$J$2:$J$1001,0),0), INDEX($Q$1004:$U$1004,1,MATCH(COLUMNS($Q$1006:T1006),$Q$1006:$U$1006,0)))),"Fix")))</f>
        <v xml:space="preserve"> </v>
      </c>
      <c r="F156" s="3" t="str">
        <f ca="1">IF(OR(INDEX($K$2:$K$1001,MATCH(ROWS($J$2:J156),$J$2:$J$1001,0),1)&gt;=100000,INDEX($Q$1005:$U$1005,1,MATCH(COLUMNS($Q$1006:U1006),$Q$1006:$U$1006,0))&gt;=100000), " ",IF(INDEX($Q$2:$U$1001,MATCH(ROWS($J$2:J156),$J$2:$J$1001,0),MATCH(COLUMNS($Q$1006:U1006),$Q$1006:$U$1006,0)), HYPERLINK("#",""), HYPERLINK(CONCATENATE("#metadata!", ADDRESS(INDEX($L$2:$L$1001,MATCH(ROWS($J$2:J156),$J$2:$J$1001,0),0), INDEX($Q$1004:$U$1004,1,MATCH(COLUMNS($Q$1006:U1006),$Q$1006:$U$1006,0)))),"Fix")))</f>
        <v xml:space="preserve"> </v>
      </c>
      <c r="J156">
        <v>155</v>
      </c>
      <c r="K156">
        <v>100156</v>
      </c>
      <c r="L156">
        <v>156</v>
      </c>
      <c r="M156" t="b">
        <f t="shared" si="2"/>
        <v>1</v>
      </c>
      <c r="N156" t="b">
        <f>COUNTBLANK(metadata!B156:F156)=COLUMNS(metadata!B156:F156)</f>
        <v>1</v>
      </c>
      <c r="O156" t="str">
        <v/>
      </c>
      <c r="Q156" t="b">
        <f ca="1">AND(IF(metadata!B156="",FALSE,TRUE),COUNTIF(metadata!B:B, metadata!B156) = 1,NOT(ISERROR(SUMPRODUCT(SEARCH(MID(metadata!B156,ROW(INDIRECT("1:"&amp;LEN(metadata!B156))), 1),"0123456789abcdefghijklmnopqrstuvwxyzABCDEFGHIJKLMNOPQRSTUVWXYZ.")))))</f>
        <v>0</v>
      </c>
      <c r="R156" t="b">
        <f>AND(IF(metadata!C156="",FALSE,TRUE),OR(EXACT(metadata!C156,"saline"),EXACT(metadata!C156,"non-saline")))</f>
        <v>0</v>
      </c>
      <c r="S156" t="b">
        <f>AND(IF(metadata!D156="",FALSE,TRUE),OR(EXACT(metadata!D156,"surface (non-saline)"),EXACT(metadata!D156,"aerosol (non-saline)"),EXACT(metadata!D156,"sediment (non-saline)"),EXACT(metadata!D156,"surface (saline)"),EXACT(metadata!D156,"aerosol (saline)"),EXACT(metadata!D156,"sediment (saline)")))</f>
        <v>0</v>
      </c>
      <c r="T156" t="b">
        <f>AND(IF(metadata!E156="",FALSE,TRUE),EXACT(metadata!E156,"built environment"))</f>
        <v>0</v>
      </c>
      <c r="U156" t="b">
        <f>OR(AND(IF(metadata!F156="",FALSE,TRUE),EXACT(metadata!F156,"not applicable")),AND(IF(metadata!F156="",FALSE,TRUE),EXACT(metadata!F156,"anaerobic digester content")))</f>
        <v>0</v>
      </c>
    </row>
    <row r="157" spans="1:21" x14ac:dyDescent="0.2">
      <c r="A157" s="4" t="str">
        <f ca="1">IF(B157=" "," ",HYPERLINK(CONCATENATE("#metadata!",ADDRESS(INDEX($L$2:$L$1001,MATCH(ROWS($J$2:J157),$J$2:$J$1001,0),0),1)),INDEX($O$2:$O$1001,MATCH(ROWS($J$2:J157),$J$2:$J$1001,0),0)))</f>
        <v xml:space="preserve"> </v>
      </c>
      <c r="B157" s="3" t="str">
        <f ca="1">IF(OR(INDEX($K$2:$K$1001,MATCH(ROWS($J$2:J157),$J$2:$J$1001,0),1)&gt;=100000,INDEX($Q$1005:$U$1005,1,MATCH(COLUMNS($Q$1006:Q1006),$Q$1006:$U$1006,0))&gt;=100000), " ",IF(INDEX($Q$2:$U$1001,MATCH(ROWS($J$2:J157),$J$2:$J$1001,0),MATCH(COLUMNS($Q$1006:Q1006),$Q$1006:$U$1006,0)), HYPERLINK("#",""), HYPERLINK(CONCATENATE("#metadata!", ADDRESS(INDEX($L$2:$L$1001,MATCH(ROWS($J$2:J157),$J$2:$J$1001,0),0), INDEX($Q$1004:$U$1004,1,MATCH(COLUMNS($Q$1006:Q1006),$Q$1006:$U$1006,0)))),"Fix")))</f>
        <v xml:space="preserve"> </v>
      </c>
      <c r="C157" s="3" t="str">
        <f ca="1">IF(OR(INDEX($K$2:$K$1001,MATCH(ROWS($J$2:J157),$J$2:$J$1001,0),1)&gt;=100000,INDEX($Q$1005:$U$1005,1,MATCH(COLUMNS($Q$1006:R1006),$Q$1006:$U$1006,0))&gt;=100000), " ",IF(INDEX($Q$2:$U$1001,MATCH(ROWS($J$2:J157),$J$2:$J$1001,0),MATCH(COLUMNS($Q$1006:R1006),$Q$1006:$U$1006,0)), HYPERLINK("#",""), HYPERLINK(CONCATENATE("#metadata!", ADDRESS(INDEX($L$2:$L$1001,MATCH(ROWS($J$2:J157),$J$2:$J$1001,0),0), INDEX($Q$1004:$U$1004,1,MATCH(COLUMNS($Q$1006:R1006),$Q$1006:$U$1006,0)))),"Fix")))</f>
        <v xml:space="preserve"> </v>
      </c>
      <c r="D157" s="3" t="str">
        <f ca="1">IF(OR(INDEX($K$2:$K$1001,MATCH(ROWS($J$2:J157),$J$2:$J$1001,0),1)&gt;=100000,INDEX($Q$1005:$U$1005,1,MATCH(COLUMNS($Q$1006:S1006),$Q$1006:$U$1006,0))&gt;=100000), " ",IF(INDEX($Q$2:$U$1001,MATCH(ROWS($J$2:J157),$J$2:$J$1001,0),MATCH(COLUMNS($Q$1006:S1006),$Q$1006:$U$1006,0)), HYPERLINK("#",""), HYPERLINK(CONCATENATE("#metadata!", ADDRESS(INDEX($L$2:$L$1001,MATCH(ROWS($J$2:J157),$J$2:$J$1001,0),0), INDEX($Q$1004:$U$1004,1,MATCH(COLUMNS($Q$1006:S1006),$Q$1006:$U$1006,0)))),"Fix")))</f>
        <v xml:space="preserve"> </v>
      </c>
      <c r="E157" s="3" t="str">
        <f ca="1">IF(OR(INDEX($K$2:$K$1001,MATCH(ROWS($J$2:J157),$J$2:$J$1001,0),1)&gt;=100000,INDEX($Q$1005:$U$1005,1,MATCH(COLUMNS($Q$1006:T1006),$Q$1006:$U$1006,0))&gt;=100000), " ",IF(INDEX($Q$2:$U$1001,MATCH(ROWS($J$2:J157),$J$2:$J$1001,0),MATCH(COLUMNS($Q$1006:T1006),$Q$1006:$U$1006,0)), HYPERLINK("#",""), HYPERLINK(CONCATENATE("#metadata!", ADDRESS(INDEX($L$2:$L$1001,MATCH(ROWS($J$2:J157),$J$2:$J$1001,0),0), INDEX($Q$1004:$U$1004,1,MATCH(COLUMNS($Q$1006:T1006),$Q$1006:$U$1006,0)))),"Fix")))</f>
        <v xml:space="preserve"> </v>
      </c>
      <c r="F157" s="3" t="str">
        <f ca="1">IF(OR(INDEX($K$2:$K$1001,MATCH(ROWS($J$2:J157),$J$2:$J$1001,0),1)&gt;=100000,INDEX($Q$1005:$U$1005,1,MATCH(COLUMNS($Q$1006:U1006),$Q$1006:$U$1006,0))&gt;=100000), " ",IF(INDEX($Q$2:$U$1001,MATCH(ROWS($J$2:J157),$J$2:$J$1001,0),MATCH(COLUMNS($Q$1006:U1006),$Q$1006:$U$1006,0)), HYPERLINK("#",""), HYPERLINK(CONCATENATE("#metadata!", ADDRESS(INDEX($L$2:$L$1001,MATCH(ROWS($J$2:J157),$J$2:$J$1001,0),0), INDEX($Q$1004:$U$1004,1,MATCH(COLUMNS($Q$1006:U1006),$Q$1006:$U$1006,0)))),"Fix")))</f>
        <v xml:space="preserve"> </v>
      </c>
      <c r="J157">
        <v>156</v>
      </c>
      <c r="K157">
        <v>100157</v>
      </c>
      <c r="L157">
        <v>157</v>
      </c>
      <c r="M157" t="b">
        <f t="shared" si="2"/>
        <v>1</v>
      </c>
      <c r="N157" t="b">
        <f>COUNTBLANK(metadata!B157:F157)=COLUMNS(metadata!B157:F157)</f>
        <v>1</v>
      </c>
      <c r="O157" t="str">
        <v/>
      </c>
      <c r="Q157" t="b">
        <f ca="1">AND(IF(metadata!B157="",FALSE,TRUE),COUNTIF(metadata!B:B, metadata!B157) = 1,NOT(ISERROR(SUMPRODUCT(SEARCH(MID(metadata!B157,ROW(INDIRECT("1:"&amp;LEN(metadata!B157))), 1),"0123456789abcdefghijklmnopqrstuvwxyzABCDEFGHIJKLMNOPQRSTUVWXYZ.")))))</f>
        <v>0</v>
      </c>
      <c r="R157" t="b">
        <f>AND(IF(metadata!C157="",FALSE,TRUE),OR(EXACT(metadata!C157,"saline"),EXACT(metadata!C157,"non-saline")))</f>
        <v>0</v>
      </c>
      <c r="S157" t="b">
        <f>AND(IF(metadata!D157="",FALSE,TRUE),OR(EXACT(metadata!D157,"surface (non-saline)"),EXACT(metadata!D157,"aerosol (non-saline)"),EXACT(metadata!D157,"sediment (non-saline)"),EXACT(metadata!D157,"surface (saline)"),EXACT(metadata!D157,"aerosol (saline)"),EXACT(metadata!D157,"sediment (saline)")))</f>
        <v>0</v>
      </c>
      <c r="T157" t="b">
        <f>AND(IF(metadata!E157="",FALSE,TRUE),EXACT(metadata!E157,"built environment"))</f>
        <v>0</v>
      </c>
      <c r="U157" t="b">
        <f>OR(AND(IF(metadata!F157="",FALSE,TRUE),EXACT(metadata!F157,"not applicable")),AND(IF(metadata!F157="",FALSE,TRUE),EXACT(metadata!F157,"anaerobic digester content")))</f>
        <v>0</v>
      </c>
    </row>
    <row r="158" spans="1:21" x14ac:dyDescent="0.2">
      <c r="A158" s="4" t="str">
        <f ca="1">IF(B158=" "," ",HYPERLINK(CONCATENATE("#metadata!",ADDRESS(INDEX($L$2:$L$1001,MATCH(ROWS($J$2:J158),$J$2:$J$1001,0),0),1)),INDEX($O$2:$O$1001,MATCH(ROWS($J$2:J158),$J$2:$J$1001,0),0)))</f>
        <v xml:space="preserve"> </v>
      </c>
      <c r="B158" s="3" t="str">
        <f ca="1">IF(OR(INDEX($K$2:$K$1001,MATCH(ROWS($J$2:J158),$J$2:$J$1001,0),1)&gt;=100000,INDEX($Q$1005:$U$1005,1,MATCH(COLUMNS($Q$1006:Q1006),$Q$1006:$U$1006,0))&gt;=100000), " ",IF(INDEX($Q$2:$U$1001,MATCH(ROWS($J$2:J158),$J$2:$J$1001,0),MATCH(COLUMNS($Q$1006:Q1006),$Q$1006:$U$1006,0)), HYPERLINK("#",""), HYPERLINK(CONCATENATE("#metadata!", ADDRESS(INDEX($L$2:$L$1001,MATCH(ROWS($J$2:J158),$J$2:$J$1001,0),0), INDEX($Q$1004:$U$1004,1,MATCH(COLUMNS($Q$1006:Q1006),$Q$1006:$U$1006,0)))),"Fix")))</f>
        <v xml:space="preserve"> </v>
      </c>
      <c r="C158" s="3" t="str">
        <f ca="1">IF(OR(INDEX($K$2:$K$1001,MATCH(ROWS($J$2:J158),$J$2:$J$1001,0),1)&gt;=100000,INDEX($Q$1005:$U$1005,1,MATCH(COLUMNS($Q$1006:R1006),$Q$1006:$U$1006,0))&gt;=100000), " ",IF(INDEX($Q$2:$U$1001,MATCH(ROWS($J$2:J158),$J$2:$J$1001,0),MATCH(COLUMNS($Q$1006:R1006),$Q$1006:$U$1006,0)), HYPERLINK("#",""), HYPERLINK(CONCATENATE("#metadata!", ADDRESS(INDEX($L$2:$L$1001,MATCH(ROWS($J$2:J158),$J$2:$J$1001,0),0), INDEX($Q$1004:$U$1004,1,MATCH(COLUMNS($Q$1006:R1006),$Q$1006:$U$1006,0)))),"Fix")))</f>
        <v xml:space="preserve"> </v>
      </c>
      <c r="D158" s="3" t="str">
        <f ca="1">IF(OR(INDEX($K$2:$K$1001,MATCH(ROWS($J$2:J158),$J$2:$J$1001,0),1)&gt;=100000,INDEX($Q$1005:$U$1005,1,MATCH(COLUMNS($Q$1006:S1006),$Q$1006:$U$1006,0))&gt;=100000), " ",IF(INDEX($Q$2:$U$1001,MATCH(ROWS($J$2:J158),$J$2:$J$1001,0),MATCH(COLUMNS($Q$1006:S1006),$Q$1006:$U$1006,0)), HYPERLINK("#",""), HYPERLINK(CONCATENATE("#metadata!", ADDRESS(INDEX($L$2:$L$1001,MATCH(ROWS($J$2:J158),$J$2:$J$1001,0),0), INDEX($Q$1004:$U$1004,1,MATCH(COLUMNS($Q$1006:S1006),$Q$1006:$U$1006,0)))),"Fix")))</f>
        <v xml:space="preserve"> </v>
      </c>
      <c r="E158" s="3" t="str">
        <f ca="1">IF(OR(INDEX($K$2:$K$1001,MATCH(ROWS($J$2:J158),$J$2:$J$1001,0),1)&gt;=100000,INDEX($Q$1005:$U$1005,1,MATCH(COLUMNS($Q$1006:T1006),$Q$1006:$U$1006,0))&gt;=100000), " ",IF(INDEX($Q$2:$U$1001,MATCH(ROWS($J$2:J158),$J$2:$J$1001,0),MATCH(COLUMNS($Q$1006:T1006),$Q$1006:$U$1006,0)), HYPERLINK("#",""), HYPERLINK(CONCATENATE("#metadata!", ADDRESS(INDEX($L$2:$L$1001,MATCH(ROWS($J$2:J158),$J$2:$J$1001,0),0), INDEX($Q$1004:$U$1004,1,MATCH(COLUMNS($Q$1006:T1006),$Q$1006:$U$1006,0)))),"Fix")))</f>
        <v xml:space="preserve"> </v>
      </c>
      <c r="F158" s="3" t="str">
        <f ca="1">IF(OR(INDEX($K$2:$K$1001,MATCH(ROWS($J$2:J158),$J$2:$J$1001,0),1)&gt;=100000,INDEX($Q$1005:$U$1005,1,MATCH(COLUMNS($Q$1006:U1006),$Q$1006:$U$1006,0))&gt;=100000), " ",IF(INDEX($Q$2:$U$1001,MATCH(ROWS($J$2:J158),$J$2:$J$1001,0),MATCH(COLUMNS($Q$1006:U1006),$Q$1006:$U$1006,0)), HYPERLINK("#",""), HYPERLINK(CONCATENATE("#metadata!", ADDRESS(INDEX($L$2:$L$1001,MATCH(ROWS($J$2:J158),$J$2:$J$1001,0),0), INDEX($Q$1004:$U$1004,1,MATCH(COLUMNS($Q$1006:U1006),$Q$1006:$U$1006,0)))),"Fix")))</f>
        <v xml:space="preserve"> </v>
      </c>
      <c r="J158">
        <v>157</v>
      </c>
      <c r="K158">
        <v>100158</v>
      </c>
      <c r="L158">
        <v>158</v>
      </c>
      <c r="M158" t="b">
        <f t="shared" si="2"/>
        <v>1</v>
      </c>
      <c r="N158" t="b">
        <f>COUNTBLANK(metadata!B158:F158)=COLUMNS(metadata!B158:F158)</f>
        <v>1</v>
      </c>
      <c r="O158" t="str">
        <v/>
      </c>
      <c r="Q158" t="b">
        <f ca="1">AND(IF(metadata!B158="",FALSE,TRUE),COUNTIF(metadata!B:B, metadata!B158) = 1,NOT(ISERROR(SUMPRODUCT(SEARCH(MID(metadata!B158,ROW(INDIRECT("1:"&amp;LEN(metadata!B158))), 1),"0123456789abcdefghijklmnopqrstuvwxyzABCDEFGHIJKLMNOPQRSTUVWXYZ.")))))</f>
        <v>0</v>
      </c>
      <c r="R158" t="b">
        <f>AND(IF(metadata!C158="",FALSE,TRUE),OR(EXACT(metadata!C158,"saline"),EXACT(metadata!C158,"non-saline")))</f>
        <v>0</v>
      </c>
      <c r="S158" t="b">
        <f>AND(IF(metadata!D158="",FALSE,TRUE),OR(EXACT(metadata!D158,"surface (non-saline)"),EXACT(metadata!D158,"aerosol (non-saline)"),EXACT(metadata!D158,"sediment (non-saline)"),EXACT(metadata!D158,"surface (saline)"),EXACT(metadata!D158,"aerosol (saline)"),EXACT(metadata!D158,"sediment (saline)")))</f>
        <v>0</v>
      </c>
      <c r="T158" t="b">
        <f>AND(IF(metadata!E158="",FALSE,TRUE),EXACT(metadata!E158,"built environment"))</f>
        <v>0</v>
      </c>
      <c r="U158" t="b">
        <f>OR(AND(IF(metadata!F158="",FALSE,TRUE),EXACT(metadata!F158,"not applicable")),AND(IF(metadata!F158="",FALSE,TRUE),EXACT(metadata!F158,"anaerobic digester content")))</f>
        <v>0</v>
      </c>
    </row>
    <row r="159" spans="1:21" x14ac:dyDescent="0.2">
      <c r="A159" s="4" t="str">
        <f ca="1">IF(B159=" "," ",HYPERLINK(CONCATENATE("#metadata!",ADDRESS(INDEX($L$2:$L$1001,MATCH(ROWS($J$2:J159),$J$2:$J$1001,0),0),1)),INDEX($O$2:$O$1001,MATCH(ROWS($J$2:J159),$J$2:$J$1001,0),0)))</f>
        <v xml:space="preserve"> </v>
      </c>
      <c r="B159" s="3" t="str">
        <f ca="1">IF(OR(INDEX($K$2:$K$1001,MATCH(ROWS($J$2:J159),$J$2:$J$1001,0),1)&gt;=100000,INDEX($Q$1005:$U$1005,1,MATCH(COLUMNS($Q$1006:Q1006),$Q$1006:$U$1006,0))&gt;=100000), " ",IF(INDEX($Q$2:$U$1001,MATCH(ROWS($J$2:J159),$J$2:$J$1001,0),MATCH(COLUMNS($Q$1006:Q1006),$Q$1006:$U$1006,0)), HYPERLINK("#",""), HYPERLINK(CONCATENATE("#metadata!", ADDRESS(INDEX($L$2:$L$1001,MATCH(ROWS($J$2:J159),$J$2:$J$1001,0),0), INDEX($Q$1004:$U$1004,1,MATCH(COLUMNS($Q$1006:Q1006),$Q$1006:$U$1006,0)))),"Fix")))</f>
        <v xml:space="preserve"> </v>
      </c>
      <c r="C159" s="3" t="str">
        <f ca="1">IF(OR(INDEX($K$2:$K$1001,MATCH(ROWS($J$2:J159),$J$2:$J$1001,0),1)&gt;=100000,INDEX($Q$1005:$U$1005,1,MATCH(COLUMNS($Q$1006:R1006),$Q$1006:$U$1006,0))&gt;=100000), " ",IF(INDEX($Q$2:$U$1001,MATCH(ROWS($J$2:J159),$J$2:$J$1001,0),MATCH(COLUMNS($Q$1006:R1006),$Q$1006:$U$1006,0)), HYPERLINK("#",""), HYPERLINK(CONCATENATE("#metadata!", ADDRESS(INDEX($L$2:$L$1001,MATCH(ROWS($J$2:J159),$J$2:$J$1001,0),0), INDEX($Q$1004:$U$1004,1,MATCH(COLUMNS($Q$1006:R1006),$Q$1006:$U$1006,0)))),"Fix")))</f>
        <v xml:space="preserve"> </v>
      </c>
      <c r="D159" s="3" t="str">
        <f ca="1">IF(OR(INDEX($K$2:$K$1001,MATCH(ROWS($J$2:J159),$J$2:$J$1001,0),1)&gt;=100000,INDEX($Q$1005:$U$1005,1,MATCH(COLUMNS($Q$1006:S1006),$Q$1006:$U$1006,0))&gt;=100000), " ",IF(INDEX($Q$2:$U$1001,MATCH(ROWS($J$2:J159),$J$2:$J$1001,0),MATCH(COLUMNS($Q$1006:S1006),$Q$1006:$U$1006,0)), HYPERLINK("#",""), HYPERLINK(CONCATENATE("#metadata!", ADDRESS(INDEX($L$2:$L$1001,MATCH(ROWS($J$2:J159),$J$2:$J$1001,0),0), INDEX($Q$1004:$U$1004,1,MATCH(COLUMNS($Q$1006:S1006),$Q$1006:$U$1006,0)))),"Fix")))</f>
        <v xml:space="preserve"> </v>
      </c>
      <c r="E159" s="3" t="str">
        <f ca="1">IF(OR(INDEX($K$2:$K$1001,MATCH(ROWS($J$2:J159),$J$2:$J$1001,0),1)&gt;=100000,INDEX($Q$1005:$U$1005,1,MATCH(COLUMNS($Q$1006:T1006),$Q$1006:$U$1006,0))&gt;=100000), " ",IF(INDEX($Q$2:$U$1001,MATCH(ROWS($J$2:J159),$J$2:$J$1001,0),MATCH(COLUMNS($Q$1006:T1006),$Q$1006:$U$1006,0)), HYPERLINK("#",""), HYPERLINK(CONCATENATE("#metadata!", ADDRESS(INDEX($L$2:$L$1001,MATCH(ROWS($J$2:J159),$J$2:$J$1001,0),0), INDEX($Q$1004:$U$1004,1,MATCH(COLUMNS($Q$1006:T1006),$Q$1006:$U$1006,0)))),"Fix")))</f>
        <v xml:space="preserve"> </v>
      </c>
      <c r="F159" s="3" t="str">
        <f ca="1">IF(OR(INDEX($K$2:$K$1001,MATCH(ROWS($J$2:J159),$J$2:$J$1001,0),1)&gt;=100000,INDEX($Q$1005:$U$1005,1,MATCH(COLUMNS($Q$1006:U1006),$Q$1006:$U$1006,0))&gt;=100000), " ",IF(INDEX($Q$2:$U$1001,MATCH(ROWS($J$2:J159),$J$2:$J$1001,0),MATCH(COLUMNS($Q$1006:U1006),$Q$1006:$U$1006,0)), HYPERLINK("#",""), HYPERLINK(CONCATENATE("#metadata!", ADDRESS(INDEX($L$2:$L$1001,MATCH(ROWS($J$2:J159),$J$2:$J$1001,0),0), INDEX($Q$1004:$U$1004,1,MATCH(COLUMNS($Q$1006:U1006),$Q$1006:$U$1006,0)))),"Fix")))</f>
        <v xml:space="preserve"> </v>
      </c>
      <c r="J159">
        <v>158</v>
      </c>
      <c r="K159">
        <v>100159</v>
      </c>
      <c r="L159">
        <v>159</v>
      </c>
      <c r="M159" t="b">
        <f t="shared" si="2"/>
        <v>1</v>
      </c>
      <c r="N159" t="b">
        <f>COUNTBLANK(metadata!B159:F159)=COLUMNS(metadata!B159:F159)</f>
        <v>1</v>
      </c>
      <c r="O159" t="str">
        <v/>
      </c>
      <c r="Q159" t="b">
        <f ca="1">AND(IF(metadata!B159="",FALSE,TRUE),COUNTIF(metadata!B:B, metadata!B159) = 1,NOT(ISERROR(SUMPRODUCT(SEARCH(MID(metadata!B159,ROW(INDIRECT("1:"&amp;LEN(metadata!B159))), 1),"0123456789abcdefghijklmnopqrstuvwxyzABCDEFGHIJKLMNOPQRSTUVWXYZ.")))))</f>
        <v>0</v>
      </c>
      <c r="R159" t="b">
        <f>AND(IF(metadata!C159="",FALSE,TRUE),OR(EXACT(metadata!C159,"saline"),EXACT(metadata!C159,"non-saline")))</f>
        <v>0</v>
      </c>
      <c r="S159" t="b">
        <f>AND(IF(metadata!D159="",FALSE,TRUE),OR(EXACT(metadata!D159,"surface (non-saline)"),EXACT(metadata!D159,"aerosol (non-saline)"),EXACT(metadata!D159,"sediment (non-saline)"),EXACT(metadata!D159,"surface (saline)"),EXACT(metadata!D159,"aerosol (saline)"),EXACT(metadata!D159,"sediment (saline)")))</f>
        <v>0</v>
      </c>
      <c r="T159" t="b">
        <f>AND(IF(metadata!E159="",FALSE,TRUE),EXACT(metadata!E159,"built environment"))</f>
        <v>0</v>
      </c>
      <c r="U159" t="b">
        <f>OR(AND(IF(metadata!F159="",FALSE,TRUE),EXACT(metadata!F159,"not applicable")),AND(IF(metadata!F159="",FALSE,TRUE),EXACT(metadata!F159,"anaerobic digester content")))</f>
        <v>0</v>
      </c>
    </row>
    <row r="160" spans="1:21" x14ac:dyDescent="0.2">
      <c r="A160" s="4" t="str">
        <f ca="1">IF(B160=" "," ",HYPERLINK(CONCATENATE("#metadata!",ADDRESS(INDEX($L$2:$L$1001,MATCH(ROWS($J$2:J160),$J$2:$J$1001,0),0),1)),INDEX($O$2:$O$1001,MATCH(ROWS($J$2:J160),$J$2:$J$1001,0),0)))</f>
        <v xml:space="preserve"> </v>
      </c>
      <c r="B160" s="3" t="str">
        <f ca="1">IF(OR(INDEX($K$2:$K$1001,MATCH(ROWS($J$2:J160),$J$2:$J$1001,0),1)&gt;=100000,INDEX($Q$1005:$U$1005,1,MATCH(COLUMNS($Q$1006:Q1006),$Q$1006:$U$1006,0))&gt;=100000), " ",IF(INDEX($Q$2:$U$1001,MATCH(ROWS($J$2:J160),$J$2:$J$1001,0),MATCH(COLUMNS($Q$1006:Q1006),$Q$1006:$U$1006,0)), HYPERLINK("#",""), HYPERLINK(CONCATENATE("#metadata!", ADDRESS(INDEX($L$2:$L$1001,MATCH(ROWS($J$2:J160),$J$2:$J$1001,0),0), INDEX($Q$1004:$U$1004,1,MATCH(COLUMNS($Q$1006:Q1006),$Q$1006:$U$1006,0)))),"Fix")))</f>
        <v xml:space="preserve"> </v>
      </c>
      <c r="C160" s="3" t="str">
        <f ca="1">IF(OR(INDEX($K$2:$K$1001,MATCH(ROWS($J$2:J160),$J$2:$J$1001,0),1)&gt;=100000,INDEX($Q$1005:$U$1005,1,MATCH(COLUMNS($Q$1006:R1006),$Q$1006:$U$1006,0))&gt;=100000), " ",IF(INDEX($Q$2:$U$1001,MATCH(ROWS($J$2:J160),$J$2:$J$1001,0),MATCH(COLUMNS($Q$1006:R1006),$Q$1006:$U$1006,0)), HYPERLINK("#",""), HYPERLINK(CONCATENATE("#metadata!", ADDRESS(INDEX($L$2:$L$1001,MATCH(ROWS($J$2:J160),$J$2:$J$1001,0),0), INDEX($Q$1004:$U$1004,1,MATCH(COLUMNS($Q$1006:R1006),$Q$1006:$U$1006,0)))),"Fix")))</f>
        <v xml:space="preserve"> </v>
      </c>
      <c r="D160" s="3" t="str">
        <f ca="1">IF(OR(INDEX($K$2:$K$1001,MATCH(ROWS($J$2:J160),$J$2:$J$1001,0),1)&gt;=100000,INDEX($Q$1005:$U$1005,1,MATCH(COLUMNS($Q$1006:S1006),$Q$1006:$U$1006,0))&gt;=100000), " ",IF(INDEX($Q$2:$U$1001,MATCH(ROWS($J$2:J160),$J$2:$J$1001,0),MATCH(COLUMNS($Q$1006:S1006),$Q$1006:$U$1006,0)), HYPERLINK("#",""), HYPERLINK(CONCATENATE("#metadata!", ADDRESS(INDEX($L$2:$L$1001,MATCH(ROWS($J$2:J160),$J$2:$J$1001,0),0), INDEX($Q$1004:$U$1004,1,MATCH(COLUMNS($Q$1006:S1006),$Q$1006:$U$1006,0)))),"Fix")))</f>
        <v xml:space="preserve"> </v>
      </c>
      <c r="E160" s="3" t="str">
        <f ca="1">IF(OR(INDEX($K$2:$K$1001,MATCH(ROWS($J$2:J160),$J$2:$J$1001,0),1)&gt;=100000,INDEX($Q$1005:$U$1005,1,MATCH(COLUMNS($Q$1006:T1006),$Q$1006:$U$1006,0))&gt;=100000), " ",IF(INDEX($Q$2:$U$1001,MATCH(ROWS($J$2:J160),$J$2:$J$1001,0),MATCH(COLUMNS($Q$1006:T1006),$Q$1006:$U$1006,0)), HYPERLINK("#",""), HYPERLINK(CONCATENATE("#metadata!", ADDRESS(INDEX($L$2:$L$1001,MATCH(ROWS($J$2:J160),$J$2:$J$1001,0),0), INDEX($Q$1004:$U$1004,1,MATCH(COLUMNS($Q$1006:T1006),$Q$1006:$U$1006,0)))),"Fix")))</f>
        <v xml:space="preserve"> </v>
      </c>
      <c r="F160" s="3" t="str">
        <f ca="1">IF(OR(INDEX($K$2:$K$1001,MATCH(ROWS($J$2:J160),$J$2:$J$1001,0),1)&gt;=100000,INDEX($Q$1005:$U$1005,1,MATCH(COLUMNS($Q$1006:U1006),$Q$1006:$U$1006,0))&gt;=100000), " ",IF(INDEX($Q$2:$U$1001,MATCH(ROWS($J$2:J160),$J$2:$J$1001,0),MATCH(COLUMNS($Q$1006:U1006),$Q$1006:$U$1006,0)), HYPERLINK("#",""), HYPERLINK(CONCATENATE("#metadata!", ADDRESS(INDEX($L$2:$L$1001,MATCH(ROWS($J$2:J160),$J$2:$J$1001,0),0), INDEX($Q$1004:$U$1004,1,MATCH(COLUMNS($Q$1006:U1006),$Q$1006:$U$1006,0)))),"Fix")))</f>
        <v xml:space="preserve"> </v>
      </c>
      <c r="J160">
        <v>159</v>
      </c>
      <c r="K160">
        <v>100160</v>
      </c>
      <c r="L160">
        <v>160</v>
      </c>
      <c r="M160" t="b">
        <f t="shared" si="2"/>
        <v>1</v>
      </c>
      <c r="N160" t="b">
        <f>COUNTBLANK(metadata!B160:F160)=COLUMNS(metadata!B160:F160)</f>
        <v>1</v>
      </c>
      <c r="O160" t="str">
        <v/>
      </c>
      <c r="Q160" t="b">
        <f ca="1">AND(IF(metadata!B160="",FALSE,TRUE),COUNTIF(metadata!B:B, metadata!B160) = 1,NOT(ISERROR(SUMPRODUCT(SEARCH(MID(metadata!B160,ROW(INDIRECT("1:"&amp;LEN(metadata!B160))), 1),"0123456789abcdefghijklmnopqrstuvwxyzABCDEFGHIJKLMNOPQRSTUVWXYZ.")))))</f>
        <v>0</v>
      </c>
      <c r="R160" t="b">
        <f>AND(IF(metadata!C160="",FALSE,TRUE),OR(EXACT(metadata!C160,"saline"),EXACT(metadata!C160,"non-saline")))</f>
        <v>0</v>
      </c>
      <c r="S160" t="b">
        <f>AND(IF(metadata!D160="",FALSE,TRUE),OR(EXACT(metadata!D160,"surface (non-saline)"),EXACT(metadata!D160,"aerosol (non-saline)"),EXACT(metadata!D160,"sediment (non-saline)"),EXACT(metadata!D160,"surface (saline)"),EXACT(metadata!D160,"aerosol (saline)"),EXACT(metadata!D160,"sediment (saline)")))</f>
        <v>0</v>
      </c>
      <c r="T160" t="b">
        <f>AND(IF(metadata!E160="",FALSE,TRUE),EXACT(metadata!E160,"built environment"))</f>
        <v>0</v>
      </c>
      <c r="U160" t="b">
        <f>OR(AND(IF(metadata!F160="",FALSE,TRUE),EXACT(metadata!F160,"not applicable")),AND(IF(metadata!F160="",FALSE,TRUE),EXACT(metadata!F160,"anaerobic digester content")))</f>
        <v>0</v>
      </c>
    </row>
    <row r="161" spans="1:21" x14ac:dyDescent="0.2">
      <c r="A161" s="4" t="str">
        <f ca="1">IF(B161=" "," ",HYPERLINK(CONCATENATE("#metadata!",ADDRESS(INDEX($L$2:$L$1001,MATCH(ROWS($J$2:J161),$J$2:$J$1001,0),0),1)),INDEX($O$2:$O$1001,MATCH(ROWS($J$2:J161),$J$2:$J$1001,0),0)))</f>
        <v xml:space="preserve"> </v>
      </c>
      <c r="B161" s="3" t="str">
        <f ca="1">IF(OR(INDEX($K$2:$K$1001,MATCH(ROWS($J$2:J161),$J$2:$J$1001,0),1)&gt;=100000,INDEX($Q$1005:$U$1005,1,MATCH(COLUMNS($Q$1006:Q1006),$Q$1006:$U$1006,0))&gt;=100000), " ",IF(INDEX($Q$2:$U$1001,MATCH(ROWS($J$2:J161),$J$2:$J$1001,0),MATCH(COLUMNS($Q$1006:Q1006),$Q$1006:$U$1006,0)), HYPERLINK("#",""), HYPERLINK(CONCATENATE("#metadata!", ADDRESS(INDEX($L$2:$L$1001,MATCH(ROWS($J$2:J161),$J$2:$J$1001,0),0), INDEX($Q$1004:$U$1004,1,MATCH(COLUMNS($Q$1006:Q1006),$Q$1006:$U$1006,0)))),"Fix")))</f>
        <v xml:space="preserve"> </v>
      </c>
      <c r="C161" s="3" t="str">
        <f ca="1">IF(OR(INDEX($K$2:$K$1001,MATCH(ROWS($J$2:J161),$J$2:$J$1001,0),1)&gt;=100000,INDEX($Q$1005:$U$1005,1,MATCH(COLUMNS($Q$1006:R1006),$Q$1006:$U$1006,0))&gt;=100000), " ",IF(INDEX($Q$2:$U$1001,MATCH(ROWS($J$2:J161),$J$2:$J$1001,0),MATCH(COLUMNS($Q$1006:R1006),$Q$1006:$U$1006,0)), HYPERLINK("#",""), HYPERLINK(CONCATENATE("#metadata!", ADDRESS(INDEX($L$2:$L$1001,MATCH(ROWS($J$2:J161),$J$2:$J$1001,0),0), INDEX($Q$1004:$U$1004,1,MATCH(COLUMNS($Q$1006:R1006),$Q$1006:$U$1006,0)))),"Fix")))</f>
        <v xml:space="preserve"> </v>
      </c>
      <c r="D161" s="3" t="str">
        <f ca="1">IF(OR(INDEX($K$2:$K$1001,MATCH(ROWS($J$2:J161),$J$2:$J$1001,0),1)&gt;=100000,INDEX($Q$1005:$U$1005,1,MATCH(COLUMNS($Q$1006:S1006),$Q$1006:$U$1006,0))&gt;=100000), " ",IF(INDEX($Q$2:$U$1001,MATCH(ROWS($J$2:J161),$J$2:$J$1001,0),MATCH(COLUMNS($Q$1006:S1006),$Q$1006:$U$1006,0)), HYPERLINK("#",""), HYPERLINK(CONCATENATE("#metadata!", ADDRESS(INDEX($L$2:$L$1001,MATCH(ROWS($J$2:J161),$J$2:$J$1001,0),0), INDEX($Q$1004:$U$1004,1,MATCH(COLUMNS($Q$1006:S1006),$Q$1006:$U$1006,0)))),"Fix")))</f>
        <v xml:space="preserve"> </v>
      </c>
      <c r="E161" s="3" t="str">
        <f ca="1">IF(OR(INDEX($K$2:$K$1001,MATCH(ROWS($J$2:J161),$J$2:$J$1001,0),1)&gt;=100000,INDEX($Q$1005:$U$1005,1,MATCH(COLUMNS($Q$1006:T1006),$Q$1006:$U$1006,0))&gt;=100000), " ",IF(INDEX($Q$2:$U$1001,MATCH(ROWS($J$2:J161),$J$2:$J$1001,0),MATCH(COLUMNS($Q$1006:T1006),$Q$1006:$U$1006,0)), HYPERLINK("#",""), HYPERLINK(CONCATENATE("#metadata!", ADDRESS(INDEX($L$2:$L$1001,MATCH(ROWS($J$2:J161),$J$2:$J$1001,0),0), INDEX($Q$1004:$U$1004,1,MATCH(COLUMNS($Q$1006:T1006),$Q$1006:$U$1006,0)))),"Fix")))</f>
        <v xml:space="preserve"> </v>
      </c>
      <c r="F161" s="3" t="str">
        <f ca="1">IF(OR(INDEX($K$2:$K$1001,MATCH(ROWS($J$2:J161),$J$2:$J$1001,0),1)&gt;=100000,INDEX($Q$1005:$U$1005,1,MATCH(COLUMNS($Q$1006:U1006),$Q$1006:$U$1006,0))&gt;=100000), " ",IF(INDEX($Q$2:$U$1001,MATCH(ROWS($J$2:J161),$J$2:$J$1001,0),MATCH(COLUMNS($Q$1006:U1006),$Q$1006:$U$1006,0)), HYPERLINK("#",""), HYPERLINK(CONCATENATE("#metadata!", ADDRESS(INDEX($L$2:$L$1001,MATCH(ROWS($J$2:J161),$J$2:$J$1001,0),0), INDEX($Q$1004:$U$1004,1,MATCH(COLUMNS($Q$1006:U1006),$Q$1006:$U$1006,0)))),"Fix")))</f>
        <v xml:space="preserve"> </v>
      </c>
      <c r="J161">
        <v>160</v>
      </c>
      <c r="K161">
        <v>100161</v>
      </c>
      <c r="L161">
        <v>161</v>
      </c>
      <c r="M161" t="b">
        <f t="shared" si="2"/>
        <v>1</v>
      </c>
      <c r="N161" t="b">
        <f>COUNTBLANK(metadata!B161:F161)=COLUMNS(metadata!B161:F161)</f>
        <v>1</v>
      </c>
      <c r="O161" t="str">
        <v/>
      </c>
      <c r="Q161" t="b">
        <f ca="1">AND(IF(metadata!B161="",FALSE,TRUE),COUNTIF(metadata!B:B, metadata!B161) = 1,NOT(ISERROR(SUMPRODUCT(SEARCH(MID(metadata!B161,ROW(INDIRECT("1:"&amp;LEN(metadata!B161))), 1),"0123456789abcdefghijklmnopqrstuvwxyzABCDEFGHIJKLMNOPQRSTUVWXYZ.")))))</f>
        <v>0</v>
      </c>
      <c r="R161" t="b">
        <f>AND(IF(metadata!C161="",FALSE,TRUE),OR(EXACT(metadata!C161,"saline"),EXACT(metadata!C161,"non-saline")))</f>
        <v>0</v>
      </c>
      <c r="S161" t="b">
        <f>AND(IF(metadata!D161="",FALSE,TRUE),OR(EXACT(metadata!D161,"surface (non-saline)"),EXACT(metadata!D161,"aerosol (non-saline)"),EXACT(metadata!D161,"sediment (non-saline)"),EXACT(metadata!D161,"surface (saline)"),EXACT(metadata!D161,"aerosol (saline)"),EXACT(metadata!D161,"sediment (saline)")))</f>
        <v>0</v>
      </c>
      <c r="T161" t="b">
        <f>AND(IF(metadata!E161="",FALSE,TRUE),EXACT(metadata!E161,"built environment"))</f>
        <v>0</v>
      </c>
      <c r="U161" t="b">
        <f>OR(AND(IF(metadata!F161="",FALSE,TRUE),EXACT(metadata!F161,"not applicable")),AND(IF(metadata!F161="",FALSE,TRUE),EXACT(metadata!F161,"anaerobic digester content")))</f>
        <v>0</v>
      </c>
    </row>
    <row r="162" spans="1:21" x14ac:dyDescent="0.2">
      <c r="A162" s="4" t="str">
        <f ca="1">IF(B162=" "," ",HYPERLINK(CONCATENATE("#metadata!",ADDRESS(INDEX($L$2:$L$1001,MATCH(ROWS($J$2:J162),$J$2:$J$1001,0),0),1)),INDEX($O$2:$O$1001,MATCH(ROWS($J$2:J162),$J$2:$J$1001,0),0)))</f>
        <v xml:space="preserve"> </v>
      </c>
      <c r="B162" s="3" t="str">
        <f ca="1">IF(OR(INDEX($K$2:$K$1001,MATCH(ROWS($J$2:J162),$J$2:$J$1001,0),1)&gt;=100000,INDEX($Q$1005:$U$1005,1,MATCH(COLUMNS($Q$1006:Q1006),$Q$1006:$U$1006,0))&gt;=100000), " ",IF(INDEX($Q$2:$U$1001,MATCH(ROWS($J$2:J162),$J$2:$J$1001,0),MATCH(COLUMNS($Q$1006:Q1006),$Q$1006:$U$1006,0)), HYPERLINK("#",""), HYPERLINK(CONCATENATE("#metadata!", ADDRESS(INDEX($L$2:$L$1001,MATCH(ROWS($J$2:J162),$J$2:$J$1001,0),0), INDEX($Q$1004:$U$1004,1,MATCH(COLUMNS($Q$1006:Q1006),$Q$1006:$U$1006,0)))),"Fix")))</f>
        <v xml:space="preserve"> </v>
      </c>
      <c r="C162" s="3" t="str">
        <f ca="1">IF(OR(INDEX($K$2:$K$1001,MATCH(ROWS($J$2:J162),$J$2:$J$1001,0),1)&gt;=100000,INDEX($Q$1005:$U$1005,1,MATCH(COLUMNS($Q$1006:R1006),$Q$1006:$U$1006,0))&gt;=100000), " ",IF(INDEX($Q$2:$U$1001,MATCH(ROWS($J$2:J162),$J$2:$J$1001,0),MATCH(COLUMNS($Q$1006:R1006),$Q$1006:$U$1006,0)), HYPERLINK("#",""), HYPERLINK(CONCATENATE("#metadata!", ADDRESS(INDEX($L$2:$L$1001,MATCH(ROWS($J$2:J162),$J$2:$J$1001,0),0), INDEX($Q$1004:$U$1004,1,MATCH(COLUMNS($Q$1006:R1006),$Q$1006:$U$1006,0)))),"Fix")))</f>
        <v xml:space="preserve"> </v>
      </c>
      <c r="D162" s="3" t="str">
        <f ca="1">IF(OR(INDEX($K$2:$K$1001,MATCH(ROWS($J$2:J162),$J$2:$J$1001,0),1)&gt;=100000,INDEX($Q$1005:$U$1005,1,MATCH(COLUMNS($Q$1006:S1006),$Q$1006:$U$1006,0))&gt;=100000), " ",IF(INDEX($Q$2:$U$1001,MATCH(ROWS($J$2:J162),$J$2:$J$1001,0),MATCH(COLUMNS($Q$1006:S1006),$Q$1006:$U$1006,0)), HYPERLINK("#",""), HYPERLINK(CONCATENATE("#metadata!", ADDRESS(INDEX($L$2:$L$1001,MATCH(ROWS($J$2:J162),$J$2:$J$1001,0),0), INDEX($Q$1004:$U$1004,1,MATCH(COLUMNS($Q$1006:S1006),$Q$1006:$U$1006,0)))),"Fix")))</f>
        <v xml:space="preserve"> </v>
      </c>
      <c r="E162" s="3" t="str">
        <f ca="1">IF(OR(INDEX($K$2:$K$1001,MATCH(ROWS($J$2:J162),$J$2:$J$1001,0),1)&gt;=100000,INDEX($Q$1005:$U$1005,1,MATCH(COLUMNS($Q$1006:T1006),$Q$1006:$U$1006,0))&gt;=100000), " ",IF(INDEX($Q$2:$U$1001,MATCH(ROWS($J$2:J162),$J$2:$J$1001,0),MATCH(COLUMNS($Q$1006:T1006),$Q$1006:$U$1006,0)), HYPERLINK("#",""), HYPERLINK(CONCATENATE("#metadata!", ADDRESS(INDEX($L$2:$L$1001,MATCH(ROWS($J$2:J162),$J$2:$J$1001,0),0), INDEX($Q$1004:$U$1004,1,MATCH(COLUMNS($Q$1006:T1006),$Q$1006:$U$1006,0)))),"Fix")))</f>
        <v xml:space="preserve"> </v>
      </c>
      <c r="F162" s="3" t="str">
        <f ca="1">IF(OR(INDEX($K$2:$K$1001,MATCH(ROWS($J$2:J162),$J$2:$J$1001,0),1)&gt;=100000,INDEX($Q$1005:$U$1005,1,MATCH(COLUMNS($Q$1006:U1006),$Q$1006:$U$1006,0))&gt;=100000), " ",IF(INDEX($Q$2:$U$1001,MATCH(ROWS($J$2:J162),$J$2:$J$1001,0),MATCH(COLUMNS($Q$1006:U1006),$Q$1006:$U$1006,0)), HYPERLINK("#",""), HYPERLINK(CONCATENATE("#metadata!", ADDRESS(INDEX($L$2:$L$1001,MATCH(ROWS($J$2:J162),$J$2:$J$1001,0),0), INDEX($Q$1004:$U$1004,1,MATCH(COLUMNS($Q$1006:U1006),$Q$1006:$U$1006,0)))),"Fix")))</f>
        <v xml:space="preserve"> </v>
      </c>
      <c r="J162">
        <v>161</v>
      </c>
      <c r="K162">
        <v>100162</v>
      </c>
      <c r="L162">
        <v>162</v>
      </c>
      <c r="M162" t="b">
        <f t="shared" si="2"/>
        <v>1</v>
      </c>
      <c r="N162" t="b">
        <f>COUNTBLANK(metadata!B162:F162)=COLUMNS(metadata!B162:F162)</f>
        <v>1</v>
      </c>
      <c r="O162" t="str">
        <v/>
      </c>
      <c r="Q162" t="b">
        <f ca="1">AND(IF(metadata!B162="",FALSE,TRUE),COUNTIF(metadata!B:B, metadata!B162) = 1,NOT(ISERROR(SUMPRODUCT(SEARCH(MID(metadata!B162,ROW(INDIRECT("1:"&amp;LEN(metadata!B162))), 1),"0123456789abcdefghijklmnopqrstuvwxyzABCDEFGHIJKLMNOPQRSTUVWXYZ.")))))</f>
        <v>0</v>
      </c>
      <c r="R162" t="b">
        <f>AND(IF(metadata!C162="",FALSE,TRUE),OR(EXACT(metadata!C162,"saline"),EXACT(metadata!C162,"non-saline")))</f>
        <v>0</v>
      </c>
      <c r="S162" t="b">
        <f>AND(IF(metadata!D162="",FALSE,TRUE),OR(EXACT(metadata!D162,"surface (non-saline)"),EXACT(metadata!D162,"aerosol (non-saline)"),EXACT(metadata!D162,"sediment (non-saline)"),EXACT(metadata!D162,"surface (saline)"),EXACT(metadata!D162,"aerosol (saline)"),EXACT(metadata!D162,"sediment (saline)")))</f>
        <v>0</v>
      </c>
      <c r="T162" t="b">
        <f>AND(IF(metadata!E162="",FALSE,TRUE),EXACT(metadata!E162,"built environment"))</f>
        <v>0</v>
      </c>
      <c r="U162" t="b">
        <f>OR(AND(IF(metadata!F162="",FALSE,TRUE),EXACT(metadata!F162,"not applicable")),AND(IF(metadata!F162="",FALSE,TRUE),EXACT(metadata!F162,"anaerobic digester content")))</f>
        <v>0</v>
      </c>
    </row>
    <row r="163" spans="1:21" x14ac:dyDescent="0.2">
      <c r="A163" s="4" t="str">
        <f ca="1">IF(B163=" "," ",HYPERLINK(CONCATENATE("#metadata!",ADDRESS(INDEX($L$2:$L$1001,MATCH(ROWS($J$2:J163),$J$2:$J$1001,0),0),1)),INDEX($O$2:$O$1001,MATCH(ROWS($J$2:J163),$J$2:$J$1001,0),0)))</f>
        <v xml:space="preserve"> </v>
      </c>
      <c r="B163" s="3" t="str">
        <f ca="1">IF(OR(INDEX($K$2:$K$1001,MATCH(ROWS($J$2:J163),$J$2:$J$1001,0),1)&gt;=100000,INDEX($Q$1005:$U$1005,1,MATCH(COLUMNS($Q$1006:Q1006),$Q$1006:$U$1006,0))&gt;=100000), " ",IF(INDEX($Q$2:$U$1001,MATCH(ROWS($J$2:J163),$J$2:$J$1001,0),MATCH(COLUMNS($Q$1006:Q1006),$Q$1006:$U$1006,0)), HYPERLINK("#",""), HYPERLINK(CONCATENATE("#metadata!", ADDRESS(INDEX($L$2:$L$1001,MATCH(ROWS($J$2:J163),$J$2:$J$1001,0),0), INDEX($Q$1004:$U$1004,1,MATCH(COLUMNS($Q$1006:Q1006),$Q$1006:$U$1006,0)))),"Fix")))</f>
        <v xml:space="preserve"> </v>
      </c>
      <c r="C163" s="3" t="str">
        <f ca="1">IF(OR(INDEX($K$2:$K$1001,MATCH(ROWS($J$2:J163),$J$2:$J$1001,0),1)&gt;=100000,INDEX($Q$1005:$U$1005,1,MATCH(COLUMNS($Q$1006:R1006),$Q$1006:$U$1006,0))&gt;=100000), " ",IF(INDEX($Q$2:$U$1001,MATCH(ROWS($J$2:J163),$J$2:$J$1001,0),MATCH(COLUMNS($Q$1006:R1006),$Q$1006:$U$1006,0)), HYPERLINK("#",""), HYPERLINK(CONCATENATE("#metadata!", ADDRESS(INDEX($L$2:$L$1001,MATCH(ROWS($J$2:J163),$J$2:$J$1001,0),0), INDEX($Q$1004:$U$1004,1,MATCH(COLUMNS($Q$1006:R1006),$Q$1006:$U$1006,0)))),"Fix")))</f>
        <v xml:space="preserve"> </v>
      </c>
      <c r="D163" s="3" t="str">
        <f ca="1">IF(OR(INDEX($K$2:$K$1001,MATCH(ROWS($J$2:J163),$J$2:$J$1001,0),1)&gt;=100000,INDEX($Q$1005:$U$1005,1,MATCH(COLUMNS($Q$1006:S1006),$Q$1006:$U$1006,0))&gt;=100000), " ",IF(INDEX($Q$2:$U$1001,MATCH(ROWS($J$2:J163),$J$2:$J$1001,0),MATCH(COLUMNS($Q$1006:S1006),$Q$1006:$U$1006,0)), HYPERLINK("#",""), HYPERLINK(CONCATENATE("#metadata!", ADDRESS(INDEX($L$2:$L$1001,MATCH(ROWS($J$2:J163),$J$2:$J$1001,0),0), INDEX($Q$1004:$U$1004,1,MATCH(COLUMNS($Q$1006:S1006),$Q$1006:$U$1006,0)))),"Fix")))</f>
        <v xml:space="preserve"> </v>
      </c>
      <c r="E163" s="3" t="str">
        <f ca="1">IF(OR(INDEX($K$2:$K$1001,MATCH(ROWS($J$2:J163),$J$2:$J$1001,0),1)&gt;=100000,INDEX($Q$1005:$U$1005,1,MATCH(COLUMNS($Q$1006:T1006),$Q$1006:$U$1006,0))&gt;=100000), " ",IF(INDEX($Q$2:$U$1001,MATCH(ROWS($J$2:J163),$J$2:$J$1001,0),MATCH(COLUMNS($Q$1006:T1006),$Q$1006:$U$1006,0)), HYPERLINK("#",""), HYPERLINK(CONCATENATE("#metadata!", ADDRESS(INDEX($L$2:$L$1001,MATCH(ROWS($J$2:J163),$J$2:$J$1001,0),0), INDEX($Q$1004:$U$1004,1,MATCH(COLUMNS($Q$1006:T1006),$Q$1006:$U$1006,0)))),"Fix")))</f>
        <v xml:space="preserve"> </v>
      </c>
      <c r="F163" s="3" t="str">
        <f ca="1">IF(OR(INDEX($K$2:$K$1001,MATCH(ROWS($J$2:J163),$J$2:$J$1001,0),1)&gt;=100000,INDEX($Q$1005:$U$1005,1,MATCH(COLUMNS($Q$1006:U1006),$Q$1006:$U$1006,0))&gt;=100000), " ",IF(INDEX($Q$2:$U$1001,MATCH(ROWS($J$2:J163),$J$2:$J$1001,0),MATCH(COLUMNS($Q$1006:U1006),$Q$1006:$U$1006,0)), HYPERLINK("#",""), HYPERLINK(CONCATENATE("#metadata!", ADDRESS(INDEX($L$2:$L$1001,MATCH(ROWS($J$2:J163),$J$2:$J$1001,0),0), INDEX($Q$1004:$U$1004,1,MATCH(COLUMNS($Q$1006:U1006),$Q$1006:$U$1006,0)))),"Fix")))</f>
        <v xml:space="preserve"> </v>
      </c>
      <c r="J163">
        <v>162</v>
      </c>
      <c r="K163">
        <v>100163</v>
      </c>
      <c r="L163">
        <v>163</v>
      </c>
      <c r="M163" t="b">
        <f t="shared" si="2"/>
        <v>1</v>
      </c>
      <c r="N163" t="b">
        <f>COUNTBLANK(metadata!B163:F163)=COLUMNS(metadata!B163:F163)</f>
        <v>1</v>
      </c>
      <c r="O163" t="str">
        <v/>
      </c>
      <c r="Q163" t="b">
        <f ca="1">AND(IF(metadata!B163="",FALSE,TRUE),COUNTIF(metadata!B:B, metadata!B163) = 1,NOT(ISERROR(SUMPRODUCT(SEARCH(MID(metadata!B163,ROW(INDIRECT("1:"&amp;LEN(metadata!B163))), 1),"0123456789abcdefghijklmnopqrstuvwxyzABCDEFGHIJKLMNOPQRSTUVWXYZ.")))))</f>
        <v>0</v>
      </c>
      <c r="R163" t="b">
        <f>AND(IF(metadata!C163="",FALSE,TRUE),OR(EXACT(metadata!C163,"saline"),EXACT(metadata!C163,"non-saline")))</f>
        <v>0</v>
      </c>
      <c r="S163" t="b">
        <f>AND(IF(metadata!D163="",FALSE,TRUE),OR(EXACT(metadata!D163,"surface (non-saline)"),EXACT(metadata!D163,"aerosol (non-saline)"),EXACT(metadata!D163,"sediment (non-saline)"),EXACT(metadata!D163,"surface (saline)"),EXACT(metadata!D163,"aerosol (saline)"),EXACT(metadata!D163,"sediment (saline)")))</f>
        <v>0</v>
      </c>
      <c r="T163" t="b">
        <f>AND(IF(metadata!E163="",FALSE,TRUE),EXACT(metadata!E163,"built environment"))</f>
        <v>0</v>
      </c>
      <c r="U163" t="b">
        <f>OR(AND(IF(metadata!F163="",FALSE,TRUE),EXACT(metadata!F163,"not applicable")),AND(IF(metadata!F163="",FALSE,TRUE),EXACT(metadata!F163,"anaerobic digester content")))</f>
        <v>0</v>
      </c>
    </row>
    <row r="164" spans="1:21" x14ac:dyDescent="0.2">
      <c r="A164" s="4" t="str">
        <f ca="1">IF(B164=" "," ",HYPERLINK(CONCATENATE("#metadata!",ADDRESS(INDEX($L$2:$L$1001,MATCH(ROWS($J$2:J164),$J$2:$J$1001,0),0),1)),INDEX($O$2:$O$1001,MATCH(ROWS($J$2:J164),$J$2:$J$1001,0),0)))</f>
        <v xml:space="preserve"> </v>
      </c>
      <c r="B164" s="3" t="str">
        <f ca="1">IF(OR(INDEX($K$2:$K$1001,MATCH(ROWS($J$2:J164),$J$2:$J$1001,0),1)&gt;=100000,INDEX($Q$1005:$U$1005,1,MATCH(COLUMNS($Q$1006:Q1006),$Q$1006:$U$1006,0))&gt;=100000), " ",IF(INDEX($Q$2:$U$1001,MATCH(ROWS($J$2:J164),$J$2:$J$1001,0),MATCH(COLUMNS($Q$1006:Q1006),$Q$1006:$U$1006,0)), HYPERLINK("#",""), HYPERLINK(CONCATENATE("#metadata!", ADDRESS(INDEX($L$2:$L$1001,MATCH(ROWS($J$2:J164),$J$2:$J$1001,0),0), INDEX($Q$1004:$U$1004,1,MATCH(COLUMNS($Q$1006:Q1006),$Q$1006:$U$1006,0)))),"Fix")))</f>
        <v xml:space="preserve"> </v>
      </c>
      <c r="C164" s="3" t="str">
        <f ca="1">IF(OR(INDEX($K$2:$K$1001,MATCH(ROWS($J$2:J164),$J$2:$J$1001,0),1)&gt;=100000,INDEX($Q$1005:$U$1005,1,MATCH(COLUMNS($Q$1006:R1006),$Q$1006:$U$1006,0))&gt;=100000), " ",IF(INDEX($Q$2:$U$1001,MATCH(ROWS($J$2:J164),$J$2:$J$1001,0),MATCH(COLUMNS($Q$1006:R1006),$Q$1006:$U$1006,0)), HYPERLINK("#",""), HYPERLINK(CONCATENATE("#metadata!", ADDRESS(INDEX($L$2:$L$1001,MATCH(ROWS($J$2:J164),$J$2:$J$1001,0),0), INDEX($Q$1004:$U$1004,1,MATCH(COLUMNS($Q$1006:R1006),$Q$1006:$U$1006,0)))),"Fix")))</f>
        <v xml:space="preserve"> </v>
      </c>
      <c r="D164" s="3" t="str">
        <f ca="1">IF(OR(INDEX($K$2:$K$1001,MATCH(ROWS($J$2:J164),$J$2:$J$1001,0),1)&gt;=100000,INDEX($Q$1005:$U$1005,1,MATCH(COLUMNS($Q$1006:S1006),$Q$1006:$U$1006,0))&gt;=100000), " ",IF(INDEX($Q$2:$U$1001,MATCH(ROWS($J$2:J164),$J$2:$J$1001,0),MATCH(COLUMNS($Q$1006:S1006),$Q$1006:$U$1006,0)), HYPERLINK("#",""), HYPERLINK(CONCATENATE("#metadata!", ADDRESS(INDEX($L$2:$L$1001,MATCH(ROWS($J$2:J164),$J$2:$J$1001,0),0), INDEX($Q$1004:$U$1004,1,MATCH(COLUMNS($Q$1006:S1006),$Q$1006:$U$1006,0)))),"Fix")))</f>
        <v xml:space="preserve"> </v>
      </c>
      <c r="E164" s="3" t="str">
        <f ca="1">IF(OR(INDEX($K$2:$K$1001,MATCH(ROWS($J$2:J164),$J$2:$J$1001,0),1)&gt;=100000,INDEX($Q$1005:$U$1005,1,MATCH(COLUMNS($Q$1006:T1006),$Q$1006:$U$1006,0))&gt;=100000), " ",IF(INDEX($Q$2:$U$1001,MATCH(ROWS($J$2:J164),$J$2:$J$1001,0),MATCH(COLUMNS($Q$1006:T1006),$Q$1006:$U$1006,0)), HYPERLINK("#",""), HYPERLINK(CONCATENATE("#metadata!", ADDRESS(INDEX($L$2:$L$1001,MATCH(ROWS($J$2:J164),$J$2:$J$1001,0),0), INDEX($Q$1004:$U$1004,1,MATCH(COLUMNS($Q$1006:T1006),$Q$1006:$U$1006,0)))),"Fix")))</f>
        <v xml:space="preserve"> </v>
      </c>
      <c r="F164" s="3" t="str">
        <f ca="1">IF(OR(INDEX($K$2:$K$1001,MATCH(ROWS($J$2:J164),$J$2:$J$1001,0),1)&gt;=100000,INDEX($Q$1005:$U$1005,1,MATCH(COLUMNS($Q$1006:U1006),$Q$1006:$U$1006,0))&gt;=100000), " ",IF(INDEX($Q$2:$U$1001,MATCH(ROWS($J$2:J164),$J$2:$J$1001,0),MATCH(COLUMNS($Q$1006:U1006),$Q$1006:$U$1006,0)), HYPERLINK("#",""), HYPERLINK(CONCATENATE("#metadata!", ADDRESS(INDEX($L$2:$L$1001,MATCH(ROWS($J$2:J164),$J$2:$J$1001,0),0), INDEX($Q$1004:$U$1004,1,MATCH(COLUMNS($Q$1006:U1006),$Q$1006:$U$1006,0)))),"Fix")))</f>
        <v xml:space="preserve"> </v>
      </c>
      <c r="J164">
        <v>163</v>
      </c>
      <c r="K164">
        <v>100164</v>
      </c>
      <c r="L164">
        <v>164</v>
      </c>
      <c r="M164" t="b">
        <f t="shared" si="2"/>
        <v>1</v>
      </c>
      <c r="N164" t="b">
        <f>COUNTBLANK(metadata!B164:F164)=COLUMNS(metadata!B164:F164)</f>
        <v>1</v>
      </c>
      <c r="O164" t="str">
        <v/>
      </c>
      <c r="Q164" t="b">
        <f ca="1">AND(IF(metadata!B164="",FALSE,TRUE),COUNTIF(metadata!B:B, metadata!B164) = 1,NOT(ISERROR(SUMPRODUCT(SEARCH(MID(metadata!B164,ROW(INDIRECT("1:"&amp;LEN(metadata!B164))), 1),"0123456789abcdefghijklmnopqrstuvwxyzABCDEFGHIJKLMNOPQRSTUVWXYZ.")))))</f>
        <v>0</v>
      </c>
      <c r="R164" t="b">
        <f>AND(IF(metadata!C164="",FALSE,TRUE),OR(EXACT(metadata!C164,"saline"),EXACT(metadata!C164,"non-saline")))</f>
        <v>0</v>
      </c>
      <c r="S164" t="b">
        <f>AND(IF(metadata!D164="",FALSE,TRUE),OR(EXACT(metadata!D164,"surface (non-saline)"),EXACT(metadata!D164,"aerosol (non-saline)"),EXACT(metadata!D164,"sediment (non-saline)"),EXACT(metadata!D164,"surface (saline)"),EXACT(metadata!D164,"aerosol (saline)"),EXACT(metadata!D164,"sediment (saline)")))</f>
        <v>0</v>
      </c>
      <c r="T164" t="b">
        <f>AND(IF(metadata!E164="",FALSE,TRUE),EXACT(metadata!E164,"built environment"))</f>
        <v>0</v>
      </c>
      <c r="U164" t="b">
        <f>OR(AND(IF(metadata!F164="",FALSE,TRUE),EXACT(metadata!F164,"not applicable")),AND(IF(metadata!F164="",FALSE,TRUE),EXACT(metadata!F164,"anaerobic digester content")))</f>
        <v>0</v>
      </c>
    </row>
    <row r="165" spans="1:21" x14ac:dyDescent="0.2">
      <c r="A165" s="4" t="str">
        <f ca="1">IF(B165=" "," ",HYPERLINK(CONCATENATE("#metadata!",ADDRESS(INDEX($L$2:$L$1001,MATCH(ROWS($J$2:J165),$J$2:$J$1001,0),0),1)),INDEX($O$2:$O$1001,MATCH(ROWS($J$2:J165),$J$2:$J$1001,0),0)))</f>
        <v xml:space="preserve"> </v>
      </c>
      <c r="B165" s="3" t="str">
        <f ca="1">IF(OR(INDEX($K$2:$K$1001,MATCH(ROWS($J$2:J165),$J$2:$J$1001,0),1)&gt;=100000,INDEX($Q$1005:$U$1005,1,MATCH(COLUMNS($Q$1006:Q1006),$Q$1006:$U$1006,0))&gt;=100000), " ",IF(INDEX($Q$2:$U$1001,MATCH(ROWS($J$2:J165),$J$2:$J$1001,0),MATCH(COLUMNS($Q$1006:Q1006),$Q$1006:$U$1006,0)), HYPERLINK("#",""), HYPERLINK(CONCATENATE("#metadata!", ADDRESS(INDEX($L$2:$L$1001,MATCH(ROWS($J$2:J165),$J$2:$J$1001,0),0), INDEX($Q$1004:$U$1004,1,MATCH(COLUMNS($Q$1006:Q1006),$Q$1006:$U$1006,0)))),"Fix")))</f>
        <v xml:space="preserve"> </v>
      </c>
      <c r="C165" s="3" t="str">
        <f ca="1">IF(OR(INDEX($K$2:$K$1001,MATCH(ROWS($J$2:J165),$J$2:$J$1001,0),1)&gt;=100000,INDEX($Q$1005:$U$1005,1,MATCH(COLUMNS($Q$1006:R1006),$Q$1006:$U$1006,0))&gt;=100000), " ",IF(INDEX($Q$2:$U$1001,MATCH(ROWS($J$2:J165),$J$2:$J$1001,0),MATCH(COLUMNS($Q$1006:R1006),$Q$1006:$U$1006,0)), HYPERLINK("#",""), HYPERLINK(CONCATENATE("#metadata!", ADDRESS(INDEX($L$2:$L$1001,MATCH(ROWS($J$2:J165),$J$2:$J$1001,0),0), INDEX($Q$1004:$U$1004,1,MATCH(COLUMNS($Q$1006:R1006),$Q$1006:$U$1006,0)))),"Fix")))</f>
        <v xml:space="preserve"> </v>
      </c>
      <c r="D165" s="3" t="str">
        <f ca="1">IF(OR(INDEX($K$2:$K$1001,MATCH(ROWS($J$2:J165),$J$2:$J$1001,0),1)&gt;=100000,INDEX($Q$1005:$U$1005,1,MATCH(COLUMNS($Q$1006:S1006),$Q$1006:$U$1006,0))&gt;=100000), " ",IF(INDEX($Q$2:$U$1001,MATCH(ROWS($J$2:J165),$J$2:$J$1001,0),MATCH(COLUMNS($Q$1006:S1006),$Q$1006:$U$1006,0)), HYPERLINK("#",""), HYPERLINK(CONCATENATE("#metadata!", ADDRESS(INDEX($L$2:$L$1001,MATCH(ROWS($J$2:J165),$J$2:$J$1001,0),0), INDEX($Q$1004:$U$1004,1,MATCH(COLUMNS($Q$1006:S1006),$Q$1006:$U$1006,0)))),"Fix")))</f>
        <v xml:space="preserve"> </v>
      </c>
      <c r="E165" s="3" t="str">
        <f ca="1">IF(OR(INDEX($K$2:$K$1001,MATCH(ROWS($J$2:J165),$J$2:$J$1001,0),1)&gt;=100000,INDEX($Q$1005:$U$1005,1,MATCH(COLUMNS($Q$1006:T1006),$Q$1006:$U$1006,0))&gt;=100000), " ",IF(INDEX($Q$2:$U$1001,MATCH(ROWS($J$2:J165),$J$2:$J$1001,0),MATCH(COLUMNS($Q$1006:T1006),$Q$1006:$U$1006,0)), HYPERLINK("#",""), HYPERLINK(CONCATENATE("#metadata!", ADDRESS(INDEX($L$2:$L$1001,MATCH(ROWS($J$2:J165),$J$2:$J$1001,0),0), INDEX($Q$1004:$U$1004,1,MATCH(COLUMNS($Q$1006:T1006),$Q$1006:$U$1006,0)))),"Fix")))</f>
        <v xml:space="preserve"> </v>
      </c>
      <c r="F165" s="3" t="str">
        <f ca="1">IF(OR(INDEX($K$2:$K$1001,MATCH(ROWS($J$2:J165),$J$2:$J$1001,0),1)&gt;=100000,INDEX($Q$1005:$U$1005,1,MATCH(COLUMNS($Q$1006:U1006),$Q$1006:$U$1006,0))&gt;=100000), " ",IF(INDEX($Q$2:$U$1001,MATCH(ROWS($J$2:J165),$J$2:$J$1001,0),MATCH(COLUMNS($Q$1006:U1006),$Q$1006:$U$1006,0)), HYPERLINK("#",""), HYPERLINK(CONCATENATE("#metadata!", ADDRESS(INDEX($L$2:$L$1001,MATCH(ROWS($J$2:J165),$J$2:$J$1001,0),0), INDEX($Q$1004:$U$1004,1,MATCH(COLUMNS($Q$1006:U1006),$Q$1006:$U$1006,0)))),"Fix")))</f>
        <v xml:space="preserve"> </v>
      </c>
      <c r="J165">
        <v>164</v>
      </c>
      <c r="K165">
        <v>100165</v>
      </c>
      <c r="L165">
        <v>165</v>
      </c>
      <c r="M165" t="b">
        <f t="shared" si="2"/>
        <v>1</v>
      </c>
      <c r="N165" t="b">
        <f>COUNTBLANK(metadata!B165:F165)=COLUMNS(metadata!B165:F165)</f>
        <v>1</v>
      </c>
      <c r="O165" t="str">
        <v/>
      </c>
      <c r="Q165" t="b">
        <f ca="1">AND(IF(metadata!B165="",FALSE,TRUE),COUNTIF(metadata!B:B, metadata!B165) = 1,NOT(ISERROR(SUMPRODUCT(SEARCH(MID(metadata!B165,ROW(INDIRECT("1:"&amp;LEN(metadata!B165))), 1),"0123456789abcdefghijklmnopqrstuvwxyzABCDEFGHIJKLMNOPQRSTUVWXYZ.")))))</f>
        <v>0</v>
      </c>
      <c r="R165" t="b">
        <f>AND(IF(metadata!C165="",FALSE,TRUE),OR(EXACT(metadata!C165,"saline"),EXACT(metadata!C165,"non-saline")))</f>
        <v>0</v>
      </c>
      <c r="S165" t="b">
        <f>AND(IF(metadata!D165="",FALSE,TRUE),OR(EXACT(metadata!D165,"surface (non-saline)"),EXACT(metadata!D165,"aerosol (non-saline)"),EXACT(metadata!D165,"sediment (non-saline)"),EXACT(metadata!D165,"surface (saline)"),EXACT(metadata!D165,"aerosol (saline)"),EXACT(metadata!D165,"sediment (saline)")))</f>
        <v>0</v>
      </c>
      <c r="T165" t="b">
        <f>AND(IF(metadata!E165="",FALSE,TRUE),EXACT(metadata!E165,"built environment"))</f>
        <v>0</v>
      </c>
      <c r="U165" t="b">
        <f>OR(AND(IF(metadata!F165="",FALSE,TRUE),EXACT(metadata!F165,"not applicable")),AND(IF(metadata!F165="",FALSE,TRUE),EXACT(metadata!F165,"anaerobic digester content")))</f>
        <v>0</v>
      </c>
    </row>
    <row r="166" spans="1:21" x14ac:dyDescent="0.2">
      <c r="A166" s="4" t="str">
        <f ca="1">IF(B166=" "," ",HYPERLINK(CONCATENATE("#metadata!",ADDRESS(INDEX($L$2:$L$1001,MATCH(ROWS($J$2:J166),$J$2:$J$1001,0),0),1)),INDEX($O$2:$O$1001,MATCH(ROWS($J$2:J166),$J$2:$J$1001,0),0)))</f>
        <v xml:space="preserve"> </v>
      </c>
      <c r="B166" s="3" t="str">
        <f ca="1">IF(OR(INDEX($K$2:$K$1001,MATCH(ROWS($J$2:J166),$J$2:$J$1001,0),1)&gt;=100000,INDEX($Q$1005:$U$1005,1,MATCH(COLUMNS($Q$1006:Q1006),$Q$1006:$U$1006,0))&gt;=100000), " ",IF(INDEX($Q$2:$U$1001,MATCH(ROWS($J$2:J166),$J$2:$J$1001,0),MATCH(COLUMNS($Q$1006:Q1006),$Q$1006:$U$1006,0)), HYPERLINK("#",""), HYPERLINK(CONCATENATE("#metadata!", ADDRESS(INDEX($L$2:$L$1001,MATCH(ROWS($J$2:J166),$J$2:$J$1001,0),0), INDEX($Q$1004:$U$1004,1,MATCH(COLUMNS($Q$1006:Q1006),$Q$1006:$U$1006,0)))),"Fix")))</f>
        <v xml:space="preserve"> </v>
      </c>
      <c r="C166" s="3" t="str">
        <f ca="1">IF(OR(INDEX($K$2:$K$1001,MATCH(ROWS($J$2:J166),$J$2:$J$1001,0),1)&gt;=100000,INDEX($Q$1005:$U$1005,1,MATCH(COLUMNS($Q$1006:R1006),$Q$1006:$U$1006,0))&gt;=100000), " ",IF(INDEX($Q$2:$U$1001,MATCH(ROWS($J$2:J166),$J$2:$J$1001,0),MATCH(COLUMNS($Q$1006:R1006),$Q$1006:$U$1006,0)), HYPERLINK("#",""), HYPERLINK(CONCATENATE("#metadata!", ADDRESS(INDEX($L$2:$L$1001,MATCH(ROWS($J$2:J166),$J$2:$J$1001,0),0), INDEX($Q$1004:$U$1004,1,MATCH(COLUMNS($Q$1006:R1006),$Q$1006:$U$1006,0)))),"Fix")))</f>
        <v xml:space="preserve"> </v>
      </c>
      <c r="D166" s="3" t="str">
        <f ca="1">IF(OR(INDEX($K$2:$K$1001,MATCH(ROWS($J$2:J166),$J$2:$J$1001,0),1)&gt;=100000,INDEX($Q$1005:$U$1005,1,MATCH(COLUMNS($Q$1006:S1006),$Q$1006:$U$1006,0))&gt;=100000), " ",IF(INDEX($Q$2:$U$1001,MATCH(ROWS($J$2:J166),$J$2:$J$1001,0),MATCH(COLUMNS($Q$1006:S1006),$Q$1006:$U$1006,0)), HYPERLINK("#",""), HYPERLINK(CONCATENATE("#metadata!", ADDRESS(INDEX($L$2:$L$1001,MATCH(ROWS($J$2:J166),$J$2:$J$1001,0),0), INDEX($Q$1004:$U$1004,1,MATCH(COLUMNS($Q$1006:S1006),$Q$1006:$U$1006,0)))),"Fix")))</f>
        <v xml:space="preserve"> </v>
      </c>
      <c r="E166" s="3" t="str">
        <f ca="1">IF(OR(INDEX($K$2:$K$1001,MATCH(ROWS($J$2:J166),$J$2:$J$1001,0),1)&gt;=100000,INDEX($Q$1005:$U$1005,1,MATCH(COLUMNS($Q$1006:T1006),$Q$1006:$U$1006,0))&gt;=100000), " ",IF(INDEX($Q$2:$U$1001,MATCH(ROWS($J$2:J166),$J$2:$J$1001,0),MATCH(COLUMNS($Q$1006:T1006),$Q$1006:$U$1006,0)), HYPERLINK("#",""), HYPERLINK(CONCATENATE("#metadata!", ADDRESS(INDEX($L$2:$L$1001,MATCH(ROWS($J$2:J166),$J$2:$J$1001,0),0), INDEX($Q$1004:$U$1004,1,MATCH(COLUMNS($Q$1006:T1006),$Q$1006:$U$1006,0)))),"Fix")))</f>
        <v xml:space="preserve"> </v>
      </c>
      <c r="F166" s="3" t="str">
        <f ca="1">IF(OR(INDEX($K$2:$K$1001,MATCH(ROWS($J$2:J166),$J$2:$J$1001,0),1)&gt;=100000,INDEX($Q$1005:$U$1005,1,MATCH(COLUMNS($Q$1006:U1006),$Q$1006:$U$1006,0))&gt;=100000), " ",IF(INDEX($Q$2:$U$1001,MATCH(ROWS($J$2:J166),$J$2:$J$1001,0),MATCH(COLUMNS($Q$1006:U1006),$Q$1006:$U$1006,0)), HYPERLINK("#",""), HYPERLINK(CONCATENATE("#metadata!", ADDRESS(INDEX($L$2:$L$1001,MATCH(ROWS($J$2:J166),$J$2:$J$1001,0),0), INDEX($Q$1004:$U$1004,1,MATCH(COLUMNS($Q$1006:U1006),$Q$1006:$U$1006,0)))),"Fix")))</f>
        <v xml:space="preserve"> </v>
      </c>
      <c r="J166">
        <v>165</v>
      </c>
      <c r="K166">
        <v>100166</v>
      </c>
      <c r="L166">
        <v>166</v>
      </c>
      <c r="M166" t="b">
        <f t="shared" si="2"/>
        <v>1</v>
      </c>
      <c r="N166" t="b">
        <f>COUNTBLANK(metadata!B166:F166)=COLUMNS(metadata!B166:F166)</f>
        <v>1</v>
      </c>
      <c r="O166" t="str">
        <v/>
      </c>
      <c r="Q166" t="b">
        <f ca="1">AND(IF(metadata!B166="",FALSE,TRUE),COUNTIF(metadata!B:B, metadata!B166) = 1,NOT(ISERROR(SUMPRODUCT(SEARCH(MID(metadata!B166,ROW(INDIRECT("1:"&amp;LEN(metadata!B166))), 1),"0123456789abcdefghijklmnopqrstuvwxyzABCDEFGHIJKLMNOPQRSTUVWXYZ.")))))</f>
        <v>0</v>
      </c>
      <c r="R166" t="b">
        <f>AND(IF(metadata!C166="",FALSE,TRUE),OR(EXACT(metadata!C166,"saline"),EXACT(metadata!C166,"non-saline")))</f>
        <v>0</v>
      </c>
      <c r="S166" t="b">
        <f>AND(IF(metadata!D166="",FALSE,TRUE),OR(EXACT(metadata!D166,"surface (non-saline)"),EXACT(metadata!D166,"aerosol (non-saline)"),EXACT(metadata!D166,"sediment (non-saline)"),EXACT(metadata!D166,"surface (saline)"),EXACT(metadata!D166,"aerosol (saline)"),EXACT(metadata!D166,"sediment (saline)")))</f>
        <v>0</v>
      </c>
      <c r="T166" t="b">
        <f>AND(IF(metadata!E166="",FALSE,TRUE),EXACT(metadata!E166,"built environment"))</f>
        <v>0</v>
      </c>
      <c r="U166" t="b">
        <f>OR(AND(IF(metadata!F166="",FALSE,TRUE),EXACT(metadata!F166,"not applicable")),AND(IF(metadata!F166="",FALSE,TRUE),EXACT(metadata!F166,"anaerobic digester content")))</f>
        <v>0</v>
      </c>
    </row>
    <row r="167" spans="1:21" x14ac:dyDescent="0.2">
      <c r="A167" s="4" t="str">
        <f ca="1">IF(B167=" "," ",HYPERLINK(CONCATENATE("#metadata!",ADDRESS(INDEX($L$2:$L$1001,MATCH(ROWS($J$2:J167),$J$2:$J$1001,0),0),1)),INDEX($O$2:$O$1001,MATCH(ROWS($J$2:J167),$J$2:$J$1001,0),0)))</f>
        <v xml:space="preserve"> </v>
      </c>
      <c r="B167" s="3" t="str">
        <f ca="1">IF(OR(INDEX($K$2:$K$1001,MATCH(ROWS($J$2:J167),$J$2:$J$1001,0),1)&gt;=100000,INDEX($Q$1005:$U$1005,1,MATCH(COLUMNS($Q$1006:Q1006),$Q$1006:$U$1006,0))&gt;=100000), " ",IF(INDEX($Q$2:$U$1001,MATCH(ROWS($J$2:J167),$J$2:$J$1001,0),MATCH(COLUMNS($Q$1006:Q1006),$Q$1006:$U$1006,0)), HYPERLINK("#",""), HYPERLINK(CONCATENATE("#metadata!", ADDRESS(INDEX($L$2:$L$1001,MATCH(ROWS($J$2:J167),$J$2:$J$1001,0),0), INDEX($Q$1004:$U$1004,1,MATCH(COLUMNS($Q$1006:Q1006),$Q$1006:$U$1006,0)))),"Fix")))</f>
        <v xml:space="preserve"> </v>
      </c>
      <c r="C167" s="3" t="str">
        <f ca="1">IF(OR(INDEX($K$2:$K$1001,MATCH(ROWS($J$2:J167),$J$2:$J$1001,0),1)&gt;=100000,INDEX($Q$1005:$U$1005,1,MATCH(COLUMNS($Q$1006:R1006),$Q$1006:$U$1006,0))&gt;=100000), " ",IF(INDEX($Q$2:$U$1001,MATCH(ROWS($J$2:J167),$J$2:$J$1001,0),MATCH(COLUMNS($Q$1006:R1006),$Q$1006:$U$1006,0)), HYPERLINK("#",""), HYPERLINK(CONCATENATE("#metadata!", ADDRESS(INDEX($L$2:$L$1001,MATCH(ROWS($J$2:J167),$J$2:$J$1001,0),0), INDEX($Q$1004:$U$1004,1,MATCH(COLUMNS($Q$1006:R1006),$Q$1006:$U$1006,0)))),"Fix")))</f>
        <v xml:space="preserve"> </v>
      </c>
      <c r="D167" s="3" t="str">
        <f ca="1">IF(OR(INDEX($K$2:$K$1001,MATCH(ROWS($J$2:J167),$J$2:$J$1001,0),1)&gt;=100000,INDEX($Q$1005:$U$1005,1,MATCH(COLUMNS($Q$1006:S1006),$Q$1006:$U$1006,0))&gt;=100000), " ",IF(INDEX($Q$2:$U$1001,MATCH(ROWS($J$2:J167),$J$2:$J$1001,0),MATCH(COLUMNS($Q$1006:S1006),$Q$1006:$U$1006,0)), HYPERLINK("#",""), HYPERLINK(CONCATENATE("#metadata!", ADDRESS(INDEX($L$2:$L$1001,MATCH(ROWS($J$2:J167),$J$2:$J$1001,0),0), INDEX($Q$1004:$U$1004,1,MATCH(COLUMNS($Q$1006:S1006),$Q$1006:$U$1006,0)))),"Fix")))</f>
        <v xml:space="preserve"> </v>
      </c>
      <c r="E167" s="3" t="str">
        <f ca="1">IF(OR(INDEX($K$2:$K$1001,MATCH(ROWS($J$2:J167),$J$2:$J$1001,0),1)&gt;=100000,INDEX($Q$1005:$U$1005,1,MATCH(COLUMNS($Q$1006:T1006),$Q$1006:$U$1006,0))&gt;=100000), " ",IF(INDEX($Q$2:$U$1001,MATCH(ROWS($J$2:J167),$J$2:$J$1001,0),MATCH(COLUMNS($Q$1006:T1006),$Q$1006:$U$1006,0)), HYPERLINK("#",""), HYPERLINK(CONCATENATE("#metadata!", ADDRESS(INDEX($L$2:$L$1001,MATCH(ROWS($J$2:J167),$J$2:$J$1001,0),0), INDEX($Q$1004:$U$1004,1,MATCH(COLUMNS($Q$1006:T1006),$Q$1006:$U$1006,0)))),"Fix")))</f>
        <v xml:space="preserve"> </v>
      </c>
      <c r="F167" s="3" t="str">
        <f ca="1">IF(OR(INDEX($K$2:$K$1001,MATCH(ROWS($J$2:J167),$J$2:$J$1001,0),1)&gt;=100000,INDEX($Q$1005:$U$1005,1,MATCH(COLUMNS($Q$1006:U1006),$Q$1006:$U$1006,0))&gt;=100000), " ",IF(INDEX($Q$2:$U$1001,MATCH(ROWS($J$2:J167),$J$2:$J$1001,0),MATCH(COLUMNS($Q$1006:U1006),$Q$1006:$U$1006,0)), HYPERLINK("#",""), HYPERLINK(CONCATENATE("#metadata!", ADDRESS(INDEX($L$2:$L$1001,MATCH(ROWS($J$2:J167),$J$2:$J$1001,0),0), INDEX($Q$1004:$U$1004,1,MATCH(COLUMNS($Q$1006:U1006),$Q$1006:$U$1006,0)))),"Fix")))</f>
        <v xml:space="preserve"> </v>
      </c>
      <c r="J167">
        <v>166</v>
      </c>
      <c r="K167">
        <v>100167</v>
      </c>
      <c r="L167">
        <v>167</v>
      </c>
      <c r="M167" t="b">
        <f t="shared" si="2"/>
        <v>1</v>
      </c>
      <c r="N167" t="b">
        <f>COUNTBLANK(metadata!B167:F167)=COLUMNS(metadata!B167:F167)</f>
        <v>1</v>
      </c>
      <c r="O167" t="str">
        <v/>
      </c>
      <c r="Q167" t="b">
        <f ca="1">AND(IF(metadata!B167="",FALSE,TRUE),COUNTIF(metadata!B:B, metadata!B167) = 1,NOT(ISERROR(SUMPRODUCT(SEARCH(MID(metadata!B167,ROW(INDIRECT("1:"&amp;LEN(metadata!B167))), 1),"0123456789abcdefghijklmnopqrstuvwxyzABCDEFGHIJKLMNOPQRSTUVWXYZ.")))))</f>
        <v>0</v>
      </c>
      <c r="R167" t="b">
        <f>AND(IF(metadata!C167="",FALSE,TRUE),OR(EXACT(metadata!C167,"saline"),EXACT(metadata!C167,"non-saline")))</f>
        <v>0</v>
      </c>
      <c r="S167" t="b">
        <f>AND(IF(metadata!D167="",FALSE,TRUE),OR(EXACT(metadata!D167,"surface (non-saline)"),EXACT(metadata!D167,"aerosol (non-saline)"),EXACT(metadata!D167,"sediment (non-saline)"),EXACT(metadata!D167,"surface (saline)"),EXACT(metadata!D167,"aerosol (saline)"),EXACT(metadata!D167,"sediment (saline)")))</f>
        <v>0</v>
      </c>
      <c r="T167" t="b">
        <f>AND(IF(metadata!E167="",FALSE,TRUE),EXACT(metadata!E167,"built environment"))</f>
        <v>0</v>
      </c>
      <c r="U167" t="b">
        <f>OR(AND(IF(metadata!F167="",FALSE,TRUE),EXACT(metadata!F167,"not applicable")),AND(IF(metadata!F167="",FALSE,TRUE),EXACT(metadata!F167,"anaerobic digester content")))</f>
        <v>0</v>
      </c>
    </row>
    <row r="168" spans="1:21" x14ac:dyDescent="0.2">
      <c r="A168" s="4" t="str">
        <f ca="1">IF(B168=" "," ",HYPERLINK(CONCATENATE("#metadata!",ADDRESS(INDEX($L$2:$L$1001,MATCH(ROWS($J$2:J168),$J$2:$J$1001,0),0),1)),INDEX($O$2:$O$1001,MATCH(ROWS($J$2:J168),$J$2:$J$1001,0),0)))</f>
        <v xml:space="preserve"> </v>
      </c>
      <c r="B168" s="3" t="str">
        <f ca="1">IF(OR(INDEX($K$2:$K$1001,MATCH(ROWS($J$2:J168),$J$2:$J$1001,0),1)&gt;=100000,INDEX($Q$1005:$U$1005,1,MATCH(COLUMNS($Q$1006:Q1006),$Q$1006:$U$1006,0))&gt;=100000), " ",IF(INDEX($Q$2:$U$1001,MATCH(ROWS($J$2:J168),$J$2:$J$1001,0),MATCH(COLUMNS($Q$1006:Q1006),$Q$1006:$U$1006,0)), HYPERLINK("#",""), HYPERLINK(CONCATENATE("#metadata!", ADDRESS(INDEX($L$2:$L$1001,MATCH(ROWS($J$2:J168),$J$2:$J$1001,0),0), INDEX($Q$1004:$U$1004,1,MATCH(COLUMNS($Q$1006:Q1006),$Q$1006:$U$1006,0)))),"Fix")))</f>
        <v xml:space="preserve"> </v>
      </c>
      <c r="C168" s="3" t="str">
        <f ca="1">IF(OR(INDEX($K$2:$K$1001,MATCH(ROWS($J$2:J168),$J$2:$J$1001,0),1)&gt;=100000,INDEX($Q$1005:$U$1005,1,MATCH(COLUMNS($Q$1006:R1006),$Q$1006:$U$1006,0))&gt;=100000), " ",IF(INDEX($Q$2:$U$1001,MATCH(ROWS($J$2:J168),$J$2:$J$1001,0),MATCH(COLUMNS($Q$1006:R1006),$Q$1006:$U$1006,0)), HYPERLINK("#",""), HYPERLINK(CONCATENATE("#metadata!", ADDRESS(INDEX($L$2:$L$1001,MATCH(ROWS($J$2:J168),$J$2:$J$1001,0),0), INDEX($Q$1004:$U$1004,1,MATCH(COLUMNS($Q$1006:R1006),$Q$1006:$U$1006,0)))),"Fix")))</f>
        <v xml:space="preserve"> </v>
      </c>
      <c r="D168" s="3" t="str">
        <f ca="1">IF(OR(INDEX($K$2:$K$1001,MATCH(ROWS($J$2:J168),$J$2:$J$1001,0),1)&gt;=100000,INDEX($Q$1005:$U$1005,1,MATCH(COLUMNS($Q$1006:S1006),$Q$1006:$U$1006,0))&gt;=100000), " ",IF(INDEX($Q$2:$U$1001,MATCH(ROWS($J$2:J168),$J$2:$J$1001,0),MATCH(COLUMNS($Q$1006:S1006),$Q$1006:$U$1006,0)), HYPERLINK("#",""), HYPERLINK(CONCATENATE("#metadata!", ADDRESS(INDEX($L$2:$L$1001,MATCH(ROWS($J$2:J168),$J$2:$J$1001,0),0), INDEX($Q$1004:$U$1004,1,MATCH(COLUMNS($Q$1006:S1006),$Q$1006:$U$1006,0)))),"Fix")))</f>
        <v xml:space="preserve"> </v>
      </c>
      <c r="E168" s="3" t="str">
        <f ca="1">IF(OR(INDEX($K$2:$K$1001,MATCH(ROWS($J$2:J168),$J$2:$J$1001,0),1)&gt;=100000,INDEX($Q$1005:$U$1005,1,MATCH(COLUMNS($Q$1006:T1006),$Q$1006:$U$1006,0))&gt;=100000), " ",IF(INDEX($Q$2:$U$1001,MATCH(ROWS($J$2:J168),$J$2:$J$1001,0),MATCH(COLUMNS($Q$1006:T1006),$Q$1006:$U$1006,0)), HYPERLINK("#",""), HYPERLINK(CONCATENATE("#metadata!", ADDRESS(INDEX($L$2:$L$1001,MATCH(ROWS($J$2:J168),$J$2:$J$1001,0),0), INDEX($Q$1004:$U$1004,1,MATCH(COLUMNS($Q$1006:T1006),$Q$1006:$U$1006,0)))),"Fix")))</f>
        <v xml:space="preserve"> </v>
      </c>
      <c r="F168" s="3" t="str">
        <f ca="1">IF(OR(INDEX($K$2:$K$1001,MATCH(ROWS($J$2:J168),$J$2:$J$1001,0),1)&gt;=100000,INDEX($Q$1005:$U$1005,1,MATCH(COLUMNS($Q$1006:U1006),$Q$1006:$U$1006,0))&gt;=100000), " ",IF(INDEX($Q$2:$U$1001,MATCH(ROWS($J$2:J168),$J$2:$J$1001,0),MATCH(COLUMNS($Q$1006:U1006),$Q$1006:$U$1006,0)), HYPERLINK("#",""), HYPERLINK(CONCATENATE("#metadata!", ADDRESS(INDEX($L$2:$L$1001,MATCH(ROWS($J$2:J168),$J$2:$J$1001,0),0), INDEX($Q$1004:$U$1004,1,MATCH(COLUMNS($Q$1006:U1006),$Q$1006:$U$1006,0)))),"Fix")))</f>
        <v xml:space="preserve"> </v>
      </c>
      <c r="J168">
        <v>167</v>
      </c>
      <c r="K168">
        <v>100168</v>
      </c>
      <c r="L168">
        <v>168</v>
      </c>
      <c r="M168" t="b">
        <f t="shared" si="2"/>
        <v>1</v>
      </c>
      <c r="N168" t="b">
        <f>COUNTBLANK(metadata!B168:F168)=COLUMNS(metadata!B168:F168)</f>
        <v>1</v>
      </c>
      <c r="O168" t="str">
        <v/>
      </c>
      <c r="Q168" t="b">
        <f ca="1">AND(IF(metadata!B168="",FALSE,TRUE),COUNTIF(metadata!B:B, metadata!B168) = 1,NOT(ISERROR(SUMPRODUCT(SEARCH(MID(metadata!B168,ROW(INDIRECT("1:"&amp;LEN(metadata!B168))), 1),"0123456789abcdefghijklmnopqrstuvwxyzABCDEFGHIJKLMNOPQRSTUVWXYZ.")))))</f>
        <v>0</v>
      </c>
      <c r="R168" t="b">
        <f>AND(IF(metadata!C168="",FALSE,TRUE),OR(EXACT(metadata!C168,"saline"),EXACT(metadata!C168,"non-saline")))</f>
        <v>0</v>
      </c>
      <c r="S168" t="b">
        <f>AND(IF(metadata!D168="",FALSE,TRUE),OR(EXACT(metadata!D168,"surface (non-saline)"),EXACT(metadata!D168,"aerosol (non-saline)"),EXACT(metadata!D168,"sediment (non-saline)"),EXACT(metadata!D168,"surface (saline)"),EXACT(metadata!D168,"aerosol (saline)"),EXACT(metadata!D168,"sediment (saline)")))</f>
        <v>0</v>
      </c>
      <c r="T168" t="b">
        <f>AND(IF(metadata!E168="",FALSE,TRUE),EXACT(metadata!E168,"built environment"))</f>
        <v>0</v>
      </c>
      <c r="U168" t="b">
        <f>OR(AND(IF(metadata!F168="",FALSE,TRUE),EXACT(metadata!F168,"not applicable")),AND(IF(metadata!F168="",FALSE,TRUE),EXACT(metadata!F168,"anaerobic digester content")))</f>
        <v>0</v>
      </c>
    </row>
    <row r="169" spans="1:21" x14ac:dyDescent="0.2">
      <c r="A169" s="4" t="str">
        <f ca="1">IF(B169=" "," ",HYPERLINK(CONCATENATE("#metadata!",ADDRESS(INDEX($L$2:$L$1001,MATCH(ROWS($J$2:J169),$J$2:$J$1001,0),0),1)),INDEX($O$2:$O$1001,MATCH(ROWS($J$2:J169),$J$2:$J$1001,0),0)))</f>
        <v xml:space="preserve"> </v>
      </c>
      <c r="B169" s="3" t="str">
        <f ca="1">IF(OR(INDEX($K$2:$K$1001,MATCH(ROWS($J$2:J169),$J$2:$J$1001,0),1)&gt;=100000,INDEX($Q$1005:$U$1005,1,MATCH(COLUMNS($Q$1006:Q1006),$Q$1006:$U$1006,0))&gt;=100000), " ",IF(INDEX($Q$2:$U$1001,MATCH(ROWS($J$2:J169),$J$2:$J$1001,0),MATCH(COLUMNS($Q$1006:Q1006),$Q$1006:$U$1006,0)), HYPERLINK("#",""), HYPERLINK(CONCATENATE("#metadata!", ADDRESS(INDEX($L$2:$L$1001,MATCH(ROWS($J$2:J169),$J$2:$J$1001,0),0), INDEX($Q$1004:$U$1004,1,MATCH(COLUMNS($Q$1006:Q1006),$Q$1006:$U$1006,0)))),"Fix")))</f>
        <v xml:space="preserve"> </v>
      </c>
      <c r="C169" s="3" t="str">
        <f ca="1">IF(OR(INDEX($K$2:$K$1001,MATCH(ROWS($J$2:J169),$J$2:$J$1001,0),1)&gt;=100000,INDEX($Q$1005:$U$1005,1,MATCH(COLUMNS($Q$1006:R1006),$Q$1006:$U$1006,0))&gt;=100000), " ",IF(INDEX($Q$2:$U$1001,MATCH(ROWS($J$2:J169),$J$2:$J$1001,0),MATCH(COLUMNS($Q$1006:R1006),$Q$1006:$U$1006,0)), HYPERLINK("#",""), HYPERLINK(CONCATENATE("#metadata!", ADDRESS(INDEX($L$2:$L$1001,MATCH(ROWS($J$2:J169),$J$2:$J$1001,0),0), INDEX($Q$1004:$U$1004,1,MATCH(COLUMNS($Q$1006:R1006),$Q$1006:$U$1006,0)))),"Fix")))</f>
        <v xml:space="preserve"> </v>
      </c>
      <c r="D169" s="3" t="str">
        <f ca="1">IF(OR(INDEX($K$2:$K$1001,MATCH(ROWS($J$2:J169),$J$2:$J$1001,0),1)&gt;=100000,INDEX($Q$1005:$U$1005,1,MATCH(COLUMNS($Q$1006:S1006),$Q$1006:$U$1006,0))&gt;=100000), " ",IF(INDEX($Q$2:$U$1001,MATCH(ROWS($J$2:J169),$J$2:$J$1001,0),MATCH(COLUMNS($Q$1006:S1006),$Q$1006:$U$1006,0)), HYPERLINK("#",""), HYPERLINK(CONCATENATE("#metadata!", ADDRESS(INDEX($L$2:$L$1001,MATCH(ROWS($J$2:J169),$J$2:$J$1001,0),0), INDEX($Q$1004:$U$1004,1,MATCH(COLUMNS($Q$1006:S1006),$Q$1006:$U$1006,0)))),"Fix")))</f>
        <v xml:space="preserve"> </v>
      </c>
      <c r="E169" s="3" t="str">
        <f ca="1">IF(OR(INDEX($K$2:$K$1001,MATCH(ROWS($J$2:J169),$J$2:$J$1001,0),1)&gt;=100000,INDEX($Q$1005:$U$1005,1,MATCH(COLUMNS($Q$1006:T1006),$Q$1006:$U$1006,0))&gt;=100000), " ",IF(INDEX($Q$2:$U$1001,MATCH(ROWS($J$2:J169),$J$2:$J$1001,0),MATCH(COLUMNS($Q$1006:T1006),$Q$1006:$U$1006,0)), HYPERLINK("#",""), HYPERLINK(CONCATENATE("#metadata!", ADDRESS(INDEX($L$2:$L$1001,MATCH(ROWS($J$2:J169),$J$2:$J$1001,0),0), INDEX($Q$1004:$U$1004,1,MATCH(COLUMNS($Q$1006:T1006),$Q$1006:$U$1006,0)))),"Fix")))</f>
        <v xml:space="preserve"> </v>
      </c>
      <c r="F169" s="3" t="str">
        <f ca="1">IF(OR(INDEX($K$2:$K$1001,MATCH(ROWS($J$2:J169),$J$2:$J$1001,0),1)&gt;=100000,INDEX($Q$1005:$U$1005,1,MATCH(COLUMNS($Q$1006:U1006),$Q$1006:$U$1006,0))&gt;=100000), " ",IF(INDEX($Q$2:$U$1001,MATCH(ROWS($J$2:J169),$J$2:$J$1001,0),MATCH(COLUMNS($Q$1006:U1006),$Q$1006:$U$1006,0)), HYPERLINK("#",""), HYPERLINK(CONCATENATE("#metadata!", ADDRESS(INDEX($L$2:$L$1001,MATCH(ROWS($J$2:J169),$J$2:$J$1001,0),0), INDEX($Q$1004:$U$1004,1,MATCH(COLUMNS($Q$1006:U1006),$Q$1006:$U$1006,0)))),"Fix")))</f>
        <v xml:space="preserve"> </v>
      </c>
      <c r="J169">
        <v>168</v>
      </c>
      <c r="K169">
        <v>100169</v>
      </c>
      <c r="L169">
        <v>169</v>
      </c>
      <c r="M169" t="b">
        <f t="shared" si="2"/>
        <v>1</v>
      </c>
      <c r="N169" t="b">
        <f>COUNTBLANK(metadata!B169:F169)=COLUMNS(metadata!B169:F169)</f>
        <v>1</v>
      </c>
      <c r="O169" t="str">
        <v/>
      </c>
      <c r="Q169" t="b">
        <f ca="1">AND(IF(metadata!B169="",FALSE,TRUE),COUNTIF(metadata!B:B, metadata!B169) = 1,NOT(ISERROR(SUMPRODUCT(SEARCH(MID(metadata!B169,ROW(INDIRECT("1:"&amp;LEN(metadata!B169))), 1),"0123456789abcdefghijklmnopqrstuvwxyzABCDEFGHIJKLMNOPQRSTUVWXYZ.")))))</f>
        <v>0</v>
      </c>
      <c r="R169" t="b">
        <f>AND(IF(metadata!C169="",FALSE,TRUE),OR(EXACT(metadata!C169,"saline"),EXACT(metadata!C169,"non-saline")))</f>
        <v>0</v>
      </c>
      <c r="S169" t="b">
        <f>AND(IF(metadata!D169="",FALSE,TRUE),OR(EXACT(metadata!D169,"surface (non-saline)"),EXACT(metadata!D169,"aerosol (non-saline)"),EXACT(metadata!D169,"sediment (non-saline)"),EXACT(metadata!D169,"surface (saline)"),EXACT(metadata!D169,"aerosol (saline)"),EXACT(metadata!D169,"sediment (saline)")))</f>
        <v>0</v>
      </c>
      <c r="T169" t="b">
        <f>AND(IF(metadata!E169="",FALSE,TRUE),EXACT(metadata!E169,"built environment"))</f>
        <v>0</v>
      </c>
      <c r="U169" t="b">
        <f>OR(AND(IF(metadata!F169="",FALSE,TRUE),EXACT(metadata!F169,"not applicable")),AND(IF(metadata!F169="",FALSE,TRUE),EXACT(metadata!F169,"anaerobic digester content")))</f>
        <v>0</v>
      </c>
    </row>
    <row r="170" spans="1:21" x14ac:dyDescent="0.2">
      <c r="A170" s="4" t="str">
        <f ca="1">IF(B170=" "," ",HYPERLINK(CONCATENATE("#metadata!",ADDRESS(INDEX($L$2:$L$1001,MATCH(ROWS($J$2:J170),$J$2:$J$1001,0),0),1)),INDEX($O$2:$O$1001,MATCH(ROWS($J$2:J170),$J$2:$J$1001,0),0)))</f>
        <v xml:space="preserve"> </v>
      </c>
      <c r="B170" s="3" t="str">
        <f ca="1">IF(OR(INDEX($K$2:$K$1001,MATCH(ROWS($J$2:J170),$J$2:$J$1001,0),1)&gt;=100000,INDEX($Q$1005:$U$1005,1,MATCH(COLUMNS($Q$1006:Q1006),$Q$1006:$U$1006,0))&gt;=100000), " ",IF(INDEX($Q$2:$U$1001,MATCH(ROWS($J$2:J170),$J$2:$J$1001,0),MATCH(COLUMNS($Q$1006:Q1006),$Q$1006:$U$1006,0)), HYPERLINK("#",""), HYPERLINK(CONCATENATE("#metadata!", ADDRESS(INDEX($L$2:$L$1001,MATCH(ROWS($J$2:J170),$J$2:$J$1001,0),0), INDEX($Q$1004:$U$1004,1,MATCH(COLUMNS($Q$1006:Q1006),$Q$1006:$U$1006,0)))),"Fix")))</f>
        <v xml:space="preserve"> </v>
      </c>
      <c r="C170" s="3" t="str">
        <f ca="1">IF(OR(INDEX($K$2:$K$1001,MATCH(ROWS($J$2:J170),$J$2:$J$1001,0),1)&gt;=100000,INDEX($Q$1005:$U$1005,1,MATCH(COLUMNS($Q$1006:R1006),$Q$1006:$U$1006,0))&gt;=100000), " ",IF(INDEX($Q$2:$U$1001,MATCH(ROWS($J$2:J170),$J$2:$J$1001,0),MATCH(COLUMNS($Q$1006:R1006),$Q$1006:$U$1006,0)), HYPERLINK("#",""), HYPERLINK(CONCATENATE("#metadata!", ADDRESS(INDEX($L$2:$L$1001,MATCH(ROWS($J$2:J170),$J$2:$J$1001,0),0), INDEX($Q$1004:$U$1004,1,MATCH(COLUMNS($Q$1006:R1006),$Q$1006:$U$1006,0)))),"Fix")))</f>
        <v xml:space="preserve"> </v>
      </c>
      <c r="D170" s="3" t="str">
        <f ca="1">IF(OR(INDEX($K$2:$K$1001,MATCH(ROWS($J$2:J170),$J$2:$J$1001,0),1)&gt;=100000,INDEX($Q$1005:$U$1005,1,MATCH(COLUMNS($Q$1006:S1006),$Q$1006:$U$1006,0))&gt;=100000), " ",IF(INDEX($Q$2:$U$1001,MATCH(ROWS($J$2:J170),$J$2:$J$1001,0),MATCH(COLUMNS($Q$1006:S1006),$Q$1006:$U$1006,0)), HYPERLINK("#",""), HYPERLINK(CONCATENATE("#metadata!", ADDRESS(INDEX($L$2:$L$1001,MATCH(ROWS($J$2:J170),$J$2:$J$1001,0),0), INDEX($Q$1004:$U$1004,1,MATCH(COLUMNS($Q$1006:S1006),$Q$1006:$U$1006,0)))),"Fix")))</f>
        <v xml:space="preserve"> </v>
      </c>
      <c r="E170" s="3" t="str">
        <f ca="1">IF(OR(INDEX($K$2:$K$1001,MATCH(ROWS($J$2:J170),$J$2:$J$1001,0),1)&gt;=100000,INDEX($Q$1005:$U$1005,1,MATCH(COLUMNS($Q$1006:T1006),$Q$1006:$U$1006,0))&gt;=100000), " ",IF(INDEX($Q$2:$U$1001,MATCH(ROWS($J$2:J170),$J$2:$J$1001,0),MATCH(COLUMNS($Q$1006:T1006),$Q$1006:$U$1006,0)), HYPERLINK("#",""), HYPERLINK(CONCATENATE("#metadata!", ADDRESS(INDEX($L$2:$L$1001,MATCH(ROWS($J$2:J170),$J$2:$J$1001,0),0), INDEX($Q$1004:$U$1004,1,MATCH(COLUMNS($Q$1006:T1006),$Q$1006:$U$1006,0)))),"Fix")))</f>
        <v xml:space="preserve"> </v>
      </c>
      <c r="F170" s="3" t="str">
        <f ca="1">IF(OR(INDEX($K$2:$K$1001,MATCH(ROWS($J$2:J170),$J$2:$J$1001,0),1)&gt;=100000,INDEX($Q$1005:$U$1005,1,MATCH(COLUMNS($Q$1006:U1006),$Q$1006:$U$1006,0))&gt;=100000), " ",IF(INDEX($Q$2:$U$1001,MATCH(ROWS($J$2:J170),$J$2:$J$1001,0),MATCH(COLUMNS($Q$1006:U1006),$Q$1006:$U$1006,0)), HYPERLINK("#",""), HYPERLINK(CONCATENATE("#metadata!", ADDRESS(INDEX($L$2:$L$1001,MATCH(ROWS($J$2:J170),$J$2:$J$1001,0),0), INDEX($Q$1004:$U$1004,1,MATCH(COLUMNS($Q$1006:U1006),$Q$1006:$U$1006,0)))),"Fix")))</f>
        <v xml:space="preserve"> </v>
      </c>
      <c r="J170">
        <v>169</v>
      </c>
      <c r="K170">
        <v>100170</v>
      </c>
      <c r="L170">
        <v>170</v>
      </c>
      <c r="M170" t="b">
        <f t="shared" si="2"/>
        <v>1</v>
      </c>
      <c r="N170" t="b">
        <f>COUNTBLANK(metadata!B170:F170)=COLUMNS(metadata!B170:F170)</f>
        <v>1</v>
      </c>
      <c r="O170" t="str">
        <v/>
      </c>
      <c r="Q170" t="b">
        <f ca="1">AND(IF(metadata!B170="",FALSE,TRUE),COUNTIF(metadata!B:B, metadata!B170) = 1,NOT(ISERROR(SUMPRODUCT(SEARCH(MID(metadata!B170,ROW(INDIRECT("1:"&amp;LEN(metadata!B170))), 1),"0123456789abcdefghijklmnopqrstuvwxyzABCDEFGHIJKLMNOPQRSTUVWXYZ.")))))</f>
        <v>0</v>
      </c>
      <c r="R170" t="b">
        <f>AND(IF(metadata!C170="",FALSE,TRUE),OR(EXACT(metadata!C170,"saline"),EXACT(metadata!C170,"non-saline")))</f>
        <v>0</v>
      </c>
      <c r="S170" t="b">
        <f>AND(IF(metadata!D170="",FALSE,TRUE),OR(EXACT(metadata!D170,"surface (non-saline)"),EXACT(metadata!D170,"aerosol (non-saline)"),EXACT(metadata!D170,"sediment (non-saline)"),EXACT(metadata!D170,"surface (saline)"),EXACT(metadata!D170,"aerosol (saline)"),EXACT(metadata!D170,"sediment (saline)")))</f>
        <v>0</v>
      </c>
      <c r="T170" t="b">
        <f>AND(IF(metadata!E170="",FALSE,TRUE),EXACT(metadata!E170,"built environment"))</f>
        <v>0</v>
      </c>
      <c r="U170" t="b">
        <f>OR(AND(IF(metadata!F170="",FALSE,TRUE),EXACT(metadata!F170,"not applicable")),AND(IF(metadata!F170="",FALSE,TRUE),EXACT(metadata!F170,"anaerobic digester content")))</f>
        <v>0</v>
      </c>
    </row>
    <row r="171" spans="1:21" x14ac:dyDescent="0.2">
      <c r="A171" s="4" t="str">
        <f ca="1">IF(B171=" "," ",HYPERLINK(CONCATENATE("#metadata!",ADDRESS(INDEX($L$2:$L$1001,MATCH(ROWS($J$2:J171),$J$2:$J$1001,0),0),1)),INDEX($O$2:$O$1001,MATCH(ROWS($J$2:J171),$J$2:$J$1001,0),0)))</f>
        <v xml:space="preserve"> </v>
      </c>
      <c r="B171" s="3" t="str">
        <f ca="1">IF(OR(INDEX($K$2:$K$1001,MATCH(ROWS($J$2:J171),$J$2:$J$1001,0),1)&gt;=100000,INDEX($Q$1005:$U$1005,1,MATCH(COLUMNS($Q$1006:Q1006),$Q$1006:$U$1006,0))&gt;=100000), " ",IF(INDEX($Q$2:$U$1001,MATCH(ROWS($J$2:J171),$J$2:$J$1001,0),MATCH(COLUMNS($Q$1006:Q1006),$Q$1006:$U$1006,0)), HYPERLINK("#",""), HYPERLINK(CONCATENATE("#metadata!", ADDRESS(INDEX($L$2:$L$1001,MATCH(ROWS($J$2:J171),$J$2:$J$1001,0),0), INDEX($Q$1004:$U$1004,1,MATCH(COLUMNS($Q$1006:Q1006),$Q$1006:$U$1006,0)))),"Fix")))</f>
        <v xml:space="preserve"> </v>
      </c>
      <c r="C171" s="3" t="str">
        <f ca="1">IF(OR(INDEX($K$2:$K$1001,MATCH(ROWS($J$2:J171),$J$2:$J$1001,0),1)&gt;=100000,INDEX($Q$1005:$U$1005,1,MATCH(COLUMNS($Q$1006:R1006),$Q$1006:$U$1006,0))&gt;=100000), " ",IF(INDEX($Q$2:$U$1001,MATCH(ROWS($J$2:J171),$J$2:$J$1001,0),MATCH(COLUMNS($Q$1006:R1006),$Q$1006:$U$1006,0)), HYPERLINK("#",""), HYPERLINK(CONCATENATE("#metadata!", ADDRESS(INDEX($L$2:$L$1001,MATCH(ROWS($J$2:J171),$J$2:$J$1001,0),0), INDEX($Q$1004:$U$1004,1,MATCH(COLUMNS($Q$1006:R1006),$Q$1006:$U$1006,0)))),"Fix")))</f>
        <v xml:space="preserve"> </v>
      </c>
      <c r="D171" s="3" t="str">
        <f ca="1">IF(OR(INDEX($K$2:$K$1001,MATCH(ROWS($J$2:J171),$J$2:$J$1001,0),1)&gt;=100000,INDEX($Q$1005:$U$1005,1,MATCH(COLUMNS($Q$1006:S1006),$Q$1006:$U$1006,0))&gt;=100000), " ",IF(INDEX($Q$2:$U$1001,MATCH(ROWS($J$2:J171),$J$2:$J$1001,0),MATCH(COLUMNS($Q$1006:S1006),$Q$1006:$U$1006,0)), HYPERLINK("#",""), HYPERLINK(CONCATENATE("#metadata!", ADDRESS(INDEX($L$2:$L$1001,MATCH(ROWS($J$2:J171),$J$2:$J$1001,0),0), INDEX($Q$1004:$U$1004,1,MATCH(COLUMNS($Q$1006:S1006),$Q$1006:$U$1006,0)))),"Fix")))</f>
        <v xml:space="preserve"> </v>
      </c>
      <c r="E171" s="3" t="str">
        <f ca="1">IF(OR(INDEX($K$2:$K$1001,MATCH(ROWS($J$2:J171),$J$2:$J$1001,0),1)&gt;=100000,INDEX($Q$1005:$U$1005,1,MATCH(COLUMNS($Q$1006:T1006),$Q$1006:$U$1006,0))&gt;=100000), " ",IF(INDEX($Q$2:$U$1001,MATCH(ROWS($J$2:J171),$J$2:$J$1001,0),MATCH(COLUMNS($Q$1006:T1006),$Q$1006:$U$1006,0)), HYPERLINK("#",""), HYPERLINK(CONCATENATE("#metadata!", ADDRESS(INDEX($L$2:$L$1001,MATCH(ROWS($J$2:J171),$J$2:$J$1001,0),0), INDEX($Q$1004:$U$1004,1,MATCH(COLUMNS($Q$1006:T1006),$Q$1006:$U$1006,0)))),"Fix")))</f>
        <v xml:space="preserve"> </v>
      </c>
      <c r="F171" s="3" t="str">
        <f ca="1">IF(OR(INDEX($K$2:$K$1001,MATCH(ROWS($J$2:J171),$J$2:$J$1001,0),1)&gt;=100000,INDEX($Q$1005:$U$1005,1,MATCH(COLUMNS($Q$1006:U1006),$Q$1006:$U$1006,0))&gt;=100000), " ",IF(INDEX($Q$2:$U$1001,MATCH(ROWS($J$2:J171),$J$2:$J$1001,0),MATCH(COLUMNS($Q$1006:U1006),$Q$1006:$U$1006,0)), HYPERLINK("#",""), HYPERLINK(CONCATENATE("#metadata!", ADDRESS(INDEX($L$2:$L$1001,MATCH(ROWS($J$2:J171),$J$2:$J$1001,0),0), INDEX($Q$1004:$U$1004,1,MATCH(COLUMNS($Q$1006:U1006),$Q$1006:$U$1006,0)))),"Fix")))</f>
        <v xml:space="preserve"> </v>
      </c>
      <c r="J171">
        <v>170</v>
      </c>
      <c r="K171">
        <v>100171</v>
      </c>
      <c r="L171">
        <v>171</v>
      </c>
      <c r="M171" t="b">
        <f t="shared" si="2"/>
        <v>1</v>
      </c>
      <c r="N171" t="b">
        <f>COUNTBLANK(metadata!B171:F171)=COLUMNS(metadata!B171:F171)</f>
        <v>1</v>
      </c>
      <c r="O171" t="str">
        <v/>
      </c>
      <c r="Q171" t="b">
        <f ca="1">AND(IF(metadata!B171="",FALSE,TRUE),COUNTIF(metadata!B:B, metadata!B171) = 1,NOT(ISERROR(SUMPRODUCT(SEARCH(MID(metadata!B171,ROW(INDIRECT("1:"&amp;LEN(metadata!B171))), 1),"0123456789abcdefghijklmnopqrstuvwxyzABCDEFGHIJKLMNOPQRSTUVWXYZ.")))))</f>
        <v>0</v>
      </c>
      <c r="R171" t="b">
        <f>AND(IF(metadata!C171="",FALSE,TRUE),OR(EXACT(metadata!C171,"saline"),EXACT(metadata!C171,"non-saline")))</f>
        <v>0</v>
      </c>
      <c r="S171" t="b">
        <f>AND(IF(metadata!D171="",FALSE,TRUE),OR(EXACT(metadata!D171,"surface (non-saline)"),EXACT(metadata!D171,"aerosol (non-saline)"),EXACT(metadata!D171,"sediment (non-saline)"),EXACT(metadata!D171,"surface (saline)"),EXACT(metadata!D171,"aerosol (saline)"),EXACT(metadata!D171,"sediment (saline)")))</f>
        <v>0</v>
      </c>
      <c r="T171" t="b">
        <f>AND(IF(metadata!E171="",FALSE,TRUE),EXACT(metadata!E171,"built environment"))</f>
        <v>0</v>
      </c>
      <c r="U171" t="b">
        <f>OR(AND(IF(metadata!F171="",FALSE,TRUE),EXACT(metadata!F171,"not applicable")),AND(IF(metadata!F171="",FALSE,TRUE),EXACT(metadata!F171,"anaerobic digester content")))</f>
        <v>0</v>
      </c>
    </row>
    <row r="172" spans="1:21" x14ac:dyDescent="0.2">
      <c r="A172" s="4" t="str">
        <f ca="1">IF(B172=" "," ",HYPERLINK(CONCATENATE("#metadata!",ADDRESS(INDEX($L$2:$L$1001,MATCH(ROWS($J$2:J172),$J$2:$J$1001,0),0),1)),INDEX($O$2:$O$1001,MATCH(ROWS($J$2:J172),$J$2:$J$1001,0),0)))</f>
        <v xml:space="preserve"> </v>
      </c>
      <c r="B172" s="3" t="str">
        <f ca="1">IF(OR(INDEX($K$2:$K$1001,MATCH(ROWS($J$2:J172),$J$2:$J$1001,0),1)&gt;=100000,INDEX($Q$1005:$U$1005,1,MATCH(COLUMNS($Q$1006:Q1006),$Q$1006:$U$1006,0))&gt;=100000), " ",IF(INDEX($Q$2:$U$1001,MATCH(ROWS($J$2:J172),$J$2:$J$1001,0),MATCH(COLUMNS($Q$1006:Q1006),$Q$1006:$U$1006,0)), HYPERLINK("#",""), HYPERLINK(CONCATENATE("#metadata!", ADDRESS(INDEX($L$2:$L$1001,MATCH(ROWS($J$2:J172),$J$2:$J$1001,0),0), INDEX($Q$1004:$U$1004,1,MATCH(COLUMNS($Q$1006:Q1006),$Q$1006:$U$1006,0)))),"Fix")))</f>
        <v xml:space="preserve"> </v>
      </c>
      <c r="C172" s="3" t="str">
        <f ca="1">IF(OR(INDEX($K$2:$K$1001,MATCH(ROWS($J$2:J172),$J$2:$J$1001,0),1)&gt;=100000,INDEX($Q$1005:$U$1005,1,MATCH(COLUMNS($Q$1006:R1006),$Q$1006:$U$1006,0))&gt;=100000), " ",IF(INDEX($Q$2:$U$1001,MATCH(ROWS($J$2:J172),$J$2:$J$1001,0),MATCH(COLUMNS($Q$1006:R1006),$Q$1006:$U$1006,0)), HYPERLINK("#",""), HYPERLINK(CONCATENATE("#metadata!", ADDRESS(INDEX($L$2:$L$1001,MATCH(ROWS($J$2:J172),$J$2:$J$1001,0),0), INDEX($Q$1004:$U$1004,1,MATCH(COLUMNS($Q$1006:R1006),$Q$1006:$U$1006,0)))),"Fix")))</f>
        <v xml:space="preserve"> </v>
      </c>
      <c r="D172" s="3" t="str">
        <f ca="1">IF(OR(INDEX($K$2:$K$1001,MATCH(ROWS($J$2:J172),$J$2:$J$1001,0),1)&gt;=100000,INDEX($Q$1005:$U$1005,1,MATCH(COLUMNS($Q$1006:S1006),$Q$1006:$U$1006,0))&gt;=100000), " ",IF(INDEX($Q$2:$U$1001,MATCH(ROWS($J$2:J172),$J$2:$J$1001,0),MATCH(COLUMNS($Q$1006:S1006),$Q$1006:$U$1006,0)), HYPERLINK("#",""), HYPERLINK(CONCATENATE("#metadata!", ADDRESS(INDEX($L$2:$L$1001,MATCH(ROWS($J$2:J172),$J$2:$J$1001,0),0), INDEX($Q$1004:$U$1004,1,MATCH(COLUMNS($Q$1006:S1006),$Q$1006:$U$1006,0)))),"Fix")))</f>
        <v xml:space="preserve"> </v>
      </c>
      <c r="E172" s="3" t="str">
        <f ca="1">IF(OR(INDEX($K$2:$K$1001,MATCH(ROWS($J$2:J172),$J$2:$J$1001,0),1)&gt;=100000,INDEX($Q$1005:$U$1005,1,MATCH(COLUMNS($Q$1006:T1006),$Q$1006:$U$1006,0))&gt;=100000), " ",IF(INDEX($Q$2:$U$1001,MATCH(ROWS($J$2:J172),$J$2:$J$1001,0),MATCH(COLUMNS($Q$1006:T1006),$Q$1006:$U$1006,0)), HYPERLINK("#",""), HYPERLINK(CONCATENATE("#metadata!", ADDRESS(INDEX($L$2:$L$1001,MATCH(ROWS($J$2:J172),$J$2:$J$1001,0),0), INDEX($Q$1004:$U$1004,1,MATCH(COLUMNS($Q$1006:T1006),$Q$1006:$U$1006,0)))),"Fix")))</f>
        <v xml:space="preserve"> </v>
      </c>
      <c r="F172" s="3" t="str">
        <f ca="1">IF(OR(INDEX($K$2:$K$1001,MATCH(ROWS($J$2:J172),$J$2:$J$1001,0),1)&gt;=100000,INDEX($Q$1005:$U$1005,1,MATCH(COLUMNS($Q$1006:U1006),$Q$1006:$U$1006,0))&gt;=100000), " ",IF(INDEX($Q$2:$U$1001,MATCH(ROWS($J$2:J172),$J$2:$J$1001,0),MATCH(COLUMNS($Q$1006:U1006),$Q$1006:$U$1006,0)), HYPERLINK("#",""), HYPERLINK(CONCATENATE("#metadata!", ADDRESS(INDEX($L$2:$L$1001,MATCH(ROWS($J$2:J172),$J$2:$J$1001,0),0), INDEX($Q$1004:$U$1004,1,MATCH(COLUMNS($Q$1006:U1006),$Q$1006:$U$1006,0)))),"Fix")))</f>
        <v xml:space="preserve"> </v>
      </c>
      <c r="J172">
        <v>171</v>
      </c>
      <c r="K172">
        <v>100172</v>
      </c>
      <c r="L172">
        <v>172</v>
      </c>
      <c r="M172" t="b">
        <f t="shared" si="2"/>
        <v>1</v>
      </c>
      <c r="N172" t="b">
        <f>COUNTBLANK(metadata!B172:F172)=COLUMNS(metadata!B172:F172)</f>
        <v>1</v>
      </c>
      <c r="O172" t="str">
        <v/>
      </c>
      <c r="Q172" t="b">
        <f ca="1">AND(IF(metadata!B172="",FALSE,TRUE),COUNTIF(metadata!B:B, metadata!B172) = 1,NOT(ISERROR(SUMPRODUCT(SEARCH(MID(metadata!B172,ROW(INDIRECT("1:"&amp;LEN(metadata!B172))), 1),"0123456789abcdefghijklmnopqrstuvwxyzABCDEFGHIJKLMNOPQRSTUVWXYZ.")))))</f>
        <v>0</v>
      </c>
      <c r="R172" t="b">
        <f>AND(IF(metadata!C172="",FALSE,TRUE),OR(EXACT(metadata!C172,"saline"),EXACT(metadata!C172,"non-saline")))</f>
        <v>0</v>
      </c>
      <c r="S172" t="b">
        <f>AND(IF(metadata!D172="",FALSE,TRUE),OR(EXACT(metadata!D172,"surface (non-saline)"),EXACT(metadata!D172,"aerosol (non-saline)"),EXACT(metadata!D172,"sediment (non-saline)"),EXACT(metadata!D172,"surface (saline)"),EXACT(metadata!D172,"aerosol (saline)"),EXACT(metadata!D172,"sediment (saline)")))</f>
        <v>0</v>
      </c>
      <c r="T172" t="b">
        <f>AND(IF(metadata!E172="",FALSE,TRUE),EXACT(metadata!E172,"built environment"))</f>
        <v>0</v>
      </c>
      <c r="U172" t="b">
        <f>OR(AND(IF(metadata!F172="",FALSE,TRUE),EXACT(metadata!F172,"not applicable")),AND(IF(metadata!F172="",FALSE,TRUE),EXACT(metadata!F172,"anaerobic digester content")))</f>
        <v>0</v>
      </c>
    </row>
    <row r="173" spans="1:21" x14ac:dyDescent="0.2">
      <c r="A173" s="4" t="str">
        <f ca="1">IF(B173=" "," ",HYPERLINK(CONCATENATE("#metadata!",ADDRESS(INDEX($L$2:$L$1001,MATCH(ROWS($J$2:J173),$J$2:$J$1001,0),0),1)),INDEX($O$2:$O$1001,MATCH(ROWS($J$2:J173),$J$2:$J$1001,0),0)))</f>
        <v xml:space="preserve"> </v>
      </c>
      <c r="B173" s="3" t="str">
        <f ca="1">IF(OR(INDEX($K$2:$K$1001,MATCH(ROWS($J$2:J173),$J$2:$J$1001,0),1)&gt;=100000,INDEX($Q$1005:$U$1005,1,MATCH(COLUMNS($Q$1006:Q1006),$Q$1006:$U$1006,0))&gt;=100000), " ",IF(INDEX($Q$2:$U$1001,MATCH(ROWS($J$2:J173),$J$2:$J$1001,0),MATCH(COLUMNS($Q$1006:Q1006),$Q$1006:$U$1006,0)), HYPERLINK("#",""), HYPERLINK(CONCATENATE("#metadata!", ADDRESS(INDEX($L$2:$L$1001,MATCH(ROWS($J$2:J173),$J$2:$J$1001,0),0), INDEX($Q$1004:$U$1004,1,MATCH(COLUMNS($Q$1006:Q1006),$Q$1006:$U$1006,0)))),"Fix")))</f>
        <v xml:space="preserve"> </v>
      </c>
      <c r="C173" s="3" t="str">
        <f ca="1">IF(OR(INDEX($K$2:$K$1001,MATCH(ROWS($J$2:J173),$J$2:$J$1001,0),1)&gt;=100000,INDEX($Q$1005:$U$1005,1,MATCH(COLUMNS($Q$1006:R1006),$Q$1006:$U$1006,0))&gt;=100000), " ",IF(INDEX($Q$2:$U$1001,MATCH(ROWS($J$2:J173),$J$2:$J$1001,0),MATCH(COLUMNS($Q$1006:R1006),$Q$1006:$U$1006,0)), HYPERLINK("#",""), HYPERLINK(CONCATENATE("#metadata!", ADDRESS(INDEX($L$2:$L$1001,MATCH(ROWS($J$2:J173),$J$2:$J$1001,0),0), INDEX($Q$1004:$U$1004,1,MATCH(COLUMNS($Q$1006:R1006),$Q$1006:$U$1006,0)))),"Fix")))</f>
        <v xml:space="preserve"> </v>
      </c>
      <c r="D173" s="3" t="str">
        <f ca="1">IF(OR(INDEX($K$2:$K$1001,MATCH(ROWS($J$2:J173),$J$2:$J$1001,0),1)&gt;=100000,INDEX($Q$1005:$U$1005,1,MATCH(COLUMNS($Q$1006:S1006),$Q$1006:$U$1006,0))&gt;=100000), " ",IF(INDEX($Q$2:$U$1001,MATCH(ROWS($J$2:J173),$J$2:$J$1001,0),MATCH(COLUMNS($Q$1006:S1006),$Q$1006:$U$1006,0)), HYPERLINK("#",""), HYPERLINK(CONCATENATE("#metadata!", ADDRESS(INDEX($L$2:$L$1001,MATCH(ROWS($J$2:J173),$J$2:$J$1001,0),0), INDEX($Q$1004:$U$1004,1,MATCH(COLUMNS($Q$1006:S1006),$Q$1006:$U$1006,0)))),"Fix")))</f>
        <v xml:space="preserve"> </v>
      </c>
      <c r="E173" s="3" t="str">
        <f ca="1">IF(OR(INDEX($K$2:$K$1001,MATCH(ROWS($J$2:J173),$J$2:$J$1001,0),1)&gt;=100000,INDEX($Q$1005:$U$1005,1,MATCH(COLUMNS($Q$1006:T1006),$Q$1006:$U$1006,0))&gt;=100000), " ",IF(INDEX($Q$2:$U$1001,MATCH(ROWS($J$2:J173),$J$2:$J$1001,0),MATCH(COLUMNS($Q$1006:T1006),$Q$1006:$U$1006,0)), HYPERLINK("#",""), HYPERLINK(CONCATENATE("#metadata!", ADDRESS(INDEX($L$2:$L$1001,MATCH(ROWS($J$2:J173),$J$2:$J$1001,0),0), INDEX($Q$1004:$U$1004,1,MATCH(COLUMNS($Q$1006:T1006),$Q$1006:$U$1006,0)))),"Fix")))</f>
        <v xml:space="preserve"> </v>
      </c>
      <c r="F173" s="3" t="str">
        <f ca="1">IF(OR(INDEX($K$2:$K$1001,MATCH(ROWS($J$2:J173),$J$2:$J$1001,0),1)&gt;=100000,INDEX($Q$1005:$U$1005,1,MATCH(COLUMNS($Q$1006:U1006),$Q$1006:$U$1006,0))&gt;=100000), " ",IF(INDEX($Q$2:$U$1001,MATCH(ROWS($J$2:J173),$J$2:$J$1001,0),MATCH(COLUMNS($Q$1006:U1006),$Q$1006:$U$1006,0)), HYPERLINK("#",""), HYPERLINK(CONCATENATE("#metadata!", ADDRESS(INDEX($L$2:$L$1001,MATCH(ROWS($J$2:J173),$J$2:$J$1001,0),0), INDEX($Q$1004:$U$1004,1,MATCH(COLUMNS($Q$1006:U1006),$Q$1006:$U$1006,0)))),"Fix")))</f>
        <v xml:space="preserve"> </v>
      </c>
      <c r="J173">
        <v>172</v>
      </c>
      <c r="K173">
        <v>100173</v>
      </c>
      <c r="L173">
        <v>173</v>
      </c>
      <c r="M173" t="b">
        <f t="shared" si="2"/>
        <v>1</v>
      </c>
      <c r="N173" t="b">
        <f>COUNTBLANK(metadata!B173:F173)=COLUMNS(metadata!B173:F173)</f>
        <v>1</v>
      </c>
      <c r="O173" t="str">
        <v/>
      </c>
      <c r="Q173" t="b">
        <f ca="1">AND(IF(metadata!B173="",FALSE,TRUE),COUNTIF(metadata!B:B, metadata!B173) = 1,NOT(ISERROR(SUMPRODUCT(SEARCH(MID(metadata!B173,ROW(INDIRECT("1:"&amp;LEN(metadata!B173))), 1),"0123456789abcdefghijklmnopqrstuvwxyzABCDEFGHIJKLMNOPQRSTUVWXYZ.")))))</f>
        <v>0</v>
      </c>
      <c r="R173" t="b">
        <f>AND(IF(metadata!C173="",FALSE,TRUE),OR(EXACT(metadata!C173,"saline"),EXACT(metadata!C173,"non-saline")))</f>
        <v>0</v>
      </c>
      <c r="S173" t="b">
        <f>AND(IF(metadata!D173="",FALSE,TRUE),OR(EXACT(metadata!D173,"surface (non-saline)"),EXACT(metadata!D173,"aerosol (non-saline)"),EXACT(metadata!D173,"sediment (non-saline)"),EXACT(metadata!D173,"surface (saline)"),EXACT(metadata!D173,"aerosol (saline)"),EXACT(metadata!D173,"sediment (saline)")))</f>
        <v>0</v>
      </c>
      <c r="T173" t="b">
        <f>AND(IF(metadata!E173="",FALSE,TRUE),EXACT(metadata!E173,"built environment"))</f>
        <v>0</v>
      </c>
      <c r="U173" t="b">
        <f>OR(AND(IF(metadata!F173="",FALSE,TRUE),EXACT(metadata!F173,"not applicable")),AND(IF(metadata!F173="",FALSE,TRUE),EXACT(metadata!F173,"anaerobic digester content")))</f>
        <v>0</v>
      </c>
    </row>
    <row r="174" spans="1:21" x14ac:dyDescent="0.2">
      <c r="A174" s="4" t="str">
        <f ca="1">IF(B174=" "," ",HYPERLINK(CONCATENATE("#metadata!",ADDRESS(INDEX($L$2:$L$1001,MATCH(ROWS($J$2:J174),$J$2:$J$1001,0),0),1)),INDEX($O$2:$O$1001,MATCH(ROWS($J$2:J174),$J$2:$J$1001,0),0)))</f>
        <v xml:space="preserve"> </v>
      </c>
      <c r="B174" s="3" t="str">
        <f ca="1">IF(OR(INDEX($K$2:$K$1001,MATCH(ROWS($J$2:J174),$J$2:$J$1001,0),1)&gt;=100000,INDEX($Q$1005:$U$1005,1,MATCH(COLUMNS($Q$1006:Q1006),$Q$1006:$U$1006,0))&gt;=100000), " ",IF(INDEX($Q$2:$U$1001,MATCH(ROWS($J$2:J174),$J$2:$J$1001,0),MATCH(COLUMNS($Q$1006:Q1006),$Q$1006:$U$1006,0)), HYPERLINK("#",""), HYPERLINK(CONCATENATE("#metadata!", ADDRESS(INDEX($L$2:$L$1001,MATCH(ROWS($J$2:J174),$J$2:$J$1001,0),0), INDEX($Q$1004:$U$1004,1,MATCH(COLUMNS($Q$1006:Q1006),$Q$1006:$U$1006,0)))),"Fix")))</f>
        <v xml:space="preserve"> </v>
      </c>
      <c r="C174" s="3" t="str">
        <f ca="1">IF(OR(INDEX($K$2:$K$1001,MATCH(ROWS($J$2:J174),$J$2:$J$1001,0),1)&gt;=100000,INDEX($Q$1005:$U$1005,1,MATCH(COLUMNS($Q$1006:R1006),$Q$1006:$U$1006,0))&gt;=100000), " ",IF(INDEX($Q$2:$U$1001,MATCH(ROWS($J$2:J174),$J$2:$J$1001,0),MATCH(COLUMNS($Q$1006:R1006),$Q$1006:$U$1006,0)), HYPERLINK("#",""), HYPERLINK(CONCATENATE("#metadata!", ADDRESS(INDEX($L$2:$L$1001,MATCH(ROWS($J$2:J174),$J$2:$J$1001,0),0), INDEX($Q$1004:$U$1004,1,MATCH(COLUMNS($Q$1006:R1006),$Q$1006:$U$1006,0)))),"Fix")))</f>
        <v xml:space="preserve"> </v>
      </c>
      <c r="D174" s="3" t="str">
        <f ca="1">IF(OR(INDEX($K$2:$K$1001,MATCH(ROWS($J$2:J174),$J$2:$J$1001,0),1)&gt;=100000,INDEX($Q$1005:$U$1005,1,MATCH(COLUMNS($Q$1006:S1006),$Q$1006:$U$1006,0))&gt;=100000), " ",IF(INDEX($Q$2:$U$1001,MATCH(ROWS($J$2:J174),$J$2:$J$1001,0),MATCH(COLUMNS($Q$1006:S1006),$Q$1006:$U$1006,0)), HYPERLINK("#",""), HYPERLINK(CONCATENATE("#metadata!", ADDRESS(INDEX($L$2:$L$1001,MATCH(ROWS($J$2:J174),$J$2:$J$1001,0),0), INDEX($Q$1004:$U$1004,1,MATCH(COLUMNS($Q$1006:S1006),$Q$1006:$U$1006,0)))),"Fix")))</f>
        <v xml:space="preserve"> </v>
      </c>
      <c r="E174" s="3" t="str">
        <f ca="1">IF(OR(INDEX($K$2:$K$1001,MATCH(ROWS($J$2:J174),$J$2:$J$1001,0),1)&gt;=100000,INDEX($Q$1005:$U$1005,1,MATCH(COLUMNS($Q$1006:T1006),$Q$1006:$U$1006,0))&gt;=100000), " ",IF(INDEX($Q$2:$U$1001,MATCH(ROWS($J$2:J174),$J$2:$J$1001,0),MATCH(COLUMNS($Q$1006:T1006),$Q$1006:$U$1006,0)), HYPERLINK("#",""), HYPERLINK(CONCATENATE("#metadata!", ADDRESS(INDEX($L$2:$L$1001,MATCH(ROWS($J$2:J174),$J$2:$J$1001,0),0), INDEX($Q$1004:$U$1004,1,MATCH(COLUMNS($Q$1006:T1006),$Q$1006:$U$1006,0)))),"Fix")))</f>
        <v xml:space="preserve"> </v>
      </c>
      <c r="F174" s="3" t="str">
        <f ca="1">IF(OR(INDEX($K$2:$K$1001,MATCH(ROWS($J$2:J174),$J$2:$J$1001,0),1)&gt;=100000,INDEX($Q$1005:$U$1005,1,MATCH(COLUMNS($Q$1006:U1006),$Q$1006:$U$1006,0))&gt;=100000), " ",IF(INDEX($Q$2:$U$1001,MATCH(ROWS($J$2:J174),$J$2:$J$1001,0),MATCH(COLUMNS($Q$1006:U1006),$Q$1006:$U$1006,0)), HYPERLINK("#",""), HYPERLINK(CONCATENATE("#metadata!", ADDRESS(INDEX($L$2:$L$1001,MATCH(ROWS($J$2:J174),$J$2:$J$1001,0),0), INDEX($Q$1004:$U$1004,1,MATCH(COLUMNS($Q$1006:U1006),$Q$1006:$U$1006,0)))),"Fix")))</f>
        <v xml:space="preserve"> </v>
      </c>
      <c r="J174">
        <v>173</v>
      </c>
      <c r="K174">
        <v>100174</v>
      </c>
      <c r="L174">
        <v>174</v>
      </c>
      <c r="M174" t="b">
        <f t="shared" si="2"/>
        <v>1</v>
      </c>
      <c r="N174" t="b">
        <f>COUNTBLANK(metadata!B174:F174)=COLUMNS(metadata!B174:F174)</f>
        <v>1</v>
      </c>
      <c r="O174" t="str">
        <v/>
      </c>
      <c r="Q174" t="b">
        <f ca="1">AND(IF(metadata!B174="",FALSE,TRUE),COUNTIF(metadata!B:B, metadata!B174) = 1,NOT(ISERROR(SUMPRODUCT(SEARCH(MID(metadata!B174,ROW(INDIRECT("1:"&amp;LEN(metadata!B174))), 1),"0123456789abcdefghijklmnopqrstuvwxyzABCDEFGHIJKLMNOPQRSTUVWXYZ.")))))</f>
        <v>0</v>
      </c>
      <c r="R174" t="b">
        <f>AND(IF(metadata!C174="",FALSE,TRUE),OR(EXACT(metadata!C174,"saline"),EXACT(metadata!C174,"non-saline")))</f>
        <v>0</v>
      </c>
      <c r="S174" t="b">
        <f>AND(IF(metadata!D174="",FALSE,TRUE),OR(EXACT(metadata!D174,"surface (non-saline)"),EXACT(metadata!D174,"aerosol (non-saline)"),EXACT(metadata!D174,"sediment (non-saline)"),EXACT(metadata!D174,"surface (saline)"),EXACT(metadata!D174,"aerosol (saline)"),EXACT(metadata!D174,"sediment (saline)")))</f>
        <v>0</v>
      </c>
      <c r="T174" t="b">
        <f>AND(IF(metadata!E174="",FALSE,TRUE),EXACT(metadata!E174,"built environment"))</f>
        <v>0</v>
      </c>
      <c r="U174" t="b">
        <f>OR(AND(IF(metadata!F174="",FALSE,TRUE),EXACT(metadata!F174,"not applicable")),AND(IF(metadata!F174="",FALSE,TRUE),EXACT(metadata!F174,"anaerobic digester content")))</f>
        <v>0</v>
      </c>
    </row>
    <row r="175" spans="1:21" x14ac:dyDescent="0.2">
      <c r="A175" s="4" t="str">
        <f ca="1">IF(B175=" "," ",HYPERLINK(CONCATENATE("#metadata!",ADDRESS(INDEX($L$2:$L$1001,MATCH(ROWS($J$2:J175),$J$2:$J$1001,0),0),1)),INDEX($O$2:$O$1001,MATCH(ROWS($J$2:J175),$J$2:$J$1001,0),0)))</f>
        <v xml:space="preserve"> </v>
      </c>
      <c r="B175" s="3" t="str">
        <f ca="1">IF(OR(INDEX($K$2:$K$1001,MATCH(ROWS($J$2:J175),$J$2:$J$1001,0),1)&gt;=100000,INDEX($Q$1005:$U$1005,1,MATCH(COLUMNS($Q$1006:Q1006),$Q$1006:$U$1006,0))&gt;=100000), " ",IF(INDEX($Q$2:$U$1001,MATCH(ROWS($J$2:J175),$J$2:$J$1001,0),MATCH(COLUMNS($Q$1006:Q1006),$Q$1006:$U$1006,0)), HYPERLINK("#",""), HYPERLINK(CONCATENATE("#metadata!", ADDRESS(INDEX($L$2:$L$1001,MATCH(ROWS($J$2:J175),$J$2:$J$1001,0),0), INDEX($Q$1004:$U$1004,1,MATCH(COLUMNS($Q$1006:Q1006),$Q$1006:$U$1006,0)))),"Fix")))</f>
        <v xml:space="preserve"> </v>
      </c>
      <c r="C175" s="3" t="str">
        <f ca="1">IF(OR(INDEX($K$2:$K$1001,MATCH(ROWS($J$2:J175),$J$2:$J$1001,0),1)&gt;=100000,INDEX($Q$1005:$U$1005,1,MATCH(COLUMNS($Q$1006:R1006),$Q$1006:$U$1006,0))&gt;=100000), " ",IF(INDEX($Q$2:$U$1001,MATCH(ROWS($J$2:J175),$J$2:$J$1001,0),MATCH(COLUMNS($Q$1006:R1006),$Q$1006:$U$1006,0)), HYPERLINK("#",""), HYPERLINK(CONCATENATE("#metadata!", ADDRESS(INDEX($L$2:$L$1001,MATCH(ROWS($J$2:J175),$J$2:$J$1001,0),0), INDEX($Q$1004:$U$1004,1,MATCH(COLUMNS($Q$1006:R1006),$Q$1006:$U$1006,0)))),"Fix")))</f>
        <v xml:space="preserve"> </v>
      </c>
      <c r="D175" s="3" t="str">
        <f ca="1">IF(OR(INDEX($K$2:$K$1001,MATCH(ROWS($J$2:J175),$J$2:$J$1001,0),1)&gt;=100000,INDEX($Q$1005:$U$1005,1,MATCH(COLUMNS($Q$1006:S1006),$Q$1006:$U$1006,0))&gt;=100000), " ",IF(INDEX($Q$2:$U$1001,MATCH(ROWS($J$2:J175),$J$2:$J$1001,0),MATCH(COLUMNS($Q$1006:S1006),$Q$1006:$U$1006,0)), HYPERLINK("#",""), HYPERLINK(CONCATENATE("#metadata!", ADDRESS(INDEX($L$2:$L$1001,MATCH(ROWS($J$2:J175),$J$2:$J$1001,0),0), INDEX($Q$1004:$U$1004,1,MATCH(COLUMNS($Q$1006:S1006),$Q$1006:$U$1006,0)))),"Fix")))</f>
        <v xml:space="preserve"> </v>
      </c>
      <c r="E175" s="3" t="str">
        <f ca="1">IF(OR(INDEX($K$2:$K$1001,MATCH(ROWS($J$2:J175),$J$2:$J$1001,0),1)&gt;=100000,INDEX($Q$1005:$U$1005,1,MATCH(COLUMNS($Q$1006:T1006),$Q$1006:$U$1006,0))&gt;=100000), " ",IF(INDEX($Q$2:$U$1001,MATCH(ROWS($J$2:J175),$J$2:$J$1001,0),MATCH(COLUMNS($Q$1006:T1006),$Q$1006:$U$1006,0)), HYPERLINK("#",""), HYPERLINK(CONCATENATE("#metadata!", ADDRESS(INDEX($L$2:$L$1001,MATCH(ROWS($J$2:J175),$J$2:$J$1001,0),0), INDEX($Q$1004:$U$1004,1,MATCH(COLUMNS($Q$1006:T1006),$Q$1006:$U$1006,0)))),"Fix")))</f>
        <v xml:space="preserve"> </v>
      </c>
      <c r="F175" s="3" t="str">
        <f ca="1">IF(OR(INDEX($K$2:$K$1001,MATCH(ROWS($J$2:J175),$J$2:$J$1001,0),1)&gt;=100000,INDEX($Q$1005:$U$1005,1,MATCH(COLUMNS($Q$1006:U1006),$Q$1006:$U$1006,0))&gt;=100000), " ",IF(INDEX($Q$2:$U$1001,MATCH(ROWS($J$2:J175),$J$2:$J$1001,0),MATCH(COLUMNS($Q$1006:U1006),$Q$1006:$U$1006,0)), HYPERLINK("#",""), HYPERLINK(CONCATENATE("#metadata!", ADDRESS(INDEX($L$2:$L$1001,MATCH(ROWS($J$2:J175),$J$2:$J$1001,0),0), INDEX($Q$1004:$U$1004,1,MATCH(COLUMNS($Q$1006:U1006),$Q$1006:$U$1006,0)))),"Fix")))</f>
        <v xml:space="preserve"> </v>
      </c>
      <c r="J175">
        <v>174</v>
      </c>
      <c r="K175">
        <v>100175</v>
      </c>
      <c r="L175">
        <v>175</v>
      </c>
      <c r="M175" t="b">
        <f t="shared" si="2"/>
        <v>1</v>
      </c>
      <c r="N175" t="b">
        <f>COUNTBLANK(metadata!B175:F175)=COLUMNS(metadata!B175:F175)</f>
        <v>1</v>
      </c>
      <c r="O175" t="str">
        <v/>
      </c>
      <c r="Q175" t="b">
        <f ca="1">AND(IF(metadata!B175="",FALSE,TRUE),COUNTIF(metadata!B:B, metadata!B175) = 1,NOT(ISERROR(SUMPRODUCT(SEARCH(MID(metadata!B175,ROW(INDIRECT("1:"&amp;LEN(metadata!B175))), 1),"0123456789abcdefghijklmnopqrstuvwxyzABCDEFGHIJKLMNOPQRSTUVWXYZ.")))))</f>
        <v>0</v>
      </c>
      <c r="R175" t="b">
        <f>AND(IF(metadata!C175="",FALSE,TRUE),OR(EXACT(metadata!C175,"saline"),EXACT(metadata!C175,"non-saline")))</f>
        <v>0</v>
      </c>
      <c r="S175" t="b">
        <f>AND(IF(metadata!D175="",FALSE,TRUE),OR(EXACT(metadata!D175,"surface (non-saline)"),EXACT(metadata!D175,"aerosol (non-saline)"),EXACT(metadata!D175,"sediment (non-saline)"),EXACT(metadata!D175,"surface (saline)"),EXACT(metadata!D175,"aerosol (saline)"),EXACT(metadata!D175,"sediment (saline)")))</f>
        <v>0</v>
      </c>
      <c r="T175" t="b">
        <f>AND(IF(metadata!E175="",FALSE,TRUE),EXACT(metadata!E175,"built environment"))</f>
        <v>0</v>
      </c>
      <c r="U175" t="b">
        <f>OR(AND(IF(metadata!F175="",FALSE,TRUE),EXACT(metadata!F175,"not applicable")),AND(IF(metadata!F175="",FALSE,TRUE),EXACT(metadata!F175,"anaerobic digester content")))</f>
        <v>0</v>
      </c>
    </row>
    <row r="176" spans="1:21" x14ac:dyDescent="0.2">
      <c r="A176" s="4" t="str">
        <f ca="1">IF(B176=" "," ",HYPERLINK(CONCATENATE("#metadata!",ADDRESS(INDEX($L$2:$L$1001,MATCH(ROWS($J$2:J176),$J$2:$J$1001,0),0),1)),INDEX($O$2:$O$1001,MATCH(ROWS($J$2:J176),$J$2:$J$1001,0),0)))</f>
        <v xml:space="preserve"> </v>
      </c>
      <c r="B176" s="3" t="str">
        <f ca="1">IF(OR(INDEX($K$2:$K$1001,MATCH(ROWS($J$2:J176),$J$2:$J$1001,0),1)&gt;=100000,INDEX($Q$1005:$U$1005,1,MATCH(COLUMNS($Q$1006:Q1006),$Q$1006:$U$1006,0))&gt;=100000), " ",IF(INDEX($Q$2:$U$1001,MATCH(ROWS($J$2:J176),$J$2:$J$1001,0),MATCH(COLUMNS($Q$1006:Q1006),$Q$1006:$U$1006,0)), HYPERLINK("#",""), HYPERLINK(CONCATENATE("#metadata!", ADDRESS(INDEX($L$2:$L$1001,MATCH(ROWS($J$2:J176),$J$2:$J$1001,0),0), INDEX($Q$1004:$U$1004,1,MATCH(COLUMNS($Q$1006:Q1006),$Q$1006:$U$1006,0)))),"Fix")))</f>
        <v xml:space="preserve"> </v>
      </c>
      <c r="C176" s="3" t="str">
        <f ca="1">IF(OR(INDEX($K$2:$K$1001,MATCH(ROWS($J$2:J176),$J$2:$J$1001,0),1)&gt;=100000,INDEX($Q$1005:$U$1005,1,MATCH(COLUMNS($Q$1006:R1006),$Q$1006:$U$1006,0))&gt;=100000), " ",IF(INDEX($Q$2:$U$1001,MATCH(ROWS($J$2:J176),$J$2:$J$1001,0),MATCH(COLUMNS($Q$1006:R1006),$Q$1006:$U$1006,0)), HYPERLINK("#",""), HYPERLINK(CONCATENATE("#metadata!", ADDRESS(INDEX($L$2:$L$1001,MATCH(ROWS($J$2:J176),$J$2:$J$1001,0),0), INDEX($Q$1004:$U$1004,1,MATCH(COLUMNS($Q$1006:R1006),$Q$1006:$U$1006,0)))),"Fix")))</f>
        <v xml:space="preserve"> </v>
      </c>
      <c r="D176" s="3" t="str">
        <f ca="1">IF(OR(INDEX($K$2:$K$1001,MATCH(ROWS($J$2:J176),$J$2:$J$1001,0),1)&gt;=100000,INDEX($Q$1005:$U$1005,1,MATCH(COLUMNS($Q$1006:S1006),$Q$1006:$U$1006,0))&gt;=100000), " ",IF(INDEX($Q$2:$U$1001,MATCH(ROWS($J$2:J176),$J$2:$J$1001,0),MATCH(COLUMNS($Q$1006:S1006),$Q$1006:$U$1006,0)), HYPERLINK("#",""), HYPERLINK(CONCATENATE("#metadata!", ADDRESS(INDEX($L$2:$L$1001,MATCH(ROWS($J$2:J176),$J$2:$J$1001,0),0), INDEX($Q$1004:$U$1004,1,MATCH(COLUMNS($Q$1006:S1006),$Q$1006:$U$1006,0)))),"Fix")))</f>
        <v xml:space="preserve"> </v>
      </c>
      <c r="E176" s="3" t="str">
        <f ca="1">IF(OR(INDEX($K$2:$K$1001,MATCH(ROWS($J$2:J176),$J$2:$J$1001,0),1)&gt;=100000,INDEX($Q$1005:$U$1005,1,MATCH(COLUMNS($Q$1006:T1006),$Q$1006:$U$1006,0))&gt;=100000), " ",IF(INDEX($Q$2:$U$1001,MATCH(ROWS($J$2:J176),$J$2:$J$1001,0),MATCH(COLUMNS($Q$1006:T1006),$Q$1006:$U$1006,0)), HYPERLINK("#",""), HYPERLINK(CONCATENATE("#metadata!", ADDRESS(INDEX($L$2:$L$1001,MATCH(ROWS($J$2:J176),$J$2:$J$1001,0),0), INDEX($Q$1004:$U$1004,1,MATCH(COLUMNS($Q$1006:T1006),$Q$1006:$U$1006,0)))),"Fix")))</f>
        <v xml:space="preserve"> </v>
      </c>
      <c r="F176" s="3" t="str">
        <f ca="1">IF(OR(INDEX($K$2:$K$1001,MATCH(ROWS($J$2:J176),$J$2:$J$1001,0),1)&gt;=100000,INDEX($Q$1005:$U$1005,1,MATCH(COLUMNS($Q$1006:U1006),$Q$1006:$U$1006,0))&gt;=100000), " ",IF(INDEX($Q$2:$U$1001,MATCH(ROWS($J$2:J176),$J$2:$J$1001,0),MATCH(COLUMNS($Q$1006:U1006),$Q$1006:$U$1006,0)), HYPERLINK("#",""), HYPERLINK(CONCATENATE("#metadata!", ADDRESS(INDEX($L$2:$L$1001,MATCH(ROWS($J$2:J176),$J$2:$J$1001,0),0), INDEX($Q$1004:$U$1004,1,MATCH(COLUMNS($Q$1006:U1006),$Q$1006:$U$1006,0)))),"Fix")))</f>
        <v xml:space="preserve"> </v>
      </c>
      <c r="J176">
        <v>175</v>
      </c>
      <c r="K176">
        <v>100176</v>
      </c>
      <c r="L176">
        <v>176</v>
      </c>
      <c r="M176" t="b">
        <f t="shared" si="2"/>
        <v>1</v>
      </c>
      <c r="N176" t="b">
        <f>COUNTBLANK(metadata!B176:F176)=COLUMNS(metadata!B176:F176)</f>
        <v>1</v>
      </c>
      <c r="O176" t="str">
        <v/>
      </c>
      <c r="Q176" t="b">
        <f ca="1">AND(IF(metadata!B176="",FALSE,TRUE),COUNTIF(metadata!B:B, metadata!B176) = 1,NOT(ISERROR(SUMPRODUCT(SEARCH(MID(metadata!B176,ROW(INDIRECT("1:"&amp;LEN(metadata!B176))), 1),"0123456789abcdefghijklmnopqrstuvwxyzABCDEFGHIJKLMNOPQRSTUVWXYZ.")))))</f>
        <v>0</v>
      </c>
      <c r="R176" t="b">
        <f>AND(IF(metadata!C176="",FALSE,TRUE),OR(EXACT(metadata!C176,"saline"),EXACT(metadata!C176,"non-saline")))</f>
        <v>0</v>
      </c>
      <c r="S176" t="b">
        <f>AND(IF(metadata!D176="",FALSE,TRUE),OR(EXACT(metadata!D176,"surface (non-saline)"),EXACT(metadata!D176,"aerosol (non-saline)"),EXACT(metadata!D176,"sediment (non-saline)"),EXACT(metadata!D176,"surface (saline)"),EXACT(metadata!D176,"aerosol (saline)"),EXACT(metadata!D176,"sediment (saline)")))</f>
        <v>0</v>
      </c>
      <c r="T176" t="b">
        <f>AND(IF(metadata!E176="",FALSE,TRUE),EXACT(metadata!E176,"built environment"))</f>
        <v>0</v>
      </c>
      <c r="U176" t="b">
        <f>OR(AND(IF(metadata!F176="",FALSE,TRUE),EXACT(metadata!F176,"not applicable")),AND(IF(metadata!F176="",FALSE,TRUE),EXACT(metadata!F176,"anaerobic digester content")))</f>
        <v>0</v>
      </c>
    </row>
    <row r="177" spans="1:21" x14ac:dyDescent="0.2">
      <c r="A177" s="4" t="str">
        <f ca="1">IF(B177=" "," ",HYPERLINK(CONCATENATE("#metadata!",ADDRESS(INDEX($L$2:$L$1001,MATCH(ROWS($J$2:J177),$J$2:$J$1001,0),0),1)),INDEX($O$2:$O$1001,MATCH(ROWS($J$2:J177),$J$2:$J$1001,0),0)))</f>
        <v xml:space="preserve"> </v>
      </c>
      <c r="B177" s="3" t="str">
        <f ca="1">IF(OR(INDEX($K$2:$K$1001,MATCH(ROWS($J$2:J177),$J$2:$J$1001,0),1)&gt;=100000,INDEX($Q$1005:$U$1005,1,MATCH(COLUMNS($Q$1006:Q1006),$Q$1006:$U$1006,0))&gt;=100000), " ",IF(INDEX($Q$2:$U$1001,MATCH(ROWS($J$2:J177),$J$2:$J$1001,0),MATCH(COLUMNS($Q$1006:Q1006),$Q$1006:$U$1006,0)), HYPERLINK("#",""), HYPERLINK(CONCATENATE("#metadata!", ADDRESS(INDEX($L$2:$L$1001,MATCH(ROWS($J$2:J177),$J$2:$J$1001,0),0), INDEX($Q$1004:$U$1004,1,MATCH(COLUMNS($Q$1006:Q1006),$Q$1006:$U$1006,0)))),"Fix")))</f>
        <v xml:space="preserve"> </v>
      </c>
      <c r="C177" s="3" t="str">
        <f ca="1">IF(OR(INDEX($K$2:$K$1001,MATCH(ROWS($J$2:J177),$J$2:$J$1001,0),1)&gt;=100000,INDEX($Q$1005:$U$1005,1,MATCH(COLUMNS($Q$1006:R1006),$Q$1006:$U$1006,0))&gt;=100000), " ",IF(INDEX($Q$2:$U$1001,MATCH(ROWS($J$2:J177),$J$2:$J$1001,0),MATCH(COLUMNS($Q$1006:R1006),$Q$1006:$U$1006,0)), HYPERLINK("#",""), HYPERLINK(CONCATENATE("#metadata!", ADDRESS(INDEX($L$2:$L$1001,MATCH(ROWS($J$2:J177),$J$2:$J$1001,0),0), INDEX($Q$1004:$U$1004,1,MATCH(COLUMNS($Q$1006:R1006),$Q$1006:$U$1006,0)))),"Fix")))</f>
        <v xml:space="preserve"> </v>
      </c>
      <c r="D177" s="3" t="str">
        <f ca="1">IF(OR(INDEX($K$2:$K$1001,MATCH(ROWS($J$2:J177),$J$2:$J$1001,0),1)&gt;=100000,INDEX($Q$1005:$U$1005,1,MATCH(COLUMNS($Q$1006:S1006),$Q$1006:$U$1006,0))&gt;=100000), " ",IF(INDEX($Q$2:$U$1001,MATCH(ROWS($J$2:J177),$J$2:$J$1001,0),MATCH(COLUMNS($Q$1006:S1006),$Q$1006:$U$1006,0)), HYPERLINK("#",""), HYPERLINK(CONCATENATE("#metadata!", ADDRESS(INDEX($L$2:$L$1001,MATCH(ROWS($J$2:J177),$J$2:$J$1001,0),0), INDEX($Q$1004:$U$1004,1,MATCH(COLUMNS($Q$1006:S1006),$Q$1006:$U$1006,0)))),"Fix")))</f>
        <v xml:space="preserve"> </v>
      </c>
      <c r="E177" s="3" t="str">
        <f ca="1">IF(OR(INDEX($K$2:$K$1001,MATCH(ROWS($J$2:J177),$J$2:$J$1001,0),1)&gt;=100000,INDEX($Q$1005:$U$1005,1,MATCH(COLUMNS($Q$1006:T1006),$Q$1006:$U$1006,0))&gt;=100000), " ",IF(INDEX($Q$2:$U$1001,MATCH(ROWS($J$2:J177),$J$2:$J$1001,0),MATCH(COLUMNS($Q$1006:T1006),$Q$1006:$U$1006,0)), HYPERLINK("#",""), HYPERLINK(CONCATENATE("#metadata!", ADDRESS(INDEX($L$2:$L$1001,MATCH(ROWS($J$2:J177),$J$2:$J$1001,0),0), INDEX($Q$1004:$U$1004,1,MATCH(COLUMNS($Q$1006:T1006),$Q$1006:$U$1006,0)))),"Fix")))</f>
        <v xml:space="preserve"> </v>
      </c>
      <c r="F177" s="3" t="str">
        <f ca="1">IF(OR(INDEX($K$2:$K$1001,MATCH(ROWS($J$2:J177),$J$2:$J$1001,0),1)&gt;=100000,INDEX($Q$1005:$U$1005,1,MATCH(COLUMNS($Q$1006:U1006),$Q$1006:$U$1006,0))&gt;=100000), " ",IF(INDEX($Q$2:$U$1001,MATCH(ROWS($J$2:J177),$J$2:$J$1001,0),MATCH(COLUMNS($Q$1006:U1006),$Q$1006:$U$1006,0)), HYPERLINK("#",""), HYPERLINK(CONCATENATE("#metadata!", ADDRESS(INDEX($L$2:$L$1001,MATCH(ROWS($J$2:J177),$J$2:$J$1001,0),0), INDEX($Q$1004:$U$1004,1,MATCH(COLUMNS($Q$1006:U1006),$Q$1006:$U$1006,0)))),"Fix")))</f>
        <v xml:space="preserve"> </v>
      </c>
      <c r="J177">
        <v>176</v>
      </c>
      <c r="K177">
        <v>100177</v>
      </c>
      <c r="L177">
        <v>177</v>
      </c>
      <c r="M177" t="b">
        <f t="shared" si="2"/>
        <v>1</v>
      </c>
      <c r="N177" t="b">
        <f>COUNTBLANK(metadata!B177:F177)=COLUMNS(metadata!B177:F177)</f>
        <v>1</v>
      </c>
      <c r="O177" t="str">
        <v/>
      </c>
      <c r="Q177" t="b">
        <f ca="1">AND(IF(metadata!B177="",FALSE,TRUE),COUNTIF(metadata!B:B, metadata!B177) = 1,NOT(ISERROR(SUMPRODUCT(SEARCH(MID(metadata!B177,ROW(INDIRECT("1:"&amp;LEN(metadata!B177))), 1),"0123456789abcdefghijklmnopqrstuvwxyzABCDEFGHIJKLMNOPQRSTUVWXYZ.")))))</f>
        <v>0</v>
      </c>
      <c r="R177" t="b">
        <f>AND(IF(metadata!C177="",FALSE,TRUE),OR(EXACT(metadata!C177,"saline"),EXACT(metadata!C177,"non-saline")))</f>
        <v>0</v>
      </c>
      <c r="S177" t="b">
        <f>AND(IF(metadata!D177="",FALSE,TRUE),OR(EXACT(metadata!D177,"surface (non-saline)"),EXACT(metadata!D177,"aerosol (non-saline)"),EXACT(metadata!D177,"sediment (non-saline)"),EXACT(metadata!D177,"surface (saline)"),EXACT(metadata!D177,"aerosol (saline)"),EXACT(metadata!D177,"sediment (saline)")))</f>
        <v>0</v>
      </c>
      <c r="T177" t="b">
        <f>AND(IF(metadata!E177="",FALSE,TRUE),EXACT(metadata!E177,"built environment"))</f>
        <v>0</v>
      </c>
      <c r="U177" t="b">
        <f>OR(AND(IF(metadata!F177="",FALSE,TRUE),EXACT(metadata!F177,"not applicable")),AND(IF(metadata!F177="",FALSE,TRUE),EXACT(metadata!F177,"anaerobic digester content")))</f>
        <v>0</v>
      </c>
    </row>
    <row r="178" spans="1:21" x14ac:dyDescent="0.2">
      <c r="A178" s="4" t="str">
        <f ca="1">IF(B178=" "," ",HYPERLINK(CONCATENATE("#metadata!",ADDRESS(INDEX($L$2:$L$1001,MATCH(ROWS($J$2:J178),$J$2:$J$1001,0),0),1)),INDEX($O$2:$O$1001,MATCH(ROWS($J$2:J178),$J$2:$J$1001,0),0)))</f>
        <v xml:space="preserve"> </v>
      </c>
      <c r="B178" s="3" t="str">
        <f ca="1">IF(OR(INDEX($K$2:$K$1001,MATCH(ROWS($J$2:J178),$J$2:$J$1001,0),1)&gt;=100000,INDEX($Q$1005:$U$1005,1,MATCH(COLUMNS($Q$1006:Q1006),$Q$1006:$U$1006,0))&gt;=100000), " ",IF(INDEX($Q$2:$U$1001,MATCH(ROWS($J$2:J178),$J$2:$J$1001,0),MATCH(COLUMNS($Q$1006:Q1006),$Q$1006:$U$1006,0)), HYPERLINK("#",""), HYPERLINK(CONCATENATE("#metadata!", ADDRESS(INDEX($L$2:$L$1001,MATCH(ROWS($J$2:J178),$J$2:$J$1001,0),0), INDEX($Q$1004:$U$1004,1,MATCH(COLUMNS($Q$1006:Q1006),$Q$1006:$U$1006,0)))),"Fix")))</f>
        <v xml:space="preserve"> </v>
      </c>
      <c r="C178" s="3" t="str">
        <f ca="1">IF(OR(INDEX($K$2:$K$1001,MATCH(ROWS($J$2:J178),$J$2:$J$1001,0),1)&gt;=100000,INDEX($Q$1005:$U$1005,1,MATCH(COLUMNS($Q$1006:R1006),$Q$1006:$U$1006,0))&gt;=100000), " ",IF(INDEX($Q$2:$U$1001,MATCH(ROWS($J$2:J178),$J$2:$J$1001,0),MATCH(COLUMNS($Q$1006:R1006),$Q$1006:$U$1006,0)), HYPERLINK("#",""), HYPERLINK(CONCATENATE("#metadata!", ADDRESS(INDEX($L$2:$L$1001,MATCH(ROWS($J$2:J178),$J$2:$J$1001,0),0), INDEX($Q$1004:$U$1004,1,MATCH(COLUMNS($Q$1006:R1006),$Q$1006:$U$1006,0)))),"Fix")))</f>
        <v xml:space="preserve"> </v>
      </c>
      <c r="D178" s="3" t="str">
        <f ca="1">IF(OR(INDEX($K$2:$K$1001,MATCH(ROWS($J$2:J178),$J$2:$J$1001,0),1)&gt;=100000,INDEX($Q$1005:$U$1005,1,MATCH(COLUMNS($Q$1006:S1006),$Q$1006:$U$1006,0))&gt;=100000), " ",IF(INDEX($Q$2:$U$1001,MATCH(ROWS($J$2:J178),$J$2:$J$1001,0),MATCH(COLUMNS($Q$1006:S1006),$Q$1006:$U$1006,0)), HYPERLINK("#",""), HYPERLINK(CONCATENATE("#metadata!", ADDRESS(INDEX($L$2:$L$1001,MATCH(ROWS($J$2:J178),$J$2:$J$1001,0),0), INDEX($Q$1004:$U$1004,1,MATCH(COLUMNS($Q$1006:S1006),$Q$1006:$U$1006,0)))),"Fix")))</f>
        <v xml:space="preserve"> </v>
      </c>
      <c r="E178" s="3" t="str">
        <f ca="1">IF(OR(INDEX($K$2:$K$1001,MATCH(ROWS($J$2:J178),$J$2:$J$1001,0),1)&gt;=100000,INDEX($Q$1005:$U$1005,1,MATCH(COLUMNS($Q$1006:T1006),$Q$1006:$U$1006,0))&gt;=100000), " ",IF(INDEX($Q$2:$U$1001,MATCH(ROWS($J$2:J178),$J$2:$J$1001,0),MATCH(COLUMNS($Q$1006:T1006),$Q$1006:$U$1006,0)), HYPERLINK("#",""), HYPERLINK(CONCATENATE("#metadata!", ADDRESS(INDEX($L$2:$L$1001,MATCH(ROWS($J$2:J178),$J$2:$J$1001,0),0), INDEX($Q$1004:$U$1004,1,MATCH(COLUMNS($Q$1006:T1006),$Q$1006:$U$1006,0)))),"Fix")))</f>
        <v xml:space="preserve"> </v>
      </c>
      <c r="F178" s="3" t="str">
        <f ca="1">IF(OR(INDEX($K$2:$K$1001,MATCH(ROWS($J$2:J178),$J$2:$J$1001,0),1)&gt;=100000,INDEX($Q$1005:$U$1005,1,MATCH(COLUMNS($Q$1006:U1006),$Q$1006:$U$1006,0))&gt;=100000), " ",IF(INDEX($Q$2:$U$1001,MATCH(ROWS($J$2:J178),$J$2:$J$1001,0),MATCH(COLUMNS($Q$1006:U1006),$Q$1006:$U$1006,0)), HYPERLINK("#",""), HYPERLINK(CONCATENATE("#metadata!", ADDRESS(INDEX($L$2:$L$1001,MATCH(ROWS($J$2:J178),$J$2:$J$1001,0),0), INDEX($Q$1004:$U$1004,1,MATCH(COLUMNS($Q$1006:U1006),$Q$1006:$U$1006,0)))),"Fix")))</f>
        <v xml:space="preserve"> </v>
      </c>
      <c r="J178">
        <v>177</v>
      </c>
      <c r="K178">
        <v>100178</v>
      </c>
      <c r="L178">
        <v>178</v>
      </c>
      <c r="M178" t="b">
        <f t="shared" si="2"/>
        <v>1</v>
      </c>
      <c r="N178" t="b">
        <f>COUNTBLANK(metadata!B178:F178)=COLUMNS(metadata!B178:F178)</f>
        <v>1</v>
      </c>
      <c r="O178" t="str">
        <v/>
      </c>
      <c r="Q178" t="b">
        <f ca="1">AND(IF(metadata!B178="",FALSE,TRUE),COUNTIF(metadata!B:B, metadata!B178) = 1,NOT(ISERROR(SUMPRODUCT(SEARCH(MID(metadata!B178,ROW(INDIRECT("1:"&amp;LEN(metadata!B178))), 1),"0123456789abcdefghijklmnopqrstuvwxyzABCDEFGHIJKLMNOPQRSTUVWXYZ.")))))</f>
        <v>0</v>
      </c>
      <c r="R178" t="b">
        <f>AND(IF(metadata!C178="",FALSE,TRUE),OR(EXACT(metadata!C178,"saline"),EXACT(metadata!C178,"non-saline")))</f>
        <v>0</v>
      </c>
      <c r="S178" t="b">
        <f>AND(IF(metadata!D178="",FALSE,TRUE),OR(EXACT(metadata!D178,"surface (non-saline)"),EXACT(metadata!D178,"aerosol (non-saline)"),EXACT(metadata!D178,"sediment (non-saline)"),EXACT(metadata!D178,"surface (saline)"),EXACT(metadata!D178,"aerosol (saline)"),EXACT(metadata!D178,"sediment (saline)")))</f>
        <v>0</v>
      </c>
      <c r="T178" t="b">
        <f>AND(IF(metadata!E178="",FALSE,TRUE),EXACT(metadata!E178,"built environment"))</f>
        <v>0</v>
      </c>
      <c r="U178" t="b">
        <f>OR(AND(IF(metadata!F178="",FALSE,TRUE),EXACT(metadata!F178,"not applicable")),AND(IF(metadata!F178="",FALSE,TRUE),EXACT(metadata!F178,"anaerobic digester content")))</f>
        <v>0</v>
      </c>
    </row>
    <row r="179" spans="1:21" x14ac:dyDescent="0.2">
      <c r="A179" s="4" t="str">
        <f ca="1">IF(B179=" "," ",HYPERLINK(CONCATENATE("#metadata!",ADDRESS(INDEX($L$2:$L$1001,MATCH(ROWS($J$2:J179),$J$2:$J$1001,0),0),1)),INDEX($O$2:$O$1001,MATCH(ROWS($J$2:J179),$J$2:$J$1001,0),0)))</f>
        <v xml:space="preserve"> </v>
      </c>
      <c r="B179" s="3" t="str">
        <f ca="1">IF(OR(INDEX($K$2:$K$1001,MATCH(ROWS($J$2:J179),$J$2:$J$1001,0),1)&gt;=100000,INDEX($Q$1005:$U$1005,1,MATCH(COLUMNS($Q$1006:Q1006),$Q$1006:$U$1006,0))&gt;=100000), " ",IF(INDEX($Q$2:$U$1001,MATCH(ROWS($J$2:J179),$J$2:$J$1001,0),MATCH(COLUMNS($Q$1006:Q1006),$Q$1006:$U$1006,0)), HYPERLINK("#",""), HYPERLINK(CONCATENATE("#metadata!", ADDRESS(INDEX($L$2:$L$1001,MATCH(ROWS($J$2:J179),$J$2:$J$1001,0),0), INDEX($Q$1004:$U$1004,1,MATCH(COLUMNS($Q$1006:Q1006),$Q$1006:$U$1006,0)))),"Fix")))</f>
        <v xml:space="preserve"> </v>
      </c>
      <c r="C179" s="3" t="str">
        <f ca="1">IF(OR(INDEX($K$2:$K$1001,MATCH(ROWS($J$2:J179),$J$2:$J$1001,0),1)&gt;=100000,INDEX($Q$1005:$U$1005,1,MATCH(COLUMNS($Q$1006:R1006),$Q$1006:$U$1006,0))&gt;=100000), " ",IF(INDEX($Q$2:$U$1001,MATCH(ROWS($J$2:J179),$J$2:$J$1001,0),MATCH(COLUMNS($Q$1006:R1006),$Q$1006:$U$1006,0)), HYPERLINK("#",""), HYPERLINK(CONCATENATE("#metadata!", ADDRESS(INDEX($L$2:$L$1001,MATCH(ROWS($J$2:J179),$J$2:$J$1001,0),0), INDEX($Q$1004:$U$1004,1,MATCH(COLUMNS($Q$1006:R1006),$Q$1006:$U$1006,0)))),"Fix")))</f>
        <v xml:space="preserve"> </v>
      </c>
      <c r="D179" s="3" t="str">
        <f ca="1">IF(OR(INDEX($K$2:$K$1001,MATCH(ROWS($J$2:J179),$J$2:$J$1001,0),1)&gt;=100000,INDEX($Q$1005:$U$1005,1,MATCH(COLUMNS($Q$1006:S1006),$Q$1006:$U$1006,0))&gt;=100000), " ",IF(INDEX($Q$2:$U$1001,MATCH(ROWS($J$2:J179),$J$2:$J$1001,0),MATCH(COLUMNS($Q$1006:S1006),$Q$1006:$U$1006,0)), HYPERLINK("#",""), HYPERLINK(CONCATENATE("#metadata!", ADDRESS(INDEX($L$2:$L$1001,MATCH(ROWS($J$2:J179),$J$2:$J$1001,0),0), INDEX($Q$1004:$U$1004,1,MATCH(COLUMNS($Q$1006:S1006),$Q$1006:$U$1006,0)))),"Fix")))</f>
        <v xml:space="preserve"> </v>
      </c>
      <c r="E179" s="3" t="str">
        <f ca="1">IF(OR(INDEX($K$2:$K$1001,MATCH(ROWS($J$2:J179),$J$2:$J$1001,0),1)&gt;=100000,INDEX($Q$1005:$U$1005,1,MATCH(COLUMNS($Q$1006:T1006),$Q$1006:$U$1006,0))&gt;=100000), " ",IF(INDEX($Q$2:$U$1001,MATCH(ROWS($J$2:J179),$J$2:$J$1001,0),MATCH(COLUMNS($Q$1006:T1006),$Q$1006:$U$1006,0)), HYPERLINK("#",""), HYPERLINK(CONCATENATE("#metadata!", ADDRESS(INDEX($L$2:$L$1001,MATCH(ROWS($J$2:J179),$J$2:$J$1001,0),0), INDEX($Q$1004:$U$1004,1,MATCH(COLUMNS($Q$1006:T1006),$Q$1006:$U$1006,0)))),"Fix")))</f>
        <v xml:space="preserve"> </v>
      </c>
      <c r="F179" s="3" t="str">
        <f ca="1">IF(OR(INDEX($K$2:$K$1001,MATCH(ROWS($J$2:J179),$J$2:$J$1001,0),1)&gt;=100000,INDEX($Q$1005:$U$1005,1,MATCH(COLUMNS($Q$1006:U1006),$Q$1006:$U$1006,0))&gt;=100000), " ",IF(INDEX($Q$2:$U$1001,MATCH(ROWS($J$2:J179),$J$2:$J$1001,0),MATCH(COLUMNS($Q$1006:U1006),$Q$1006:$U$1006,0)), HYPERLINK("#",""), HYPERLINK(CONCATENATE("#metadata!", ADDRESS(INDEX($L$2:$L$1001,MATCH(ROWS($J$2:J179),$J$2:$J$1001,0),0), INDEX($Q$1004:$U$1004,1,MATCH(COLUMNS($Q$1006:U1006),$Q$1006:$U$1006,0)))),"Fix")))</f>
        <v xml:space="preserve"> </v>
      </c>
      <c r="J179">
        <v>178</v>
      </c>
      <c r="K179">
        <v>100179</v>
      </c>
      <c r="L179">
        <v>179</v>
      </c>
      <c r="M179" t="b">
        <f t="shared" si="2"/>
        <v>1</v>
      </c>
      <c r="N179" t="b">
        <f>COUNTBLANK(metadata!B179:F179)=COLUMNS(metadata!B179:F179)</f>
        <v>1</v>
      </c>
      <c r="O179" t="str">
        <v/>
      </c>
      <c r="Q179" t="b">
        <f ca="1">AND(IF(metadata!B179="",FALSE,TRUE),COUNTIF(metadata!B:B, metadata!B179) = 1,NOT(ISERROR(SUMPRODUCT(SEARCH(MID(metadata!B179,ROW(INDIRECT("1:"&amp;LEN(metadata!B179))), 1),"0123456789abcdefghijklmnopqrstuvwxyzABCDEFGHIJKLMNOPQRSTUVWXYZ.")))))</f>
        <v>0</v>
      </c>
      <c r="R179" t="b">
        <f>AND(IF(metadata!C179="",FALSE,TRUE),OR(EXACT(metadata!C179,"saline"),EXACT(metadata!C179,"non-saline")))</f>
        <v>0</v>
      </c>
      <c r="S179" t="b">
        <f>AND(IF(metadata!D179="",FALSE,TRUE),OR(EXACT(metadata!D179,"surface (non-saline)"),EXACT(metadata!D179,"aerosol (non-saline)"),EXACT(metadata!D179,"sediment (non-saline)"),EXACT(metadata!D179,"surface (saline)"),EXACT(metadata!D179,"aerosol (saline)"),EXACT(metadata!D179,"sediment (saline)")))</f>
        <v>0</v>
      </c>
      <c r="T179" t="b">
        <f>AND(IF(metadata!E179="",FALSE,TRUE),EXACT(metadata!E179,"built environment"))</f>
        <v>0</v>
      </c>
      <c r="U179" t="b">
        <f>OR(AND(IF(metadata!F179="",FALSE,TRUE),EXACT(metadata!F179,"not applicable")),AND(IF(metadata!F179="",FALSE,TRUE),EXACT(metadata!F179,"anaerobic digester content")))</f>
        <v>0</v>
      </c>
    </row>
    <row r="180" spans="1:21" x14ac:dyDescent="0.2">
      <c r="A180" s="4" t="str">
        <f ca="1">IF(B180=" "," ",HYPERLINK(CONCATENATE("#metadata!",ADDRESS(INDEX($L$2:$L$1001,MATCH(ROWS($J$2:J180),$J$2:$J$1001,0),0),1)),INDEX($O$2:$O$1001,MATCH(ROWS($J$2:J180),$J$2:$J$1001,0),0)))</f>
        <v xml:space="preserve"> </v>
      </c>
      <c r="B180" s="3" t="str">
        <f ca="1">IF(OR(INDEX($K$2:$K$1001,MATCH(ROWS($J$2:J180),$J$2:$J$1001,0),1)&gt;=100000,INDEX($Q$1005:$U$1005,1,MATCH(COLUMNS($Q$1006:Q1006),$Q$1006:$U$1006,0))&gt;=100000), " ",IF(INDEX($Q$2:$U$1001,MATCH(ROWS($J$2:J180),$J$2:$J$1001,0),MATCH(COLUMNS($Q$1006:Q1006),$Q$1006:$U$1006,0)), HYPERLINK("#",""), HYPERLINK(CONCATENATE("#metadata!", ADDRESS(INDEX($L$2:$L$1001,MATCH(ROWS($J$2:J180),$J$2:$J$1001,0),0), INDEX($Q$1004:$U$1004,1,MATCH(COLUMNS($Q$1006:Q1006),$Q$1006:$U$1006,0)))),"Fix")))</f>
        <v xml:space="preserve"> </v>
      </c>
      <c r="C180" s="3" t="str">
        <f ca="1">IF(OR(INDEX($K$2:$K$1001,MATCH(ROWS($J$2:J180),$J$2:$J$1001,0),1)&gt;=100000,INDEX($Q$1005:$U$1005,1,MATCH(COLUMNS($Q$1006:R1006),$Q$1006:$U$1006,0))&gt;=100000), " ",IF(INDEX($Q$2:$U$1001,MATCH(ROWS($J$2:J180),$J$2:$J$1001,0),MATCH(COLUMNS($Q$1006:R1006),$Q$1006:$U$1006,0)), HYPERLINK("#",""), HYPERLINK(CONCATENATE("#metadata!", ADDRESS(INDEX($L$2:$L$1001,MATCH(ROWS($J$2:J180),$J$2:$J$1001,0),0), INDEX($Q$1004:$U$1004,1,MATCH(COLUMNS($Q$1006:R1006),$Q$1006:$U$1006,0)))),"Fix")))</f>
        <v xml:space="preserve"> </v>
      </c>
      <c r="D180" s="3" t="str">
        <f ca="1">IF(OR(INDEX($K$2:$K$1001,MATCH(ROWS($J$2:J180),$J$2:$J$1001,0),1)&gt;=100000,INDEX($Q$1005:$U$1005,1,MATCH(COLUMNS($Q$1006:S1006),$Q$1006:$U$1006,0))&gt;=100000), " ",IF(INDEX($Q$2:$U$1001,MATCH(ROWS($J$2:J180),$J$2:$J$1001,0),MATCH(COLUMNS($Q$1006:S1006),$Q$1006:$U$1006,0)), HYPERLINK("#",""), HYPERLINK(CONCATENATE("#metadata!", ADDRESS(INDEX($L$2:$L$1001,MATCH(ROWS($J$2:J180),$J$2:$J$1001,0),0), INDEX($Q$1004:$U$1004,1,MATCH(COLUMNS($Q$1006:S1006),$Q$1006:$U$1006,0)))),"Fix")))</f>
        <v xml:space="preserve"> </v>
      </c>
      <c r="E180" s="3" t="str">
        <f ca="1">IF(OR(INDEX($K$2:$K$1001,MATCH(ROWS($J$2:J180),$J$2:$J$1001,0),1)&gt;=100000,INDEX($Q$1005:$U$1005,1,MATCH(COLUMNS($Q$1006:T1006),$Q$1006:$U$1006,0))&gt;=100000), " ",IF(INDEX($Q$2:$U$1001,MATCH(ROWS($J$2:J180),$J$2:$J$1001,0),MATCH(COLUMNS($Q$1006:T1006),$Q$1006:$U$1006,0)), HYPERLINK("#",""), HYPERLINK(CONCATENATE("#metadata!", ADDRESS(INDEX($L$2:$L$1001,MATCH(ROWS($J$2:J180),$J$2:$J$1001,0),0), INDEX($Q$1004:$U$1004,1,MATCH(COLUMNS($Q$1006:T1006),$Q$1006:$U$1006,0)))),"Fix")))</f>
        <v xml:space="preserve"> </v>
      </c>
      <c r="F180" s="3" t="str">
        <f ca="1">IF(OR(INDEX($K$2:$K$1001,MATCH(ROWS($J$2:J180),$J$2:$J$1001,0),1)&gt;=100000,INDEX($Q$1005:$U$1005,1,MATCH(COLUMNS($Q$1006:U1006),$Q$1006:$U$1006,0))&gt;=100000), " ",IF(INDEX($Q$2:$U$1001,MATCH(ROWS($J$2:J180),$J$2:$J$1001,0),MATCH(COLUMNS($Q$1006:U1006),$Q$1006:$U$1006,0)), HYPERLINK("#",""), HYPERLINK(CONCATENATE("#metadata!", ADDRESS(INDEX($L$2:$L$1001,MATCH(ROWS($J$2:J180),$J$2:$J$1001,0),0), INDEX($Q$1004:$U$1004,1,MATCH(COLUMNS($Q$1006:U1006),$Q$1006:$U$1006,0)))),"Fix")))</f>
        <v xml:space="preserve"> </v>
      </c>
      <c r="J180">
        <v>179</v>
      </c>
      <c r="K180">
        <v>100180</v>
      </c>
      <c r="L180">
        <v>180</v>
      </c>
      <c r="M180" t="b">
        <f t="shared" si="2"/>
        <v>1</v>
      </c>
      <c r="N180" t="b">
        <f>COUNTBLANK(metadata!B180:F180)=COLUMNS(metadata!B180:F180)</f>
        <v>1</v>
      </c>
      <c r="O180" t="str">
        <v/>
      </c>
      <c r="Q180" t="b">
        <f ca="1">AND(IF(metadata!B180="",FALSE,TRUE),COUNTIF(metadata!B:B, metadata!B180) = 1,NOT(ISERROR(SUMPRODUCT(SEARCH(MID(metadata!B180,ROW(INDIRECT("1:"&amp;LEN(metadata!B180))), 1),"0123456789abcdefghijklmnopqrstuvwxyzABCDEFGHIJKLMNOPQRSTUVWXYZ.")))))</f>
        <v>0</v>
      </c>
      <c r="R180" t="b">
        <f>AND(IF(metadata!C180="",FALSE,TRUE),OR(EXACT(metadata!C180,"saline"),EXACT(metadata!C180,"non-saline")))</f>
        <v>0</v>
      </c>
      <c r="S180" t="b">
        <f>AND(IF(metadata!D180="",FALSE,TRUE),OR(EXACT(metadata!D180,"surface (non-saline)"),EXACT(metadata!D180,"aerosol (non-saline)"),EXACT(metadata!D180,"sediment (non-saline)"),EXACT(metadata!D180,"surface (saline)"),EXACT(metadata!D180,"aerosol (saline)"),EXACT(metadata!D180,"sediment (saline)")))</f>
        <v>0</v>
      </c>
      <c r="T180" t="b">
        <f>AND(IF(metadata!E180="",FALSE,TRUE),EXACT(metadata!E180,"built environment"))</f>
        <v>0</v>
      </c>
      <c r="U180" t="b">
        <f>OR(AND(IF(metadata!F180="",FALSE,TRUE),EXACT(metadata!F180,"not applicable")),AND(IF(metadata!F180="",FALSE,TRUE),EXACT(metadata!F180,"anaerobic digester content")))</f>
        <v>0</v>
      </c>
    </row>
    <row r="181" spans="1:21" x14ac:dyDescent="0.2">
      <c r="A181" s="4" t="str">
        <f ca="1">IF(B181=" "," ",HYPERLINK(CONCATENATE("#metadata!",ADDRESS(INDEX($L$2:$L$1001,MATCH(ROWS($J$2:J181),$J$2:$J$1001,0),0),1)),INDEX($O$2:$O$1001,MATCH(ROWS($J$2:J181),$J$2:$J$1001,0),0)))</f>
        <v xml:space="preserve"> </v>
      </c>
      <c r="B181" s="3" t="str">
        <f ca="1">IF(OR(INDEX($K$2:$K$1001,MATCH(ROWS($J$2:J181),$J$2:$J$1001,0),1)&gt;=100000,INDEX($Q$1005:$U$1005,1,MATCH(COLUMNS($Q$1006:Q1006),$Q$1006:$U$1006,0))&gt;=100000), " ",IF(INDEX($Q$2:$U$1001,MATCH(ROWS($J$2:J181),$J$2:$J$1001,0),MATCH(COLUMNS($Q$1006:Q1006),$Q$1006:$U$1006,0)), HYPERLINK("#",""), HYPERLINK(CONCATENATE("#metadata!", ADDRESS(INDEX($L$2:$L$1001,MATCH(ROWS($J$2:J181),$J$2:$J$1001,0),0), INDEX($Q$1004:$U$1004,1,MATCH(COLUMNS($Q$1006:Q1006),$Q$1006:$U$1006,0)))),"Fix")))</f>
        <v xml:space="preserve"> </v>
      </c>
      <c r="C181" s="3" t="str">
        <f ca="1">IF(OR(INDEX($K$2:$K$1001,MATCH(ROWS($J$2:J181),$J$2:$J$1001,0),1)&gt;=100000,INDEX($Q$1005:$U$1005,1,MATCH(COLUMNS($Q$1006:R1006),$Q$1006:$U$1006,0))&gt;=100000), " ",IF(INDEX($Q$2:$U$1001,MATCH(ROWS($J$2:J181),$J$2:$J$1001,0),MATCH(COLUMNS($Q$1006:R1006),$Q$1006:$U$1006,0)), HYPERLINK("#",""), HYPERLINK(CONCATENATE("#metadata!", ADDRESS(INDEX($L$2:$L$1001,MATCH(ROWS($J$2:J181),$J$2:$J$1001,0),0), INDEX($Q$1004:$U$1004,1,MATCH(COLUMNS($Q$1006:R1006),$Q$1006:$U$1006,0)))),"Fix")))</f>
        <v xml:space="preserve"> </v>
      </c>
      <c r="D181" s="3" t="str">
        <f ca="1">IF(OR(INDEX($K$2:$K$1001,MATCH(ROWS($J$2:J181),$J$2:$J$1001,0),1)&gt;=100000,INDEX($Q$1005:$U$1005,1,MATCH(COLUMNS($Q$1006:S1006),$Q$1006:$U$1006,0))&gt;=100000), " ",IF(INDEX($Q$2:$U$1001,MATCH(ROWS($J$2:J181),$J$2:$J$1001,0),MATCH(COLUMNS($Q$1006:S1006),$Q$1006:$U$1006,0)), HYPERLINK("#",""), HYPERLINK(CONCATENATE("#metadata!", ADDRESS(INDEX($L$2:$L$1001,MATCH(ROWS($J$2:J181),$J$2:$J$1001,0),0), INDEX($Q$1004:$U$1004,1,MATCH(COLUMNS($Q$1006:S1006),$Q$1006:$U$1006,0)))),"Fix")))</f>
        <v xml:space="preserve"> </v>
      </c>
      <c r="E181" s="3" t="str">
        <f ca="1">IF(OR(INDEX($K$2:$K$1001,MATCH(ROWS($J$2:J181),$J$2:$J$1001,0),1)&gt;=100000,INDEX($Q$1005:$U$1005,1,MATCH(COLUMNS($Q$1006:T1006),$Q$1006:$U$1006,0))&gt;=100000), " ",IF(INDEX($Q$2:$U$1001,MATCH(ROWS($J$2:J181),$J$2:$J$1001,0),MATCH(COLUMNS($Q$1006:T1006),$Q$1006:$U$1006,0)), HYPERLINK("#",""), HYPERLINK(CONCATENATE("#metadata!", ADDRESS(INDEX($L$2:$L$1001,MATCH(ROWS($J$2:J181),$J$2:$J$1001,0),0), INDEX($Q$1004:$U$1004,1,MATCH(COLUMNS($Q$1006:T1006),$Q$1006:$U$1006,0)))),"Fix")))</f>
        <v xml:space="preserve"> </v>
      </c>
      <c r="F181" s="3" t="str">
        <f ca="1">IF(OR(INDEX($K$2:$K$1001,MATCH(ROWS($J$2:J181),$J$2:$J$1001,0),1)&gt;=100000,INDEX($Q$1005:$U$1005,1,MATCH(COLUMNS($Q$1006:U1006),$Q$1006:$U$1006,0))&gt;=100000), " ",IF(INDEX($Q$2:$U$1001,MATCH(ROWS($J$2:J181),$J$2:$J$1001,0),MATCH(COLUMNS($Q$1006:U1006),$Q$1006:$U$1006,0)), HYPERLINK("#",""), HYPERLINK(CONCATENATE("#metadata!", ADDRESS(INDEX($L$2:$L$1001,MATCH(ROWS($J$2:J181),$J$2:$J$1001,0),0), INDEX($Q$1004:$U$1004,1,MATCH(COLUMNS($Q$1006:U1006),$Q$1006:$U$1006,0)))),"Fix")))</f>
        <v xml:space="preserve"> </v>
      </c>
      <c r="J181">
        <v>180</v>
      </c>
      <c r="K181">
        <v>100181</v>
      </c>
      <c r="L181">
        <v>181</v>
      </c>
      <c r="M181" t="b">
        <f t="shared" si="2"/>
        <v>1</v>
      </c>
      <c r="N181" t="b">
        <f>COUNTBLANK(metadata!B181:F181)=COLUMNS(metadata!B181:F181)</f>
        <v>1</v>
      </c>
      <c r="O181" t="str">
        <v/>
      </c>
      <c r="Q181" t="b">
        <f ca="1">AND(IF(metadata!B181="",FALSE,TRUE),COUNTIF(metadata!B:B, metadata!B181) = 1,NOT(ISERROR(SUMPRODUCT(SEARCH(MID(metadata!B181,ROW(INDIRECT("1:"&amp;LEN(metadata!B181))), 1),"0123456789abcdefghijklmnopqrstuvwxyzABCDEFGHIJKLMNOPQRSTUVWXYZ.")))))</f>
        <v>0</v>
      </c>
      <c r="R181" t="b">
        <f>AND(IF(metadata!C181="",FALSE,TRUE),OR(EXACT(metadata!C181,"saline"),EXACT(metadata!C181,"non-saline")))</f>
        <v>0</v>
      </c>
      <c r="S181" t="b">
        <f>AND(IF(metadata!D181="",FALSE,TRUE),OR(EXACT(metadata!D181,"surface (non-saline)"),EXACT(metadata!D181,"aerosol (non-saline)"),EXACT(metadata!D181,"sediment (non-saline)"),EXACT(metadata!D181,"surface (saline)"),EXACT(metadata!D181,"aerosol (saline)"),EXACT(metadata!D181,"sediment (saline)")))</f>
        <v>0</v>
      </c>
      <c r="T181" t="b">
        <f>AND(IF(metadata!E181="",FALSE,TRUE),EXACT(metadata!E181,"built environment"))</f>
        <v>0</v>
      </c>
      <c r="U181" t="b">
        <f>OR(AND(IF(metadata!F181="",FALSE,TRUE),EXACT(metadata!F181,"not applicable")),AND(IF(metadata!F181="",FALSE,TRUE),EXACT(metadata!F181,"anaerobic digester content")))</f>
        <v>0</v>
      </c>
    </row>
    <row r="182" spans="1:21" x14ac:dyDescent="0.2">
      <c r="A182" s="4" t="str">
        <f ca="1">IF(B182=" "," ",HYPERLINK(CONCATENATE("#metadata!",ADDRESS(INDEX($L$2:$L$1001,MATCH(ROWS($J$2:J182),$J$2:$J$1001,0),0),1)),INDEX($O$2:$O$1001,MATCH(ROWS($J$2:J182),$J$2:$J$1001,0),0)))</f>
        <v xml:space="preserve"> </v>
      </c>
      <c r="B182" s="3" t="str">
        <f ca="1">IF(OR(INDEX($K$2:$K$1001,MATCH(ROWS($J$2:J182),$J$2:$J$1001,0),1)&gt;=100000,INDEX($Q$1005:$U$1005,1,MATCH(COLUMNS($Q$1006:Q1006),$Q$1006:$U$1006,0))&gt;=100000), " ",IF(INDEX($Q$2:$U$1001,MATCH(ROWS($J$2:J182),$J$2:$J$1001,0),MATCH(COLUMNS($Q$1006:Q1006),$Q$1006:$U$1006,0)), HYPERLINK("#",""), HYPERLINK(CONCATENATE("#metadata!", ADDRESS(INDEX($L$2:$L$1001,MATCH(ROWS($J$2:J182),$J$2:$J$1001,0),0), INDEX($Q$1004:$U$1004,1,MATCH(COLUMNS($Q$1006:Q1006),$Q$1006:$U$1006,0)))),"Fix")))</f>
        <v xml:space="preserve"> </v>
      </c>
      <c r="C182" s="3" t="str">
        <f ca="1">IF(OR(INDEX($K$2:$K$1001,MATCH(ROWS($J$2:J182),$J$2:$J$1001,0),1)&gt;=100000,INDEX($Q$1005:$U$1005,1,MATCH(COLUMNS($Q$1006:R1006),$Q$1006:$U$1006,0))&gt;=100000), " ",IF(INDEX($Q$2:$U$1001,MATCH(ROWS($J$2:J182),$J$2:$J$1001,0),MATCH(COLUMNS($Q$1006:R1006),$Q$1006:$U$1006,0)), HYPERLINK("#",""), HYPERLINK(CONCATENATE("#metadata!", ADDRESS(INDEX($L$2:$L$1001,MATCH(ROWS($J$2:J182),$J$2:$J$1001,0),0), INDEX($Q$1004:$U$1004,1,MATCH(COLUMNS($Q$1006:R1006),$Q$1006:$U$1006,0)))),"Fix")))</f>
        <v xml:space="preserve"> </v>
      </c>
      <c r="D182" s="3" t="str">
        <f ca="1">IF(OR(INDEX($K$2:$K$1001,MATCH(ROWS($J$2:J182),$J$2:$J$1001,0),1)&gt;=100000,INDEX($Q$1005:$U$1005,1,MATCH(COLUMNS($Q$1006:S1006),$Q$1006:$U$1006,0))&gt;=100000), " ",IF(INDEX($Q$2:$U$1001,MATCH(ROWS($J$2:J182),$J$2:$J$1001,0),MATCH(COLUMNS($Q$1006:S1006),$Q$1006:$U$1006,0)), HYPERLINK("#",""), HYPERLINK(CONCATENATE("#metadata!", ADDRESS(INDEX($L$2:$L$1001,MATCH(ROWS($J$2:J182),$J$2:$J$1001,0),0), INDEX($Q$1004:$U$1004,1,MATCH(COLUMNS($Q$1006:S1006),$Q$1006:$U$1006,0)))),"Fix")))</f>
        <v xml:space="preserve"> </v>
      </c>
      <c r="E182" s="3" t="str">
        <f ca="1">IF(OR(INDEX($K$2:$K$1001,MATCH(ROWS($J$2:J182),$J$2:$J$1001,0),1)&gt;=100000,INDEX($Q$1005:$U$1005,1,MATCH(COLUMNS($Q$1006:T1006),$Q$1006:$U$1006,0))&gt;=100000), " ",IF(INDEX($Q$2:$U$1001,MATCH(ROWS($J$2:J182),$J$2:$J$1001,0),MATCH(COLUMNS($Q$1006:T1006),$Q$1006:$U$1006,0)), HYPERLINK("#",""), HYPERLINK(CONCATENATE("#metadata!", ADDRESS(INDEX($L$2:$L$1001,MATCH(ROWS($J$2:J182),$J$2:$J$1001,0),0), INDEX($Q$1004:$U$1004,1,MATCH(COLUMNS($Q$1006:T1006),$Q$1006:$U$1006,0)))),"Fix")))</f>
        <v xml:space="preserve"> </v>
      </c>
      <c r="F182" s="3" t="str">
        <f ca="1">IF(OR(INDEX($K$2:$K$1001,MATCH(ROWS($J$2:J182),$J$2:$J$1001,0),1)&gt;=100000,INDEX($Q$1005:$U$1005,1,MATCH(COLUMNS($Q$1006:U1006),$Q$1006:$U$1006,0))&gt;=100000), " ",IF(INDEX($Q$2:$U$1001,MATCH(ROWS($J$2:J182),$J$2:$J$1001,0),MATCH(COLUMNS($Q$1006:U1006),$Q$1006:$U$1006,0)), HYPERLINK("#",""), HYPERLINK(CONCATENATE("#metadata!", ADDRESS(INDEX($L$2:$L$1001,MATCH(ROWS($J$2:J182),$J$2:$J$1001,0),0), INDEX($Q$1004:$U$1004,1,MATCH(COLUMNS($Q$1006:U1006),$Q$1006:$U$1006,0)))),"Fix")))</f>
        <v xml:space="preserve"> </v>
      </c>
      <c r="J182">
        <v>181</v>
      </c>
      <c r="K182">
        <v>100182</v>
      </c>
      <c r="L182">
        <v>182</v>
      </c>
      <c r="M182" t="b">
        <f t="shared" si="2"/>
        <v>1</v>
      </c>
      <c r="N182" t="b">
        <f>COUNTBLANK(metadata!B182:F182)=COLUMNS(metadata!B182:F182)</f>
        <v>1</v>
      </c>
      <c r="O182" t="str">
        <v/>
      </c>
      <c r="Q182" t="b">
        <f ca="1">AND(IF(metadata!B182="",FALSE,TRUE),COUNTIF(metadata!B:B, metadata!B182) = 1,NOT(ISERROR(SUMPRODUCT(SEARCH(MID(metadata!B182,ROW(INDIRECT("1:"&amp;LEN(metadata!B182))), 1),"0123456789abcdefghijklmnopqrstuvwxyzABCDEFGHIJKLMNOPQRSTUVWXYZ.")))))</f>
        <v>0</v>
      </c>
      <c r="R182" t="b">
        <f>AND(IF(metadata!C182="",FALSE,TRUE),OR(EXACT(metadata!C182,"saline"),EXACT(metadata!C182,"non-saline")))</f>
        <v>0</v>
      </c>
      <c r="S182" t="b">
        <f>AND(IF(metadata!D182="",FALSE,TRUE),OR(EXACT(metadata!D182,"surface (non-saline)"),EXACT(metadata!D182,"aerosol (non-saline)"),EXACT(metadata!D182,"sediment (non-saline)"),EXACT(metadata!D182,"surface (saline)"),EXACT(metadata!D182,"aerosol (saline)"),EXACT(metadata!D182,"sediment (saline)")))</f>
        <v>0</v>
      </c>
      <c r="T182" t="b">
        <f>AND(IF(metadata!E182="",FALSE,TRUE),EXACT(metadata!E182,"built environment"))</f>
        <v>0</v>
      </c>
      <c r="U182" t="b">
        <f>OR(AND(IF(metadata!F182="",FALSE,TRUE),EXACT(metadata!F182,"not applicable")),AND(IF(metadata!F182="",FALSE,TRUE),EXACT(metadata!F182,"anaerobic digester content")))</f>
        <v>0</v>
      </c>
    </row>
    <row r="183" spans="1:21" x14ac:dyDescent="0.2">
      <c r="A183" s="4" t="str">
        <f ca="1">IF(B183=" "," ",HYPERLINK(CONCATENATE("#metadata!",ADDRESS(INDEX($L$2:$L$1001,MATCH(ROWS($J$2:J183),$J$2:$J$1001,0),0),1)),INDEX($O$2:$O$1001,MATCH(ROWS($J$2:J183),$J$2:$J$1001,0),0)))</f>
        <v xml:space="preserve"> </v>
      </c>
      <c r="B183" s="3" t="str">
        <f ca="1">IF(OR(INDEX($K$2:$K$1001,MATCH(ROWS($J$2:J183),$J$2:$J$1001,0),1)&gt;=100000,INDEX($Q$1005:$U$1005,1,MATCH(COLUMNS($Q$1006:Q1006),$Q$1006:$U$1006,0))&gt;=100000), " ",IF(INDEX($Q$2:$U$1001,MATCH(ROWS($J$2:J183),$J$2:$J$1001,0),MATCH(COLUMNS($Q$1006:Q1006),$Q$1006:$U$1006,0)), HYPERLINK("#",""), HYPERLINK(CONCATENATE("#metadata!", ADDRESS(INDEX($L$2:$L$1001,MATCH(ROWS($J$2:J183),$J$2:$J$1001,0),0), INDEX($Q$1004:$U$1004,1,MATCH(COLUMNS($Q$1006:Q1006),$Q$1006:$U$1006,0)))),"Fix")))</f>
        <v xml:space="preserve"> </v>
      </c>
      <c r="C183" s="3" t="str">
        <f ca="1">IF(OR(INDEX($K$2:$K$1001,MATCH(ROWS($J$2:J183),$J$2:$J$1001,0),1)&gt;=100000,INDEX($Q$1005:$U$1005,1,MATCH(COLUMNS($Q$1006:R1006),$Q$1006:$U$1006,0))&gt;=100000), " ",IF(INDEX($Q$2:$U$1001,MATCH(ROWS($J$2:J183),$J$2:$J$1001,0),MATCH(COLUMNS($Q$1006:R1006),$Q$1006:$U$1006,0)), HYPERLINK("#",""), HYPERLINK(CONCATENATE("#metadata!", ADDRESS(INDEX($L$2:$L$1001,MATCH(ROWS($J$2:J183),$J$2:$J$1001,0),0), INDEX($Q$1004:$U$1004,1,MATCH(COLUMNS($Q$1006:R1006),$Q$1006:$U$1006,0)))),"Fix")))</f>
        <v xml:space="preserve"> </v>
      </c>
      <c r="D183" s="3" t="str">
        <f ca="1">IF(OR(INDEX($K$2:$K$1001,MATCH(ROWS($J$2:J183),$J$2:$J$1001,0),1)&gt;=100000,INDEX($Q$1005:$U$1005,1,MATCH(COLUMNS($Q$1006:S1006),$Q$1006:$U$1006,0))&gt;=100000), " ",IF(INDEX($Q$2:$U$1001,MATCH(ROWS($J$2:J183),$J$2:$J$1001,0),MATCH(COLUMNS($Q$1006:S1006),$Q$1006:$U$1006,0)), HYPERLINK("#",""), HYPERLINK(CONCATENATE("#metadata!", ADDRESS(INDEX($L$2:$L$1001,MATCH(ROWS($J$2:J183),$J$2:$J$1001,0),0), INDEX($Q$1004:$U$1004,1,MATCH(COLUMNS($Q$1006:S1006),$Q$1006:$U$1006,0)))),"Fix")))</f>
        <v xml:space="preserve"> </v>
      </c>
      <c r="E183" s="3" t="str">
        <f ca="1">IF(OR(INDEX($K$2:$K$1001,MATCH(ROWS($J$2:J183),$J$2:$J$1001,0),1)&gt;=100000,INDEX($Q$1005:$U$1005,1,MATCH(COLUMNS($Q$1006:T1006),$Q$1006:$U$1006,0))&gt;=100000), " ",IF(INDEX($Q$2:$U$1001,MATCH(ROWS($J$2:J183),$J$2:$J$1001,0),MATCH(COLUMNS($Q$1006:T1006),$Q$1006:$U$1006,0)), HYPERLINK("#",""), HYPERLINK(CONCATENATE("#metadata!", ADDRESS(INDEX($L$2:$L$1001,MATCH(ROWS($J$2:J183),$J$2:$J$1001,0),0), INDEX($Q$1004:$U$1004,1,MATCH(COLUMNS($Q$1006:T1006),$Q$1006:$U$1006,0)))),"Fix")))</f>
        <v xml:space="preserve"> </v>
      </c>
      <c r="F183" s="3" t="str">
        <f ca="1">IF(OR(INDEX($K$2:$K$1001,MATCH(ROWS($J$2:J183),$J$2:$J$1001,0),1)&gt;=100000,INDEX($Q$1005:$U$1005,1,MATCH(COLUMNS($Q$1006:U1006),$Q$1006:$U$1006,0))&gt;=100000), " ",IF(INDEX($Q$2:$U$1001,MATCH(ROWS($J$2:J183),$J$2:$J$1001,0),MATCH(COLUMNS($Q$1006:U1006),$Q$1006:$U$1006,0)), HYPERLINK("#",""), HYPERLINK(CONCATENATE("#metadata!", ADDRESS(INDEX($L$2:$L$1001,MATCH(ROWS($J$2:J183),$J$2:$J$1001,0),0), INDEX($Q$1004:$U$1004,1,MATCH(COLUMNS($Q$1006:U1006),$Q$1006:$U$1006,0)))),"Fix")))</f>
        <v xml:space="preserve"> </v>
      </c>
      <c r="J183">
        <v>182</v>
      </c>
      <c r="K183">
        <v>100183</v>
      </c>
      <c r="L183">
        <v>183</v>
      </c>
      <c r="M183" t="b">
        <f t="shared" si="2"/>
        <v>1</v>
      </c>
      <c r="N183" t="b">
        <f>COUNTBLANK(metadata!B183:F183)=COLUMNS(metadata!B183:F183)</f>
        <v>1</v>
      </c>
      <c r="O183" t="str">
        <v/>
      </c>
      <c r="Q183" t="b">
        <f ca="1">AND(IF(metadata!B183="",FALSE,TRUE),COUNTIF(metadata!B:B, metadata!B183) = 1,NOT(ISERROR(SUMPRODUCT(SEARCH(MID(metadata!B183,ROW(INDIRECT("1:"&amp;LEN(metadata!B183))), 1),"0123456789abcdefghijklmnopqrstuvwxyzABCDEFGHIJKLMNOPQRSTUVWXYZ.")))))</f>
        <v>0</v>
      </c>
      <c r="R183" t="b">
        <f>AND(IF(metadata!C183="",FALSE,TRUE),OR(EXACT(metadata!C183,"saline"),EXACT(metadata!C183,"non-saline")))</f>
        <v>0</v>
      </c>
      <c r="S183" t="b">
        <f>AND(IF(metadata!D183="",FALSE,TRUE),OR(EXACT(metadata!D183,"surface (non-saline)"),EXACT(metadata!D183,"aerosol (non-saline)"),EXACT(metadata!D183,"sediment (non-saline)"),EXACT(metadata!D183,"surface (saline)"),EXACT(metadata!D183,"aerosol (saline)"),EXACT(metadata!D183,"sediment (saline)")))</f>
        <v>0</v>
      </c>
      <c r="T183" t="b">
        <f>AND(IF(metadata!E183="",FALSE,TRUE),EXACT(metadata!E183,"built environment"))</f>
        <v>0</v>
      </c>
      <c r="U183" t="b">
        <f>OR(AND(IF(metadata!F183="",FALSE,TRUE),EXACT(metadata!F183,"not applicable")),AND(IF(metadata!F183="",FALSE,TRUE),EXACT(metadata!F183,"anaerobic digester content")))</f>
        <v>0</v>
      </c>
    </row>
    <row r="184" spans="1:21" x14ac:dyDescent="0.2">
      <c r="A184" s="4" t="str">
        <f ca="1">IF(B184=" "," ",HYPERLINK(CONCATENATE("#metadata!",ADDRESS(INDEX($L$2:$L$1001,MATCH(ROWS($J$2:J184),$J$2:$J$1001,0),0),1)),INDEX($O$2:$O$1001,MATCH(ROWS($J$2:J184),$J$2:$J$1001,0),0)))</f>
        <v xml:space="preserve"> </v>
      </c>
      <c r="B184" s="3" t="str">
        <f ca="1">IF(OR(INDEX($K$2:$K$1001,MATCH(ROWS($J$2:J184),$J$2:$J$1001,0),1)&gt;=100000,INDEX($Q$1005:$U$1005,1,MATCH(COLUMNS($Q$1006:Q1006),$Q$1006:$U$1006,0))&gt;=100000), " ",IF(INDEX($Q$2:$U$1001,MATCH(ROWS($J$2:J184),$J$2:$J$1001,0),MATCH(COLUMNS($Q$1006:Q1006),$Q$1006:$U$1006,0)), HYPERLINK("#",""), HYPERLINK(CONCATENATE("#metadata!", ADDRESS(INDEX($L$2:$L$1001,MATCH(ROWS($J$2:J184),$J$2:$J$1001,0),0), INDEX($Q$1004:$U$1004,1,MATCH(COLUMNS($Q$1006:Q1006),$Q$1006:$U$1006,0)))),"Fix")))</f>
        <v xml:space="preserve"> </v>
      </c>
      <c r="C184" s="3" t="str">
        <f ca="1">IF(OR(INDEX($K$2:$K$1001,MATCH(ROWS($J$2:J184),$J$2:$J$1001,0),1)&gt;=100000,INDEX($Q$1005:$U$1005,1,MATCH(COLUMNS($Q$1006:R1006),$Q$1006:$U$1006,0))&gt;=100000), " ",IF(INDEX($Q$2:$U$1001,MATCH(ROWS($J$2:J184),$J$2:$J$1001,0),MATCH(COLUMNS($Q$1006:R1006),$Q$1006:$U$1006,0)), HYPERLINK("#",""), HYPERLINK(CONCATENATE("#metadata!", ADDRESS(INDEX($L$2:$L$1001,MATCH(ROWS($J$2:J184),$J$2:$J$1001,0),0), INDEX($Q$1004:$U$1004,1,MATCH(COLUMNS($Q$1006:R1006),$Q$1006:$U$1006,0)))),"Fix")))</f>
        <v xml:space="preserve"> </v>
      </c>
      <c r="D184" s="3" t="str">
        <f ca="1">IF(OR(INDEX($K$2:$K$1001,MATCH(ROWS($J$2:J184),$J$2:$J$1001,0),1)&gt;=100000,INDEX($Q$1005:$U$1005,1,MATCH(COLUMNS($Q$1006:S1006),$Q$1006:$U$1006,0))&gt;=100000), " ",IF(INDEX($Q$2:$U$1001,MATCH(ROWS($J$2:J184),$J$2:$J$1001,0),MATCH(COLUMNS($Q$1006:S1006),$Q$1006:$U$1006,0)), HYPERLINK("#",""), HYPERLINK(CONCATENATE("#metadata!", ADDRESS(INDEX($L$2:$L$1001,MATCH(ROWS($J$2:J184),$J$2:$J$1001,0),0), INDEX($Q$1004:$U$1004,1,MATCH(COLUMNS($Q$1006:S1006),$Q$1006:$U$1006,0)))),"Fix")))</f>
        <v xml:space="preserve"> </v>
      </c>
      <c r="E184" s="3" t="str">
        <f ca="1">IF(OR(INDEX($K$2:$K$1001,MATCH(ROWS($J$2:J184),$J$2:$J$1001,0),1)&gt;=100000,INDEX($Q$1005:$U$1005,1,MATCH(COLUMNS($Q$1006:T1006),$Q$1006:$U$1006,0))&gt;=100000), " ",IF(INDEX($Q$2:$U$1001,MATCH(ROWS($J$2:J184),$J$2:$J$1001,0),MATCH(COLUMNS($Q$1006:T1006),$Q$1006:$U$1006,0)), HYPERLINK("#",""), HYPERLINK(CONCATENATE("#metadata!", ADDRESS(INDEX($L$2:$L$1001,MATCH(ROWS($J$2:J184),$J$2:$J$1001,0),0), INDEX($Q$1004:$U$1004,1,MATCH(COLUMNS($Q$1006:T1006),$Q$1006:$U$1006,0)))),"Fix")))</f>
        <v xml:space="preserve"> </v>
      </c>
      <c r="F184" s="3" t="str">
        <f ca="1">IF(OR(INDEX($K$2:$K$1001,MATCH(ROWS($J$2:J184),$J$2:$J$1001,0),1)&gt;=100000,INDEX($Q$1005:$U$1005,1,MATCH(COLUMNS($Q$1006:U1006),$Q$1006:$U$1006,0))&gt;=100000), " ",IF(INDEX($Q$2:$U$1001,MATCH(ROWS($J$2:J184),$J$2:$J$1001,0),MATCH(COLUMNS($Q$1006:U1006),$Q$1006:$U$1006,0)), HYPERLINK("#",""), HYPERLINK(CONCATENATE("#metadata!", ADDRESS(INDEX($L$2:$L$1001,MATCH(ROWS($J$2:J184),$J$2:$J$1001,0),0), INDEX($Q$1004:$U$1004,1,MATCH(COLUMNS($Q$1006:U1006),$Q$1006:$U$1006,0)))),"Fix")))</f>
        <v xml:space="preserve"> </v>
      </c>
      <c r="J184">
        <v>183</v>
      </c>
      <c r="K184">
        <v>100184</v>
      </c>
      <c r="L184">
        <v>184</v>
      </c>
      <c r="M184" t="b">
        <f t="shared" si="2"/>
        <v>1</v>
      </c>
      <c r="N184" t="b">
        <f>COUNTBLANK(metadata!B184:F184)=COLUMNS(metadata!B184:F184)</f>
        <v>1</v>
      </c>
      <c r="O184" t="str">
        <v/>
      </c>
      <c r="Q184" t="b">
        <f ca="1">AND(IF(metadata!B184="",FALSE,TRUE),COUNTIF(metadata!B:B, metadata!B184) = 1,NOT(ISERROR(SUMPRODUCT(SEARCH(MID(metadata!B184,ROW(INDIRECT("1:"&amp;LEN(metadata!B184))), 1),"0123456789abcdefghijklmnopqrstuvwxyzABCDEFGHIJKLMNOPQRSTUVWXYZ.")))))</f>
        <v>0</v>
      </c>
      <c r="R184" t="b">
        <f>AND(IF(metadata!C184="",FALSE,TRUE),OR(EXACT(metadata!C184,"saline"),EXACT(metadata!C184,"non-saline")))</f>
        <v>0</v>
      </c>
      <c r="S184" t="b">
        <f>AND(IF(metadata!D184="",FALSE,TRUE),OR(EXACT(metadata!D184,"surface (non-saline)"),EXACT(metadata!D184,"aerosol (non-saline)"),EXACT(metadata!D184,"sediment (non-saline)"),EXACT(metadata!D184,"surface (saline)"),EXACT(metadata!D184,"aerosol (saline)"),EXACT(metadata!D184,"sediment (saline)")))</f>
        <v>0</v>
      </c>
      <c r="T184" t="b">
        <f>AND(IF(metadata!E184="",FALSE,TRUE),EXACT(metadata!E184,"built environment"))</f>
        <v>0</v>
      </c>
      <c r="U184" t="b">
        <f>OR(AND(IF(metadata!F184="",FALSE,TRUE),EXACT(metadata!F184,"not applicable")),AND(IF(metadata!F184="",FALSE,TRUE),EXACT(metadata!F184,"anaerobic digester content")))</f>
        <v>0</v>
      </c>
    </row>
    <row r="185" spans="1:21" x14ac:dyDescent="0.2">
      <c r="A185" s="4" t="str">
        <f ca="1">IF(B185=" "," ",HYPERLINK(CONCATENATE("#metadata!",ADDRESS(INDEX($L$2:$L$1001,MATCH(ROWS($J$2:J185),$J$2:$J$1001,0),0),1)),INDEX($O$2:$O$1001,MATCH(ROWS($J$2:J185),$J$2:$J$1001,0),0)))</f>
        <v xml:space="preserve"> </v>
      </c>
      <c r="B185" s="3" t="str">
        <f ca="1">IF(OR(INDEX($K$2:$K$1001,MATCH(ROWS($J$2:J185),$J$2:$J$1001,0),1)&gt;=100000,INDEX($Q$1005:$U$1005,1,MATCH(COLUMNS($Q$1006:Q1006),$Q$1006:$U$1006,0))&gt;=100000), " ",IF(INDEX($Q$2:$U$1001,MATCH(ROWS($J$2:J185),$J$2:$J$1001,0),MATCH(COLUMNS($Q$1006:Q1006),$Q$1006:$U$1006,0)), HYPERLINK("#",""), HYPERLINK(CONCATENATE("#metadata!", ADDRESS(INDEX($L$2:$L$1001,MATCH(ROWS($J$2:J185),$J$2:$J$1001,0),0), INDEX($Q$1004:$U$1004,1,MATCH(COLUMNS($Q$1006:Q1006),$Q$1006:$U$1006,0)))),"Fix")))</f>
        <v xml:space="preserve"> </v>
      </c>
      <c r="C185" s="3" t="str">
        <f ca="1">IF(OR(INDEX($K$2:$K$1001,MATCH(ROWS($J$2:J185),$J$2:$J$1001,0),1)&gt;=100000,INDEX($Q$1005:$U$1005,1,MATCH(COLUMNS($Q$1006:R1006),$Q$1006:$U$1006,0))&gt;=100000), " ",IF(INDEX($Q$2:$U$1001,MATCH(ROWS($J$2:J185),$J$2:$J$1001,0),MATCH(COLUMNS($Q$1006:R1006),$Q$1006:$U$1006,0)), HYPERLINK("#",""), HYPERLINK(CONCATENATE("#metadata!", ADDRESS(INDEX($L$2:$L$1001,MATCH(ROWS($J$2:J185),$J$2:$J$1001,0),0), INDEX($Q$1004:$U$1004,1,MATCH(COLUMNS($Q$1006:R1006),$Q$1006:$U$1006,0)))),"Fix")))</f>
        <v xml:space="preserve"> </v>
      </c>
      <c r="D185" s="3" t="str">
        <f ca="1">IF(OR(INDEX($K$2:$K$1001,MATCH(ROWS($J$2:J185),$J$2:$J$1001,0),1)&gt;=100000,INDEX($Q$1005:$U$1005,1,MATCH(COLUMNS($Q$1006:S1006),$Q$1006:$U$1006,0))&gt;=100000), " ",IF(INDEX($Q$2:$U$1001,MATCH(ROWS($J$2:J185),$J$2:$J$1001,0),MATCH(COLUMNS($Q$1006:S1006),$Q$1006:$U$1006,0)), HYPERLINK("#",""), HYPERLINK(CONCATENATE("#metadata!", ADDRESS(INDEX($L$2:$L$1001,MATCH(ROWS($J$2:J185),$J$2:$J$1001,0),0), INDEX($Q$1004:$U$1004,1,MATCH(COLUMNS($Q$1006:S1006),$Q$1006:$U$1006,0)))),"Fix")))</f>
        <v xml:space="preserve"> </v>
      </c>
      <c r="E185" s="3" t="str">
        <f ca="1">IF(OR(INDEX($K$2:$K$1001,MATCH(ROWS($J$2:J185),$J$2:$J$1001,0),1)&gt;=100000,INDEX($Q$1005:$U$1005,1,MATCH(COLUMNS($Q$1006:T1006),$Q$1006:$U$1006,0))&gt;=100000), " ",IF(INDEX($Q$2:$U$1001,MATCH(ROWS($J$2:J185),$J$2:$J$1001,0),MATCH(COLUMNS($Q$1006:T1006),$Q$1006:$U$1006,0)), HYPERLINK("#",""), HYPERLINK(CONCATENATE("#metadata!", ADDRESS(INDEX($L$2:$L$1001,MATCH(ROWS($J$2:J185),$J$2:$J$1001,0),0), INDEX($Q$1004:$U$1004,1,MATCH(COLUMNS($Q$1006:T1006),$Q$1006:$U$1006,0)))),"Fix")))</f>
        <v xml:space="preserve"> </v>
      </c>
      <c r="F185" s="3" t="str">
        <f ca="1">IF(OR(INDEX($K$2:$K$1001,MATCH(ROWS($J$2:J185),$J$2:$J$1001,0),1)&gt;=100000,INDEX($Q$1005:$U$1005,1,MATCH(COLUMNS($Q$1006:U1006),$Q$1006:$U$1006,0))&gt;=100000), " ",IF(INDEX($Q$2:$U$1001,MATCH(ROWS($J$2:J185),$J$2:$J$1001,0),MATCH(COLUMNS($Q$1006:U1006),$Q$1006:$U$1006,0)), HYPERLINK("#",""), HYPERLINK(CONCATENATE("#metadata!", ADDRESS(INDEX($L$2:$L$1001,MATCH(ROWS($J$2:J185),$J$2:$J$1001,0),0), INDEX($Q$1004:$U$1004,1,MATCH(COLUMNS($Q$1006:U1006),$Q$1006:$U$1006,0)))),"Fix")))</f>
        <v xml:space="preserve"> </v>
      </c>
      <c r="J185">
        <v>184</v>
      </c>
      <c r="K185">
        <v>100185</v>
      </c>
      <c r="L185">
        <v>185</v>
      </c>
      <c r="M185" t="b">
        <f t="shared" si="2"/>
        <v>1</v>
      </c>
      <c r="N185" t="b">
        <f>COUNTBLANK(metadata!B185:F185)=COLUMNS(metadata!B185:F185)</f>
        <v>1</v>
      </c>
      <c r="O185" t="str">
        <v/>
      </c>
      <c r="Q185" t="b">
        <f ca="1">AND(IF(metadata!B185="",FALSE,TRUE),COUNTIF(metadata!B:B, metadata!B185) = 1,NOT(ISERROR(SUMPRODUCT(SEARCH(MID(metadata!B185,ROW(INDIRECT("1:"&amp;LEN(metadata!B185))), 1),"0123456789abcdefghijklmnopqrstuvwxyzABCDEFGHIJKLMNOPQRSTUVWXYZ.")))))</f>
        <v>0</v>
      </c>
      <c r="R185" t="b">
        <f>AND(IF(metadata!C185="",FALSE,TRUE),OR(EXACT(metadata!C185,"saline"),EXACT(metadata!C185,"non-saline")))</f>
        <v>0</v>
      </c>
      <c r="S185" t="b">
        <f>AND(IF(metadata!D185="",FALSE,TRUE),OR(EXACT(metadata!D185,"surface (non-saline)"),EXACT(metadata!D185,"aerosol (non-saline)"),EXACT(metadata!D185,"sediment (non-saline)"),EXACT(metadata!D185,"surface (saline)"),EXACT(metadata!D185,"aerosol (saline)"),EXACT(metadata!D185,"sediment (saline)")))</f>
        <v>0</v>
      </c>
      <c r="T185" t="b">
        <f>AND(IF(metadata!E185="",FALSE,TRUE),EXACT(metadata!E185,"built environment"))</f>
        <v>0</v>
      </c>
      <c r="U185" t="b">
        <f>OR(AND(IF(metadata!F185="",FALSE,TRUE),EXACT(metadata!F185,"not applicable")),AND(IF(metadata!F185="",FALSE,TRUE),EXACT(metadata!F185,"anaerobic digester content")))</f>
        <v>0</v>
      </c>
    </row>
    <row r="186" spans="1:21" x14ac:dyDescent="0.2">
      <c r="A186" s="4" t="str">
        <f ca="1">IF(B186=" "," ",HYPERLINK(CONCATENATE("#metadata!",ADDRESS(INDEX($L$2:$L$1001,MATCH(ROWS($J$2:J186),$J$2:$J$1001,0),0),1)),INDEX($O$2:$O$1001,MATCH(ROWS($J$2:J186),$J$2:$J$1001,0),0)))</f>
        <v xml:space="preserve"> </v>
      </c>
      <c r="B186" s="3" t="str">
        <f ca="1">IF(OR(INDEX($K$2:$K$1001,MATCH(ROWS($J$2:J186),$J$2:$J$1001,0),1)&gt;=100000,INDEX($Q$1005:$U$1005,1,MATCH(COLUMNS($Q$1006:Q1006),$Q$1006:$U$1006,0))&gt;=100000), " ",IF(INDEX($Q$2:$U$1001,MATCH(ROWS($J$2:J186),$J$2:$J$1001,0),MATCH(COLUMNS($Q$1006:Q1006),$Q$1006:$U$1006,0)), HYPERLINK("#",""), HYPERLINK(CONCATENATE("#metadata!", ADDRESS(INDEX($L$2:$L$1001,MATCH(ROWS($J$2:J186),$J$2:$J$1001,0),0), INDEX($Q$1004:$U$1004,1,MATCH(COLUMNS($Q$1006:Q1006),$Q$1006:$U$1006,0)))),"Fix")))</f>
        <v xml:space="preserve"> </v>
      </c>
      <c r="C186" s="3" t="str">
        <f ca="1">IF(OR(INDEX($K$2:$K$1001,MATCH(ROWS($J$2:J186),$J$2:$J$1001,0),1)&gt;=100000,INDEX($Q$1005:$U$1005,1,MATCH(COLUMNS($Q$1006:R1006),$Q$1006:$U$1006,0))&gt;=100000), " ",IF(INDEX($Q$2:$U$1001,MATCH(ROWS($J$2:J186),$J$2:$J$1001,0),MATCH(COLUMNS($Q$1006:R1006),$Q$1006:$U$1006,0)), HYPERLINK("#",""), HYPERLINK(CONCATENATE("#metadata!", ADDRESS(INDEX($L$2:$L$1001,MATCH(ROWS($J$2:J186),$J$2:$J$1001,0),0), INDEX($Q$1004:$U$1004,1,MATCH(COLUMNS($Q$1006:R1006),$Q$1006:$U$1006,0)))),"Fix")))</f>
        <v xml:space="preserve"> </v>
      </c>
      <c r="D186" s="3" t="str">
        <f ca="1">IF(OR(INDEX($K$2:$K$1001,MATCH(ROWS($J$2:J186),$J$2:$J$1001,0),1)&gt;=100000,INDEX($Q$1005:$U$1005,1,MATCH(COLUMNS($Q$1006:S1006),$Q$1006:$U$1006,0))&gt;=100000), " ",IF(INDEX($Q$2:$U$1001,MATCH(ROWS($J$2:J186),$J$2:$J$1001,0),MATCH(COLUMNS($Q$1006:S1006),$Q$1006:$U$1006,0)), HYPERLINK("#",""), HYPERLINK(CONCATENATE("#metadata!", ADDRESS(INDEX($L$2:$L$1001,MATCH(ROWS($J$2:J186),$J$2:$J$1001,0),0), INDEX($Q$1004:$U$1004,1,MATCH(COLUMNS($Q$1006:S1006),$Q$1006:$U$1006,0)))),"Fix")))</f>
        <v xml:space="preserve"> </v>
      </c>
      <c r="E186" s="3" t="str">
        <f ca="1">IF(OR(INDEX($K$2:$K$1001,MATCH(ROWS($J$2:J186),$J$2:$J$1001,0),1)&gt;=100000,INDEX($Q$1005:$U$1005,1,MATCH(COLUMNS($Q$1006:T1006),$Q$1006:$U$1006,0))&gt;=100000), " ",IF(INDEX($Q$2:$U$1001,MATCH(ROWS($J$2:J186),$J$2:$J$1001,0),MATCH(COLUMNS($Q$1006:T1006),$Q$1006:$U$1006,0)), HYPERLINK("#",""), HYPERLINK(CONCATENATE("#metadata!", ADDRESS(INDEX($L$2:$L$1001,MATCH(ROWS($J$2:J186),$J$2:$J$1001,0),0), INDEX($Q$1004:$U$1004,1,MATCH(COLUMNS($Q$1006:T1006),$Q$1006:$U$1006,0)))),"Fix")))</f>
        <v xml:space="preserve"> </v>
      </c>
      <c r="F186" s="3" t="str">
        <f ca="1">IF(OR(INDEX($K$2:$K$1001,MATCH(ROWS($J$2:J186),$J$2:$J$1001,0),1)&gt;=100000,INDEX($Q$1005:$U$1005,1,MATCH(COLUMNS($Q$1006:U1006),$Q$1006:$U$1006,0))&gt;=100000), " ",IF(INDEX($Q$2:$U$1001,MATCH(ROWS($J$2:J186),$J$2:$J$1001,0),MATCH(COLUMNS($Q$1006:U1006),$Q$1006:$U$1006,0)), HYPERLINK("#",""), HYPERLINK(CONCATENATE("#metadata!", ADDRESS(INDEX($L$2:$L$1001,MATCH(ROWS($J$2:J186),$J$2:$J$1001,0),0), INDEX($Q$1004:$U$1004,1,MATCH(COLUMNS($Q$1006:U1006),$Q$1006:$U$1006,0)))),"Fix")))</f>
        <v xml:space="preserve"> </v>
      </c>
      <c r="J186">
        <v>185</v>
      </c>
      <c r="K186">
        <v>100186</v>
      </c>
      <c r="L186">
        <v>186</v>
      </c>
      <c r="M186" t="b">
        <f t="shared" si="2"/>
        <v>1</v>
      </c>
      <c r="N186" t="b">
        <f>COUNTBLANK(metadata!B186:F186)=COLUMNS(metadata!B186:F186)</f>
        <v>1</v>
      </c>
      <c r="O186" t="str">
        <v/>
      </c>
      <c r="Q186" t="b">
        <f ca="1">AND(IF(metadata!B186="",FALSE,TRUE),COUNTIF(metadata!B:B, metadata!B186) = 1,NOT(ISERROR(SUMPRODUCT(SEARCH(MID(metadata!B186,ROW(INDIRECT("1:"&amp;LEN(metadata!B186))), 1),"0123456789abcdefghijklmnopqrstuvwxyzABCDEFGHIJKLMNOPQRSTUVWXYZ.")))))</f>
        <v>0</v>
      </c>
      <c r="R186" t="b">
        <f>AND(IF(metadata!C186="",FALSE,TRUE),OR(EXACT(metadata!C186,"saline"),EXACT(metadata!C186,"non-saline")))</f>
        <v>0</v>
      </c>
      <c r="S186" t="b">
        <f>AND(IF(metadata!D186="",FALSE,TRUE),OR(EXACT(metadata!D186,"surface (non-saline)"),EXACT(metadata!D186,"aerosol (non-saline)"),EXACT(metadata!D186,"sediment (non-saline)"),EXACT(metadata!D186,"surface (saline)"),EXACT(metadata!D186,"aerosol (saline)"),EXACT(metadata!D186,"sediment (saline)")))</f>
        <v>0</v>
      </c>
      <c r="T186" t="b">
        <f>AND(IF(metadata!E186="",FALSE,TRUE),EXACT(metadata!E186,"built environment"))</f>
        <v>0</v>
      </c>
      <c r="U186" t="b">
        <f>OR(AND(IF(metadata!F186="",FALSE,TRUE),EXACT(metadata!F186,"not applicable")),AND(IF(metadata!F186="",FALSE,TRUE),EXACT(metadata!F186,"anaerobic digester content")))</f>
        <v>0</v>
      </c>
    </row>
    <row r="187" spans="1:21" x14ac:dyDescent="0.2">
      <c r="A187" s="4" t="str">
        <f ca="1">IF(B187=" "," ",HYPERLINK(CONCATENATE("#metadata!",ADDRESS(INDEX($L$2:$L$1001,MATCH(ROWS($J$2:J187),$J$2:$J$1001,0),0),1)),INDEX($O$2:$O$1001,MATCH(ROWS($J$2:J187),$J$2:$J$1001,0),0)))</f>
        <v xml:space="preserve"> </v>
      </c>
      <c r="B187" s="3" t="str">
        <f ca="1">IF(OR(INDEX($K$2:$K$1001,MATCH(ROWS($J$2:J187),$J$2:$J$1001,0),1)&gt;=100000,INDEX($Q$1005:$U$1005,1,MATCH(COLUMNS($Q$1006:Q1006),$Q$1006:$U$1006,0))&gt;=100000), " ",IF(INDEX($Q$2:$U$1001,MATCH(ROWS($J$2:J187),$J$2:$J$1001,0),MATCH(COLUMNS($Q$1006:Q1006),$Q$1006:$U$1006,0)), HYPERLINK("#",""), HYPERLINK(CONCATENATE("#metadata!", ADDRESS(INDEX($L$2:$L$1001,MATCH(ROWS($J$2:J187),$J$2:$J$1001,0),0), INDEX($Q$1004:$U$1004,1,MATCH(COLUMNS($Q$1006:Q1006),$Q$1006:$U$1006,0)))),"Fix")))</f>
        <v xml:space="preserve"> </v>
      </c>
      <c r="C187" s="3" t="str">
        <f ca="1">IF(OR(INDEX($K$2:$K$1001,MATCH(ROWS($J$2:J187),$J$2:$J$1001,0),1)&gt;=100000,INDEX($Q$1005:$U$1005,1,MATCH(COLUMNS($Q$1006:R1006),$Q$1006:$U$1006,0))&gt;=100000), " ",IF(INDEX($Q$2:$U$1001,MATCH(ROWS($J$2:J187),$J$2:$J$1001,0),MATCH(COLUMNS($Q$1006:R1006),$Q$1006:$U$1006,0)), HYPERLINK("#",""), HYPERLINK(CONCATENATE("#metadata!", ADDRESS(INDEX($L$2:$L$1001,MATCH(ROWS($J$2:J187),$J$2:$J$1001,0),0), INDEX($Q$1004:$U$1004,1,MATCH(COLUMNS($Q$1006:R1006),$Q$1006:$U$1006,0)))),"Fix")))</f>
        <v xml:space="preserve"> </v>
      </c>
      <c r="D187" s="3" t="str">
        <f ca="1">IF(OR(INDEX($K$2:$K$1001,MATCH(ROWS($J$2:J187),$J$2:$J$1001,0),1)&gt;=100000,INDEX($Q$1005:$U$1005,1,MATCH(COLUMNS($Q$1006:S1006),$Q$1006:$U$1006,0))&gt;=100000), " ",IF(INDEX($Q$2:$U$1001,MATCH(ROWS($J$2:J187),$J$2:$J$1001,0),MATCH(COLUMNS($Q$1006:S1006),$Q$1006:$U$1006,0)), HYPERLINK("#",""), HYPERLINK(CONCATENATE("#metadata!", ADDRESS(INDEX($L$2:$L$1001,MATCH(ROWS($J$2:J187),$J$2:$J$1001,0),0), INDEX($Q$1004:$U$1004,1,MATCH(COLUMNS($Q$1006:S1006),$Q$1006:$U$1006,0)))),"Fix")))</f>
        <v xml:space="preserve"> </v>
      </c>
      <c r="E187" s="3" t="str">
        <f ca="1">IF(OR(INDEX($K$2:$K$1001,MATCH(ROWS($J$2:J187),$J$2:$J$1001,0),1)&gt;=100000,INDEX($Q$1005:$U$1005,1,MATCH(COLUMNS($Q$1006:T1006),$Q$1006:$U$1006,0))&gt;=100000), " ",IF(INDEX($Q$2:$U$1001,MATCH(ROWS($J$2:J187),$J$2:$J$1001,0),MATCH(COLUMNS($Q$1006:T1006),$Q$1006:$U$1006,0)), HYPERLINK("#",""), HYPERLINK(CONCATENATE("#metadata!", ADDRESS(INDEX($L$2:$L$1001,MATCH(ROWS($J$2:J187),$J$2:$J$1001,0),0), INDEX($Q$1004:$U$1004,1,MATCH(COLUMNS($Q$1006:T1006),$Q$1006:$U$1006,0)))),"Fix")))</f>
        <v xml:space="preserve"> </v>
      </c>
      <c r="F187" s="3" t="str">
        <f ca="1">IF(OR(INDEX($K$2:$K$1001,MATCH(ROWS($J$2:J187),$J$2:$J$1001,0),1)&gt;=100000,INDEX($Q$1005:$U$1005,1,MATCH(COLUMNS($Q$1006:U1006),$Q$1006:$U$1006,0))&gt;=100000), " ",IF(INDEX($Q$2:$U$1001,MATCH(ROWS($J$2:J187),$J$2:$J$1001,0),MATCH(COLUMNS($Q$1006:U1006),$Q$1006:$U$1006,0)), HYPERLINK("#",""), HYPERLINK(CONCATENATE("#metadata!", ADDRESS(INDEX($L$2:$L$1001,MATCH(ROWS($J$2:J187),$J$2:$J$1001,0),0), INDEX($Q$1004:$U$1004,1,MATCH(COLUMNS($Q$1006:U1006),$Q$1006:$U$1006,0)))),"Fix")))</f>
        <v xml:space="preserve"> </v>
      </c>
      <c r="J187">
        <v>186</v>
      </c>
      <c r="K187">
        <v>100187</v>
      </c>
      <c r="L187">
        <v>187</v>
      </c>
      <c r="M187" t="b">
        <f t="shared" si="2"/>
        <v>1</v>
      </c>
      <c r="N187" t="b">
        <f>COUNTBLANK(metadata!B187:F187)=COLUMNS(metadata!B187:F187)</f>
        <v>1</v>
      </c>
      <c r="O187" t="str">
        <v/>
      </c>
      <c r="Q187" t="b">
        <f ca="1">AND(IF(metadata!B187="",FALSE,TRUE),COUNTIF(metadata!B:B, metadata!B187) = 1,NOT(ISERROR(SUMPRODUCT(SEARCH(MID(metadata!B187,ROW(INDIRECT("1:"&amp;LEN(metadata!B187))), 1),"0123456789abcdefghijklmnopqrstuvwxyzABCDEFGHIJKLMNOPQRSTUVWXYZ.")))))</f>
        <v>0</v>
      </c>
      <c r="R187" t="b">
        <f>AND(IF(metadata!C187="",FALSE,TRUE),OR(EXACT(metadata!C187,"saline"),EXACT(metadata!C187,"non-saline")))</f>
        <v>0</v>
      </c>
      <c r="S187" t="b">
        <f>AND(IF(metadata!D187="",FALSE,TRUE),OR(EXACT(metadata!D187,"surface (non-saline)"),EXACT(metadata!D187,"aerosol (non-saline)"),EXACT(metadata!D187,"sediment (non-saline)"),EXACT(metadata!D187,"surface (saline)"),EXACT(metadata!D187,"aerosol (saline)"),EXACT(metadata!D187,"sediment (saline)")))</f>
        <v>0</v>
      </c>
      <c r="T187" t="b">
        <f>AND(IF(metadata!E187="",FALSE,TRUE),EXACT(metadata!E187,"built environment"))</f>
        <v>0</v>
      </c>
      <c r="U187" t="b">
        <f>OR(AND(IF(metadata!F187="",FALSE,TRUE),EXACT(metadata!F187,"not applicable")),AND(IF(metadata!F187="",FALSE,TRUE),EXACT(metadata!F187,"anaerobic digester content")))</f>
        <v>0</v>
      </c>
    </row>
    <row r="188" spans="1:21" x14ac:dyDescent="0.2">
      <c r="A188" s="4" t="str">
        <f ca="1">IF(B188=" "," ",HYPERLINK(CONCATENATE("#metadata!",ADDRESS(INDEX($L$2:$L$1001,MATCH(ROWS($J$2:J188),$J$2:$J$1001,0),0),1)),INDEX($O$2:$O$1001,MATCH(ROWS($J$2:J188),$J$2:$J$1001,0),0)))</f>
        <v xml:space="preserve"> </v>
      </c>
      <c r="B188" s="3" t="str">
        <f ca="1">IF(OR(INDEX($K$2:$K$1001,MATCH(ROWS($J$2:J188),$J$2:$J$1001,0),1)&gt;=100000,INDEX($Q$1005:$U$1005,1,MATCH(COLUMNS($Q$1006:Q1006),$Q$1006:$U$1006,0))&gt;=100000), " ",IF(INDEX($Q$2:$U$1001,MATCH(ROWS($J$2:J188),$J$2:$J$1001,0),MATCH(COLUMNS($Q$1006:Q1006),$Q$1006:$U$1006,0)), HYPERLINK("#",""), HYPERLINK(CONCATENATE("#metadata!", ADDRESS(INDEX($L$2:$L$1001,MATCH(ROWS($J$2:J188),$J$2:$J$1001,0),0), INDEX($Q$1004:$U$1004,1,MATCH(COLUMNS($Q$1006:Q1006),$Q$1006:$U$1006,0)))),"Fix")))</f>
        <v xml:space="preserve"> </v>
      </c>
      <c r="C188" s="3" t="str">
        <f ca="1">IF(OR(INDEX($K$2:$K$1001,MATCH(ROWS($J$2:J188),$J$2:$J$1001,0),1)&gt;=100000,INDEX($Q$1005:$U$1005,1,MATCH(COLUMNS($Q$1006:R1006),$Q$1006:$U$1006,0))&gt;=100000), " ",IF(INDEX($Q$2:$U$1001,MATCH(ROWS($J$2:J188),$J$2:$J$1001,0),MATCH(COLUMNS($Q$1006:R1006),$Q$1006:$U$1006,0)), HYPERLINK("#",""), HYPERLINK(CONCATENATE("#metadata!", ADDRESS(INDEX($L$2:$L$1001,MATCH(ROWS($J$2:J188),$J$2:$J$1001,0),0), INDEX($Q$1004:$U$1004,1,MATCH(COLUMNS($Q$1006:R1006),$Q$1006:$U$1006,0)))),"Fix")))</f>
        <v xml:space="preserve"> </v>
      </c>
      <c r="D188" s="3" t="str">
        <f ca="1">IF(OR(INDEX($K$2:$K$1001,MATCH(ROWS($J$2:J188),$J$2:$J$1001,0),1)&gt;=100000,INDEX($Q$1005:$U$1005,1,MATCH(COLUMNS($Q$1006:S1006),$Q$1006:$U$1006,0))&gt;=100000), " ",IF(INDEX($Q$2:$U$1001,MATCH(ROWS($J$2:J188),$J$2:$J$1001,0),MATCH(COLUMNS($Q$1006:S1006),$Q$1006:$U$1006,0)), HYPERLINK("#",""), HYPERLINK(CONCATENATE("#metadata!", ADDRESS(INDEX($L$2:$L$1001,MATCH(ROWS($J$2:J188),$J$2:$J$1001,0),0), INDEX($Q$1004:$U$1004,1,MATCH(COLUMNS($Q$1006:S1006),$Q$1006:$U$1006,0)))),"Fix")))</f>
        <v xml:space="preserve"> </v>
      </c>
      <c r="E188" s="3" t="str">
        <f ca="1">IF(OR(INDEX($K$2:$K$1001,MATCH(ROWS($J$2:J188),$J$2:$J$1001,0),1)&gt;=100000,INDEX($Q$1005:$U$1005,1,MATCH(COLUMNS($Q$1006:T1006),$Q$1006:$U$1006,0))&gt;=100000), " ",IF(INDEX($Q$2:$U$1001,MATCH(ROWS($J$2:J188),$J$2:$J$1001,0),MATCH(COLUMNS($Q$1006:T1006),$Q$1006:$U$1006,0)), HYPERLINK("#",""), HYPERLINK(CONCATENATE("#metadata!", ADDRESS(INDEX($L$2:$L$1001,MATCH(ROWS($J$2:J188),$J$2:$J$1001,0),0), INDEX($Q$1004:$U$1004,1,MATCH(COLUMNS($Q$1006:T1006),$Q$1006:$U$1006,0)))),"Fix")))</f>
        <v xml:space="preserve"> </v>
      </c>
      <c r="F188" s="3" t="str">
        <f ca="1">IF(OR(INDEX($K$2:$K$1001,MATCH(ROWS($J$2:J188),$J$2:$J$1001,0),1)&gt;=100000,INDEX($Q$1005:$U$1005,1,MATCH(COLUMNS($Q$1006:U1006),$Q$1006:$U$1006,0))&gt;=100000), " ",IF(INDEX($Q$2:$U$1001,MATCH(ROWS($J$2:J188),$J$2:$J$1001,0),MATCH(COLUMNS($Q$1006:U1006),$Q$1006:$U$1006,0)), HYPERLINK("#",""), HYPERLINK(CONCATENATE("#metadata!", ADDRESS(INDEX($L$2:$L$1001,MATCH(ROWS($J$2:J188),$J$2:$J$1001,0),0), INDEX($Q$1004:$U$1004,1,MATCH(COLUMNS($Q$1006:U1006),$Q$1006:$U$1006,0)))),"Fix")))</f>
        <v xml:space="preserve"> </v>
      </c>
      <c r="J188">
        <v>187</v>
      </c>
      <c r="K188">
        <v>100188</v>
      </c>
      <c r="L188">
        <v>188</v>
      </c>
      <c r="M188" t="b">
        <f t="shared" si="2"/>
        <v>1</v>
      </c>
      <c r="N188" t="b">
        <f>COUNTBLANK(metadata!B188:F188)=COLUMNS(metadata!B188:F188)</f>
        <v>1</v>
      </c>
      <c r="O188" t="str">
        <v/>
      </c>
      <c r="Q188" t="b">
        <f ca="1">AND(IF(metadata!B188="",FALSE,TRUE),COUNTIF(metadata!B:B, metadata!B188) = 1,NOT(ISERROR(SUMPRODUCT(SEARCH(MID(metadata!B188,ROW(INDIRECT("1:"&amp;LEN(metadata!B188))), 1),"0123456789abcdefghijklmnopqrstuvwxyzABCDEFGHIJKLMNOPQRSTUVWXYZ.")))))</f>
        <v>0</v>
      </c>
      <c r="R188" t="b">
        <f>AND(IF(metadata!C188="",FALSE,TRUE),OR(EXACT(metadata!C188,"saline"),EXACT(metadata!C188,"non-saline")))</f>
        <v>0</v>
      </c>
      <c r="S188" t="b">
        <f>AND(IF(metadata!D188="",FALSE,TRUE),OR(EXACT(metadata!D188,"surface (non-saline)"),EXACT(metadata!D188,"aerosol (non-saline)"),EXACT(metadata!D188,"sediment (non-saline)"),EXACT(metadata!D188,"surface (saline)"),EXACT(metadata!D188,"aerosol (saline)"),EXACT(metadata!D188,"sediment (saline)")))</f>
        <v>0</v>
      </c>
      <c r="T188" t="b">
        <f>AND(IF(metadata!E188="",FALSE,TRUE),EXACT(metadata!E188,"built environment"))</f>
        <v>0</v>
      </c>
      <c r="U188" t="b">
        <f>OR(AND(IF(metadata!F188="",FALSE,TRUE),EXACT(metadata!F188,"not applicable")),AND(IF(metadata!F188="",FALSE,TRUE),EXACT(metadata!F188,"anaerobic digester content")))</f>
        <v>0</v>
      </c>
    </row>
    <row r="189" spans="1:21" x14ac:dyDescent="0.2">
      <c r="A189" s="4" t="str">
        <f ca="1">IF(B189=" "," ",HYPERLINK(CONCATENATE("#metadata!",ADDRESS(INDEX($L$2:$L$1001,MATCH(ROWS($J$2:J189),$J$2:$J$1001,0),0),1)),INDEX($O$2:$O$1001,MATCH(ROWS($J$2:J189),$J$2:$J$1001,0),0)))</f>
        <v xml:space="preserve"> </v>
      </c>
      <c r="B189" s="3" t="str">
        <f ca="1">IF(OR(INDEX($K$2:$K$1001,MATCH(ROWS($J$2:J189),$J$2:$J$1001,0),1)&gt;=100000,INDEX($Q$1005:$U$1005,1,MATCH(COLUMNS($Q$1006:Q1006),$Q$1006:$U$1006,0))&gt;=100000), " ",IF(INDEX($Q$2:$U$1001,MATCH(ROWS($J$2:J189),$J$2:$J$1001,0),MATCH(COLUMNS($Q$1006:Q1006),$Q$1006:$U$1006,0)), HYPERLINK("#",""), HYPERLINK(CONCATENATE("#metadata!", ADDRESS(INDEX($L$2:$L$1001,MATCH(ROWS($J$2:J189),$J$2:$J$1001,0),0), INDEX($Q$1004:$U$1004,1,MATCH(COLUMNS($Q$1006:Q1006),$Q$1006:$U$1006,0)))),"Fix")))</f>
        <v xml:space="preserve"> </v>
      </c>
      <c r="C189" s="3" t="str">
        <f ca="1">IF(OR(INDEX($K$2:$K$1001,MATCH(ROWS($J$2:J189),$J$2:$J$1001,0),1)&gt;=100000,INDEX($Q$1005:$U$1005,1,MATCH(COLUMNS($Q$1006:R1006),$Q$1006:$U$1006,0))&gt;=100000), " ",IF(INDEX($Q$2:$U$1001,MATCH(ROWS($J$2:J189),$J$2:$J$1001,0),MATCH(COLUMNS($Q$1006:R1006),$Q$1006:$U$1006,0)), HYPERLINK("#",""), HYPERLINK(CONCATENATE("#metadata!", ADDRESS(INDEX($L$2:$L$1001,MATCH(ROWS($J$2:J189),$J$2:$J$1001,0),0), INDEX($Q$1004:$U$1004,1,MATCH(COLUMNS($Q$1006:R1006),$Q$1006:$U$1006,0)))),"Fix")))</f>
        <v xml:space="preserve"> </v>
      </c>
      <c r="D189" s="3" t="str">
        <f ca="1">IF(OR(INDEX($K$2:$K$1001,MATCH(ROWS($J$2:J189),$J$2:$J$1001,0),1)&gt;=100000,INDEX($Q$1005:$U$1005,1,MATCH(COLUMNS($Q$1006:S1006),$Q$1006:$U$1006,0))&gt;=100000), " ",IF(INDEX($Q$2:$U$1001,MATCH(ROWS($J$2:J189),$J$2:$J$1001,0),MATCH(COLUMNS($Q$1006:S1006),$Q$1006:$U$1006,0)), HYPERLINK("#",""), HYPERLINK(CONCATENATE("#metadata!", ADDRESS(INDEX($L$2:$L$1001,MATCH(ROWS($J$2:J189),$J$2:$J$1001,0),0), INDEX($Q$1004:$U$1004,1,MATCH(COLUMNS($Q$1006:S1006),$Q$1006:$U$1006,0)))),"Fix")))</f>
        <v xml:space="preserve"> </v>
      </c>
      <c r="E189" s="3" t="str">
        <f ca="1">IF(OR(INDEX($K$2:$K$1001,MATCH(ROWS($J$2:J189),$J$2:$J$1001,0),1)&gt;=100000,INDEX($Q$1005:$U$1005,1,MATCH(COLUMNS($Q$1006:T1006),$Q$1006:$U$1006,0))&gt;=100000), " ",IF(INDEX($Q$2:$U$1001,MATCH(ROWS($J$2:J189),$J$2:$J$1001,0),MATCH(COLUMNS($Q$1006:T1006),$Q$1006:$U$1006,0)), HYPERLINK("#",""), HYPERLINK(CONCATENATE("#metadata!", ADDRESS(INDEX($L$2:$L$1001,MATCH(ROWS($J$2:J189),$J$2:$J$1001,0),0), INDEX($Q$1004:$U$1004,1,MATCH(COLUMNS($Q$1006:T1006),$Q$1006:$U$1006,0)))),"Fix")))</f>
        <v xml:space="preserve"> </v>
      </c>
      <c r="F189" s="3" t="str">
        <f ca="1">IF(OR(INDEX($K$2:$K$1001,MATCH(ROWS($J$2:J189),$J$2:$J$1001,0),1)&gt;=100000,INDEX($Q$1005:$U$1005,1,MATCH(COLUMNS($Q$1006:U1006),$Q$1006:$U$1006,0))&gt;=100000), " ",IF(INDEX($Q$2:$U$1001,MATCH(ROWS($J$2:J189),$J$2:$J$1001,0),MATCH(COLUMNS($Q$1006:U1006),$Q$1006:$U$1006,0)), HYPERLINK("#",""), HYPERLINK(CONCATENATE("#metadata!", ADDRESS(INDEX($L$2:$L$1001,MATCH(ROWS($J$2:J189),$J$2:$J$1001,0),0), INDEX($Q$1004:$U$1004,1,MATCH(COLUMNS($Q$1006:U1006),$Q$1006:$U$1006,0)))),"Fix")))</f>
        <v xml:space="preserve"> </v>
      </c>
      <c r="J189">
        <v>188</v>
      </c>
      <c r="K189">
        <v>100189</v>
      </c>
      <c r="L189">
        <v>189</v>
      </c>
      <c r="M189" t="b">
        <f t="shared" si="2"/>
        <v>1</v>
      </c>
      <c r="N189" t="b">
        <f>COUNTBLANK(metadata!B189:F189)=COLUMNS(metadata!B189:F189)</f>
        <v>1</v>
      </c>
      <c r="O189" t="str">
        <v/>
      </c>
      <c r="Q189" t="b">
        <f ca="1">AND(IF(metadata!B189="",FALSE,TRUE),COUNTIF(metadata!B:B, metadata!B189) = 1,NOT(ISERROR(SUMPRODUCT(SEARCH(MID(metadata!B189,ROW(INDIRECT("1:"&amp;LEN(metadata!B189))), 1),"0123456789abcdefghijklmnopqrstuvwxyzABCDEFGHIJKLMNOPQRSTUVWXYZ.")))))</f>
        <v>0</v>
      </c>
      <c r="R189" t="b">
        <f>AND(IF(metadata!C189="",FALSE,TRUE),OR(EXACT(metadata!C189,"saline"),EXACT(metadata!C189,"non-saline")))</f>
        <v>0</v>
      </c>
      <c r="S189" t="b">
        <f>AND(IF(metadata!D189="",FALSE,TRUE),OR(EXACT(metadata!D189,"surface (non-saline)"),EXACT(metadata!D189,"aerosol (non-saline)"),EXACT(metadata!D189,"sediment (non-saline)"),EXACT(metadata!D189,"surface (saline)"),EXACT(metadata!D189,"aerosol (saline)"),EXACT(metadata!D189,"sediment (saline)")))</f>
        <v>0</v>
      </c>
      <c r="T189" t="b">
        <f>AND(IF(metadata!E189="",FALSE,TRUE),EXACT(metadata!E189,"built environment"))</f>
        <v>0</v>
      </c>
      <c r="U189" t="b">
        <f>OR(AND(IF(metadata!F189="",FALSE,TRUE),EXACT(metadata!F189,"not applicable")),AND(IF(metadata!F189="",FALSE,TRUE),EXACT(metadata!F189,"anaerobic digester content")))</f>
        <v>0</v>
      </c>
    </row>
    <row r="190" spans="1:21" x14ac:dyDescent="0.2">
      <c r="A190" s="4" t="str">
        <f ca="1">IF(B190=" "," ",HYPERLINK(CONCATENATE("#metadata!",ADDRESS(INDEX($L$2:$L$1001,MATCH(ROWS($J$2:J190),$J$2:$J$1001,0),0),1)),INDEX($O$2:$O$1001,MATCH(ROWS($J$2:J190),$J$2:$J$1001,0),0)))</f>
        <v xml:space="preserve"> </v>
      </c>
      <c r="B190" s="3" t="str">
        <f ca="1">IF(OR(INDEX($K$2:$K$1001,MATCH(ROWS($J$2:J190),$J$2:$J$1001,0),1)&gt;=100000,INDEX($Q$1005:$U$1005,1,MATCH(COLUMNS($Q$1006:Q1006),$Q$1006:$U$1006,0))&gt;=100000), " ",IF(INDEX($Q$2:$U$1001,MATCH(ROWS($J$2:J190),$J$2:$J$1001,0),MATCH(COLUMNS($Q$1006:Q1006),$Q$1006:$U$1006,0)), HYPERLINK("#",""), HYPERLINK(CONCATENATE("#metadata!", ADDRESS(INDEX($L$2:$L$1001,MATCH(ROWS($J$2:J190),$J$2:$J$1001,0),0), INDEX($Q$1004:$U$1004,1,MATCH(COLUMNS($Q$1006:Q1006),$Q$1006:$U$1006,0)))),"Fix")))</f>
        <v xml:space="preserve"> </v>
      </c>
      <c r="C190" s="3" t="str">
        <f ca="1">IF(OR(INDEX($K$2:$K$1001,MATCH(ROWS($J$2:J190),$J$2:$J$1001,0),1)&gt;=100000,INDEX($Q$1005:$U$1005,1,MATCH(COLUMNS($Q$1006:R1006),$Q$1006:$U$1006,0))&gt;=100000), " ",IF(INDEX($Q$2:$U$1001,MATCH(ROWS($J$2:J190),$J$2:$J$1001,0),MATCH(COLUMNS($Q$1006:R1006),$Q$1006:$U$1006,0)), HYPERLINK("#",""), HYPERLINK(CONCATENATE("#metadata!", ADDRESS(INDEX($L$2:$L$1001,MATCH(ROWS($J$2:J190),$J$2:$J$1001,0),0), INDEX($Q$1004:$U$1004,1,MATCH(COLUMNS($Q$1006:R1006),$Q$1006:$U$1006,0)))),"Fix")))</f>
        <v xml:space="preserve"> </v>
      </c>
      <c r="D190" s="3" t="str">
        <f ca="1">IF(OR(INDEX($K$2:$K$1001,MATCH(ROWS($J$2:J190),$J$2:$J$1001,0),1)&gt;=100000,INDEX($Q$1005:$U$1005,1,MATCH(COLUMNS($Q$1006:S1006),$Q$1006:$U$1006,0))&gt;=100000), " ",IF(INDEX($Q$2:$U$1001,MATCH(ROWS($J$2:J190),$J$2:$J$1001,0),MATCH(COLUMNS($Q$1006:S1006),$Q$1006:$U$1006,0)), HYPERLINK("#",""), HYPERLINK(CONCATENATE("#metadata!", ADDRESS(INDEX($L$2:$L$1001,MATCH(ROWS($J$2:J190),$J$2:$J$1001,0),0), INDEX($Q$1004:$U$1004,1,MATCH(COLUMNS($Q$1006:S1006),$Q$1006:$U$1006,0)))),"Fix")))</f>
        <v xml:space="preserve"> </v>
      </c>
      <c r="E190" s="3" t="str">
        <f ca="1">IF(OR(INDEX($K$2:$K$1001,MATCH(ROWS($J$2:J190),$J$2:$J$1001,0),1)&gt;=100000,INDEX($Q$1005:$U$1005,1,MATCH(COLUMNS($Q$1006:T1006),$Q$1006:$U$1006,0))&gt;=100000), " ",IF(INDEX($Q$2:$U$1001,MATCH(ROWS($J$2:J190),$J$2:$J$1001,0),MATCH(COLUMNS($Q$1006:T1006),$Q$1006:$U$1006,0)), HYPERLINK("#",""), HYPERLINK(CONCATENATE("#metadata!", ADDRESS(INDEX($L$2:$L$1001,MATCH(ROWS($J$2:J190),$J$2:$J$1001,0),0), INDEX($Q$1004:$U$1004,1,MATCH(COLUMNS($Q$1006:T1006),$Q$1006:$U$1006,0)))),"Fix")))</f>
        <v xml:space="preserve"> </v>
      </c>
      <c r="F190" s="3" t="str">
        <f ca="1">IF(OR(INDEX($K$2:$K$1001,MATCH(ROWS($J$2:J190),$J$2:$J$1001,0),1)&gt;=100000,INDEX($Q$1005:$U$1005,1,MATCH(COLUMNS($Q$1006:U1006),$Q$1006:$U$1006,0))&gt;=100000), " ",IF(INDEX($Q$2:$U$1001,MATCH(ROWS($J$2:J190),$J$2:$J$1001,0),MATCH(COLUMNS($Q$1006:U1006),$Q$1006:$U$1006,0)), HYPERLINK("#",""), HYPERLINK(CONCATENATE("#metadata!", ADDRESS(INDEX($L$2:$L$1001,MATCH(ROWS($J$2:J190),$J$2:$J$1001,0),0), INDEX($Q$1004:$U$1004,1,MATCH(COLUMNS($Q$1006:U1006),$Q$1006:$U$1006,0)))),"Fix")))</f>
        <v xml:space="preserve"> </v>
      </c>
      <c r="J190">
        <v>189</v>
      </c>
      <c r="K190">
        <v>100190</v>
      </c>
      <c r="L190">
        <v>190</v>
      </c>
      <c r="M190" t="b">
        <f t="shared" si="2"/>
        <v>1</v>
      </c>
      <c r="N190" t="b">
        <f>COUNTBLANK(metadata!B190:F190)=COLUMNS(metadata!B190:F190)</f>
        <v>1</v>
      </c>
      <c r="O190" t="str">
        <v/>
      </c>
      <c r="Q190" t="b">
        <f ca="1">AND(IF(metadata!B190="",FALSE,TRUE),COUNTIF(metadata!B:B, metadata!B190) = 1,NOT(ISERROR(SUMPRODUCT(SEARCH(MID(metadata!B190,ROW(INDIRECT("1:"&amp;LEN(metadata!B190))), 1),"0123456789abcdefghijklmnopqrstuvwxyzABCDEFGHIJKLMNOPQRSTUVWXYZ.")))))</f>
        <v>0</v>
      </c>
      <c r="R190" t="b">
        <f>AND(IF(metadata!C190="",FALSE,TRUE),OR(EXACT(metadata!C190,"saline"),EXACT(metadata!C190,"non-saline")))</f>
        <v>0</v>
      </c>
      <c r="S190" t="b">
        <f>AND(IF(metadata!D190="",FALSE,TRUE),OR(EXACT(metadata!D190,"surface (non-saline)"),EXACT(metadata!D190,"aerosol (non-saline)"),EXACT(metadata!D190,"sediment (non-saline)"),EXACT(metadata!D190,"surface (saline)"),EXACT(metadata!D190,"aerosol (saline)"),EXACT(metadata!D190,"sediment (saline)")))</f>
        <v>0</v>
      </c>
      <c r="T190" t="b">
        <f>AND(IF(metadata!E190="",FALSE,TRUE),EXACT(metadata!E190,"built environment"))</f>
        <v>0</v>
      </c>
      <c r="U190" t="b">
        <f>OR(AND(IF(metadata!F190="",FALSE,TRUE),EXACT(metadata!F190,"not applicable")),AND(IF(metadata!F190="",FALSE,TRUE),EXACT(metadata!F190,"anaerobic digester content")))</f>
        <v>0</v>
      </c>
    </row>
    <row r="191" spans="1:21" x14ac:dyDescent="0.2">
      <c r="A191" s="4" t="str">
        <f ca="1">IF(B191=" "," ",HYPERLINK(CONCATENATE("#metadata!",ADDRESS(INDEX($L$2:$L$1001,MATCH(ROWS($J$2:J191),$J$2:$J$1001,0),0),1)),INDEX($O$2:$O$1001,MATCH(ROWS($J$2:J191),$J$2:$J$1001,0),0)))</f>
        <v xml:space="preserve"> </v>
      </c>
      <c r="B191" s="3" t="str">
        <f ca="1">IF(OR(INDEX($K$2:$K$1001,MATCH(ROWS($J$2:J191),$J$2:$J$1001,0),1)&gt;=100000,INDEX($Q$1005:$U$1005,1,MATCH(COLUMNS($Q$1006:Q1006),$Q$1006:$U$1006,0))&gt;=100000), " ",IF(INDEX($Q$2:$U$1001,MATCH(ROWS($J$2:J191),$J$2:$J$1001,0),MATCH(COLUMNS($Q$1006:Q1006),$Q$1006:$U$1006,0)), HYPERLINK("#",""), HYPERLINK(CONCATENATE("#metadata!", ADDRESS(INDEX($L$2:$L$1001,MATCH(ROWS($J$2:J191),$J$2:$J$1001,0),0), INDEX($Q$1004:$U$1004,1,MATCH(COLUMNS($Q$1006:Q1006),$Q$1006:$U$1006,0)))),"Fix")))</f>
        <v xml:space="preserve"> </v>
      </c>
      <c r="C191" s="3" t="str">
        <f ca="1">IF(OR(INDEX($K$2:$K$1001,MATCH(ROWS($J$2:J191),$J$2:$J$1001,0),1)&gt;=100000,INDEX($Q$1005:$U$1005,1,MATCH(COLUMNS($Q$1006:R1006),$Q$1006:$U$1006,0))&gt;=100000), " ",IF(INDEX($Q$2:$U$1001,MATCH(ROWS($J$2:J191),$J$2:$J$1001,0),MATCH(COLUMNS($Q$1006:R1006),$Q$1006:$U$1006,0)), HYPERLINK("#",""), HYPERLINK(CONCATENATE("#metadata!", ADDRESS(INDEX($L$2:$L$1001,MATCH(ROWS($J$2:J191),$J$2:$J$1001,0),0), INDEX($Q$1004:$U$1004,1,MATCH(COLUMNS($Q$1006:R1006),$Q$1006:$U$1006,0)))),"Fix")))</f>
        <v xml:space="preserve"> </v>
      </c>
      <c r="D191" s="3" t="str">
        <f ca="1">IF(OR(INDEX($K$2:$K$1001,MATCH(ROWS($J$2:J191),$J$2:$J$1001,0),1)&gt;=100000,INDEX($Q$1005:$U$1005,1,MATCH(COLUMNS($Q$1006:S1006),$Q$1006:$U$1006,0))&gt;=100000), " ",IF(INDEX($Q$2:$U$1001,MATCH(ROWS($J$2:J191),$J$2:$J$1001,0),MATCH(COLUMNS($Q$1006:S1006),$Q$1006:$U$1006,0)), HYPERLINK("#",""), HYPERLINK(CONCATENATE("#metadata!", ADDRESS(INDEX($L$2:$L$1001,MATCH(ROWS($J$2:J191),$J$2:$J$1001,0),0), INDEX($Q$1004:$U$1004,1,MATCH(COLUMNS($Q$1006:S1006),$Q$1006:$U$1006,0)))),"Fix")))</f>
        <v xml:space="preserve"> </v>
      </c>
      <c r="E191" s="3" t="str">
        <f ca="1">IF(OR(INDEX($K$2:$K$1001,MATCH(ROWS($J$2:J191),$J$2:$J$1001,0),1)&gt;=100000,INDEX($Q$1005:$U$1005,1,MATCH(COLUMNS($Q$1006:T1006),$Q$1006:$U$1006,0))&gt;=100000), " ",IF(INDEX($Q$2:$U$1001,MATCH(ROWS($J$2:J191),$J$2:$J$1001,0),MATCH(COLUMNS($Q$1006:T1006),$Q$1006:$U$1006,0)), HYPERLINK("#",""), HYPERLINK(CONCATENATE("#metadata!", ADDRESS(INDEX($L$2:$L$1001,MATCH(ROWS($J$2:J191),$J$2:$J$1001,0),0), INDEX($Q$1004:$U$1004,1,MATCH(COLUMNS($Q$1006:T1006),$Q$1006:$U$1006,0)))),"Fix")))</f>
        <v xml:space="preserve"> </v>
      </c>
      <c r="F191" s="3" t="str">
        <f ca="1">IF(OR(INDEX($K$2:$K$1001,MATCH(ROWS($J$2:J191),$J$2:$J$1001,0),1)&gt;=100000,INDEX($Q$1005:$U$1005,1,MATCH(COLUMNS($Q$1006:U1006),$Q$1006:$U$1006,0))&gt;=100000), " ",IF(INDEX($Q$2:$U$1001,MATCH(ROWS($J$2:J191),$J$2:$J$1001,0),MATCH(COLUMNS($Q$1006:U1006),$Q$1006:$U$1006,0)), HYPERLINK("#",""), HYPERLINK(CONCATENATE("#metadata!", ADDRESS(INDEX($L$2:$L$1001,MATCH(ROWS($J$2:J191),$J$2:$J$1001,0),0), INDEX($Q$1004:$U$1004,1,MATCH(COLUMNS($Q$1006:U1006),$Q$1006:$U$1006,0)))),"Fix")))</f>
        <v xml:space="preserve"> </v>
      </c>
      <c r="J191">
        <v>190</v>
      </c>
      <c r="K191">
        <v>100191</v>
      </c>
      <c r="L191">
        <v>191</v>
      </c>
      <c r="M191" t="b">
        <f t="shared" si="2"/>
        <v>1</v>
      </c>
      <c r="N191" t="b">
        <f>COUNTBLANK(metadata!B191:F191)=COLUMNS(metadata!B191:F191)</f>
        <v>1</v>
      </c>
      <c r="O191" t="str">
        <v/>
      </c>
      <c r="Q191" t="b">
        <f ca="1">AND(IF(metadata!B191="",FALSE,TRUE),COUNTIF(metadata!B:B, metadata!B191) = 1,NOT(ISERROR(SUMPRODUCT(SEARCH(MID(metadata!B191,ROW(INDIRECT("1:"&amp;LEN(metadata!B191))), 1),"0123456789abcdefghijklmnopqrstuvwxyzABCDEFGHIJKLMNOPQRSTUVWXYZ.")))))</f>
        <v>0</v>
      </c>
      <c r="R191" t="b">
        <f>AND(IF(metadata!C191="",FALSE,TRUE),OR(EXACT(metadata!C191,"saline"),EXACT(metadata!C191,"non-saline")))</f>
        <v>0</v>
      </c>
      <c r="S191" t="b">
        <f>AND(IF(metadata!D191="",FALSE,TRUE),OR(EXACT(metadata!D191,"surface (non-saline)"),EXACT(metadata!D191,"aerosol (non-saline)"),EXACT(metadata!D191,"sediment (non-saline)"),EXACT(metadata!D191,"surface (saline)"),EXACT(metadata!D191,"aerosol (saline)"),EXACT(metadata!D191,"sediment (saline)")))</f>
        <v>0</v>
      </c>
      <c r="T191" t="b">
        <f>AND(IF(metadata!E191="",FALSE,TRUE),EXACT(metadata!E191,"built environment"))</f>
        <v>0</v>
      </c>
      <c r="U191" t="b">
        <f>OR(AND(IF(metadata!F191="",FALSE,TRUE),EXACT(metadata!F191,"not applicable")),AND(IF(metadata!F191="",FALSE,TRUE),EXACT(metadata!F191,"anaerobic digester content")))</f>
        <v>0</v>
      </c>
    </row>
    <row r="192" spans="1:21" x14ac:dyDescent="0.2">
      <c r="A192" s="4" t="str">
        <f ca="1">IF(B192=" "," ",HYPERLINK(CONCATENATE("#metadata!",ADDRESS(INDEX($L$2:$L$1001,MATCH(ROWS($J$2:J192),$J$2:$J$1001,0),0),1)),INDEX($O$2:$O$1001,MATCH(ROWS($J$2:J192),$J$2:$J$1001,0),0)))</f>
        <v xml:space="preserve"> </v>
      </c>
      <c r="B192" s="3" t="str">
        <f ca="1">IF(OR(INDEX($K$2:$K$1001,MATCH(ROWS($J$2:J192),$J$2:$J$1001,0),1)&gt;=100000,INDEX($Q$1005:$U$1005,1,MATCH(COLUMNS($Q$1006:Q1006),$Q$1006:$U$1006,0))&gt;=100000), " ",IF(INDEX($Q$2:$U$1001,MATCH(ROWS($J$2:J192),$J$2:$J$1001,0),MATCH(COLUMNS($Q$1006:Q1006),$Q$1006:$U$1006,0)), HYPERLINK("#",""), HYPERLINK(CONCATENATE("#metadata!", ADDRESS(INDEX($L$2:$L$1001,MATCH(ROWS($J$2:J192),$J$2:$J$1001,0),0), INDEX($Q$1004:$U$1004,1,MATCH(COLUMNS($Q$1006:Q1006),$Q$1006:$U$1006,0)))),"Fix")))</f>
        <v xml:space="preserve"> </v>
      </c>
      <c r="C192" s="3" t="str">
        <f ca="1">IF(OR(INDEX($K$2:$K$1001,MATCH(ROWS($J$2:J192),$J$2:$J$1001,0),1)&gt;=100000,INDEX($Q$1005:$U$1005,1,MATCH(COLUMNS($Q$1006:R1006),$Q$1006:$U$1006,0))&gt;=100000), " ",IF(INDEX($Q$2:$U$1001,MATCH(ROWS($J$2:J192),$J$2:$J$1001,0),MATCH(COLUMNS($Q$1006:R1006),$Q$1006:$U$1006,0)), HYPERLINK("#",""), HYPERLINK(CONCATENATE("#metadata!", ADDRESS(INDEX($L$2:$L$1001,MATCH(ROWS($J$2:J192),$J$2:$J$1001,0),0), INDEX($Q$1004:$U$1004,1,MATCH(COLUMNS($Q$1006:R1006),$Q$1006:$U$1006,0)))),"Fix")))</f>
        <v xml:space="preserve"> </v>
      </c>
      <c r="D192" s="3" t="str">
        <f ca="1">IF(OR(INDEX($K$2:$K$1001,MATCH(ROWS($J$2:J192),$J$2:$J$1001,0),1)&gt;=100000,INDEX($Q$1005:$U$1005,1,MATCH(COLUMNS($Q$1006:S1006),$Q$1006:$U$1006,0))&gt;=100000), " ",IF(INDEX($Q$2:$U$1001,MATCH(ROWS($J$2:J192),$J$2:$J$1001,0),MATCH(COLUMNS($Q$1006:S1006),$Q$1006:$U$1006,0)), HYPERLINK("#",""), HYPERLINK(CONCATENATE("#metadata!", ADDRESS(INDEX($L$2:$L$1001,MATCH(ROWS($J$2:J192),$J$2:$J$1001,0),0), INDEX($Q$1004:$U$1004,1,MATCH(COLUMNS($Q$1006:S1006),$Q$1006:$U$1006,0)))),"Fix")))</f>
        <v xml:space="preserve"> </v>
      </c>
      <c r="E192" s="3" t="str">
        <f ca="1">IF(OR(INDEX($K$2:$K$1001,MATCH(ROWS($J$2:J192),$J$2:$J$1001,0),1)&gt;=100000,INDEX($Q$1005:$U$1005,1,MATCH(COLUMNS($Q$1006:T1006),$Q$1006:$U$1006,0))&gt;=100000), " ",IF(INDEX($Q$2:$U$1001,MATCH(ROWS($J$2:J192),$J$2:$J$1001,0),MATCH(COLUMNS($Q$1006:T1006),$Q$1006:$U$1006,0)), HYPERLINK("#",""), HYPERLINK(CONCATENATE("#metadata!", ADDRESS(INDEX($L$2:$L$1001,MATCH(ROWS($J$2:J192),$J$2:$J$1001,0),0), INDEX($Q$1004:$U$1004,1,MATCH(COLUMNS($Q$1006:T1006),$Q$1006:$U$1006,0)))),"Fix")))</f>
        <v xml:space="preserve"> </v>
      </c>
      <c r="F192" s="3" t="str">
        <f ca="1">IF(OR(INDEX($K$2:$K$1001,MATCH(ROWS($J$2:J192),$J$2:$J$1001,0),1)&gt;=100000,INDEX($Q$1005:$U$1005,1,MATCH(COLUMNS($Q$1006:U1006),$Q$1006:$U$1006,0))&gt;=100000), " ",IF(INDEX($Q$2:$U$1001,MATCH(ROWS($J$2:J192),$J$2:$J$1001,0),MATCH(COLUMNS($Q$1006:U1006),$Q$1006:$U$1006,0)), HYPERLINK("#",""), HYPERLINK(CONCATENATE("#metadata!", ADDRESS(INDEX($L$2:$L$1001,MATCH(ROWS($J$2:J192),$J$2:$J$1001,0),0), INDEX($Q$1004:$U$1004,1,MATCH(COLUMNS($Q$1006:U1006),$Q$1006:$U$1006,0)))),"Fix")))</f>
        <v xml:space="preserve"> </v>
      </c>
      <c r="J192">
        <v>191</v>
      </c>
      <c r="K192">
        <v>100192</v>
      </c>
      <c r="L192">
        <v>192</v>
      </c>
      <c r="M192" t="b">
        <f t="shared" si="2"/>
        <v>1</v>
      </c>
      <c r="N192" t="b">
        <f>COUNTBLANK(metadata!B192:F192)=COLUMNS(metadata!B192:F192)</f>
        <v>1</v>
      </c>
      <c r="O192" t="str">
        <v/>
      </c>
      <c r="Q192" t="b">
        <f ca="1">AND(IF(metadata!B192="",FALSE,TRUE),COUNTIF(metadata!B:B, metadata!B192) = 1,NOT(ISERROR(SUMPRODUCT(SEARCH(MID(metadata!B192,ROW(INDIRECT("1:"&amp;LEN(metadata!B192))), 1),"0123456789abcdefghijklmnopqrstuvwxyzABCDEFGHIJKLMNOPQRSTUVWXYZ.")))))</f>
        <v>0</v>
      </c>
      <c r="R192" t="b">
        <f>AND(IF(metadata!C192="",FALSE,TRUE),OR(EXACT(metadata!C192,"saline"),EXACT(metadata!C192,"non-saline")))</f>
        <v>0</v>
      </c>
      <c r="S192" t="b">
        <f>AND(IF(metadata!D192="",FALSE,TRUE),OR(EXACT(metadata!D192,"surface (non-saline)"),EXACT(metadata!D192,"aerosol (non-saline)"),EXACT(metadata!D192,"sediment (non-saline)"),EXACT(metadata!D192,"surface (saline)"),EXACT(metadata!D192,"aerosol (saline)"),EXACT(metadata!D192,"sediment (saline)")))</f>
        <v>0</v>
      </c>
      <c r="T192" t="b">
        <f>AND(IF(metadata!E192="",FALSE,TRUE),EXACT(metadata!E192,"built environment"))</f>
        <v>0</v>
      </c>
      <c r="U192" t="b">
        <f>OR(AND(IF(metadata!F192="",FALSE,TRUE),EXACT(metadata!F192,"not applicable")),AND(IF(metadata!F192="",FALSE,TRUE),EXACT(metadata!F192,"anaerobic digester content")))</f>
        <v>0</v>
      </c>
    </row>
    <row r="193" spans="1:21" x14ac:dyDescent="0.2">
      <c r="A193" s="4" t="str">
        <f ca="1">IF(B193=" "," ",HYPERLINK(CONCATENATE("#metadata!",ADDRESS(INDEX($L$2:$L$1001,MATCH(ROWS($J$2:J193),$J$2:$J$1001,0),0),1)),INDEX($O$2:$O$1001,MATCH(ROWS($J$2:J193),$J$2:$J$1001,0),0)))</f>
        <v xml:space="preserve"> </v>
      </c>
      <c r="B193" s="3" t="str">
        <f ca="1">IF(OR(INDEX($K$2:$K$1001,MATCH(ROWS($J$2:J193),$J$2:$J$1001,0),1)&gt;=100000,INDEX($Q$1005:$U$1005,1,MATCH(COLUMNS($Q$1006:Q1006),$Q$1006:$U$1006,0))&gt;=100000), " ",IF(INDEX($Q$2:$U$1001,MATCH(ROWS($J$2:J193),$J$2:$J$1001,0),MATCH(COLUMNS($Q$1006:Q1006),$Q$1006:$U$1006,0)), HYPERLINK("#",""), HYPERLINK(CONCATENATE("#metadata!", ADDRESS(INDEX($L$2:$L$1001,MATCH(ROWS($J$2:J193),$J$2:$J$1001,0),0), INDEX($Q$1004:$U$1004,1,MATCH(COLUMNS($Q$1006:Q1006),$Q$1006:$U$1006,0)))),"Fix")))</f>
        <v xml:space="preserve"> </v>
      </c>
      <c r="C193" s="3" t="str">
        <f ca="1">IF(OR(INDEX($K$2:$K$1001,MATCH(ROWS($J$2:J193),$J$2:$J$1001,0),1)&gt;=100000,INDEX($Q$1005:$U$1005,1,MATCH(COLUMNS($Q$1006:R1006),$Q$1006:$U$1006,0))&gt;=100000), " ",IF(INDEX($Q$2:$U$1001,MATCH(ROWS($J$2:J193),$J$2:$J$1001,0),MATCH(COLUMNS($Q$1006:R1006),$Q$1006:$U$1006,0)), HYPERLINK("#",""), HYPERLINK(CONCATENATE("#metadata!", ADDRESS(INDEX($L$2:$L$1001,MATCH(ROWS($J$2:J193),$J$2:$J$1001,0),0), INDEX($Q$1004:$U$1004,1,MATCH(COLUMNS($Q$1006:R1006),$Q$1006:$U$1006,0)))),"Fix")))</f>
        <v xml:space="preserve"> </v>
      </c>
      <c r="D193" s="3" t="str">
        <f ca="1">IF(OR(INDEX($K$2:$K$1001,MATCH(ROWS($J$2:J193),$J$2:$J$1001,0),1)&gt;=100000,INDEX($Q$1005:$U$1005,1,MATCH(COLUMNS($Q$1006:S1006),$Q$1006:$U$1006,0))&gt;=100000), " ",IF(INDEX($Q$2:$U$1001,MATCH(ROWS($J$2:J193),$J$2:$J$1001,0),MATCH(COLUMNS($Q$1006:S1006),$Q$1006:$U$1006,0)), HYPERLINK("#",""), HYPERLINK(CONCATENATE("#metadata!", ADDRESS(INDEX($L$2:$L$1001,MATCH(ROWS($J$2:J193),$J$2:$J$1001,0),0), INDEX($Q$1004:$U$1004,1,MATCH(COLUMNS($Q$1006:S1006),$Q$1006:$U$1006,0)))),"Fix")))</f>
        <v xml:space="preserve"> </v>
      </c>
      <c r="E193" s="3" t="str">
        <f ca="1">IF(OR(INDEX($K$2:$K$1001,MATCH(ROWS($J$2:J193),$J$2:$J$1001,0),1)&gt;=100000,INDEX($Q$1005:$U$1005,1,MATCH(COLUMNS($Q$1006:T1006),$Q$1006:$U$1006,0))&gt;=100000), " ",IF(INDEX($Q$2:$U$1001,MATCH(ROWS($J$2:J193),$J$2:$J$1001,0),MATCH(COLUMNS($Q$1006:T1006),$Q$1006:$U$1006,0)), HYPERLINK("#",""), HYPERLINK(CONCATENATE("#metadata!", ADDRESS(INDEX($L$2:$L$1001,MATCH(ROWS($J$2:J193),$J$2:$J$1001,0),0), INDEX($Q$1004:$U$1004,1,MATCH(COLUMNS($Q$1006:T1006),$Q$1006:$U$1006,0)))),"Fix")))</f>
        <v xml:space="preserve"> </v>
      </c>
      <c r="F193" s="3" t="str">
        <f ca="1">IF(OR(INDEX($K$2:$K$1001,MATCH(ROWS($J$2:J193),$J$2:$J$1001,0),1)&gt;=100000,INDEX($Q$1005:$U$1005,1,MATCH(COLUMNS($Q$1006:U1006),$Q$1006:$U$1006,0))&gt;=100000), " ",IF(INDEX($Q$2:$U$1001,MATCH(ROWS($J$2:J193),$J$2:$J$1001,0),MATCH(COLUMNS($Q$1006:U1006),$Q$1006:$U$1006,0)), HYPERLINK("#",""), HYPERLINK(CONCATENATE("#metadata!", ADDRESS(INDEX($L$2:$L$1001,MATCH(ROWS($J$2:J193),$J$2:$J$1001,0),0), INDEX($Q$1004:$U$1004,1,MATCH(COLUMNS($Q$1006:U1006),$Q$1006:$U$1006,0)))),"Fix")))</f>
        <v xml:space="preserve"> </v>
      </c>
      <c r="J193">
        <v>192</v>
      </c>
      <c r="K193">
        <v>100193</v>
      </c>
      <c r="L193">
        <v>193</v>
      </c>
      <c r="M193" t="b">
        <f t="shared" si="2"/>
        <v>1</v>
      </c>
      <c r="N193" t="b">
        <f>COUNTBLANK(metadata!B193:F193)=COLUMNS(metadata!B193:F193)</f>
        <v>1</v>
      </c>
      <c r="O193" t="str">
        <v/>
      </c>
      <c r="Q193" t="b">
        <f ca="1">AND(IF(metadata!B193="",FALSE,TRUE),COUNTIF(metadata!B:B, metadata!B193) = 1,NOT(ISERROR(SUMPRODUCT(SEARCH(MID(metadata!B193,ROW(INDIRECT("1:"&amp;LEN(metadata!B193))), 1),"0123456789abcdefghijklmnopqrstuvwxyzABCDEFGHIJKLMNOPQRSTUVWXYZ.")))))</f>
        <v>0</v>
      </c>
      <c r="R193" t="b">
        <f>AND(IF(metadata!C193="",FALSE,TRUE),OR(EXACT(metadata!C193,"saline"),EXACT(metadata!C193,"non-saline")))</f>
        <v>0</v>
      </c>
      <c r="S193" t="b">
        <f>AND(IF(metadata!D193="",FALSE,TRUE),OR(EXACT(metadata!D193,"surface (non-saline)"),EXACT(metadata!D193,"aerosol (non-saline)"),EXACT(metadata!D193,"sediment (non-saline)"),EXACT(metadata!D193,"surface (saline)"),EXACT(metadata!D193,"aerosol (saline)"),EXACT(metadata!D193,"sediment (saline)")))</f>
        <v>0</v>
      </c>
      <c r="T193" t="b">
        <f>AND(IF(metadata!E193="",FALSE,TRUE),EXACT(metadata!E193,"built environment"))</f>
        <v>0</v>
      </c>
      <c r="U193" t="b">
        <f>OR(AND(IF(metadata!F193="",FALSE,TRUE),EXACT(metadata!F193,"not applicable")),AND(IF(metadata!F193="",FALSE,TRUE),EXACT(metadata!F193,"anaerobic digester content")))</f>
        <v>0</v>
      </c>
    </row>
    <row r="194" spans="1:21" x14ac:dyDescent="0.2">
      <c r="A194" s="4" t="str">
        <f ca="1">IF(B194=" "," ",HYPERLINK(CONCATENATE("#metadata!",ADDRESS(INDEX($L$2:$L$1001,MATCH(ROWS($J$2:J194),$J$2:$J$1001,0),0),1)),INDEX($O$2:$O$1001,MATCH(ROWS($J$2:J194),$J$2:$J$1001,0),0)))</f>
        <v xml:space="preserve"> </v>
      </c>
      <c r="B194" s="3" t="str">
        <f ca="1">IF(OR(INDEX($K$2:$K$1001,MATCH(ROWS($J$2:J194),$J$2:$J$1001,0),1)&gt;=100000,INDEX($Q$1005:$U$1005,1,MATCH(COLUMNS($Q$1006:Q1006),$Q$1006:$U$1006,0))&gt;=100000), " ",IF(INDEX($Q$2:$U$1001,MATCH(ROWS($J$2:J194),$J$2:$J$1001,0),MATCH(COLUMNS($Q$1006:Q1006),$Q$1006:$U$1006,0)), HYPERLINK("#",""), HYPERLINK(CONCATENATE("#metadata!", ADDRESS(INDEX($L$2:$L$1001,MATCH(ROWS($J$2:J194),$J$2:$J$1001,0),0), INDEX($Q$1004:$U$1004,1,MATCH(COLUMNS($Q$1006:Q1006),$Q$1006:$U$1006,0)))),"Fix")))</f>
        <v xml:space="preserve"> </v>
      </c>
      <c r="C194" s="3" t="str">
        <f ca="1">IF(OR(INDEX($K$2:$K$1001,MATCH(ROWS($J$2:J194),$J$2:$J$1001,0),1)&gt;=100000,INDEX($Q$1005:$U$1005,1,MATCH(COLUMNS($Q$1006:R1006),$Q$1006:$U$1006,0))&gt;=100000), " ",IF(INDEX($Q$2:$U$1001,MATCH(ROWS($J$2:J194),$J$2:$J$1001,0),MATCH(COLUMNS($Q$1006:R1006),$Q$1006:$U$1006,0)), HYPERLINK("#",""), HYPERLINK(CONCATENATE("#metadata!", ADDRESS(INDEX($L$2:$L$1001,MATCH(ROWS($J$2:J194),$J$2:$J$1001,0),0), INDEX($Q$1004:$U$1004,1,MATCH(COLUMNS($Q$1006:R1006),$Q$1006:$U$1006,0)))),"Fix")))</f>
        <v xml:space="preserve"> </v>
      </c>
      <c r="D194" s="3" t="str">
        <f ca="1">IF(OR(INDEX($K$2:$K$1001,MATCH(ROWS($J$2:J194),$J$2:$J$1001,0),1)&gt;=100000,INDEX($Q$1005:$U$1005,1,MATCH(COLUMNS($Q$1006:S1006),$Q$1006:$U$1006,0))&gt;=100000), " ",IF(INDEX($Q$2:$U$1001,MATCH(ROWS($J$2:J194),$J$2:$J$1001,0),MATCH(COLUMNS($Q$1006:S1006),$Q$1006:$U$1006,0)), HYPERLINK("#",""), HYPERLINK(CONCATENATE("#metadata!", ADDRESS(INDEX($L$2:$L$1001,MATCH(ROWS($J$2:J194),$J$2:$J$1001,0),0), INDEX($Q$1004:$U$1004,1,MATCH(COLUMNS($Q$1006:S1006),$Q$1006:$U$1006,0)))),"Fix")))</f>
        <v xml:space="preserve"> </v>
      </c>
      <c r="E194" s="3" t="str">
        <f ca="1">IF(OR(INDEX($K$2:$K$1001,MATCH(ROWS($J$2:J194),$J$2:$J$1001,0),1)&gt;=100000,INDEX($Q$1005:$U$1005,1,MATCH(COLUMNS($Q$1006:T1006),$Q$1006:$U$1006,0))&gt;=100000), " ",IF(INDEX($Q$2:$U$1001,MATCH(ROWS($J$2:J194),$J$2:$J$1001,0),MATCH(COLUMNS($Q$1006:T1006),$Q$1006:$U$1006,0)), HYPERLINK("#",""), HYPERLINK(CONCATENATE("#metadata!", ADDRESS(INDEX($L$2:$L$1001,MATCH(ROWS($J$2:J194),$J$2:$J$1001,0),0), INDEX($Q$1004:$U$1004,1,MATCH(COLUMNS($Q$1006:T1006),$Q$1006:$U$1006,0)))),"Fix")))</f>
        <v xml:space="preserve"> </v>
      </c>
      <c r="F194" s="3" t="str">
        <f ca="1">IF(OR(INDEX($K$2:$K$1001,MATCH(ROWS($J$2:J194),$J$2:$J$1001,0),1)&gt;=100000,INDEX($Q$1005:$U$1005,1,MATCH(COLUMNS($Q$1006:U1006),$Q$1006:$U$1006,0))&gt;=100000), " ",IF(INDEX($Q$2:$U$1001,MATCH(ROWS($J$2:J194),$J$2:$J$1001,0),MATCH(COLUMNS($Q$1006:U1006),$Q$1006:$U$1006,0)), HYPERLINK("#",""), HYPERLINK(CONCATENATE("#metadata!", ADDRESS(INDEX($L$2:$L$1001,MATCH(ROWS($J$2:J194),$J$2:$J$1001,0),0), INDEX($Q$1004:$U$1004,1,MATCH(COLUMNS($Q$1006:U1006),$Q$1006:$U$1006,0)))),"Fix")))</f>
        <v xml:space="preserve"> </v>
      </c>
      <c r="J194">
        <v>193</v>
      </c>
      <c r="K194">
        <v>100194</v>
      </c>
      <c r="L194">
        <v>194</v>
      </c>
      <c r="M194" t="b">
        <f t="shared" ref="M194:M257" si="3">IF(N194,TRUE,AND(Q194:U194))</f>
        <v>1</v>
      </c>
      <c r="N194" t="b">
        <f>COUNTBLANK(metadata!B194:F194)=COLUMNS(metadata!B194:F194)</f>
        <v>1</v>
      </c>
      <c r="O194" t="str">
        <v/>
      </c>
      <c r="Q194" t="b">
        <f ca="1">AND(IF(metadata!B194="",FALSE,TRUE),COUNTIF(metadata!B:B, metadata!B194) = 1,NOT(ISERROR(SUMPRODUCT(SEARCH(MID(metadata!B194,ROW(INDIRECT("1:"&amp;LEN(metadata!B194))), 1),"0123456789abcdefghijklmnopqrstuvwxyzABCDEFGHIJKLMNOPQRSTUVWXYZ.")))))</f>
        <v>0</v>
      </c>
      <c r="R194" t="b">
        <f>AND(IF(metadata!C194="",FALSE,TRUE),OR(EXACT(metadata!C194,"saline"),EXACT(metadata!C194,"non-saline")))</f>
        <v>0</v>
      </c>
      <c r="S194" t="b">
        <f>AND(IF(metadata!D194="",FALSE,TRUE),OR(EXACT(metadata!D194,"surface (non-saline)"),EXACT(metadata!D194,"aerosol (non-saline)"),EXACT(metadata!D194,"sediment (non-saline)"),EXACT(metadata!D194,"surface (saline)"),EXACT(metadata!D194,"aerosol (saline)"),EXACT(metadata!D194,"sediment (saline)")))</f>
        <v>0</v>
      </c>
      <c r="T194" t="b">
        <f>AND(IF(metadata!E194="",FALSE,TRUE),EXACT(metadata!E194,"built environment"))</f>
        <v>0</v>
      </c>
      <c r="U194" t="b">
        <f>OR(AND(IF(metadata!F194="",FALSE,TRUE),EXACT(metadata!F194,"not applicable")),AND(IF(metadata!F194="",FALSE,TRUE),EXACT(metadata!F194,"anaerobic digester content")))</f>
        <v>0</v>
      </c>
    </row>
    <row r="195" spans="1:21" x14ac:dyDescent="0.2">
      <c r="A195" s="4" t="str">
        <f ca="1">IF(B195=" "," ",HYPERLINK(CONCATENATE("#metadata!",ADDRESS(INDEX($L$2:$L$1001,MATCH(ROWS($J$2:J195),$J$2:$J$1001,0),0),1)),INDEX($O$2:$O$1001,MATCH(ROWS($J$2:J195),$J$2:$J$1001,0),0)))</f>
        <v xml:space="preserve"> </v>
      </c>
      <c r="B195" s="3" t="str">
        <f ca="1">IF(OR(INDEX($K$2:$K$1001,MATCH(ROWS($J$2:J195),$J$2:$J$1001,0),1)&gt;=100000,INDEX($Q$1005:$U$1005,1,MATCH(COLUMNS($Q$1006:Q1006),$Q$1006:$U$1006,0))&gt;=100000), " ",IF(INDEX($Q$2:$U$1001,MATCH(ROWS($J$2:J195),$J$2:$J$1001,0),MATCH(COLUMNS($Q$1006:Q1006),$Q$1006:$U$1006,0)), HYPERLINK("#",""), HYPERLINK(CONCATENATE("#metadata!", ADDRESS(INDEX($L$2:$L$1001,MATCH(ROWS($J$2:J195),$J$2:$J$1001,0),0), INDEX($Q$1004:$U$1004,1,MATCH(COLUMNS($Q$1006:Q1006),$Q$1006:$U$1006,0)))),"Fix")))</f>
        <v xml:space="preserve"> </v>
      </c>
      <c r="C195" s="3" t="str">
        <f ca="1">IF(OR(INDEX($K$2:$K$1001,MATCH(ROWS($J$2:J195),$J$2:$J$1001,0),1)&gt;=100000,INDEX($Q$1005:$U$1005,1,MATCH(COLUMNS($Q$1006:R1006),$Q$1006:$U$1006,0))&gt;=100000), " ",IF(INDEX($Q$2:$U$1001,MATCH(ROWS($J$2:J195),$J$2:$J$1001,0),MATCH(COLUMNS($Q$1006:R1006),$Q$1006:$U$1006,0)), HYPERLINK("#",""), HYPERLINK(CONCATENATE("#metadata!", ADDRESS(INDEX($L$2:$L$1001,MATCH(ROWS($J$2:J195),$J$2:$J$1001,0),0), INDEX($Q$1004:$U$1004,1,MATCH(COLUMNS($Q$1006:R1006),$Q$1006:$U$1006,0)))),"Fix")))</f>
        <v xml:space="preserve"> </v>
      </c>
      <c r="D195" s="3" t="str">
        <f ca="1">IF(OR(INDEX($K$2:$K$1001,MATCH(ROWS($J$2:J195),$J$2:$J$1001,0),1)&gt;=100000,INDEX($Q$1005:$U$1005,1,MATCH(COLUMNS($Q$1006:S1006),$Q$1006:$U$1006,0))&gt;=100000), " ",IF(INDEX($Q$2:$U$1001,MATCH(ROWS($J$2:J195),$J$2:$J$1001,0),MATCH(COLUMNS($Q$1006:S1006),$Q$1006:$U$1006,0)), HYPERLINK("#",""), HYPERLINK(CONCATENATE("#metadata!", ADDRESS(INDEX($L$2:$L$1001,MATCH(ROWS($J$2:J195),$J$2:$J$1001,0),0), INDEX($Q$1004:$U$1004,1,MATCH(COLUMNS($Q$1006:S1006),$Q$1006:$U$1006,0)))),"Fix")))</f>
        <v xml:space="preserve"> </v>
      </c>
      <c r="E195" s="3" t="str">
        <f ca="1">IF(OR(INDEX($K$2:$K$1001,MATCH(ROWS($J$2:J195),$J$2:$J$1001,0),1)&gt;=100000,INDEX($Q$1005:$U$1005,1,MATCH(COLUMNS($Q$1006:T1006),$Q$1006:$U$1006,0))&gt;=100000), " ",IF(INDEX($Q$2:$U$1001,MATCH(ROWS($J$2:J195),$J$2:$J$1001,0),MATCH(COLUMNS($Q$1006:T1006),$Q$1006:$U$1006,0)), HYPERLINK("#",""), HYPERLINK(CONCATENATE("#metadata!", ADDRESS(INDEX($L$2:$L$1001,MATCH(ROWS($J$2:J195),$J$2:$J$1001,0),0), INDEX($Q$1004:$U$1004,1,MATCH(COLUMNS($Q$1006:T1006),$Q$1006:$U$1006,0)))),"Fix")))</f>
        <v xml:space="preserve"> </v>
      </c>
      <c r="F195" s="3" t="str">
        <f ca="1">IF(OR(INDEX($K$2:$K$1001,MATCH(ROWS($J$2:J195),$J$2:$J$1001,0),1)&gt;=100000,INDEX($Q$1005:$U$1005,1,MATCH(COLUMNS($Q$1006:U1006),$Q$1006:$U$1006,0))&gt;=100000), " ",IF(INDEX($Q$2:$U$1001,MATCH(ROWS($J$2:J195),$J$2:$J$1001,0),MATCH(COLUMNS($Q$1006:U1006),$Q$1006:$U$1006,0)), HYPERLINK("#",""), HYPERLINK(CONCATENATE("#metadata!", ADDRESS(INDEX($L$2:$L$1001,MATCH(ROWS($J$2:J195),$J$2:$J$1001,0),0), INDEX($Q$1004:$U$1004,1,MATCH(COLUMNS($Q$1006:U1006),$Q$1006:$U$1006,0)))),"Fix")))</f>
        <v xml:space="preserve"> </v>
      </c>
      <c r="J195">
        <v>194</v>
      </c>
      <c r="K195">
        <v>100195</v>
      </c>
      <c r="L195">
        <v>195</v>
      </c>
      <c r="M195" t="b">
        <f t="shared" si="3"/>
        <v>1</v>
      </c>
      <c r="N195" t="b">
        <f>COUNTBLANK(metadata!B195:F195)=COLUMNS(metadata!B195:F195)</f>
        <v>1</v>
      </c>
      <c r="O195" t="str">
        <v/>
      </c>
      <c r="Q195" t="b">
        <f ca="1">AND(IF(metadata!B195="",FALSE,TRUE),COUNTIF(metadata!B:B, metadata!B195) = 1,NOT(ISERROR(SUMPRODUCT(SEARCH(MID(metadata!B195,ROW(INDIRECT("1:"&amp;LEN(metadata!B195))), 1),"0123456789abcdefghijklmnopqrstuvwxyzABCDEFGHIJKLMNOPQRSTUVWXYZ.")))))</f>
        <v>0</v>
      </c>
      <c r="R195" t="b">
        <f>AND(IF(metadata!C195="",FALSE,TRUE),OR(EXACT(metadata!C195,"saline"),EXACT(metadata!C195,"non-saline")))</f>
        <v>0</v>
      </c>
      <c r="S195" t="b">
        <f>AND(IF(metadata!D195="",FALSE,TRUE),OR(EXACT(metadata!D195,"surface (non-saline)"),EXACT(metadata!D195,"aerosol (non-saline)"),EXACT(metadata!D195,"sediment (non-saline)"),EXACT(metadata!D195,"surface (saline)"),EXACT(metadata!D195,"aerosol (saline)"),EXACT(metadata!D195,"sediment (saline)")))</f>
        <v>0</v>
      </c>
      <c r="T195" t="b">
        <f>AND(IF(metadata!E195="",FALSE,TRUE),EXACT(metadata!E195,"built environment"))</f>
        <v>0</v>
      </c>
      <c r="U195" t="b">
        <f>OR(AND(IF(metadata!F195="",FALSE,TRUE),EXACT(metadata!F195,"not applicable")),AND(IF(metadata!F195="",FALSE,TRUE),EXACT(metadata!F195,"anaerobic digester content")))</f>
        <v>0</v>
      </c>
    </row>
    <row r="196" spans="1:21" x14ac:dyDescent="0.2">
      <c r="A196" s="4" t="str">
        <f ca="1">IF(B196=" "," ",HYPERLINK(CONCATENATE("#metadata!",ADDRESS(INDEX($L$2:$L$1001,MATCH(ROWS($J$2:J196),$J$2:$J$1001,0),0),1)),INDEX($O$2:$O$1001,MATCH(ROWS($J$2:J196),$J$2:$J$1001,0),0)))</f>
        <v xml:space="preserve"> </v>
      </c>
      <c r="B196" s="3" t="str">
        <f ca="1">IF(OR(INDEX($K$2:$K$1001,MATCH(ROWS($J$2:J196),$J$2:$J$1001,0),1)&gt;=100000,INDEX($Q$1005:$U$1005,1,MATCH(COLUMNS($Q$1006:Q1006),$Q$1006:$U$1006,0))&gt;=100000), " ",IF(INDEX($Q$2:$U$1001,MATCH(ROWS($J$2:J196),$J$2:$J$1001,0),MATCH(COLUMNS($Q$1006:Q1006),$Q$1006:$U$1006,0)), HYPERLINK("#",""), HYPERLINK(CONCATENATE("#metadata!", ADDRESS(INDEX($L$2:$L$1001,MATCH(ROWS($J$2:J196),$J$2:$J$1001,0),0), INDEX($Q$1004:$U$1004,1,MATCH(COLUMNS($Q$1006:Q1006),$Q$1006:$U$1006,0)))),"Fix")))</f>
        <v xml:space="preserve"> </v>
      </c>
      <c r="C196" s="3" t="str">
        <f ca="1">IF(OR(INDEX($K$2:$K$1001,MATCH(ROWS($J$2:J196),$J$2:$J$1001,0),1)&gt;=100000,INDEX($Q$1005:$U$1005,1,MATCH(COLUMNS($Q$1006:R1006),$Q$1006:$U$1006,0))&gt;=100000), " ",IF(INDEX($Q$2:$U$1001,MATCH(ROWS($J$2:J196),$J$2:$J$1001,0),MATCH(COLUMNS($Q$1006:R1006),$Q$1006:$U$1006,0)), HYPERLINK("#",""), HYPERLINK(CONCATENATE("#metadata!", ADDRESS(INDEX($L$2:$L$1001,MATCH(ROWS($J$2:J196),$J$2:$J$1001,0),0), INDEX($Q$1004:$U$1004,1,MATCH(COLUMNS($Q$1006:R1006),$Q$1006:$U$1006,0)))),"Fix")))</f>
        <v xml:space="preserve"> </v>
      </c>
      <c r="D196" s="3" t="str">
        <f ca="1">IF(OR(INDEX($K$2:$K$1001,MATCH(ROWS($J$2:J196),$J$2:$J$1001,0),1)&gt;=100000,INDEX($Q$1005:$U$1005,1,MATCH(COLUMNS($Q$1006:S1006),$Q$1006:$U$1006,0))&gt;=100000), " ",IF(INDEX($Q$2:$U$1001,MATCH(ROWS($J$2:J196),$J$2:$J$1001,0),MATCH(COLUMNS($Q$1006:S1006),$Q$1006:$U$1006,0)), HYPERLINK("#",""), HYPERLINK(CONCATENATE("#metadata!", ADDRESS(INDEX($L$2:$L$1001,MATCH(ROWS($J$2:J196),$J$2:$J$1001,0),0), INDEX($Q$1004:$U$1004,1,MATCH(COLUMNS($Q$1006:S1006),$Q$1006:$U$1006,0)))),"Fix")))</f>
        <v xml:space="preserve"> </v>
      </c>
      <c r="E196" s="3" t="str">
        <f ca="1">IF(OR(INDEX($K$2:$K$1001,MATCH(ROWS($J$2:J196),$J$2:$J$1001,0),1)&gt;=100000,INDEX($Q$1005:$U$1005,1,MATCH(COLUMNS($Q$1006:T1006),$Q$1006:$U$1006,0))&gt;=100000), " ",IF(INDEX($Q$2:$U$1001,MATCH(ROWS($J$2:J196),$J$2:$J$1001,0),MATCH(COLUMNS($Q$1006:T1006),$Q$1006:$U$1006,0)), HYPERLINK("#",""), HYPERLINK(CONCATENATE("#metadata!", ADDRESS(INDEX($L$2:$L$1001,MATCH(ROWS($J$2:J196),$J$2:$J$1001,0),0), INDEX($Q$1004:$U$1004,1,MATCH(COLUMNS($Q$1006:T1006),$Q$1006:$U$1006,0)))),"Fix")))</f>
        <v xml:space="preserve"> </v>
      </c>
      <c r="F196" s="3" t="str">
        <f ca="1">IF(OR(INDEX($K$2:$K$1001,MATCH(ROWS($J$2:J196),$J$2:$J$1001,0),1)&gt;=100000,INDEX($Q$1005:$U$1005,1,MATCH(COLUMNS($Q$1006:U1006),$Q$1006:$U$1006,0))&gt;=100000), " ",IF(INDEX($Q$2:$U$1001,MATCH(ROWS($J$2:J196),$J$2:$J$1001,0),MATCH(COLUMNS($Q$1006:U1006),$Q$1006:$U$1006,0)), HYPERLINK("#",""), HYPERLINK(CONCATENATE("#metadata!", ADDRESS(INDEX($L$2:$L$1001,MATCH(ROWS($J$2:J196),$J$2:$J$1001,0),0), INDEX($Q$1004:$U$1004,1,MATCH(COLUMNS($Q$1006:U1006),$Q$1006:$U$1006,0)))),"Fix")))</f>
        <v xml:space="preserve"> </v>
      </c>
      <c r="J196">
        <v>195</v>
      </c>
      <c r="K196">
        <v>100196</v>
      </c>
      <c r="L196">
        <v>196</v>
      </c>
      <c r="M196" t="b">
        <f t="shared" si="3"/>
        <v>1</v>
      </c>
      <c r="N196" t="b">
        <f>COUNTBLANK(metadata!B196:F196)=COLUMNS(metadata!B196:F196)</f>
        <v>1</v>
      </c>
      <c r="O196" t="str">
        <v/>
      </c>
      <c r="Q196" t="b">
        <f ca="1">AND(IF(metadata!B196="",FALSE,TRUE),COUNTIF(metadata!B:B, metadata!B196) = 1,NOT(ISERROR(SUMPRODUCT(SEARCH(MID(metadata!B196,ROW(INDIRECT("1:"&amp;LEN(metadata!B196))), 1),"0123456789abcdefghijklmnopqrstuvwxyzABCDEFGHIJKLMNOPQRSTUVWXYZ.")))))</f>
        <v>0</v>
      </c>
      <c r="R196" t="b">
        <f>AND(IF(metadata!C196="",FALSE,TRUE),OR(EXACT(metadata!C196,"saline"),EXACT(metadata!C196,"non-saline")))</f>
        <v>0</v>
      </c>
      <c r="S196" t="b">
        <f>AND(IF(metadata!D196="",FALSE,TRUE),OR(EXACT(metadata!D196,"surface (non-saline)"),EXACT(metadata!D196,"aerosol (non-saline)"),EXACT(metadata!D196,"sediment (non-saline)"),EXACT(metadata!D196,"surface (saline)"),EXACT(metadata!D196,"aerosol (saline)"),EXACT(metadata!D196,"sediment (saline)")))</f>
        <v>0</v>
      </c>
      <c r="T196" t="b">
        <f>AND(IF(metadata!E196="",FALSE,TRUE),EXACT(metadata!E196,"built environment"))</f>
        <v>0</v>
      </c>
      <c r="U196" t="b">
        <f>OR(AND(IF(metadata!F196="",FALSE,TRUE),EXACT(metadata!F196,"not applicable")),AND(IF(metadata!F196="",FALSE,TRUE),EXACT(metadata!F196,"anaerobic digester content")))</f>
        <v>0</v>
      </c>
    </row>
    <row r="197" spans="1:21" x14ac:dyDescent="0.2">
      <c r="A197" s="4" t="str">
        <f ca="1">IF(B197=" "," ",HYPERLINK(CONCATENATE("#metadata!",ADDRESS(INDEX($L$2:$L$1001,MATCH(ROWS($J$2:J197),$J$2:$J$1001,0),0),1)),INDEX($O$2:$O$1001,MATCH(ROWS($J$2:J197),$J$2:$J$1001,0),0)))</f>
        <v xml:space="preserve"> </v>
      </c>
      <c r="B197" s="3" t="str">
        <f ca="1">IF(OR(INDEX($K$2:$K$1001,MATCH(ROWS($J$2:J197),$J$2:$J$1001,0),1)&gt;=100000,INDEX($Q$1005:$U$1005,1,MATCH(COLUMNS($Q$1006:Q1006),$Q$1006:$U$1006,0))&gt;=100000), " ",IF(INDEX($Q$2:$U$1001,MATCH(ROWS($J$2:J197),$J$2:$J$1001,0),MATCH(COLUMNS($Q$1006:Q1006),$Q$1006:$U$1006,0)), HYPERLINK("#",""), HYPERLINK(CONCATENATE("#metadata!", ADDRESS(INDEX($L$2:$L$1001,MATCH(ROWS($J$2:J197),$J$2:$J$1001,0),0), INDEX($Q$1004:$U$1004,1,MATCH(COLUMNS($Q$1006:Q1006),$Q$1006:$U$1006,0)))),"Fix")))</f>
        <v xml:space="preserve"> </v>
      </c>
      <c r="C197" s="3" t="str">
        <f ca="1">IF(OR(INDEX($K$2:$K$1001,MATCH(ROWS($J$2:J197),$J$2:$J$1001,0),1)&gt;=100000,INDEX($Q$1005:$U$1005,1,MATCH(COLUMNS($Q$1006:R1006),$Q$1006:$U$1006,0))&gt;=100000), " ",IF(INDEX($Q$2:$U$1001,MATCH(ROWS($J$2:J197),$J$2:$J$1001,0),MATCH(COLUMNS($Q$1006:R1006),$Q$1006:$U$1006,0)), HYPERLINK("#",""), HYPERLINK(CONCATENATE("#metadata!", ADDRESS(INDEX($L$2:$L$1001,MATCH(ROWS($J$2:J197),$J$2:$J$1001,0),0), INDEX($Q$1004:$U$1004,1,MATCH(COLUMNS($Q$1006:R1006),$Q$1006:$U$1006,0)))),"Fix")))</f>
        <v xml:space="preserve"> </v>
      </c>
      <c r="D197" s="3" t="str">
        <f ca="1">IF(OR(INDEX($K$2:$K$1001,MATCH(ROWS($J$2:J197),$J$2:$J$1001,0),1)&gt;=100000,INDEX($Q$1005:$U$1005,1,MATCH(COLUMNS($Q$1006:S1006),$Q$1006:$U$1006,0))&gt;=100000), " ",IF(INDEX($Q$2:$U$1001,MATCH(ROWS($J$2:J197),$J$2:$J$1001,0),MATCH(COLUMNS($Q$1006:S1006),$Q$1006:$U$1006,0)), HYPERLINK("#",""), HYPERLINK(CONCATENATE("#metadata!", ADDRESS(INDEX($L$2:$L$1001,MATCH(ROWS($J$2:J197),$J$2:$J$1001,0),0), INDEX($Q$1004:$U$1004,1,MATCH(COLUMNS($Q$1006:S1006),$Q$1006:$U$1006,0)))),"Fix")))</f>
        <v xml:space="preserve"> </v>
      </c>
      <c r="E197" s="3" t="str">
        <f ca="1">IF(OR(INDEX($K$2:$K$1001,MATCH(ROWS($J$2:J197),$J$2:$J$1001,0),1)&gt;=100000,INDEX($Q$1005:$U$1005,1,MATCH(COLUMNS($Q$1006:T1006),$Q$1006:$U$1006,0))&gt;=100000), " ",IF(INDEX($Q$2:$U$1001,MATCH(ROWS($J$2:J197),$J$2:$J$1001,0),MATCH(COLUMNS($Q$1006:T1006),$Q$1006:$U$1006,0)), HYPERLINK("#",""), HYPERLINK(CONCATENATE("#metadata!", ADDRESS(INDEX($L$2:$L$1001,MATCH(ROWS($J$2:J197),$J$2:$J$1001,0),0), INDEX($Q$1004:$U$1004,1,MATCH(COLUMNS($Q$1006:T1006),$Q$1006:$U$1006,0)))),"Fix")))</f>
        <v xml:space="preserve"> </v>
      </c>
      <c r="F197" s="3" t="str">
        <f ca="1">IF(OR(INDEX($K$2:$K$1001,MATCH(ROWS($J$2:J197),$J$2:$J$1001,0),1)&gt;=100000,INDEX($Q$1005:$U$1005,1,MATCH(COLUMNS($Q$1006:U1006),$Q$1006:$U$1006,0))&gt;=100000), " ",IF(INDEX($Q$2:$U$1001,MATCH(ROWS($J$2:J197),$J$2:$J$1001,0),MATCH(COLUMNS($Q$1006:U1006),$Q$1006:$U$1006,0)), HYPERLINK("#",""), HYPERLINK(CONCATENATE("#metadata!", ADDRESS(INDEX($L$2:$L$1001,MATCH(ROWS($J$2:J197),$J$2:$J$1001,0),0), INDEX($Q$1004:$U$1004,1,MATCH(COLUMNS($Q$1006:U1006),$Q$1006:$U$1006,0)))),"Fix")))</f>
        <v xml:space="preserve"> </v>
      </c>
      <c r="J197">
        <v>196</v>
      </c>
      <c r="K197">
        <v>100197</v>
      </c>
      <c r="L197">
        <v>197</v>
      </c>
      <c r="M197" t="b">
        <f t="shared" si="3"/>
        <v>1</v>
      </c>
      <c r="N197" t="b">
        <f>COUNTBLANK(metadata!B197:F197)=COLUMNS(metadata!B197:F197)</f>
        <v>1</v>
      </c>
      <c r="O197" t="str">
        <v/>
      </c>
      <c r="Q197" t="b">
        <f ca="1">AND(IF(metadata!B197="",FALSE,TRUE),COUNTIF(metadata!B:B, metadata!B197) = 1,NOT(ISERROR(SUMPRODUCT(SEARCH(MID(metadata!B197,ROW(INDIRECT("1:"&amp;LEN(metadata!B197))), 1),"0123456789abcdefghijklmnopqrstuvwxyzABCDEFGHIJKLMNOPQRSTUVWXYZ.")))))</f>
        <v>0</v>
      </c>
      <c r="R197" t="b">
        <f>AND(IF(metadata!C197="",FALSE,TRUE),OR(EXACT(metadata!C197,"saline"),EXACT(metadata!C197,"non-saline")))</f>
        <v>0</v>
      </c>
      <c r="S197" t="b">
        <f>AND(IF(metadata!D197="",FALSE,TRUE),OR(EXACT(metadata!D197,"surface (non-saline)"),EXACT(metadata!D197,"aerosol (non-saline)"),EXACT(metadata!D197,"sediment (non-saline)"),EXACT(metadata!D197,"surface (saline)"),EXACT(metadata!D197,"aerosol (saline)"),EXACT(metadata!D197,"sediment (saline)")))</f>
        <v>0</v>
      </c>
      <c r="T197" t="b">
        <f>AND(IF(metadata!E197="",FALSE,TRUE),EXACT(metadata!E197,"built environment"))</f>
        <v>0</v>
      </c>
      <c r="U197" t="b">
        <f>OR(AND(IF(metadata!F197="",FALSE,TRUE),EXACT(metadata!F197,"not applicable")),AND(IF(metadata!F197="",FALSE,TRUE),EXACT(metadata!F197,"anaerobic digester content")))</f>
        <v>0</v>
      </c>
    </row>
    <row r="198" spans="1:21" x14ac:dyDescent="0.2">
      <c r="A198" s="4" t="str">
        <f ca="1">IF(B198=" "," ",HYPERLINK(CONCATENATE("#metadata!",ADDRESS(INDEX($L$2:$L$1001,MATCH(ROWS($J$2:J198),$J$2:$J$1001,0),0),1)),INDEX($O$2:$O$1001,MATCH(ROWS($J$2:J198),$J$2:$J$1001,0),0)))</f>
        <v xml:space="preserve"> </v>
      </c>
      <c r="B198" s="3" t="str">
        <f ca="1">IF(OR(INDEX($K$2:$K$1001,MATCH(ROWS($J$2:J198),$J$2:$J$1001,0),1)&gt;=100000,INDEX($Q$1005:$U$1005,1,MATCH(COLUMNS($Q$1006:Q1006),$Q$1006:$U$1006,0))&gt;=100000), " ",IF(INDEX($Q$2:$U$1001,MATCH(ROWS($J$2:J198),$J$2:$J$1001,0),MATCH(COLUMNS($Q$1006:Q1006),$Q$1006:$U$1006,0)), HYPERLINK("#",""), HYPERLINK(CONCATENATE("#metadata!", ADDRESS(INDEX($L$2:$L$1001,MATCH(ROWS($J$2:J198),$J$2:$J$1001,0),0), INDEX($Q$1004:$U$1004,1,MATCH(COLUMNS($Q$1006:Q1006),$Q$1006:$U$1006,0)))),"Fix")))</f>
        <v xml:space="preserve"> </v>
      </c>
      <c r="C198" s="3" t="str">
        <f ca="1">IF(OR(INDEX($K$2:$K$1001,MATCH(ROWS($J$2:J198),$J$2:$J$1001,0),1)&gt;=100000,INDEX($Q$1005:$U$1005,1,MATCH(COLUMNS($Q$1006:R1006),$Q$1006:$U$1006,0))&gt;=100000), " ",IF(INDEX($Q$2:$U$1001,MATCH(ROWS($J$2:J198),$J$2:$J$1001,0),MATCH(COLUMNS($Q$1006:R1006),$Q$1006:$U$1006,0)), HYPERLINK("#",""), HYPERLINK(CONCATENATE("#metadata!", ADDRESS(INDEX($L$2:$L$1001,MATCH(ROWS($J$2:J198),$J$2:$J$1001,0),0), INDEX($Q$1004:$U$1004,1,MATCH(COLUMNS($Q$1006:R1006),$Q$1006:$U$1006,0)))),"Fix")))</f>
        <v xml:space="preserve"> </v>
      </c>
      <c r="D198" s="3" t="str">
        <f ca="1">IF(OR(INDEX($K$2:$K$1001,MATCH(ROWS($J$2:J198),$J$2:$J$1001,0),1)&gt;=100000,INDEX($Q$1005:$U$1005,1,MATCH(COLUMNS($Q$1006:S1006),$Q$1006:$U$1006,0))&gt;=100000), " ",IF(INDEX($Q$2:$U$1001,MATCH(ROWS($J$2:J198),$J$2:$J$1001,0),MATCH(COLUMNS($Q$1006:S1006),$Q$1006:$U$1006,0)), HYPERLINK("#",""), HYPERLINK(CONCATENATE("#metadata!", ADDRESS(INDEX($L$2:$L$1001,MATCH(ROWS($J$2:J198),$J$2:$J$1001,0),0), INDEX($Q$1004:$U$1004,1,MATCH(COLUMNS($Q$1006:S1006),$Q$1006:$U$1006,0)))),"Fix")))</f>
        <v xml:space="preserve"> </v>
      </c>
      <c r="E198" s="3" t="str">
        <f ca="1">IF(OR(INDEX($K$2:$K$1001,MATCH(ROWS($J$2:J198),$J$2:$J$1001,0),1)&gt;=100000,INDEX($Q$1005:$U$1005,1,MATCH(COLUMNS($Q$1006:T1006),$Q$1006:$U$1006,0))&gt;=100000), " ",IF(INDEX($Q$2:$U$1001,MATCH(ROWS($J$2:J198),$J$2:$J$1001,0),MATCH(COLUMNS($Q$1006:T1006),$Q$1006:$U$1006,0)), HYPERLINK("#",""), HYPERLINK(CONCATENATE("#metadata!", ADDRESS(INDEX($L$2:$L$1001,MATCH(ROWS($J$2:J198),$J$2:$J$1001,0),0), INDEX($Q$1004:$U$1004,1,MATCH(COLUMNS($Q$1006:T1006),$Q$1006:$U$1006,0)))),"Fix")))</f>
        <v xml:space="preserve"> </v>
      </c>
      <c r="F198" s="3" t="str">
        <f ca="1">IF(OR(INDEX($K$2:$K$1001,MATCH(ROWS($J$2:J198),$J$2:$J$1001,0),1)&gt;=100000,INDEX($Q$1005:$U$1005,1,MATCH(COLUMNS($Q$1006:U1006),$Q$1006:$U$1006,0))&gt;=100000), " ",IF(INDEX($Q$2:$U$1001,MATCH(ROWS($J$2:J198),$J$2:$J$1001,0),MATCH(COLUMNS($Q$1006:U1006),$Q$1006:$U$1006,0)), HYPERLINK("#",""), HYPERLINK(CONCATENATE("#metadata!", ADDRESS(INDEX($L$2:$L$1001,MATCH(ROWS($J$2:J198),$J$2:$J$1001,0),0), INDEX($Q$1004:$U$1004,1,MATCH(COLUMNS($Q$1006:U1006),$Q$1006:$U$1006,0)))),"Fix")))</f>
        <v xml:space="preserve"> </v>
      </c>
      <c r="J198">
        <v>197</v>
      </c>
      <c r="K198">
        <v>100198</v>
      </c>
      <c r="L198">
        <v>198</v>
      </c>
      <c r="M198" t="b">
        <f t="shared" si="3"/>
        <v>1</v>
      </c>
      <c r="N198" t="b">
        <f>COUNTBLANK(metadata!B198:F198)=COLUMNS(metadata!B198:F198)</f>
        <v>1</v>
      </c>
      <c r="O198" t="str">
        <v/>
      </c>
      <c r="Q198" t="b">
        <f ca="1">AND(IF(metadata!B198="",FALSE,TRUE),COUNTIF(metadata!B:B, metadata!B198) = 1,NOT(ISERROR(SUMPRODUCT(SEARCH(MID(metadata!B198,ROW(INDIRECT("1:"&amp;LEN(metadata!B198))), 1),"0123456789abcdefghijklmnopqrstuvwxyzABCDEFGHIJKLMNOPQRSTUVWXYZ.")))))</f>
        <v>0</v>
      </c>
      <c r="R198" t="b">
        <f>AND(IF(metadata!C198="",FALSE,TRUE),OR(EXACT(metadata!C198,"saline"),EXACT(metadata!C198,"non-saline")))</f>
        <v>0</v>
      </c>
      <c r="S198" t="b">
        <f>AND(IF(metadata!D198="",FALSE,TRUE),OR(EXACT(metadata!D198,"surface (non-saline)"),EXACT(metadata!D198,"aerosol (non-saline)"),EXACT(metadata!D198,"sediment (non-saline)"),EXACT(metadata!D198,"surface (saline)"),EXACT(metadata!D198,"aerosol (saline)"),EXACT(metadata!D198,"sediment (saline)")))</f>
        <v>0</v>
      </c>
      <c r="T198" t="b">
        <f>AND(IF(metadata!E198="",FALSE,TRUE),EXACT(metadata!E198,"built environment"))</f>
        <v>0</v>
      </c>
      <c r="U198" t="b">
        <f>OR(AND(IF(metadata!F198="",FALSE,TRUE),EXACT(metadata!F198,"not applicable")),AND(IF(metadata!F198="",FALSE,TRUE),EXACT(metadata!F198,"anaerobic digester content")))</f>
        <v>0</v>
      </c>
    </row>
    <row r="199" spans="1:21" x14ac:dyDescent="0.2">
      <c r="A199" s="4" t="str">
        <f ca="1">IF(B199=" "," ",HYPERLINK(CONCATENATE("#metadata!",ADDRESS(INDEX($L$2:$L$1001,MATCH(ROWS($J$2:J199),$J$2:$J$1001,0),0),1)),INDEX($O$2:$O$1001,MATCH(ROWS($J$2:J199),$J$2:$J$1001,0),0)))</f>
        <v xml:space="preserve"> </v>
      </c>
      <c r="B199" s="3" t="str">
        <f ca="1">IF(OR(INDEX($K$2:$K$1001,MATCH(ROWS($J$2:J199),$J$2:$J$1001,0),1)&gt;=100000,INDEX($Q$1005:$U$1005,1,MATCH(COLUMNS($Q$1006:Q1006),$Q$1006:$U$1006,0))&gt;=100000), " ",IF(INDEX($Q$2:$U$1001,MATCH(ROWS($J$2:J199),$J$2:$J$1001,0),MATCH(COLUMNS($Q$1006:Q1006),$Q$1006:$U$1006,0)), HYPERLINK("#",""), HYPERLINK(CONCATENATE("#metadata!", ADDRESS(INDEX($L$2:$L$1001,MATCH(ROWS($J$2:J199),$J$2:$J$1001,0),0), INDEX($Q$1004:$U$1004,1,MATCH(COLUMNS($Q$1006:Q1006),$Q$1006:$U$1006,0)))),"Fix")))</f>
        <v xml:space="preserve"> </v>
      </c>
      <c r="C199" s="3" t="str">
        <f ca="1">IF(OR(INDEX($K$2:$K$1001,MATCH(ROWS($J$2:J199),$J$2:$J$1001,0),1)&gt;=100000,INDEX($Q$1005:$U$1005,1,MATCH(COLUMNS($Q$1006:R1006),$Q$1006:$U$1006,0))&gt;=100000), " ",IF(INDEX($Q$2:$U$1001,MATCH(ROWS($J$2:J199),$J$2:$J$1001,0),MATCH(COLUMNS($Q$1006:R1006),$Q$1006:$U$1006,0)), HYPERLINK("#",""), HYPERLINK(CONCATENATE("#metadata!", ADDRESS(INDEX($L$2:$L$1001,MATCH(ROWS($J$2:J199),$J$2:$J$1001,0),0), INDEX($Q$1004:$U$1004,1,MATCH(COLUMNS($Q$1006:R1006),$Q$1006:$U$1006,0)))),"Fix")))</f>
        <v xml:space="preserve"> </v>
      </c>
      <c r="D199" s="3" t="str">
        <f ca="1">IF(OR(INDEX($K$2:$K$1001,MATCH(ROWS($J$2:J199),$J$2:$J$1001,0),1)&gt;=100000,INDEX($Q$1005:$U$1005,1,MATCH(COLUMNS($Q$1006:S1006),$Q$1006:$U$1006,0))&gt;=100000), " ",IF(INDEX($Q$2:$U$1001,MATCH(ROWS($J$2:J199),$J$2:$J$1001,0),MATCH(COLUMNS($Q$1006:S1006),$Q$1006:$U$1006,0)), HYPERLINK("#",""), HYPERLINK(CONCATENATE("#metadata!", ADDRESS(INDEX($L$2:$L$1001,MATCH(ROWS($J$2:J199),$J$2:$J$1001,0),0), INDEX($Q$1004:$U$1004,1,MATCH(COLUMNS($Q$1006:S1006),$Q$1006:$U$1006,0)))),"Fix")))</f>
        <v xml:space="preserve"> </v>
      </c>
      <c r="E199" s="3" t="str">
        <f ca="1">IF(OR(INDEX($K$2:$K$1001,MATCH(ROWS($J$2:J199),$J$2:$J$1001,0),1)&gt;=100000,INDEX($Q$1005:$U$1005,1,MATCH(COLUMNS($Q$1006:T1006),$Q$1006:$U$1006,0))&gt;=100000), " ",IF(INDEX($Q$2:$U$1001,MATCH(ROWS($J$2:J199),$J$2:$J$1001,0),MATCH(COLUMNS($Q$1006:T1006),$Q$1006:$U$1006,0)), HYPERLINK("#",""), HYPERLINK(CONCATENATE("#metadata!", ADDRESS(INDEX($L$2:$L$1001,MATCH(ROWS($J$2:J199),$J$2:$J$1001,0),0), INDEX($Q$1004:$U$1004,1,MATCH(COLUMNS($Q$1006:T1006),$Q$1006:$U$1006,0)))),"Fix")))</f>
        <v xml:space="preserve"> </v>
      </c>
      <c r="F199" s="3" t="str">
        <f ca="1">IF(OR(INDEX($K$2:$K$1001,MATCH(ROWS($J$2:J199),$J$2:$J$1001,0),1)&gt;=100000,INDEX($Q$1005:$U$1005,1,MATCH(COLUMNS($Q$1006:U1006),$Q$1006:$U$1006,0))&gt;=100000), " ",IF(INDEX($Q$2:$U$1001,MATCH(ROWS($J$2:J199),$J$2:$J$1001,0),MATCH(COLUMNS($Q$1006:U1006),$Q$1006:$U$1006,0)), HYPERLINK("#",""), HYPERLINK(CONCATENATE("#metadata!", ADDRESS(INDEX($L$2:$L$1001,MATCH(ROWS($J$2:J199),$J$2:$J$1001,0),0), INDEX($Q$1004:$U$1004,1,MATCH(COLUMNS($Q$1006:U1006),$Q$1006:$U$1006,0)))),"Fix")))</f>
        <v xml:space="preserve"> </v>
      </c>
      <c r="J199">
        <v>198</v>
      </c>
      <c r="K199">
        <v>100199</v>
      </c>
      <c r="L199">
        <v>199</v>
      </c>
      <c r="M199" t="b">
        <f t="shared" si="3"/>
        <v>1</v>
      </c>
      <c r="N199" t="b">
        <f>COUNTBLANK(metadata!B199:F199)=COLUMNS(metadata!B199:F199)</f>
        <v>1</v>
      </c>
      <c r="O199" t="str">
        <v/>
      </c>
      <c r="Q199" t="b">
        <f ca="1">AND(IF(metadata!B199="",FALSE,TRUE),COUNTIF(metadata!B:B, metadata!B199) = 1,NOT(ISERROR(SUMPRODUCT(SEARCH(MID(metadata!B199,ROW(INDIRECT("1:"&amp;LEN(metadata!B199))), 1),"0123456789abcdefghijklmnopqrstuvwxyzABCDEFGHIJKLMNOPQRSTUVWXYZ.")))))</f>
        <v>0</v>
      </c>
      <c r="R199" t="b">
        <f>AND(IF(metadata!C199="",FALSE,TRUE),OR(EXACT(metadata!C199,"saline"),EXACT(metadata!C199,"non-saline")))</f>
        <v>0</v>
      </c>
      <c r="S199" t="b">
        <f>AND(IF(metadata!D199="",FALSE,TRUE),OR(EXACT(metadata!D199,"surface (non-saline)"),EXACT(metadata!D199,"aerosol (non-saline)"),EXACT(metadata!D199,"sediment (non-saline)"),EXACT(metadata!D199,"surface (saline)"),EXACT(metadata!D199,"aerosol (saline)"),EXACT(metadata!D199,"sediment (saline)")))</f>
        <v>0</v>
      </c>
      <c r="T199" t="b">
        <f>AND(IF(metadata!E199="",FALSE,TRUE),EXACT(metadata!E199,"built environment"))</f>
        <v>0</v>
      </c>
      <c r="U199" t="b">
        <f>OR(AND(IF(metadata!F199="",FALSE,TRUE),EXACT(metadata!F199,"not applicable")),AND(IF(metadata!F199="",FALSE,TRUE),EXACT(metadata!F199,"anaerobic digester content")))</f>
        <v>0</v>
      </c>
    </row>
    <row r="200" spans="1:21" x14ac:dyDescent="0.2">
      <c r="A200" s="4" t="str">
        <f ca="1">IF(B200=" "," ",HYPERLINK(CONCATENATE("#metadata!",ADDRESS(INDEX($L$2:$L$1001,MATCH(ROWS($J$2:J200),$J$2:$J$1001,0),0),1)),INDEX($O$2:$O$1001,MATCH(ROWS($J$2:J200),$J$2:$J$1001,0),0)))</f>
        <v xml:space="preserve"> </v>
      </c>
      <c r="B200" s="3" t="str">
        <f ca="1">IF(OR(INDEX($K$2:$K$1001,MATCH(ROWS($J$2:J200),$J$2:$J$1001,0),1)&gt;=100000,INDEX($Q$1005:$U$1005,1,MATCH(COLUMNS($Q$1006:Q1006),$Q$1006:$U$1006,0))&gt;=100000), " ",IF(INDEX($Q$2:$U$1001,MATCH(ROWS($J$2:J200),$J$2:$J$1001,0),MATCH(COLUMNS($Q$1006:Q1006),$Q$1006:$U$1006,0)), HYPERLINK("#",""), HYPERLINK(CONCATENATE("#metadata!", ADDRESS(INDEX($L$2:$L$1001,MATCH(ROWS($J$2:J200),$J$2:$J$1001,0),0), INDEX($Q$1004:$U$1004,1,MATCH(COLUMNS($Q$1006:Q1006),$Q$1006:$U$1006,0)))),"Fix")))</f>
        <v xml:space="preserve"> </v>
      </c>
      <c r="C200" s="3" t="str">
        <f ca="1">IF(OR(INDEX($K$2:$K$1001,MATCH(ROWS($J$2:J200),$J$2:$J$1001,0),1)&gt;=100000,INDEX($Q$1005:$U$1005,1,MATCH(COLUMNS($Q$1006:R1006),$Q$1006:$U$1006,0))&gt;=100000), " ",IF(INDEX($Q$2:$U$1001,MATCH(ROWS($J$2:J200),$J$2:$J$1001,0),MATCH(COLUMNS($Q$1006:R1006),$Q$1006:$U$1006,0)), HYPERLINK("#",""), HYPERLINK(CONCATENATE("#metadata!", ADDRESS(INDEX($L$2:$L$1001,MATCH(ROWS($J$2:J200),$J$2:$J$1001,0),0), INDEX($Q$1004:$U$1004,1,MATCH(COLUMNS($Q$1006:R1006),$Q$1006:$U$1006,0)))),"Fix")))</f>
        <v xml:space="preserve"> </v>
      </c>
      <c r="D200" s="3" t="str">
        <f ca="1">IF(OR(INDEX($K$2:$K$1001,MATCH(ROWS($J$2:J200),$J$2:$J$1001,0),1)&gt;=100000,INDEX($Q$1005:$U$1005,1,MATCH(COLUMNS($Q$1006:S1006),$Q$1006:$U$1006,0))&gt;=100000), " ",IF(INDEX($Q$2:$U$1001,MATCH(ROWS($J$2:J200),$J$2:$J$1001,0),MATCH(COLUMNS($Q$1006:S1006),$Q$1006:$U$1006,0)), HYPERLINK("#",""), HYPERLINK(CONCATENATE("#metadata!", ADDRESS(INDEX($L$2:$L$1001,MATCH(ROWS($J$2:J200),$J$2:$J$1001,0),0), INDEX($Q$1004:$U$1004,1,MATCH(COLUMNS($Q$1006:S1006),$Q$1006:$U$1006,0)))),"Fix")))</f>
        <v xml:space="preserve"> </v>
      </c>
      <c r="E200" s="3" t="str">
        <f ca="1">IF(OR(INDEX($K$2:$K$1001,MATCH(ROWS($J$2:J200),$J$2:$J$1001,0),1)&gt;=100000,INDEX($Q$1005:$U$1005,1,MATCH(COLUMNS($Q$1006:T1006),$Q$1006:$U$1006,0))&gt;=100000), " ",IF(INDEX($Q$2:$U$1001,MATCH(ROWS($J$2:J200),$J$2:$J$1001,0),MATCH(COLUMNS($Q$1006:T1006),$Q$1006:$U$1006,0)), HYPERLINK("#",""), HYPERLINK(CONCATENATE("#metadata!", ADDRESS(INDEX($L$2:$L$1001,MATCH(ROWS($J$2:J200),$J$2:$J$1001,0),0), INDEX($Q$1004:$U$1004,1,MATCH(COLUMNS($Q$1006:T1006),$Q$1006:$U$1006,0)))),"Fix")))</f>
        <v xml:space="preserve"> </v>
      </c>
      <c r="F200" s="3" t="str">
        <f ca="1">IF(OR(INDEX($K$2:$K$1001,MATCH(ROWS($J$2:J200),$J$2:$J$1001,0),1)&gt;=100000,INDEX($Q$1005:$U$1005,1,MATCH(COLUMNS($Q$1006:U1006),$Q$1006:$U$1006,0))&gt;=100000), " ",IF(INDEX($Q$2:$U$1001,MATCH(ROWS($J$2:J200),$J$2:$J$1001,0),MATCH(COLUMNS($Q$1006:U1006),$Q$1006:$U$1006,0)), HYPERLINK("#",""), HYPERLINK(CONCATENATE("#metadata!", ADDRESS(INDEX($L$2:$L$1001,MATCH(ROWS($J$2:J200),$J$2:$J$1001,0),0), INDEX($Q$1004:$U$1004,1,MATCH(COLUMNS($Q$1006:U1006),$Q$1006:$U$1006,0)))),"Fix")))</f>
        <v xml:space="preserve"> </v>
      </c>
      <c r="J200">
        <v>199</v>
      </c>
      <c r="K200">
        <v>100200</v>
      </c>
      <c r="L200">
        <v>200</v>
      </c>
      <c r="M200" t="b">
        <f t="shared" si="3"/>
        <v>1</v>
      </c>
      <c r="N200" t="b">
        <f>COUNTBLANK(metadata!B200:F200)=COLUMNS(metadata!B200:F200)</f>
        <v>1</v>
      </c>
      <c r="O200" t="str">
        <v/>
      </c>
      <c r="Q200" t="b">
        <f ca="1">AND(IF(metadata!B200="",FALSE,TRUE),COUNTIF(metadata!B:B, metadata!B200) = 1,NOT(ISERROR(SUMPRODUCT(SEARCH(MID(metadata!B200,ROW(INDIRECT("1:"&amp;LEN(metadata!B200))), 1),"0123456789abcdefghijklmnopqrstuvwxyzABCDEFGHIJKLMNOPQRSTUVWXYZ.")))))</f>
        <v>0</v>
      </c>
      <c r="R200" t="b">
        <f>AND(IF(metadata!C200="",FALSE,TRUE),OR(EXACT(metadata!C200,"saline"),EXACT(metadata!C200,"non-saline")))</f>
        <v>0</v>
      </c>
      <c r="S200" t="b">
        <f>AND(IF(metadata!D200="",FALSE,TRUE),OR(EXACT(metadata!D200,"surface (non-saline)"),EXACT(metadata!D200,"aerosol (non-saline)"),EXACT(metadata!D200,"sediment (non-saline)"),EXACT(metadata!D200,"surface (saline)"),EXACT(metadata!D200,"aerosol (saline)"),EXACT(metadata!D200,"sediment (saline)")))</f>
        <v>0</v>
      </c>
      <c r="T200" t="b">
        <f>AND(IF(metadata!E200="",FALSE,TRUE),EXACT(metadata!E200,"built environment"))</f>
        <v>0</v>
      </c>
      <c r="U200" t="b">
        <f>OR(AND(IF(metadata!F200="",FALSE,TRUE),EXACT(metadata!F200,"not applicable")),AND(IF(metadata!F200="",FALSE,TRUE),EXACT(metadata!F200,"anaerobic digester content")))</f>
        <v>0</v>
      </c>
    </row>
    <row r="201" spans="1:21" x14ac:dyDescent="0.2">
      <c r="A201" s="4" t="str">
        <f ca="1">IF(B201=" "," ",HYPERLINK(CONCATENATE("#metadata!",ADDRESS(INDEX($L$2:$L$1001,MATCH(ROWS($J$2:J201),$J$2:$J$1001,0),0),1)),INDEX($O$2:$O$1001,MATCH(ROWS($J$2:J201),$J$2:$J$1001,0),0)))</f>
        <v xml:space="preserve"> </v>
      </c>
      <c r="B201" s="3" t="str">
        <f ca="1">IF(OR(INDEX($K$2:$K$1001,MATCH(ROWS($J$2:J201),$J$2:$J$1001,0),1)&gt;=100000,INDEX($Q$1005:$U$1005,1,MATCH(COLUMNS($Q$1006:Q1006),$Q$1006:$U$1006,0))&gt;=100000), " ",IF(INDEX($Q$2:$U$1001,MATCH(ROWS($J$2:J201),$J$2:$J$1001,0),MATCH(COLUMNS($Q$1006:Q1006),$Q$1006:$U$1006,0)), HYPERLINK("#",""), HYPERLINK(CONCATENATE("#metadata!", ADDRESS(INDEX($L$2:$L$1001,MATCH(ROWS($J$2:J201),$J$2:$J$1001,0),0), INDEX($Q$1004:$U$1004,1,MATCH(COLUMNS($Q$1006:Q1006),$Q$1006:$U$1006,0)))),"Fix")))</f>
        <v xml:space="preserve"> </v>
      </c>
      <c r="C201" s="3" t="str">
        <f ca="1">IF(OR(INDEX($K$2:$K$1001,MATCH(ROWS($J$2:J201),$J$2:$J$1001,0),1)&gt;=100000,INDEX($Q$1005:$U$1005,1,MATCH(COLUMNS($Q$1006:R1006),$Q$1006:$U$1006,0))&gt;=100000), " ",IF(INDEX($Q$2:$U$1001,MATCH(ROWS($J$2:J201),$J$2:$J$1001,0),MATCH(COLUMNS($Q$1006:R1006),$Q$1006:$U$1006,0)), HYPERLINK("#",""), HYPERLINK(CONCATENATE("#metadata!", ADDRESS(INDEX($L$2:$L$1001,MATCH(ROWS($J$2:J201),$J$2:$J$1001,0),0), INDEX($Q$1004:$U$1004,1,MATCH(COLUMNS($Q$1006:R1006),$Q$1006:$U$1006,0)))),"Fix")))</f>
        <v xml:space="preserve"> </v>
      </c>
      <c r="D201" s="3" t="str">
        <f ca="1">IF(OR(INDEX($K$2:$K$1001,MATCH(ROWS($J$2:J201),$J$2:$J$1001,0),1)&gt;=100000,INDEX($Q$1005:$U$1005,1,MATCH(COLUMNS($Q$1006:S1006),$Q$1006:$U$1006,0))&gt;=100000), " ",IF(INDEX($Q$2:$U$1001,MATCH(ROWS($J$2:J201),$J$2:$J$1001,0),MATCH(COLUMNS($Q$1006:S1006),$Q$1006:$U$1006,0)), HYPERLINK("#",""), HYPERLINK(CONCATENATE("#metadata!", ADDRESS(INDEX($L$2:$L$1001,MATCH(ROWS($J$2:J201),$J$2:$J$1001,0),0), INDEX($Q$1004:$U$1004,1,MATCH(COLUMNS($Q$1006:S1006),$Q$1006:$U$1006,0)))),"Fix")))</f>
        <v xml:space="preserve"> </v>
      </c>
      <c r="E201" s="3" t="str">
        <f ca="1">IF(OR(INDEX($K$2:$K$1001,MATCH(ROWS($J$2:J201),$J$2:$J$1001,0),1)&gt;=100000,INDEX($Q$1005:$U$1005,1,MATCH(COLUMNS($Q$1006:T1006),$Q$1006:$U$1006,0))&gt;=100000), " ",IF(INDEX($Q$2:$U$1001,MATCH(ROWS($J$2:J201),$J$2:$J$1001,0),MATCH(COLUMNS($Q$1006:T1006),$Q$1006:$U$1006,0)), HYPERLINK("#",""), HYPERLINK(CONCATENATE("#metadata!", ADDRESS(INDEX($L$2:$L$1001,MATCH(ROWS($J$2:J201),$J$2:$J$1001,0),0), INDEX($Q$1004:$U$1004,1,MATCH(COLUMNS($Q$1006:T1006),$Q$1006:$U$1006,0)))),"Fix")))</f>
        <v xml:space="preserve"> </v>
      </c>
      <c r="F201" s="3" t="str">
        <f ca="1">IF(OR(INDEX($K$2:$K$1001,MATCH(ROWS($J$2:J201),$J$2:$J$1001,0),1)&gt;=100000,INDEX($Q$1005:$U$1005,1,MATCH(COLUMNS($Q$1006:U1006),$Q$1006:$U$1006,0))&gt;=100000), " ",IF(INDEX($Q$2:$U$1001,MATCH(ROWS($J$2:J201),$J$2:$J$1001,0),MATCH(COLUMNS($Q$1006:U1006),$Q$1006:$U$1006,0)), HYPERLINK("#",""), HYPERLINK(CONCATENATE("#metadata!", ADDRESS(INDEX($L$2:$L$1001,MATCH(ROWS($J$2:J201),$J$2:$J$1001,0),0), INDEX($Q$1004:$U$1004,1,MATCH(COLUMNS($Q$1006:U1006),$Q$1006:$U$1006,0)))),"Fix")))</f>
        <v xml:space="preserve"> </v>
      </c>
      <c r="J201">
        <v>200</v>
      </c>
      <c r="K201">
        <v>100201</v>
      </c>
      <c r="L201">
        <v>201</v>
      </c>
      <c r="M201" t="b">
        <f t="shared" si="3"/>
        <v>1</v>
      </c>
      <c r="N201" t="b">
        <f>COUNTBLANK(metadata!B201:F201)=COLUMNS(metadata!B201:F201)</f>
        <v>1</v>
      </c>
      <c r="O201" t="str">
        <v/>
      </c>
      <c r="Q201" t="b">
        <f ca="1">AND(IF(metadata!B201="",FALSE,TRUE),COUNTIF(metadata!B:B, metadata!B201) = 1,NOT(ISERROR(SUMPRODUCT(SEARCH(MID(metadata!B201,ROW(INDIRECT("1:"&amp;LEN(metadata!B201))), 1),"0123456789abcdefghijklmnopqrstuvwxyzABCDEFGHIJKLMNOPQRSTUVWXYZ.")))))</f>
        <v>0</v>
      </c>
      <c r="R201" t="b">
        <f>AND(IF(metadata!C201="",FALSE,TRUE),OR(EXACT(metadata!C201,"saline"),EXACT(metadata!C201,"non-saline")))</f>
        <v>0</v>
      </c>
      <c r="S201" t="b">
        <f>AND(IF(metadata!D201="",FALSE,TRUE),OR(EXACT(metadata!D201,"surface (non-saline)"),EXACT(metadata!D201,"aerosol (non-saline)"),EXACT(metadata!D201,"sediment (non-saline)"),EXACT(metadata!D201,"surface (saline)"),EXACT(metadata!D201,"aerosol (saline)"),EXACT(metadata!D201,"sediment (saline)")))</f>
        <v>0</v>
      </c>
      <c r="T201" t="b">
        <f>AND(IF(metadata!E201="",FALSE,TRUE),EXACT(metadata!E201,"built environment"))</f>
        <v>0</v>
      </c>
      <c r="U201" t="b">
        <f>OR(AND(IF(metadata!F201="",FALSE,TRUE),EXACT(metadata!F201,"not applicable")),AND(IF(metadata!F201="",FALSE,TRUE),EXACT(metadata!F201,"anaerobic digester content")))</f>
        <v>0</v>
      </c>
    </row>
    <row r="202" spans="1:21" x14ac:dyDescent="0.2">
      <c r="A202" s="4" t="str">
        <f ca="1">IF(B202=" "," ",HYPERLINK(CONCATENATE("#metadata!",ADDRESS(INDEX($L$2:$L$1001,MATCH(ROWS($J$2:J202),$J$2:$J$1001,0),0),1)),INDEX($O$2:$O$1001,MATCH(ROWS($J$2:J202),$J$2:$J$1001,0),0)))</f>
        <v xml:space="preserve"> </v>
      </c>
      <c r="B202" s="3" t="str">
        <f ca="1">IF(OR(INDEX($K$2:$K$1001,MATCH(ROWS($J$2:J202),$J$2:$J$1001,0),1)&gt;=100000,INDEX($Q$1005:$U$1005,1,MATCH(COLUMNS($Q$1006:Q1006),$Q$1006:$U$1006,0))&gt;=100000), " ",IF(INDEX($Q$2:$U$1001,MATCH(ROWS($J$2:J202),$J$2:$J$1001,0),MATCH(COLUMNS($Q$1006:Q1006),$Q$1006:$U$1006,0)), HYPERLINK("#",""), HYPERLINK(CONCATENATE("#metadata!", ADDRESS(INDEX($L$2:$L$1001,MATCH(ROWS($J$2:J202),$J$2:$J$1001,0),0), INDEX($Q$1004:$U$1004,1,MATCH(COLUMNS($Q$1006:Q1006),$Q$1006:$U$1006,0)))),"Fix")))</f>
        <v xml:space="preserve"> </v>
      </c>
      <c r="C202" s="3" t="str">
        <f ca="1">IF(OR(INDEX($K$2:$K$1001,MATCH(ROWS($J$2:J202),$J$2:$J$1001,0),1)&gt;=100000,INDEX($Q$1005:$U$1005,1,MATCH(COLUMNS($Q$1006:R1006),$Q$1006:$U$1006,0))&gt;=100000), " ",IF(INDEX($Q$2:$U$1001,MATCH(ROWS($J$2:J202),$J$2:$J$1001,0),MATCH(COLUMNS($Q$1006:R1006),$Q$1006:$U$1006,0)), HYPERLINK("#",""), HYPERLINK(CONCATENATE("#metadata!", ADDRESS(INDEX($L$2:$L$1001,MATCH(ROWS($J$2:J202),$J$2:$J$1001,0),0), INDEX($Q$1004:$U$1004,1,MATCH(COLUMNS($Q$1006:R1006),$Q$1006:$U$1006,0)))),"Fix")))</f>
        <v xml:space="preserve"> </v>
      </c>
      <c r="D202" s="3" t="str">
        <f ca="1">IF(OR(INDEX($K$2:$K$1001,MATCH(ROWS($J$2:J202),$J$2:$J$1001,0),1)&gt;=100000,INDEX($Q$1005:$U$1005,1,MATCH(COLUMNS($Q$1006:S1006),$Q$1006:$U$1006,0))&gt;=100000), " ",IF(INDEX($Q$2:$U$1001,MATCH(ROWS($J$2:J202),$J$2:$J$1001,0),MATCH(COLUMNS($Q$1006:S1006),$Q$1006:$U$1006,0)), HYPERLINK("#",""), HYPERLINK(CONCATENATE("#metadata!", ADDRESS(INDEX($L$2:$L$1001,MATCH(ROWS($J$2:J202),$J$2:$J$1001,0),0), INDEX($Q$1004:$U$1004,1,MATCH(COLUMNS($Q$1006:S1006),$Q$1006:$U$1006,0)))),"Fix")))</f>
        <v xml:space="preserve"> </v>
      </c>
      <c r="E202" s="3" t="str">
        <f ca="1">IF(OR(INDEX($K$2:$K$1001,MATCH(ROWS($J$2:J202),$J$2:$J$1001,0),1)&gt;=100000,INDEX($Q$1005:$U$1005,1,MATCH(COLUMNS($Q$1006:T1006),$Q$1006:$U$1006,0))&gt;=100000), " ",IF(INDEX($Q$2:$U$1001,MATCH(ROWS($J$2:J202),$J$2:$J$1001,0),MATCH(COLUMNS($Q$1006:T1006),$Q$1006:$U$1006,0)), HYPERLINK("#",""), HYPERLINK(CONCATENATE("#metadata!", ADDRESS(INDEX($L$2:$L$1001,MATCH(ROWS($J$2:J202),$J$2:$J$1001,0),0), INDEX($Q$1004:$U$1004,1,MATCH(COLUMNS($Q$1006:T1006),$Q$1006:$U$1006,0)))),"Fix")))</f>
        <v xml:space="preserve"> </v>
      </c>
      <c r="F202" s="3" t="str">
        <f ca="1">IF(OR(INDEX($K$2:$K$1001,MATCH(ROWS($J$2:J202),$J$2:$J$1001,0),1)&gt;=100000,INDEX($Q$1005:$U$1005,1,MATCH(COLUMNS($Q$1006:U1006),$Q$1006:$U$1006,0))&gt;=100000), " ",IF(INDEX($Q$2:$U$1001,MATCH(ROWS($J$2:J202),$J$2:$J$1001,0),MATCH(COLUMNS($Q$1006:U1006),$Q$1006:$U$1006,0)), HYPERLINK("#",""), HYPERLINK(CONCATENATE("#metadata!", ADDRESS(INDEX($L$2:$L$1001,MATCH(ROWS($J$2:J202),$J$2:$J$1001,0),0), INDEX($Q$1004:$U$1004,1,MATCH(COLUMNS($Q$1006:U1006),$Q$1006:$U$1006,0)))),"Fix")))</f>
        <v xml:space="preserve"> </v>
      </c>
      <c r="J202">
        <v>201</v>
      </c>
      <c r="K202">
        <v>100202</v>
      </c>
      <c r="L202">
        <v>202</v>
      </c>
      <c r="M202" t="b">
        <f t="shared" si="3"/>
        <v>1</v>
      </c>
      <c r="N202" t="b">
        <f>COUNTBLANK(metadata!B202:F202)=COLUMNS(metadata!B202:F202)</f>
        <v>1</v>
      </c>
      <c r="O202" t="str">
        <v/>
      </c>
      <c r="Q202" t="b">
        <f ca="1">AND(IF(metadata!B202="",FALSE,TRUE),COUNTIF(metadata!B:B, metadata!B202) = 1,NOT(ISERROR(SUMPRODUCT(SEARCH(MID(metadata!B202,ROW(INDIRECT("1:"&amp;LEN(metadata!B202))), 1),"0123456789abcdefghijklmnopqrstuvwxyzABCDEFGHIJKLMNOPQRSTUVWXYZ.")))))</f>
        <v>0</v>
      </c>
      <c r="R202" t="b">
        <f>AND(IF(metadata!C202="",FALSE,TRUE),OR(EXACT(metadata!C202,"saline"),EXACT(metadata!C202,"non-saline")))</f>
        <v>0</v>
      </c>
      <c r="S202" t="b">
        <f>AND(IF(metadata!D202="",FALSE,TRUE),OR(EXACT(metadata!D202,"surface (non-saline)"),EXACT(metadata!D202,"aerosol (non-saline)"),EXACT(metadata!D202,"sediment (non-saline)"),EXACT(metadata!D202,"surface (saline)"),EXACT(metadata!D202,"aerosol (saline)"),EXACT(metadata!D202,"sediment (saline)")))</f>
        <v>0</v>
      </c>
      <c r="T202" t="b">
        <f>AND(IF(metadata!E202="",FALSE,TRUE),EXACT(metadata!E202,"built environment"))</f>
        <v>0</v>
      </c>
      <c r="U202" t="b">
        <f>OR(AND(IF(metadata!F202="",FALSE,TRUE),EXACT(metadata!F202,"not applicable")),AND(IF(metadata!F202="",FALSE,TRUE),EXACT(metadata!F202,"anaerobic digester content")))</f>
        <v>0</v>
      </c>
    </row>
    <row r="203" spans="1:21" x14ac:dyDescent="0.2">
      <c r="A203" s="4" t="str">
        <f ca="1">IF(B203=" "," ",HYPERLINK(CONCATENATE("#metadata!",ADDRESS(INDEX($L$2:$L$1001,MATCH(ROWS($J$2:J203),$J$2:$J$1001,0),0),1)),INDEX($O$2:$O$1001,MATCH(ROWS($J$2:J203),$J$2:$J$1001,0),0)))</f>
        <v xml:space="preserve"> </v>
      </c>
      <c r="B203" s="3" t="str">
        <f ca="1">IF(OR(INDEX($K$2:$K$1001,MATCH(ROWS($J$2:J203),$J$2:$J$1001,0),1)&gt;=100000,INDEX($Q$1005:$U$1005,1,MATCH(COLUMNS($Q$1006:Q1006),$Q$1006:$U$1006,0))&gt;=100000), " ",IF(INDEX($Q$2:$U$1001,MATCH(ROWS($J$2:J203),$J$2:$J$1001,0),MATCH(COLUMNS($Q$1006:Q1006),$Q$1006:$U$1006,0)), HYPERLINK("#",""), HYPERLINK(CONCATENATE("#metadata!", ADDRESS(INDEX($L$2:$L$1001,MATCH(ROWS($J$2:J203),$J$2:$J$1001,0),0), INDEX($Q$1004:$U$1004,1,MATCH(COLUMNS($Q$1006:Q1006),$Q$1006:$U$1006,0)))),"Fix")))</f>
        <v xml:space="preserve"> </v>
      </c>
      <c r="C203" s="3" t="str">
        <f ca="1">IF(OR(INDEX($K$2:$K$1001,MATCH(ROWS($J$2:J203),$J$2:$J$1001,0),1)&gt;=100000,INDEX($Q$1005:$U$1005,1,MATCH(COLUMNS($Q$1006:R1006),$Q$1006:$U$1006,0))&gt;=100000), " ",IF(INDEX($Q$2:$U$1001,MATCH(ROWS($J$2:J203),$J$2:$J$1001,0),MATCH(COLUMNS($Q$1006:R1006),$Q$1006:$U$1006,0)), HYPERLINK("#",""), HYPERLINK(CONCATENATE("#metadata!", ADDRESS(INDEX($L$2:$L$1001,MATCH(ROWS($J$2:J203),$J$2:$J$1001,0),0), INDEX($Q$1004:$U$1004,1,MATCH(COLUMNS($Q$1006:R1006),$Q$1006:$U$1006,0)))),"Fix")))</f>
        <v xml:space="preserve"> </v>
      </c>
      <c r="D203" s="3" t="str">
        <f ca="1">IF(OR(INDEX($K$2:$K$1001,MATCH(ROWS($J$2:J203),$J$2:$J$1001,0),1)&gt;=100000,INDEX($Q$1005:$U$1005,1,MATCH(COLUMNS($Q$1006:S1006),$Q$1006:$U$1006,0))&gt;=100000), " ",IF(INDEX($Q$2:$U$1001,MATCH(ROWS($J$2:J203),$J$2:$J$1001,0),MATCH(COLUMNS($Q$1006:S1006),$Q$1006:$U$1006,0)), HYPERLINK("#",""), HYPERLINK(CONCATENATE("#metadata!", ADDRESS(INDEX($L$2:$L$1001,MATCH(ROWS($J$2:J203),$J$2:$J$1001,0),0), INDEX($Q$1004:$U$1004,1,MATCH(COLUMNS($Q$1006:S1006),$Q$1006:$U$1006,0)))),"Fix")))</f>
        <v xml:space="preserve"> </v>
      </c>
      <c r="E203" s="3" t="str">
        <f ca="1">IF(OR(INDEX($K$2:$K$1001,MATCH(ROWS($J$2:J203),$J$2:$J$1001,0),1)&gt;=100000,INDEX($Q$1005:$U$1005,1,MATCH(COLUMNS($Q$1006:T1006),$Q$1006:$U$1006,0))&gt;=100000), " ",IF(INDEX($Q$2:$U$1001,MATCH(ROWS($J$2:J203),$J$2:$J$1001,0),MATCH(COLUMNS($Q$1006:T1006),$Q$1006:$U$1006,0)), HYPERLINK("#",""), HYPERLINK(CONCATENATE("#metadata!", ADDRESS(INDEX($L$2:$L$1001,MATCH(ROWS($J$2:J203),$J$2:$J$1001,0),0), INDEX($Q$1004:$U$1004,1,MATCH(COLUMNS($Q$1006:T1006),$Q$1006:$U$1006,0)))),"Fix")))</f>
        <v xml:space="preserve"> </v>
      </c>
      <c r="F203" s="3" t="str">
        <f ca="1">IF(OR(INDEX($K$2:$K$1001,MATCH(ROWS($J$2:J203),$J$2:$J$1001,0),1)&gt;=100000,INDEX($Q$1005:$U$1005,1,MATCH(COLUMNS($Q$1006:U1006),$Q$1006:$U$1006,0))&gt;=100000), " ",IF(INDEX($Q$2:$U$1001,MATCH(ROWS($J$2:J203),$J$2:$J$1001,0),MATCH(COLUMNS($Q$1006:U1006),$Q$1006:$U$1006,0)), HYPERLINK("#",""), HYPERLINK(CONCATENATE("#metadata!", ADDRESS(INDEX($L$2:$L$1001,MATCH(ROWS($J$2:J203),$J$2:$J$1001,0),0), INDEX($Q$1004:$U$1004,1,MATCH(COLUMNS($Q$1006:U1006),$Q$1006:$U$1006,0)))),"Fix")))</f>
        <v xml:space="preserve"> </v>
      </c>
      <c r="J203">
        <v>202</v>
      </c>
      <c r="K203">
        <v>100203</v>
      </c>
      <c r="L203">
        <v>203</v>
      </c>
      <c r="M203" t="b">
        <f t="shared" si="3"/>
        <v>1</v>
      </c>
      <c r="N203" t="b">
        <f>COUNTBLANK(metadata!B203:F203)=COLUMNS(metadata!B203:F203)</f>
        <v>1</v>
      </c>
      <c r="O203" t="str">
        <v/>
      </c>
      <c r="Q203" t="b">
        <f ca="1">AND(IF(metadata!B203="",FALSE,TRUE),COUNTIF(metadata!B:B, metadata!B203) = 1,NOT(ISERROR(SUMPRODUCT(SEARCH(MID(metadata!B203,ROW(INDIRECT("1:"&amp;LEN(metadata!B203))), 1),"0123456789abcdefghijklmnopqrstuvwxyzABCDEFGHIJKLMNOPQRSTUVWXYZ.")))))</f>
        <v>0</v>
      </c>
      <c r="R203" t="b">
        <f>AND(IF(metadata!C203="",FALSE,TRUE),OR(EXACT(metadata!C203,"saline"),EXACT(metadata!C203,"non-saline")))</f>
        <v>0</v>
      </c>
      <c r="S203" t="b">
        <f>AND(IF(metadata!D203="",FALSE,TRUE),OR(EXACT(metadata!D203,"surface (non-saline)"),EXACT(metadata!D203,"aerosol (non-saline)"),EXACT(metadata!D203,"sediment (non-saline)"),EXACT(metadata!D203,"surface (saline)"),EXACT(metadata!D203,"aerosol (saline)"),EXACT(metadata!D203,"sediment (saline)")))</f>
        <v>0</v>
      </c>
      <c r="T203" t="b">
        <f>AND(IF(metadata!E203="",FALSE,TRUE),EXACT(metadata!E203,"built environment"))</f>
        <v>0</v>
      </c>
      <c r="U203" t="b">
        <f>OR(AND(IF(metadata!F203="",FALSE,TRUE),EXACT(metadata!F203,"not applicable")),AND(IF(metadata!F203="",FALSE,TRUE),EXACT(metadata!F203,"anaerobic digester content")))</f>
        <v>0</v>
      </c>
    </row>
    <row r="204" spans="1:21" x14ac:dyDescent="0.2">
      <c r="A204" s="4" t="str">
        <f ca="1">IF(B204=" "," ",HYPERLINK(CONCATENATE("#metadata!",ADDRESS(INDEX($L$2:$L$1001,MATCH(ROWS($J$2:J204),$J$2:$J$1001,0),0),1)),INDEX($O$2:$O$1001,MATCH(ROWS($J$2:J204),$J$2:$J$1001,0),0)))</f>
        <v xml:space="preserve"> </v>
      </c>
      <c r="B204" s="3" t="str">
        <f ca="1">IF(OR(INDEX($K$2:$K$1001,MATCH(ROWS($J$2:J204),$J$2:$J$1001,0),1)&gt;=100000,INDEX($Q$1005:$U$1005,1,MATCH(COLUMNS($Q$1006:Q1006),$Q$1006:$U$1006,0))&gt;=100000), " ",IF(INDEX($Q$2:$U$1001,MATCH(ROWS($J$2:J204),$J$2:$J$1001,0),MATCH(COLUMNS($Q$1006:Q1006),$Q$1006:$U$1006,0)), HYPERLINK("#",""), HYPERLINK(CONCATENATE("#metadata!", ADDRESS(INDEX($L$2:$L$1001,MATCH(ROWS($J$2:J204),$J$2:$J$1001,0),0), INDEX($Q$1004:$U$1004,1,MATCH(COLUMNS($Q$1006:Q1006),$Q$1006:$U$1006,0)))),"Fix")))</f>
        <v xml:space="preserve"> </v>
      </c>
      <c r="C204" s="3" t="str">
        <f ca="1">IF(OR(INDEX($K$2:$K$1001,MATCH(ROWS($J$2:J204),$J$2:$J$1001,0),1)&gt;=100000,INDEX($Q$1005:$U$1005,1,MATCH(COLUMNS($Q$1006:R1006),$Q$1006:$U$1006,0))&gt;=100000), " ",IF(INDEX($Q$2:$U$1001,MATCH(ROWS($J$2:J204),$J$2:$J$1001,0),MATCH(COLUMNS($Q$1006:R1006),$Q$1006:$U$1006,0)), HYPERLINK("#",""), HYPERLINK(CONCATENATE("#metadata!", ADDRESS(INDEX($L$2:$L$1001,MATCH(ROWS($J$2:J204),$J$2:$J$1001,0),0), INDEX($Q$1004:$U$1004,1,MATCH(COLUMNS($Q$1006:R1006),$Q$1006:$U$1006,0)))),"Fix")))</f>
        <v xml:space="preserve"> </v>
      </c>
      <c r="D204" s="3" t="str">
        <f ca="1">IF(OR(INDEX($K$2:$K$1001,MATCH(ROWS($J$2:J204),$J$2:$J$1001,0),1)&gt;=100000,INDEX($Q$1005:$U$1005,1,MATCH(COLUMNS($Q$1006:S1006),$Q$1006:$U$1006,0))&gt;=100000), " ",IF(INDEX($Q$2:$U$1001,MATCH(ROWS($J$2:J204),$J$2:$J$1001,0),MATCH(COLUMNS($Q$1006:S1006),$Q$1006:$U$1006,0)), HYPERLINK("#",""), HYPERLINK(CONCATENATE("#metadata!", ADDRESS(INDEX($L$2:$L$1001,MATCH(ROWS($J$2:J204),$J$2:$J$1001,0),0), INDEX($Q$1004:$U$1004,1,MATCH(COLUMNS($Q$1006:S1006),$Q$1006:$U$1006,0)))),"Fix")))</f>
        <v xml:space="preserve"> </v>
      </c>
      <c r="E204" s="3" t="str">
        <f ca="1">IF(OR(INDEX($K$2:$K$1001,MATCH(ROWS($J$2:J204),$J$2:$J$1001,0),1)&gt;=100000,INDEX($Q$1005:$U$1005,1,MATCH(COLUMNS($Q$1006:T1006),$Q$1006:$U$1006,0))&gt;=100000), " ",IF(INDEX($Q$2:$U$1001,MATCH(ROWS($J$2:J204),$J$2:$J$1001,0),MATCH(COLUMNS($Q$1006:T1006),$Q$1006:$U$1006,0)), HYPERLINK("#",""), HYPERLINK(CONCATENATE("#metadata!", ADDRESS(INDEX($L$2:$L$1001,MATCH(ROWS($J$2:J204),$J$2:$J$1001,0),0), INDEX($Q$1004:$U$1004,1,MATCH(COLUMNS($Q$1006:T1006),$Q$1006:$U$1006,0)))),"Fix")))</f>
        <v xml:space="preserve"> </v>
      </c>
      <c r="F204" s="3" t="str">
        <f ca="1">IF(OR(INDEX($K$2:$K$1001,MATCH(ROWS($J$2:J204),$J$2:$J$1001,0),1)&gt;=100000,INDEX($Q$1005:$U$1005,1,MATCH(COLUMNS($Q$1006:U1006),$Q$1006:$U$1006,0))&gt;=100000), " ",IF(INDEX($Q$2:$U$1001,MATCH(ROWS($J$2:J204),$J$2:$J$1001,0),MATCH(COLUMNS($Q$1006:U1006),$Q$1006:$U$1006,0)), HYPERLINK("#",""), HYPERLINK(CONCATENATE("#metadata!", ADDRESS(INDEX($L$2:$L$1001,MATCH(ROWS($J$2:J204),$J$2:$J$1001,0),0), INDEX($Q$1004:$U$1004,1,MATCH(COLUMNS($Q$1006:U1006),$Q$1006:$U$1006,0)))),"Fix")))</f>
        <v xml:space="preserve"> </v>
      </c>
      <c r="J204">
        <v>203</v>
      </c>
      <c r="K204">
        <v>100204</v>
      </c>
      <c r="L204">
        <v>204</v>
      </c>
      <c r="M204" t="b">
        <f t="shared" si="3"/>
        <v>1</v>
      </c>
      <c r="N204" t="b">
        <f>COUNTBLANK(metadata!B204:F204)=COLUMNS(metadata!B204:F204)</f>
        <v>1</v>
      </c>
      <c r="O204" t="str">
        <v/>
      </c>
      <c r="Q204" t="b">
        <f ca="1">AND(IF(metadata!B204="",FALSE,TRUE),COUNTIF(metadata!B:B, metadata!B204) = 1,NOT(ISERROR(SUMPRODUCT(SEARCH(MID(metadata!B204,ROW(INDIRECT("1:"&amp;LEN(metadata!B204))), 1),"0123456789abcdefghijklmnopqrstuvwxyzABCDEFGHIJKLMNOPQRSTUVWXYZ.")))))</f>
        <v>0</v>
      </c>
      <c r="R204" t="b">
        <f>AND(IF(metadata!C204="",FALSE,TRUE),OR(EXACT(metadata!C204,"saline"),EXACT(metadata!C204,"non-saline")))</f>
        <v>0</v>
      </c>
      <c r="S204" t="b">
        <f>AND(IF(metadata!D204="",FALSE,TRUE),OR(EXACT(metadata!D204,"surface (non-saline)"),EXACT(metadata!D204,"aerosol (non-saline)"),EXACT(metadata!D204,"sediment (non-saline)"),EXACT(metadata!D204,"surface (saline)"),EXACT(metadata!D204,"aerosol (saline)"),EXACT(metadata!D204,"sediment (saline)")))</f>
        <v>0</v>
      </c>
      <c r="T204" t="b">
        <f>AND(IF(metadata!E204="",FALSE,TRUE),EXACT(metadata!E204,"built environment"))</f>
        <v>0</v>
      </c>
      <c r="U204" t="b">
        <f>OR(AND(IF(metadata!F204="",FALSE,TRUE),EXACT(metadata!F204,"not applicable")),AND(IF(metadata!F204="",FALSE,TRUE),EXACT(metadata!F204,"anaerobic digester content")))</f>
        <v>0</v>
      </c>
    </row>
    <row r="205" spans="1:21" x14ac:dyDescent="0.2">
      <c r="A205" s="4" t="str">
        <f ca="1">IF(B205=" "," ",HYPERLINK(CONCATENATE("#metadata!",ADDRESS(INDEX($L$2:$L$1001,MATCH(ROWS($J$2:J205),$J$2:$J$1001,0),0),1)),INDEX($O$2:$O$1001,MATCH(ROWS($J$2:J205),$J$2:$J$1001,0),0)))</f>
        <v xml:space="preserve"> </v>
      </c>
      <c r="B205" s="3" t="str">
        <f ca="1">IF(OR(INDEX($K$2:$K$1001,MATCH(ROWS($J$2:J205),$J$2:$J$1001,0),1)&gt;=100000,INDEX($Q$1005:$U$1005,1,MATCH(COLUMNS($Q$1006:Q1006),$Q$1006:$U$1006,0))&gt;=100000), " ",IF(INDEX($Q$2:$U$1001,MATCH(ROWS($J$2:J205),$J$2:$J$1001,0),MATCH(COLUMNS($Q$1006:Q1006),$Q$1006:$U$1006,0)), HYPERLINK("#",""), HYPERLINK(CONCATENATE("#metadata!", ADDRESS(INDEX($L$2:$L$1001,MATCH(ROWS($J$2:J205),$J$2:$J$1001,0),0), INDEX($Q$1004:$U$1004,1,MATCH(COLUMNS($Q$1006:Q1006),$Q$1006:$U$1006,0)))),"Fix")))</f>
        <v xml:space="preserve"> </v>
      </c>
      <c r="C205" s="3" t="str">
        <f ca="1">IF(OR(INDEX($K$2:$K$1001,MATCH(ROWS($J$2:J205),$J$2:$J$1001,0),1)&gt;=100000,INDEX($Q$1005:$U$1005,1,MATCH(COLUMNS($Q$1006:R1006),$Q$1006:$U$1006,0))&gt;=100000), " ",IF(INDEX($Q$2:$U$1001,MATCH(ROWS($J$2:J205),$J$2:$J$1001,0),MATCH(COLUMNS($Q$1006:R1006),$Q$1006:$U$1006,0)), HYPERLINK("#",""), HYPERLINK(CONCATENATE("#metadata!", ADDRESS(INDEX($L$2:$L$1001,MATCH(ROWS($J$2:J205),$J$2:$J$1001,0),0), INDEX($Q$1004:$U$1004,1,MATCH(COLUMNS($Q$1006:R1006),$Q$1006:$U$1006,0)))),"Fix")))</f>
        <v xml:space="preserve"> </v>
      </c>
      <c r="D205" s="3" t="str">
        <f ca="1">IF(OR(INDEX($K$2:$K$1001,MATCH(ROWS($J$2:J205),$J$2:$J$1001,0),1)&gt;=100000,INDEX($Q$1005:$U$1005,1,MATCH(COLUMNS($Q$1006:S1006),$Q$1006:$U$1006,0))&gt;=100000), " ",IF(INDEX($Q$2:$U$1001,MATCH(ROWS($J$2:J205),$J$2:$J$1001,0),MATCH(COLUMNS($Q$1006:S1006),$Q$1006:$U$1006,0)), HYPERLINK("#",""), HYPERLINK(CONCATENATE("#metadata!", ADDRESS(INDEX($L$2:$L$1001,MATCH(ROWS($J$2:J205),$J$2:$J$1001,0),0), INDEX($Q$1004:$U$1004,1,MATCH(COLUMNS($Q$1006:S1006),$Q$1006:$U$1006,0)))),"Fix")))</f>
        <v xml:space="preserve"> </v>
      </c>
      <c r="E205" s="3" t="str">
        <f ca="1">IF(OR(INDEX($K$2:$K$1001,MATCH(ROWS($J$2:J205),$J$2:$J$1001,0),1)&gt;=100000,INDEX($Q$1005:$U$1005,1,MATCH(COLUMNS($Q$1006:T1006),$Q$1006:$U$1006,0))&gt;=100000), " ",IF(INDEX($Q$2:$U$1001,MATCH(ROWS($J$2:J205),$J$2:$J$1001,0),MATCH(COLUMNS($Q$1006:T1006),$Q$1006:$U$1006,0)), HYPERLINK("#",""), HYPERLINK(CONCATENATE("#metadata!", ADDRESS(INDEX($L$2:$L$1001,MATCH(ROWS($J$2:J205),$J$2:$J$1001,0),0), INDEX($Q$1004:$U$1004,1,MATCH(COLUMNS($Q$1006:T1006),$Q$1006:$U$1006,0)))),"Fix")))</f>
        <v xml:space="preserve"> </v>
      </c>
      <c r="F205" s="3" t="str">
        <f ca="1">IF(OR(INDEX($K$2:$K$1001,MATCH(ROWS($J$2:J205),$J$2:$J$1001,0),1)&gt;=100000,INDEX($Q$1005:$U$1005,1,MATCH(COLUMNS($Q$1006:U1006),$Q$1006:$U$1006,0))&gt;=100000), " ",IF(INDEX($Q$2:$U$1001,MATCH(ROWS($J$2:J205),$J$2:$J$1001,0),MATCH(COLUMNS($Q$1006:U1006),$Q$1006:$U$1006,0)), HYPERLINK("#",""), HYPERLINK(CONCATENATE("#metadata!", ADDRESS(INDEX($L$2:$L$1001,MATCH(ROWS($J$2:J205),$J$2:$J$1001,0),0), INDEX($Q$1004:$U$1004,1,MATCH(COLUMNS($Q$1006:U1006),$Q$1006:$U$1006,0)))),"Fix")))</f>
        <v xml:space="preserve"> </v>
      </c>
      <c r="J205">
        <v>204</v>
      </c>
      <c r="K205">
        <v>100205</v>
      </c>
      <c r="L205">
        <v>205</v>
      </c>
      <c r="M205" t="b">
        <f t="shared" si="3"/>
        <v>1</v>
      </c>
      <c r="N205" t="b">
        <f>COUNTBLANK(metadata!B205:F205)=COLUMNS(metadata!B205:F205)</f>
        <v>1</v>
      </c>
      <c r="O205" t="str">
        <v/>
      </c>
      <c r="Q205" t="b">
        <f ca="1">AND(IF(metadata!B205="",FALSE,TRUE),COUNTIF(metadata!B:B, metadata!B205) = 1,NOT(ISERROR(SUMPRODUCT(SEARCH(MID(metadata!B205,ROW(INDIRECT("1:"&amp;LEN(metadata!B205))), 1),"0123456789abcdefghijklmnopqrstuvwxyzABCDEFGHIJKLMNOPQRSTUVWXYZ.")))))</f>
        <v>0</v>
      </c>
      <c r="R205" t="b">
        <f>AND(IF(metadata!C205="",FALSE,TRUE),OR(EXACT(metadata!C205,"saline"),EXACT(metadata!C205,"non-saline")))</f>
        <v>0</v>
      </c>
      <c r="S205" t="b">
        <f>AND(IF(metadata!D205="",FALSE,TRUE),OR(EXACT(metadata!D205,"surface (non-saline)"),EXACT(metadata!D205,"aerosol (non-saline)"),EXACT(metadata!D205,"sediment (non-saline)"),EXACT(metadata!D205,"surface (saline)"),EXACT(metadata!D205,"aerosol (saline)"),EXACT(metadata!D205,"sediment (saline)")))</f>
        <v>0</v>
      </c>
      <c r="T205" t="b">
        <f>AND(IF(metadata!E205="",FALSE,TRUE),EXACT(metadata!E205,"built environment"))</f>
        <v>0</v>
      </c>
      <c r="U205" t="b">
        <f>OR(AND(IF(metadata!F205="",FALSE,TRUE),EXACT(metadata!F205,"not applicable")),AND(IF(metadata!F205="",FALSE,TRUE),EXACT(metadata!F205,"anaerobic digester content")))</f>
        <v>0</v>
      </c>
    </row>
    <row r="206" spans="1:21" x14ac:dyDescent="0.2">
      <c r="A206" s="4" t="str">
        <f ca="1">IF(B206=" "," ",HYPERLINK(CONCATENATE("#metadata!",ADDRESS(INDEX($L$2:$L$1001,MATCH(ROWS($J$2:J206),$J$2:$J$1001,0),0),1)),INDEX($O$2:$O$1001,MATCH(ROWS($J$2:J206),$J$2:$J$1001,0),0)))</f>
        <v xml:space="preserve"> </v>
      </c>
      <c r="B206" s="3" t="str">
        <f ca="1">IF(OR(INDEX($K$2:$K$1001,MATCH(ROWS($J$2:J206),$J$2:$J$1001,0),1)&gt;=100000,INDEX($Q$1005:$U$1005,1,MATCH(COLUMNS($Q$1006:Q1006),$Q$1006:$U$1006,0))&gt;=100000), " ",IF(INDEX($Q$2:$U$1001,MATCH(ROWS($J$2:J206),$J$2:$J$1001,0),MATCH(COLUMNS($Q$1006:Q1006),$Q$1006:$U$1006,0)), HYPERLINK("#",""), HYPERLINK(CONCATENATE("#metadata!", ADDRESS(INDEX($L$2:$L$1001,MATCH(ROWS($J$2:J206),$J$2:$J$1001,0),0), INDEX($Q$1004:$U$1004,1,MATCH(COLUMNS($Q$1006:Q1006),$Q$1006:$U$1006,0)))),"Fix")))</f>
        <v xml:space="preserve"> </v>
      </c>
      <c r="C206" s="3" t="str">
        <f ca="1">IF(OR(INDEX($K$2:$K$1001,MATCH(ROWS($J$2:J206),$J$2:$J$1001,0),1)&gt;=100000,INDEX($Q$1005:$U$1005,1,MATCH(COLUMNS($Q$1006:R1006),$Q$1006:$U$1006,0))&gt;=100000), " ",IF(INDEX($Q$2:$U$1001,MATCH(ROWS($J$2:J206),$J$2:$J$1001,0),MATCH(COLUMNS($Q$1006:R1006),$Q$1006:$U$1006,0)), HYPERLINK("#",""), HYPERLINK(CONCATENATE("#metadata!", ADDRESS(INDEX($L$2:$L$1001,MATCH(ROWS($J$2:J206),$J$2:$J$1001,0),0), INDEX($Q$1004:$U$1004,1,MATCH(COLUMNS($Q$1006:R1006),$Q$1006:$U$1006,0)))),"Fix")))</f>
        <v xml:space="preserve"> </v>
      </c>
      <c r="D206" s="3" t="str">
        <f ca="1">IF(OR(INDEX($K$2:$K$1001,MATCH(ROWS($J$2:J206),$J$2:$J$1001,0),1)&gt;=100000,INDEX($Q$1005:$U$1005,1,MATCH(COLUMNS($Q$1006:S1006),$Q$1006:$U$1006,0))&gt;=100000), " ",IF(INDEX($Q$2:$U$1001,MATCH(ROWS($J$2:J206),$J$2:$J$1001,0),MATCH(COLUMNS($Q$1006:S1006),$Q$1006:$U$1006,0)), HYPERLINK("#",""), HYPERLINK(CONCATENATE("#metadata!", ADDRESS(INDEX($L$2:$L$1001,MATCH(ROWS($J$2:J206),$J$2:$J$1001,0),0), INDEX($Q$1004:$U$1004,1,MATCH(COLUMNS($Q$1006:S1006),$Q$1006:$U$1006,0)))),"Fix")))</f>
        <v xml:space="preserve"> </v>
      </c>
      <c r="E206" s="3" t="str">
        <f ca="1">IF(OR(INDEX($K$2:$K$1001,MATCH(ROWS($J$2:J206),$J$2:$J$1001,0),1)&gt;=100000,INDEX($Q$1005:$U$1005,1,MATCH(COLUMNS($Q$1006:T1006),$Q$1006:$U$1006,0))&gt;=100000), " ",IF(INDEX($Q$2:$U$1001,MATCH(ROWS($J$2:J206),$J$2:$J$1001,0),MATCH(COLUMNS($Q$1006:T1006),$Q$1006:$U$1006,0)), HYPERLINK("#",""), HYPERLINK(CONCATENATE("#metadata!", ADDRESS(INDEX($L$2:$L$1001,MATCH(ROWS($J$2:J206),$J$2:$J$1001,0),0), INDEX($Q$1004:$U$1004,1,MATCH(COLUMNS($Q$1006:T1006),$Q$1006:$U$1006,0)))),"Fix")))</f>
        <v xml:space="preserve"> </v>
      </c>
      <c r="F206" s="3" t="str">
        <f ca="1">IF(OR(INDEX($K$2:$K$1001,MATCH(ROWS($J$2:J206),$J$2:$J$1001,0),1)&gt;=100000,INDEX($Q$1005:$U$1005,1,MATCH(COLUMNS($Q$1006:U1006),$Q$1006:$U$1006,0))&gt;=100000), " ",IF(INDEX($Q$2:$U$1001,MATCH(ROWS($J$2:J206),$J$2:$J$1001,0),MATCH(COLUMNS($Q$1006:U1006),$Q$1006:$U$1006,0)), HYPERLINK("#",""), HYPERLINK(CONCATENATE("#metadata!", ADDRESS(INDEX($L$2:$L$1001,MATCH(ROWS($J$2:J206),$J$2:$J$1001,0),0), INDEX($Q$1004:$U$1004,1,MATCH(COLUMNS($Q$1006:U1006),$Q$1006:$U$1006,0)))),"Fix")))</f>
        <v xml:space="preserve"> </v>
      </c>
      <c r="J206">
        <v>205</v>
      </c>
      <c r="K206">
        <v>100206</v>
      </c>
      <c r="L206">
        <v>206</v>
      </c>
      <c r="M206" t="b">
        <f t="shared" si="3"/>
        <v>1</v>
      </c>
      <c r="N206" t="b">
        <f>COUNTBLANK(metadata!B206:F206)=COLUMNS(metadata!B206:F206)</f>
        <v>1</v>
      </c>
      <c r="O206" t="str">
        <v/>
      </c>
      <c r="Q206" t="b">
        <f ca="1">AND(IF(metadata!B206="",FALSE,TRUE),COUNTIF(metadata!B:B, metadata!B206) = 1,NOT(ISERROR(SUMPRODUCT(SEARCH(MID(metadata!B206,ROW(INDIRECT("1:"&amp;LEN(metadata!B206))), 1),"0123456789abcdefghijklmnopqrstuvwxyzABCDEFGHIJKLMNOPQRSTUVWXYZ.")))))</f>
        <v>0</v>
      </c>
      <c r="R206" t="b">
        <f>AND(IF(metadata!C206="",FALSE,TRUE),OR(EXACT(metadata!C206,"saline"),EXACT(metadata!C206,"non-saline")))</f>
        <v>0</v>
      </c>
      <c r="S206" t="b">
        <f>AND(IF(metadata!D206="",FALSE,TRUE),OR(EXACT(metadata!D206,"surface (non-saline)"),EXACT(metadata!D206,"aerosol (non-saline)"),EXACT(metadata!D206,"sediment (non-saline)"),EXACT(metadata!D206,"surface (saline)"),EXACT(metadata!D206,"aerosol (saline)"),EXACT(metadata!D206,"sediment (saline)")))</f>
        <v>0</v>
      </c>
      <c r="T206" t="b">
        <f>AND(IF(metadata!E206="",FALSE,TRUE),EXACT(metadata!E206,"built environment"))</f>
        <v>0</v>
      </c>
      <c r="U206" t="b">
        <f>OR(AND(IF(metadata!F206="",FALSE,TRUE),EXACT(metadata!F206,"not applicable")),AND(IF(metadata!F206="",FALSE,TRUE),EXACT(metadata!F206,"anaerobic digester content")))</f>
        <v>0</v>
      </c>
    </row>
    <row r="207" spans="1:21" x14ac:dyDescent="0.2">
      <c r="A207" s="4" t="str">
        <f ca="1">IF(B207=" "," ",HYPERLINK(CONCATENATE("#metadata!",ADDRESS(INDEX($L$2:$L$1001,MATCH(ROWS($J$2:J207),$J$2:$J$1001,0),0),1)),INDEX($O$2:$O$1001,MATCH(ROWS($J$2:J207),$J$2:$J$1001,0),0)))</f>
        <v xml:space="preserve"> </v>
      </c>
      <c r="B207" s="3" t="str">
        <f ca="1">IF(OR(INDEX($K$2:$K$1001,MATCH(ROWS($J$2:J207),$J$2:$J$1001,0),1)&gt;=100000,INDEX($Q$1005:$U$1005,1,MATCH(COLUMNS($Q$1006:Q1006),$Q$1006:$U$1006,0))&gt;=100000), " ",IF(INDEX($Q$2:$U$1001,MATCH(ROWS($J$2:J207),$J$2:$J$1001,0),MATCH(COLUMNS($Q$1006:Q1006),$Q$1006:$U$1006,0)), HYPERLINK("#",""), HYPERLINK(CONCATENATE("#metadata!", ADDRESS(INDEX($L$2:$L$1001,MATCH(ROWS($J$2:J207),$J$2:$J$1001,0),0), INDEX($Q$1004:$U$1004,1,MATCH(COLUMNS($Q$1006:Q1006),$Q$1006:$U$1006,0)))),"Fix")))</f>
        <v xml:space="preserve"> </v>
      </c>
      <c r="C207" s="3" t="str">
        <f ca="1">IF(OR(INDEX($K$2:$K$1001,MATCH(ROWS($J$2:J207),$J$2:$J$1001,0),1)&gt;=100000,INDEX($Q$1005:$U$1005,1,MATCH(COLUMNS($Q$1006:R1006),$Q$1006:$U$1006,0))&gt;=100000), " ",IF(INDEX($Q$2:$U$1001,MATCH(ROWS($J$2:J207),$J$2:$J$1001,0),MATCH(COLUMNS($Q$1006:R1006),$Q$1006:$U$1006,0)), HYPERLINK("#",""), HYPERLINK(CONCATENATE("#metadata!", ADDRESS(INDEX($L$2:$L$1001,MATCH(ROWS($J$2:J207),$J$2:$J$1001,0),0), INDEX($Q$1004:$U$1004,1,MATCH(COLUMNS($Q$1006:R1006),$Q$1006:$U$1006,0)))),"Fix")))</f>
        <v xml:space="preserve"> </v>
      </c>
      <c r="D207" s="3" t="str">
        <f ca="1">IF(OR(INDEX($K$2:$K$1001,MATCH(ROWS($J$2:J207),$J$2:$J$1001,0),1)&gt;=100000,INDEX($Q$1005:$U$1005,1,MATCH(COLUMNS($Q$1006:S1006),$Q$1006:$U$1006,0))&gt;=100000), " ",IF(INDEX($Q$2:$U$1001,MATCH(ROWS($J$2:J207),$J$2:$J$1001,0),MATCH(COLUMNS($Q$1006:S1006),$Q$1006:$U$1006,0)), HYPERLINK("#",""), HYPERLINK(CONCATENATE("#metadata!", ADDRESS(INDEX($L$2:$L$1001,MATCH(ROWS($J$2:J207),$J$2:$J$1001,0),0), INDEX($Q$1004:$U$1004,1,MATCH(COLUMNS($Q$1006:S1006),$Q$1006:$U$1006,0)))),"Fix")))</f>
        <v xml:space="preserve"> </v>
      </c>
      <c r="E207" s="3" t="str">
        <f ca="1">IF(OR(INDEX($K$2:$K$1001,MATCH(ROWS($J$2:J207),$J$2:$J$1001,0),1)&gt;=100000,INDEX($Q$1005:$U$1005,1,MATCH(COLUMNS($Q$1006:T1006),$Q$1006:$U$1006,0))&gt;=100000), " ",IF(INDEX($Q$2:$U$1001,MATCH(ROWS($J$2:J207),$J$2:$J$1001,0),MATCH(COLUMNS($Q$1006:T1006),$Q$1006:$U$1006,0)), HYPERLINK("#",""), HYPERLINK(CONCATENATE("#metadata!", ADDRESS(INDEX($L$2:$L$1001,MATCH(ROWS($J$2:J207),$J$2:$J$1001,0),0), INDEX($Q$1004:$U$1004,1,MATCH(COLUMNS($Q$1006:T1006),$Q$1006:$U$1006,0)))),"Fix")))</f>
        <v xml:space="preserve"> </v>
      </c>
      <c r="F207" s="3" t="str">
        <f ca="1">IF(OR(INDEX($K$2:$K$1001,MATCH(ROWS($J$2:J207),$J$2:$J$1001,0),1)&gt;=100000,INDEX($Q$1005:$U$1005,1,MATCH(COLUMNS($Q$1006:U1006),$Q$1006:$U$1006,0))&gt;=100000), " ",IF(INDEX($Q$2:$U$1001,MATCH(ROWS($J$2:J207),$J$2:$J$1001,0),MATCH(COLUMNS($Q$1006:U1006),$Q$1006:$U$1006,0)), HYPERLINK("#",""), HYPERLINK(CONCATENATE("#metadata!", ADDRESS(INDEX($L$2:$L$1001,MATCH(ROWS($J$2:J207),$J$2:$J$1001,0),0), INDEX($Q$1004:$U$1004,1,MATCH(COLUMNS($Q$1006:U1006),$Q$1006:$U$1006,0)))),"Fix")))</f>
        <v xml:space="preserve"> </v>
      </c>
      <c r="J207">
        <v>206</v>
      </c>
      <c r="K207">
        <v>100207</v>
      </c>
      <c r="L207">
        <v>207</v>
      </c>
      <c r="M207" t="b">
        <f t="shared" si="3"/>
        <v>1</v>
      </c>
      <c r="N207" t="b">
        <f>COUNTBLANK(metadata!B207:F207)=COLUMNS(metadata!B207:F207)</f>
        <v>1</v>
      </c>
      <c r="O207" t="str">
        <v/>
      </c>
      <c r="Q207" t="b">
        <f ca="1">AND(IF(metadata!B207="",FALSE,TRUE),COUNTIF(metadata!B:B, metadata!B207) = 1,NOT(ISERROR(SUMPRODUCT(SEARCH(MID(metadata!B207,ROW(INDIRECT("1:"&amp;LEN(metadata!B207))), 1),"0123456789abcdefghijklmnopqrstuvwxyzABCDEFGHIJKLMNOPQRSTUVWXYZ.")))))</f>
        <v>0</v>
      </c>
      <c r="R207" t="b">
        <f>AND(IF(metadata!C207="",FALSE,TRUE),OR(EXACT(metadata!C207,"saline"),EXACT(metadata!C207,"non-saline")))</f>
        <v>0</v>
      </c>
      <c r="S207" t="b">
        <f>AND(IF(metadata!D207="",FALSE,TRUE),OR(EXACT(metadata!D207,"surface (non-saline)"),EXACT(metadata!D207,"aerosol (non-saline)"),EXACT(metadata!D207,"sediment (non-saline)"),EXACT(metadata!D207,"surface (saline)"),EXACT(metadata!D207,"aerosol (saline)"),EXACT(metadata!D207,"sediment (saline)")))</f>
        <v>0</v>
      </c>
      <c r="T207" t="b">
        <f>AND(IF(metadata!E207="",FALSE,TRUE),EXACT(metadata!E207,"built environment"))</f>
        <v>0</v>
      </c>
      <c r="U207" t="b">
        <f>OR(AND(IF(metadata!F207="",FALSE,TRUE),EXACT(metadata!F207,"not applicable")),AND(IF(metadata!F207="",FALSE,TRUE),EXACT(metadata!F207,"anaerobic digester content")))</f>
        <v>0</v>
      </c>
    </row>
    <row r="208" spans="1:21" x14ac:dyDescent="0.2">
      <c r="A208" s="4" t="str">
        <f ca="1">IF(B208=" "," ",HYPERLINK(CONCATENATE("#metadata!",ADDRESS(INDEX($L$2:$L$1001,MATCH(ROWS($J$2:J208),$J$2:$J$1001,0),0),1)),INDEX($O$2:$O$1001,MATCH(ROWS($J$2:J208),$J$2:$J$1001,0),0)))</f>
        <v xml:space="preserve"> </v>
      </c>
      <c r="B208" s="3" t="str">
        <f ca="1">IF(OR(INDEX($K$2:$K$1001,MATCH(ROWS($J$2:J208),$J$2:$J$1001,0),1)&gt;=100000,INDEX($Q$1005:$U$1005,1,MATCH(COLUMNS($Q$1006:Q1006),$Q$1006:$U$1006,0))&gt;=100000), " ",IF(INDEX($Q$2:$U$1001,MATCH(ROWS($J$2:J208),$J$2:$J$1001,0),MATCH(COLUMNS($Q$1006:Q1006),$Q$1006:$U$1006,0)), HYPERLINK("#",""), HYPERLINK(CONCATENATE("#metadata!", ADDRESS(INDEX($L$2:$L$1001,MATCH(ROWS($J$2:J208),$J$2:$J$1001,0),0), INDEX($Q$1004:$U$1004,1,MATCH(COLUMNS($Q$1006:Q1006),$Q$1006:$U$1006,0)))),"Fix")))</f>
        <v xml:space="preserve"> </v>
      </c>
      <c r="C208" s="3" t="str">
        <f ca="1">IF(OR(INDEX($K$2:$K$1001,MATCH(ROWS($J$2:J208),$J$2:$J$1001,0),1)&gt;=100000,INDEX($Q$1005:$U$1005,1,MATCH(COLUMNS($Q$1006:R1006),$Q$1006:$U$1006,0))&gt;=100000), " ",IF(INDEX($Q$2:$U$1001,MATCH(ROWS($J$2:J208),$J$2:$J$1001,0),MATCH(COLUMNS($Q$1006:R1006),$Q$1006:$U$1006,0)), HYPERLINK("#",""), HYPERLINK(CONCATENATE("#metadata!", ADDRESS(INDEX($L$2:$L$1001,MATCH(ROWS($J$2:J208),$J$2:$J$1001,0),0), INDEX($Q$1004:$U$1004,1,MATCH(COLUMNS($Q$1006:R1006),$Q$1006:$U$1006,0)))),"Fix")))</f>
        <v xml:space="preserve"> </v>
      </c>
      <c r="D208" s="3" t="str">
        <f ca="1">IF(OR(INDEX($K$2:$K$1001,MATCH(ROWS($J$2:J208),$J$2:$J$1001,0),1)&gt;=100000,INDEX($Q$1005:$U$1005,1,MATCH(COLUMNS($Q$1006:S1006),$Q$1006:$U$1006,0))&gt;=100000), " ",IF(INDEX($Q$2:$U$1001,MATCH(ROWS($J$2:J208),$J$2:$J$1001,0),MATCH(COLUMNS($Q$1006:S1006),$Q$1006:$U$1006,0)), HYPERLINK("#",""), HYPERLINK(CONCATENATE("#metadata!", ADDRESS(INDEX($L$2:$L$1001,MATCH(ROWS($J$2:J208),$J$2:$J$1001,0),0), INDEX($Q$1004:$U$1004,1,MATCH(COLUMNS($Q$1006:S1006),$Q$1006:$U$1006,0)))),"Fix")))</f>
        <v xml:space="preserve"> </v>
      </c>
      <c r="E208" s="3" t="str">
        <f ca="1">IF(OR(INDEX($K$2:$K$1001,MATCH(ROWS($J$2:J208),$J$2:$J$1001,0),1)&gt;=100000,INDEX($Q$1005:$U$1005,1,MATCH(COLUMNS($Q$1006:T1006),$Q$1006:$U$1006,0))&gt;=100000), " ",IF(INDEX($Q$2:$U$1001,MATCH(ROWS($J$2:J208),$J$2:$J$1001,0),MATCH(COLUMNS($Q$1006:T1006),$Q$1006:$U$1006,0)), HYPERLINK("#",""), HYPERLINK(CONCATENATE("#metadata!", ADDRESS(INDEX($L$2:$L$1001,MATCH(ROWS($J$2:J208),$J$2:$J$1001,0),0), INDEX($Q$1004:$U$1004,1,MATCH(COLUMNS($Q$1006:T1006),$Q$1006:$U$1006,0)))),"Fix")))</f>
        <v xml:space="preserve"> </v>
      </c>
      <c r="F208" s="3" t="str">
        <f ca="1">IF(OR(INDEX($K$2:$K$1001,MATCH(ROWS($J$2:J208),$J$2:$J$1001,0),1)&gt;=100000,INDEX($Q$1005:$U$1005,1,MATCH(COLUMNS($Q$1006:U1006),$Q$1006:$U$1006,0))&gt;=100000), " ",IF(INDEX($Q$2:$U$1001,MATCH(ROWS($J$2:J208),$J$2:$J$1001,0),MATCH(COLUMNS($Q$1006:U1006),$Q$1006:$U$1006,0)), HYPERLINK("#",""), HYPERLINK(CONCATENATE("#metadata!", ADDRESS(INDEX($L$2:$L$1001,MATCH(ROWS($J$2:J208),$J$2:$J$1001,0),0), INDEX($Q$1004:$U$1004,1,MATCH(COLUMNS($Q$1006:U1006),$Q$1006:$U$1006,0)))),"Fix")))</f>
        <v xml:space="preserve"> </v>
      </c>
      <c r="J208">
        <v>207</v>
      </c>
      <c r="K208">
        <v>100208</v>
      </c>
      <c r="L208">
        <v>208</v>
      </c>
      <c r="M208" t="b">
        <f t="shared" si="3"/>
        <v>1</v>
      </c>
      <c r="N208" t="b">
        <f>COUNTBLANK(metadata!B208:F208)=COLUMNS(metadata!B208:F208)</f>
        <v>1</v>
      </c>
      <c r="O208" t="str">
        <v/>
      </c>
      <c r="Q208" t="b">
        <f ca="1">AND(IF(metadata!B208="",FALSE,TRUE),COUNTIF(metadata!B:B, metadata!B208) = 1,NOT(ISERROR(SUMPRODUCT(SEARCH(MID(metadata!B208,ROW(INDIRECT("1:"&amp;LEN(metadata!B208))), 1),"0123456789abcdefghijklmnopqrstuvwxyzABCDEFGHIJKLMNOPQRSTUVWXYZ.")))))</f>
        <v>0</v>
      </c>
      <c r="R208" t="b">
        <f>AND(IF(metadata!C208="",FALSE,TRUE),OR(EXACT(metadata!C208,"saline"),EXACT(metadata!C208,"non-saline")))</f>
        <v>0</v>
      </c>
      <c r="S208" t="b">
        <f>AND(IF(metadata!D208="",FALSE,TRUE),OR(EXACT(metadata!D208,"surface (non-saline)"),EXACT(metadata!D208,"aerosol (non-saline)"),EXACT(metadata!D208,"sediment (non-saline)"),EXACT(metadata!D208,"surface (saline)"),EXACT(metadata!D208,"aerosol (saline)"),EXACT(metadata!D208,"sediment (saline)")))</f>
        <v>0</v>
      </c>
      <c r="T208" t="b">
        <f>AND(IF(metadata!E208="",FALSE,TRUE),EXACT(metadata!E208,"built environment"))</f>
        <v>0</v>
      </c>
      <c r="U208" t="b">
        <f>OR(AND(IF(metadata!F208="",FALSE,TRUE),EXACT(metadata!F208,"not applicable")),AND(IF(metadata!F208="",FALSE,TRUE),EXACT(metadata!F208,"anaerobic digester content")))</f>
        <v>0</v>
      </c>
    </row>
    <row r="209" spans="1:21" x14ac:dyDescent="0.2">
      <c r="A209" s="4" t="str">
        <f ca="1">IF(B209=" "," ",HYPERLINK(CONCATENATE("#metadata!",ADDRESS(INDEX($L$2:$L$1001,MATCH(ROWS($J$2:J209),$J$2:$J$1001,0),0),1)),INDEX($O$2:$O$1001,MATCH(ROWS($J$2:J209),$J$2:$J$1001,0),0)))</f>
        <v xml:space="preserve"> </v>
      </c>
      <c r="B209" s="3" t="str">
        <f ca="1">IF(OR(INDEX($K$2:$K$1001,MATCH(ROWS($J$2:J209),$J$2:$J$1001,0),1)&gt;=100000,INDEX($Q$1005:$U$1005,1,MATCH(COLUMNS($Q$1006:Q1006),$Q$1006:$U$1006,0))&gt;=100000), " ",IF(INDEX($Q$2:$U$1001,MATCH(ROWS($J$2:J209),$J$2:$J$1001,0),MATCH(COLUMNS($Q$1006:Q1006),$Q$1006:$U$1006,0)), HYPERLINK("#",""), HYPERLINK(CONCATENATE("#metadata!", ADDRESS(INDEX($L$2:$L$1001,MATCH(ROWS($J$2:J209),$J$2:$J$1001,0),0), INDEX($Q$1004:$U$1004,1,MATCH(COLUMNS($Q$1006:Q1006),$Q$1006:$U$1006,0)))),"Fix")))</f>
        <v xml:space="preserve"> </v>
      </c>
      <c r="C209" s="3" t="str">
        <f ca="1">IF(OR(INDEX($K$2:$K$1001,MATCH(ROWS($J$2:J209),$J$2:$J$1001,0),1)&gt;=100000,INDEX($Q$1005:$U$1005,1,MATCH(COLUMNS($Q$1006:R1006),$Q$1006:$U$1006,0))&gt;=100000), " ",IF(INDEX($Q$2:$U$1001,MATCH(ROWS($J$2:J209),$J$2:$J$1001,0),MATCH(COLUMNS($Q$1006:R1006),$Q$1006:$U$1006,0)), HYPERLINK("#",""), HYPERLINK(CONCATENATE("#metadata!", ADDRESS(INDEX($L$2:$L$1001,MATCH(ROWS($J$2:J209),$J$2:$J$1001,0),0), INDEX($Q$1004:$U$1004,1,MATCH(COLUMNS($Q$1006:R1006),$Q$1006:$U$1006,0)))),"Fix")))</f>
        <v xml:space="preserve"> </v>
      </c>
      <c r="D209" s="3" t="str">
        <f ca="1">IF(OR(INDEX($K$2:$K$1001,MATCH(ROWS($J$2:J209),$J$2:$J$1001,0),1)&gt;=100000,INDEX($Q$1005:$U$1005,1,MATCH(COLUMNS($Q$1006:S1006),$Q$1006:$U$1006,0))&gt;=100000), " ",IF(INDEX($Q$2:$U$1001,MATCH(ROWS($J$2:J209),$J$2:$J$1001,0),MATCH(COLUMNS($Q$1006:S1006),$Q$1006:$U$1006,0)), HYPERLINK("#",""), HYPERLINK(CONCATENATE("#metadata!", ADDRESS(INDEX($L$2:$L$1001,MATCH(ROWS($J$2:J209),$J$2:$J$1001,0),0), INDEX($Q$1004:$U$1004,1,MATCH(COLUMNS($Q$1006:S1006),$Q$1006:$U$1006,0)))),"Fix")))</f>
        <v xml:space="preserve"> </v>
      </c>
      <c r="E209" s="3" t="str">
        <f ca="1">IF(OR(INDEX($K$2:$K$1001,MATCH(ROWS($J$2:J209),$J$2:$J$1001,0),1)&gt;=100000,INDEX($Q$1005:$U$1005,1,MATCH(COLUMNS($Q$1006:T1006),$Q$1006:$U$1006,0))&gt;=100000), " ",IF(INDEX($Q$2:$U$1001,MATCH(ROWS($J$2:J209),$J$2:$J$1001,0),MATCH(COLUMNS($Q$1006:T1006),$Q$1006:$U$1006,0)), HYPERLINK("#",""), HYPERLINK(CONCATENATE("#metadata!", ADDRESS(INDEX($L$2:$L$1001,MATCH(ROWS($J$2:J209),$J$2:$J$1001,0),0), INDEX($Q$1004:$U$1004,1,MATCH(COLUMNS($Q$1006:T1006),$Q$1006:$U$1006,0)))),"Fix")))</f>
        <v xml:space="preserve"> </v>
      </c>
      <c r="F209" s="3" t="str">
        <f ca="1">IF(OR(INDEX($K$2:$K$1001,MATCH(ROWS($J$2:J209),$J$2:$J$1001,0),1)&gt;=100000,INDEX($Q$1005:$U$1005,1,MATCH(COLUMNS($Q$1006:U1006),$Q$1006:$U$1006,0))&gt;=100000), " ",IF(INDEX($Q$2:$U$1001,MATCH(ROWS($J$2:J209),$J$2:$J$1001,0),MATCH(COLUMNS($Q$1006:U1006),$Q$1006:$U$1006,0)), HYPERLINK("#",""), HYPERLINK(CONCATENATE("#metadata!", ADDRESS(INDEX($L$2:$L$1001,MATCH(ROWS($J$2:J209),$J$2:$J$1001,0),0), INDEX($Q$1004:$U$1004,1,MATCH(COLUMNS($Q$1006:U1006),$Q$1006:$U$1006,0)))),"Fix")))</f>
        <v xml:space="preserve"> </v>
      </c>
      <c r="J209">
        <v>208</v>
      </c>
      <c r="K209">
        <v>100209</v>
      </c>
      <c r="L209">
        <v>209</v>
      </c>
      <c r="M209" t="b">
        <f t="shared" si="3"/>
        <v>1</v>
      </c>
      <c r="N209" t="b">
        <f>COUNTBLANK(metadata!B209:F209)=COLUMNS(metadata!B209:F209)</f>
        <v>1</v>
      </c>
      <c r="O209" t="str">
        <v/>
      </c>
      <c r="Q209" t="b">
        <f ca="1">AND(IF(metadata!B209="",FALSE,TRUE),COUNTIF(metadata!B:B, metadata!B209) = 1,NOT(ISERROR(SUMPRODUCT(SEARCH(MID(metadata!B209,ROW(INDIRECT("1:"&amp;LEN(metadata!B209))), 1),"0123456789abcdefghijklmnopqrstuvwxyzABCDEFGHIJKLMNOPQRSTUVWXYZ.")))))</f>
        <v>0</v>
      </c>
      <c r="R209" t="b">
        <f>AND(IF(metadata!C209="",FALSE,TRUE),OR(EXACT(metadata!C209,"saline"),EXACT(metadata!C209,"non-saline")))</f>
        <v>0</v>
      </c>
      <c r="S209" t="b">
        <f>AND(IF(metadata!D209="",FALSE,TRUE),OR(EXACT(metadata!D209,"surface (non-saline)"),EXACT(metadata!D209,"aerosol (non-saline)"),EXACT(metadata!D209,"sediment (non-saline)"),EXACT(metadata!D209,"surface (saline)"),EXACT(metadata!D209,"aerosol (saline)"),EXACT(metadata!D209,"sediment (saline)")))</f>
        <v>0</v>
      </c>
      <c r="T209" t="b">
        <f>AND(IF(metadata!E209="",FALSE,TRUE),EXACT(metadata!E209,"built environment"))</f>
        <v>0</v>
      </c>
      <c r="U209" t="b">
        <f>OR(AND(IF(metadata!F209="",FALSE,TRUE),EXACT(metadata!F209,"not applicable")),AND(IF(metadata!F209="",FALSE,TRUE),EXACT(metadata!F209,"anaerobic digester content")))</f>
        <v>0</v>
      </c>
    </row>
    <row r="210" spans="1:21" x14ac:dyDescent="0.2">
      <c r="A210" s="4" t="str">
        <f ca="1">IF(B210=" "," ",HYPERLINK(CONCATENATE("#metadata!",ADDRESS(INDEX($L$2:$L$1001,MATCH(ROWS($J$2:J210),$J$2:$J$1001,0),0),1)),INDEX($O$2:$O$1001,MATCH(ROWS($J$2:J210),$J$2:$J$1001,0),0)))</f>
        <v xml:space="preserve"> </v>
      </c>
      <c r="B210" s="3" t="str">
        <f ca="1">IF(OR(INDEX($K$2:$K$1001,MATCH(ROWS($J$2:J210),$J$2:$J$1001,0),1)&gt;=100000,INDEX($Q$1005:$U$1005,1,MATCH(COLUMNS($Q$1006:Q1006),$Q$1006:$U$1006,0))&gt;=100000), " ",IF(INDEX($Q$2:$U$1001,MATCH(ROWS($J$2:J210),$J$2:$J$1001,0),MATCH(COLUMNS($Q$1006:Q1006),$Q$1006:$U$1006,0)), HYPERLINK("#",""), HYPERLINK(CONCATENATE("#metadata!", ADDRESS(INDEX($L$2:$L$1001,MATCH(ROWS($J$2:J210),$J$2:$J$1001,0),0), INDEX($Q$1004:$U$1004,1,MATCH(COLUMNS($Q$1006:Q1006),$Q$1006:$U$1006,0)))),"Fix")))</f>
        <v xml:space="preserve"> </v>
      </c>
      <c r="C210" s="3" t="str">
        <f ca="1">IF(OR(INDEX($K$2:$K$1001,MATCH(ROWS($J$2:J210),$J$2:$J$1001,0),1)&gt;=100000,INDEX($Q$1005:$U$1005,1,MATCH(COLUMNS($Q$1006:R1006),$Q$1006:$U$1006,0))&gt;=100000), " ",IF(INDEX($Q$2:$U$1001,MATCH(ROWS($J$2:J210),$J$2:$J$1001,0),MATCH(COLUMNS($Q$1006:R1006),$Q$1006:$U$1006,0)), HYPERLINK("#",""), HYPERLINK(CONCATENATE("#metadata!", ADDRESS(INDEX($L$2:$L$1001,MATCH(ROWS($J$2:J210),$J$2:$J$1001,0),0), INDEX($Q$1004:$U$1004,1,MATCH(COLUMNS($Q$1006:R1006),$Q$1006:$U$1006,0)))),"Fix")))</f>
        <v xml:space="preserve"> </v>
      </c>
      <c r="D210" s="3" t="str">
        <f ca="1">IF(OR(INDEX($K$2:$K$1001,MATCH(ROWS($J$2:J210),$J$2:$J$1001,0),1)&gt;=100000,INDEX($Q$1005:$U$1005,1,MATCH(COLUMNS($Q$1006:S1006),$Q$1006:$U$1006,0))&gt;=100000), " ",IF(INDEX($Q$2:$U$1001,MATCH(ROWS($J$2:J210),$J$2:$J$1001,0),MATCH(COLUMNS($Q$1006:S1006),$Q$1006:$U$1006,0)), HYPERLINK("#",""), HYPERLINK(CONCATENATE("#metadata!", ADDRESS(INDEX($L$2:$L$1001,MATCH(ROWS($J$2:J210),$J$2:$J$1001,0),0), INDEX($Q$1004:$U$1004,1,MATCH(COLUMNS($Q$1006:S1006),$Q$1006:$U$1006,0)))),"Fix")))</f>
        <v xml:space="preserve"> </v>
      </c>
      <c r="E210" s="3" t="str">
        <f ca="1">IF(OR(INDEX($K$2:$K$1001,MATCH(ROWS($J$2:J210),$J$2:$J$1001,0),1)&gt;=100000,INDEX($Q$1005:$U$1005,1,MATCH(COLUMNS($Q$1006:T1006),$Q$1006:$U$1006,0))&gt;=100000), " ",IF(INDEX($Q$2:$U$1001,MATCH(ROWS($J$2:J210),$J$2:$J$1001,0),MATCH(COLUMNS($Q$1006:T1006),$Q$1006:$U$1006,0)), HYPERLINK("#",""), HYPERLINK(CONCATENATE("#metadata!", ADDRESS(INDEX($L$2:$L$1001,MATCH(ROWS($J$2:J210),$J$2:$J$1001,0),0), INDEX($Q$1004:$U$1004,1,MATCH(COLUMNS($Q$1006:T1006),$Q$1006:$U$1006,0)))),"Fix")))</f>
        <v xml:space="preserve"> </v>
      </c>
      <c r="F210" s="3" t="str">
        <f ca="1">IF(OR(INDEX($K$2:$K$1001,MATCH(ROWS($J$2:J210),$J$2:$J$1001,0),1)&gt;=100000,INDEX($Q$1005:$U$1005,1,MATCH(COLUMNS($Q$1006:U1006),$Q$1006:$U$1006,0))&gt;=100000), " ",IF(INDEX($Q$2:$U$1001,MATCH(ROWS($J$2:J210),$J$2:$J$1001,0),MATCH(COLUMNS($Q$1006:U1006),$Q$1006:$U$1006,0)), HYPERLINK("#",""), HYPERLINK(CONCATENATE("#metadata!", ADDRESS(INDEX($L$2:$L$1001,MATCH(ROWS($J$2:J210),$J$2:$J$1001,0),0), INDEX($Q$1004:$U$1004,1,MATCH(COLUMNS($Q$1006:U1006),$Q$1006:$U$1006,0)))),"Fix")))</f>
        <v xml:space="preserve"> </v>
      </c>
      <c r="J210">
        <v>209</v>
      </c>
      <c r="K210">
        <v>100210</v>
      </c>
      <c r="L210">
        <v>210</v>
      </c>
      <c r="M210" t="b">
        <f t="shared" si="3"/>
        <v>1</v>
      </c>
      <c r="N210" t="b">
        <f>COUNTBLANK(metadata!B210:F210)=COLUMNS(metadata!B210:F210)</f>
        <v>1</v>
      </c>
      <c r="O210" t="str">
        <v/>
      </c>
      <c r="Q210" t="b">
        <f ca="1">AND(IF(metadata!B210="",FALSE,TRUE),COUNTIF(metadata!B:B, metadata!B210) = 1,NOT(ISERROR(SUMPRODUCT(SEARCH(MID(metadata!B210,ROW(INDIRECT("1:"&amp;LEN(metadata!B210))), 1),"0123456789abcdefghijklmnopqrstuvwxyzABCDEFGHIJKLMNOPQRSTUVWXYZ.")))))</f>
        <v>0</v>
      </c>
      <c r="R210" t="b">
        <f>AND(IF(metadata!C210="",FALSE,TRUE),OR(EXACT(metadata!C210,"saline"),EXACT(metadata!C210,"non-saline")))</f>
        <v>0</v>
      </c>
      <c r="S210" t="b">
        <f>AND(IF(metadata!D210="",FALSE,TRUE),OR(EXACT(metadata!D210,"surface (non-saline)"),EXACT(metadata!D210,"aerosol (non-saline)"),EXACT(metadata!D210,"sediment (non-saline)"),EXACT(metadata!D210,"surface (saline)"),EXACT(metadata!D210,"aerosol (saline)"),EXACT(metadata!D210,"sediment (saline)")))</f>
        <v>0</v>
      </c>
      <c r="T210" t="b">
        <f>AND(IF(metadata!E210="",FALSE,TRUE),EXACT(metadata!E210,"built environment"))</f>
        <v>0</v>
      </c>
      <c r="U210" t="b">
        <f>OR(AND(IF(metadata!F210="",FALSE,TRUE),EXACT(metadata!F210,"not applicable")),AND(IF(metadata!F210="",FALSE,TRUE),EXACT(metadata!F210,"anaerobic digester content")))</f>
        <v>0</v>
      </c>
    </row>
    <row r="211" spans="1:21" x14ac:dyDescent="0.2">
      <c r="A211" s="4" t="str">
        <f ca="1">IF(B211=" "," ",HYPERLINK(CONCATENATE("#metadata!",ADDRESS(INDEX($L$2:$L$1001,MATCH(ROWS($J$2:J211),$J$2:$J$1001,0),0),1)),INDEX($O$2:$O$1001,MATCH(ROWS($J$2:J211),$J$2:$J$1001,0),0)))</f>
        <v xml:space="preserve"> </v>
      </c>
      <c r="B211" s="3" t="str">
        <f ca="1">IF(OR(INDEX($K$2:$K$1001,MATCH(ROWS($J$2:J211),$J$2:$J$1001,0),1)&gt;=100000,INDEX($Q$1005:$U$1005,1,MATCH(COLUMNS($Q$1006:Q1006),$Q$1006:$U$1006,0))&gt;=100000), " ",IF(INDEX($Q$2:$U$1001,MATCH(ROWS($J$2:J211),$J$2:$J$1001,0),MATCH(COLUMNS($Q$1006:Q1006),$Q$1006:$U$1006,0)), HYPERLINK("#",""), HYPERLINK(CONCATENATE("#metadata!", ADDRESS(INDEX($L$2:$L$1001,MATCH(ROWS($J$2:J211),$J$2:$J$1001,0),0), INDEX($Q$1004:$U$1004,1,MATCH(COLUMNS($Q$1006:Q1006),$Q$1006:$U$1006,0)))),"Fix")))</f>
        <v xml:space="preserve"> </v>
      </c>
      <c r="C211" s="3" t="str">
        <f ca="1">IF(OR(INDEX($K$2:$K$1001,MATCH(ROWS($J$2:J211),$J$2:$J$1001,0),1)&gt;=100000,INDEX($Q$1005:$U$1005,1,MATCH(COLUMNS($Q$1006:R1006),$Q$1006:$U$1006,0))&gt;=100000), " ",IF(INDEX($Q$2:$U$1001,MATCH(ROWS($J$2:J211),$J$2:$J$1001,0),MATCH(COLUMNS($Q$1006:R1006),$Q$1006:$U$1006,0)), HYPERLINK("#",""), HYPERLINK(CONCATENATE("#metadata!", ADDRESS(INDEX($L$2:$L$1001,MATCH(ROWS($J$2:J211),$J$2:$J$1001,0),0), INDEX($Q$1004:$U$1004,1,MATCH(COLUMNS($Q$1006:R1006),$Q$1006:$U$1006,0)))),"Fix")))</f>
        <v xml:space="preserve"> </v>
      </c>
      <c r="D211" s="3" t="str">
        <f ca="1">IF(OR(INDEX($K$2:$K$1001,MATCH(ROWS($J$2:J211),$J$2:$J$1001,0),1)&gt;=100000,INDEX($Q$1005:$U$1005,1,MATCH(COLUMNS($Q$1006:S1006),$Q$1006:$U$1006,0))&gt;=100000), " ",IF(INDEX($Q$2:$U$1001,MATCH(ROWS($J$2:J211),$J$2:$J$1001,0),MATCH(COLUMNS($Q$1006:S1006),$Q$1006:$U$1006,0)), HYPERLINK("#",""), HYPERLINK(CONCATENATE("#metadata!", ADDRESS(INDEX($L$2:$L$1001,MATCH(ROWS($J$2:J211),$J$2:$J$1001,0),0), INDEX($Q$1004:$U$1004,1,MATCH(COLUMNS($Q$1006:S1006),$Q$1006:$U$1006,0)))),"Fix")))</f>
        <v xml:space="preserve"> </v>
      </c>
      <c r="E211" s="3" t="str">
        <f ca="1">IF(OR(INDEX($K$2:$K$1001,MATCH(ROWS($J$2:J211),$J$2:$J$1001,0),1)&gt;=100000,INDEX($Q$1005:$U$1005,1,MATCH(COLUMNS($Q$1006:T1006),$Q$1006:$U$1006,0))&gt;=100000), " ",IF(INDEX($Q$2:$U$1001,MATCH(ROWS($J$2:J211),$J$2:$J$1001,0),MATCH(COLUMNS($Q$1006:T1006),$Q$1006:$U$1006,0)), HYPERLINK("#",""), HYPERLINK(CONCATENATE("#metadata!", ADDRESS(INDEX($L$2:$L$1001,MATCH(ROWS($J$2:J211),$J$2:$J$1001,0),0), INDEX($Q$1004:$U$1004,1,MATCH(COLUMNS($Q$1006:T1006),$Q$1006:$U$1006,0)))),"Fix")))</f>
        <v xml:space="preserve"> </v>
      </c>
      <c r="F211" s="3" t="str">
        <f ca="1">IF(OR(INDEX($K$2:$K$1001,MATCH(ROWS($J$2:J211),$J$2:$J$1001,0),1)&gt;=100000,INDEX($Q$1005:$U$1005,1,MATCH(COLUMNS($Q$1006:U1006),$Q$1006:$U$1006,0))&gt;=100000), " ",IF(INDEX($Q$2:$U$1001,MATCH(ROWS($J$2:J211),$J$2:$J$1001,0),MATCH(COLUMNS($Q$1006:U1006),$Q$1006:$U$1006,0)), HYPERLINK("#",""), HYPERLINK(CONCATENATE("#metadata!", ADDRESS(INDEX($L$2:$L$1001,MATCH(ROWS($J$2:J211),$J$2:$J$1001,0),0), INDEX($Q$1004:$U$1004,1,MATCH(COLUMNS($Q$1006:U1006),$Q$1006:$U$1006,0)))),"Fix")))</f>
        <v xml:space="preserve"> </v>
      </c>
      <c r="J211">
        <v>210</v>
      </c>
      <c r="K211">
        <v>100211</v>
      </c>
      <c r="L211">
        <v>211</v>
      </c>
      <c r="M211" t="b">
        <f t="shared" si="3"/>
        <v>1</v>
      </c>
      <c r="N211" t="b">
        <f>COUNTBLANK(metadata!B211:F211)=COLUMNS(metadata!B211:F211)</f>
        <v>1</v>
      </c>
      <c r="O211" t="str">
        <v/>
      </c>
      <c r="Q211" t="b">
        <f ca="1">AND(IF(metadata!B211="",FALSE,TRUE),COUNTIF(metadata!B:B, metadata!B211) = 1,NOT(ISERROR(SUMPRODUCT(SEARCH(MID(metadata!B211,ROW(INDIRECT("1:"&amp;LEN(metadata!B211))), 1),"0123456789abcdefghijklmnopqrstuvwxyzABCDEFGHIJKLMNOPQRSTUVWXYZ.")))))</f>
        <v>0</v>
      </c>
      <c r="R211" t="b">
        <f>AND(IF(metadata!C211="",FALSE,TRUE),OR(EXACT(metadata!C211,"saline"),EXACT(metadata!C211,"non-saline")))</f>
        <v>0</v>
      </c>
      <c r="S211" t="b">
        <f>AND(IF(metadata!D211="",FALSE,TRUE),OR(EXACT(metadata!D211,"surface (non-saline)"),EXACT(metadata!D211,"aerosol (non-saline)"),EXACT(metadata!D211,"sediment (non-saline)"),EXACT(metadata!D211,"surface (saline)"),EXACT(metadata!D211,"aerosol (saline)"),EXACT(metadata!D211,"sediment (saline)")))</f>
        <v>0</v>
      </c>
      <c r="T211" t="b">
        <f>AND(IF(metadata!E211="",FALSE,TRUE),EXACT(metadata!E211,"built environment"))</f>
        <v>0</v>
      </c>
      <c r="U211" t="b">
        <f>OR(AND(IF(metadata!F211="",FALSE,TRUE),EXACT(metadata!F211,"not applicable")),AND(IF(metadata!F211="",FALSE,TRUE),EXACT(metadata!F211,"anaerobic digester content")))</f>
        <v>0</v>
      </c>
    </row>
    <row r="212" spans="1:21" x14ac:dyDescent="0.2">
      <c r="A212" s="4" t="str">
        <f ca="1">IF(B212=" "," ",HYPERLINK(CONCATENATE("#metadata!",ADDRESS(INDEX($L$2:$L$1001,MATCH(ROWS($J$2:J212),$J$2:$J$1001,0),0),1)),INDEX($O$2:$O$1001,MATCH(ROWS($J$2:J212),$J$2:$J$1001,0),0)))</f>
        <v xml:space="preserve"> </v>
      </c>
      <c r="B212" s="3" t="str">
        <f ca="1">IF(OR(INDEX($K$2:$K$1001,MATCH(ROWS($J$2:J212),$J$2:$J$1001,0),1)&gt;=100000,INDEX($Q$1005:$U$1005,1,MATCH(COLUMNS($Q$1006:Q1006),$Q$1006:$U$1006,0))&gt;=100000), " ",IF(INDEX($Q$2:$U$1001,MATCH(ROWS($J$2:J212),$J$2:$J$1001,0),MATCH(COLUMNS($Q$1006:Q1006),$Q$1006:$U$1006,0)), HYPERLINK("#",""), HYPERLINK(CONCATENATE("#metadata!", ADDRESS(INDEX($L$2:$L$1001,MATCH(ROWS($J$2:J212),$J$2:$J$1001,0),0), INDEX($Q$1004:$U$1004,1,MATCH(COLUMNS($Q$1006:Q1006),$Q$1006:$U$1006,0)))),"Fix")))</f>
        <v xml:space="preserve"> </v>
      </c>
      <c r="C212" s="3" t="str">
        <f ca="1">IF(OR(INDEX($K$2:$K$1001,MATCH(ROWS($J$2:J212),$J$2:$J$1001,0),1)&gt;=100000,INDEX($Q$1005:$U$1005,1,MATCH(COLUMNS($Q$1006:R1006),$Q$1006:$U$1006,0))&gt;=100000), " ",IF(INDEX($Q$2:$U$1001,MATCH(ROWS($J$2:J212),$J$2:$J$1001,0),MATCH(COLUMNS($Q$1006:R1006),$Q$1006:$U$1006,0)), HYPERLINK("#",""), HYPERLINK(CONCATENATE("#metadata!", ADDRESS(INDEX($L$2:$L$1001,MATCH(ROWS($J$2:J212),$J$2:$J$1001,0),0), INDEX($Q$1004:$U$1004,1,MATCH(COLUMNS($Q$1006:R1006),$Q$1006:$U$1006,0)))),"Fix")))</f>
        <v xml:space="preserve"> </v>
      </c>
      <c r="D212" s="3" t="str">
        <f ca="1">IF(OR(INDEX($K$2:$K$1001,MATCH(ROWS($J$2:J212),$J$2:$J$1001,0),1)&gt;=100000,INDEX($Q$1005:$U$1005,1,MATCH(COLUMNS($Q$1006:S1006),$Q$1006:$U$1006,0))&gt;=100000), " ",IF(INDEX($Q$2:$U$1001,MATCH(ROWS($J$2:J212),$J$2:$J$1001,0),MATCH(COLUMNS($Q$1006:S1006),$Q$1006:$U$1006,0)), HYPERLINK("#",""), HYPERLINK(CONCATENATE("#metadata!", ADDRESS(INDEX($L$2:$L$1001,MATCH(ROWS($J$2:J212),$J$2:$J$1001,0),0), INDEX($Q$1004:$U$1004,1,MATCH(COLUMNS($Q$1006:S1006),$Q$1006:$U$1006,0)))),"Fix")))</f>
        <v xml:space="preserve"> </v>
      </c>
      <c r="E212" s="3" t="str">
        <f ca="1">IF(OR(INDEX($K$2:$K$1001,MATCH(ROWS($J$2:J212),$J$2:$J$1001,0),1)&gt;=100000,INDEX($Q$1005:$U$1005,1,MATCH(COLUMNS($Q$1006:T1006),$Q$1006:$U$1006,0))&gt;=100000), " ",IF(INDEX($Q$2:$U$1001,MATCH(ROWS($J$2:J212),$J$2:$J$1001,0),MATCH(COLUMNS($Q$1006:T1006),$Q$1006:$U$1006,0)), HYPERLINK("#",""), HYPERLINK(CONCATENATE("#metadata!", ADDRESS(INDEX($L$2:$L$1001,MATCH(ROWS($J$2:J212),$J$2:$J$1001,0),0), INDEX($Q$1004:$U$1004,1,MATCH(COLUMNS($Q$1006:T1006),$Q$1006:$U$1006,0)))),"Fix")))</f>
        <v xml:space="preserve"> </v>
      </c>
      <c r="F212" s="3" t="str">
        <f ca="1">IF(OR(INDEX($K$2:$K$1001,MATCH(ROWS($J$2:J212),$J$2:$J$1001,0),1)&gt;=100000,INDEX($Q$1005:$U$1005,1,MATCH(COLUMNS($Q$1006:U1006),$Q$1006:$U$1006,0))&gt;=100000), " ",IF(INDEX($Q$2:$U$1001,MATCH(ROWS($J$2:J212),$J$2:$J$1001,0),MATCH(COLUMNS($Q$1006:U1006),$Q$1006:$U$1006,0)), HYPERLINK("#",""), HYPERLINK(CONCATENATE("#metadata!", ADDRESS(INDEX($L$2:$L$1001,MATCH(ROWS($J$2:J212),$J$2:$J$1001,0),0), INDEX($Q$1004:$U$1004,1,MATCH(COLUMNS($Q$1006:U1006),$Q$1006:$U$1006,0)))),"Fix")))</f>
        <v xml:space="preserve"> </v>
      </c>
      <c r="J212">
        <v>211</v>
      </c>
      <c r="K212">
        <v>100212</v>
      </c>
      <c r="L212">
        <v>212</v>
      </c>
      <c r="M212" t="b">
        <f t="shared" si="3"/>
        <v>1</v>
      </c>
      <c r="N212" t="b">
        <f>COUNTBLANK(metadata!B212:F212)=COLUMNS(metadata!B212:F212)</f>
        <v>1</v>
      </c>
      <c r="O212" t="str">
        <v/>
      </c>
      <c r="Q212" t="b">
        <f ca="1">AND(IF(metadata!B212="",FALSE,TRUE),COUNTIF(metadata!B:B, metadata!B212) = 1,NOT(ISERROR(SUMPRODUCT(SEARCH(MID(metadata!B212,ROW(INDIRECT("1:"&amp;LEN(metadata!B212))), 1),"0123456789abcdefghijklmnopqrstuvwxyzABCDEFGHIJKLMNOPQRSTUVWXYZ.")))))</f>
        <v>0</v>
      </c>
      <c r="R212" t="b">
        <f>AND(IF(metadata!C212="",FALSE,TRUE),OR(EXACT(metadata!C212,"saline"),EXACT(metadata!C212,"non-saline")))</f>
        <v>0</v>
      </c>
      <c r="S212" t="b">
        <f>AND(IF(metadata!D212="",FALSE,TRUE),OR(EXACT(metadata!D212,"surface (non-saline)"),EXACT(metadata!D212,"aerosol (non-saline)"),EXACT(metadata!D212,"sediment (non-saline)"),EXACT(metadata!D212,"surface (saline)"),EXACT(metadata!D212,"aerosol (saline)"),EXACT(metadata!D212,"sediment (saline)")))</f>
        <v>0</v>
      </c>
      <c r="T212" t="b">
        <f>AND(IF(metadata!E212="",FALSE,TRUE),EXACT(metadata!E212,"built environment"))</f>
        <v>0</v>
      </c>
      <c r="U212" t="b">
        <f>OR(AND(IF(metadata!F212="",FALSE,TRUE),EXACT(metadata!F212,"not applicable")),AND(IF(metadata!F212="",FALSE,TRUE),EXACT(metadata!F212,"anaerobic digester content")))</f>
        <v>0</v>
      </c>
    </row>
    <row r="213" spans="1:21" x14ac:dyDescent="0.2">
      <c r="A213" s="4" t="str">
        <f ca="1">IF(B213=" "," ",HYPERLINK(CONCATENATE("#metadata!",ADDRESS(INDEX($L$2:$L$1001,MATCH(ROWS($J$2:J213),$J$2:$J$1001,0),0),1)),INDEX($O$2:$O$1001,MATCH(ROWS($J$2:J213),$J$2:$J$1001,0),0)))</f>
        <v xml:space="preserve"> </v>
      </c>
      <c r="B213" s="3" t="str">
        <f ca="1">IF(OR(INDEX($K$2:$K$1001,MATCH(ROWS($J$2:J213),$J$2:$J$1001,0),1)&gt;=100000,INDEX($Q$1005:$U$1005,1,MATCH(COLUMNS($Q$1006:Q1006),$Q$1006:$U$1006,0))&gt;=100000), " ",IF(INDEX($Q$2:$U$1001,MATCH(ROWS($J$2:J213),$J$2:$J$1001,0),MATCH(COLUMNS($Q$1006:Q1006),$Q$1006:$U$1006,0)), HYPERLINK("#",""), HYPERLINK(CONCATENATE("#metadata!", ADDRESS(INDEX($L$2:$L$1001,MATCH(ROWS($J$2:J213),$J$2:$J$1001,0),0), INDEX($Q$1004:$U$1004,1,MATCH(COLUMNS($Q$1006:Q1006),$Q$1006:$U$1006,0)))),"Fix")))</f>
        <v xml:space="preserve"> </v>
      </c>
      <c r="C213" s="3" t="str">
        <f ca="1">IF(OR(INDEX($K$2:$K$1001,MATCH(ROWS($J$2:J213),$J$2:$J$1001,0),1)&gt;=100000,INDEX($Q$1005:$U$1005,1,MATCH(COLUMNS($Q$1006:R1006),$Q$1006:$U$1006,0))&gt;=100000), " ",IF(INDEX($Q$2:$U$1001,MATCH(ROWS($J$2:J213),$J$2:$J$1001,0),MATCH(COLUMNS($Q$1006:R1006),$Q$1006:$U$1006,0)), HYPERLINK("#",""), HYPERLINK(CONCATENATE("#metadata!", ADDRESS(INDEX($L$2:$L$1001,MATCH(ROWS($J$2:J213),$J$2:$J$1001,0),0), INDEX($Q$1004:$U$1004,1,MATCH(COLUMNS($Q$1006:R1006),$Q$1006:$U$1006,0)))),"Fix")))</f>
        <v xml:space="preserve"> </v>
      </c>
      <c r="D213" s="3" t="str">
        <f ca="1">IF(OR(INDEX($K$2:$K$1001,MATCH(ROWS($J$2:J213),$J$2:$J$1001,0),1)&gt;=100000,INDEX($Q$1005:$U$1005,1,MATCH(COLUMNS($Q$1006:S1006),$Q$1006:$U$1006,0))&gt;=100000), " ",IF(INDEX($Q$2:$U$1001,MATCH(ROWS($J$2:J213),$J$2:$J$1001,0),MATCH(COLUMNS($Q$1006:S1006),$Q$1006:$U$1006,0)), HYPERLINK("#",""), HYPERLINK(CONCATENATE("#metadata!", ADDRESS(INDEX($L$2:$L$1001,MATCH(ROWS($J$2:J213),$J$2:$J$1001,0),0), INDEX($Q$1004:$U$1004,1,MATCH(COLUMNS($Q$1006:S1006),$Q$1006:$U$1006,0)))),"Fix")))</f>
        <v xml:space="preserve"> </v>
      </c>
      <c r="E213" s="3" t="str">
        <f ca="1">IF(OR(INDEX($K$2:$K$1001,MATCH(ROWS($J$2:J213),$J$2:$J$1001,0),1)&gt;=100000,INDEX($Q$1005:$U$1005,1,MATCH(COLUMNS($Q$1006:T1006),$Q$1006:$U$1006,0))&gt;=100000), " ",IF(INDEX($Q$2:$U$1001,MATCH(ROWS($J$2:J213),$J$2:$J$1001,0),MATCH(COLUMNS($Q$1006:T1006),$Q$1006:$U$1006,0)), HYPERLINK("#",""), HYPERLINK(CONCATENATE("#metadata!", ADDRESS(INDEX($L$2:$L$1001,MATCH(ROWS($J$2:J213),$J$2:$J$1001,0),0), INDEX($Q$1004:$U$1004,1,MATCH(COLUMNS($Q$1006:T1006),$Q$1006:$U$1006,0)))),"Fix")))</f>
        <v xml:space="preserve"> </v>
      </c>
      <c r="F213" s="3" t="str">
        <f ca="1">IF(OR(INDEX($K$2:$K$1001,MATCH(ROWS($J$2:J213),$J$2:$J$1001,0),1)&gt;=100000,INDEX($Q$1005:$U$1005,1,MATCH(COLUMNS($Q$1006:U1006),$Q$1006:$U$1006,0))&gt;=100000), " ",IF(INDEX($Q$2:$U$1001,MATCH(ROWS($J$2:J213),$J$2:$J$1001,0),MATCH(COLUMNS($Q$1006:U1006),$Q$1006:$U$1006,0)), HYPERLINK("#",""), HYPERLINK(CONCATENATE("#metadata!", ADDRESS(INDEX($L$2:$L$1001,MATCH(ROWS($J$2:J213),$J$2:$J$1001,0),0), INDEX($Q$1004:$U$1004,1,MATCH(COLUMNS($Q$1006:U1006),$Q$1006:$U$1006,0)))),"Fix")))</f>
        <v xml:space="preserve"> </v>
      </c>
      <c r="J213">
        <v>212</v>
      </c>
      <c r="K213">
        <v>100213</v>
      </c>
      <c r="L213">
        <v>213</v>
      </c>
      <c r="M213" t="b">
        <f t="shared" si="3"/>
        <v>1</v>
      </c>
      <c r="N213" t="b">
        <f>COUNTBLANK(metadata!B213:F213)=COLUMNS(metadata!B213:F213)</f>
        <v>1</v>
      </c>
      <c r="O213" t="str">
        <v/>
      </c>
      <c r="Q213" t="b">
        <f ca="1">AND(IF(metadata!B213="",FALSE,TRUE),COUNTIF(metadata!B:B, metadata!B213) = 1,NOT(ISERROR(SUMPRODUCT(SEARCH(MID(metadata!B213,ROW(INDIRECT("1:"&amp;LEN(metadata!B213))), 1),"0123456789abcdefghijklmnopqrstuvwxyzABCDEFGHIJKLMNOPQRSTUVWXYZ.")))))</f>
        <v>0</v>
      </c>
      <c r="R213" t="b">
        <f>AND(IF(metadata!C213="",FALSE,TRUE),OR(EXACT(metadata!C213,"saline"),EXACT(metadata!C213,"non-saline")))</f>
        <v>0</v>
      </c>
      <c r="S213" t="b">
        <f>AND(IF(metadata!D213="",FALSE,TRUE),OR(EXACT(metadata!D213,"surface (non-saline)"),EXACT(metadata!D213,"aerosol (non-saline)"),EXACT(metadata!D213,"sediment (non-saline)"),EXACT(metadata!D213,"surface (saline)"),EXACT(metadata!D213,"aerosol (saline)"),EXACT(metadata!D213,"sediment (saline)")))</f>
        <v>0</v>
      </c>
      <c r="T213" t="b">
        <f>AND(IF(metadata!E213="",FALSE,TRUE),EXACT(metadata!E213,"built environment"))</f>
        <v>0</v>
      </c>
      <c r="U213" t="b">
        <f>OR(AND(IF(metadata!F213="",FALSE,TRUE),EXACT(metadata!F213,"not applicable")),AND(IF(metadata!F213="",FALSE,TRUE),EXACT(metadata!F213,"anaerobic digester content")))</f>
        <v>0</v>
      </c>
    </row>
    <row r="214" spans="1:21" x14ac:dyDescent="0.2">
      <c r="A214" s="4" t="str">
        <f ca="1">IF(B214=" "," ",HYPERLINK(CONCATENATE("#metadata!",ADDRESS(INDEX($L$2:$L$1001,MATCH(ROWS($J$2:J214),$J$2:$J$1001,0),0),1)),INDEX($O$2:$O$1001,MATCH(ROWS($J$2:J214),$J$2:$J$1001,0),0)))</f>
        <v xml:space="preserve"> </v>
      </c>
      <c r="B214" s="3" t="str">
        <f ca="1">IF(OR(INDEX($K$2:$K$1001,MATCH(ROWS($J$2:J214),$J$2:$J$1001,0),1)&gt;=100000,INDEX($Q$1005:$U$1005,1,MATCH(COLUMNS($Q$1006:Q1006),$Q$1006:$U$1006,0))&gt;=100000), " ",IF(INDEX($Q$2:$U$1001,MATCH(ROWS($J$2:J214),$J$2:$J$1001,0),MATCH(COLUMNS($Q$1006:Q1006),$Q$1006:$U$1006,0)), HYPERLINK("#",""), HYPERLINK(CONCATENATE("#metadata!", ADDRESS(INDEX($L$2:$L$1001,MATCH(ROWS($J$2:J214),$J$2:$J$1001,0),0), INDEX($Q$1004:$U$1004,1,MATCH(COLUMNS($Q$1006:Q1006),$Q$1006:$U$1006,0)))),"Fix")))</f>
        <v xml:space="preserve"> </v>
      </c>
      <c r="C214" s="3" t="str">
        <f ca="1">IF(OR(INDEX($K$2:$K$1001,MATCH(ROWS($J$2:J214),$J$2:$J$1001,0),1)&gt;=100000,INDEX($Q$1005:$U$1005,1,MATCH(COLUMNS($Q$1006:R1006),$Q$1006:$U$1006,0))&gt;=100000), " ",IF(INDEX($Q$2:$U$1001,MATCH(ROWS($J$2:J214),$J$2:$J$1001,0),MATCH(COLUMNS($Q$1006:R1006),$Q$1006:$U$1006,0)), HYPERLINK("#",""), HYPERLINK(CONCATENATE("#metadata!", ADDRESS(INDEX($L$2:$L$1001,MATCH(ROWS($J$2:J214),$J$2:$J$1001,0),0), INDEX($Q$1004:$U$1004,1,MATCH(COLUMNS($Q$1006:R1006),$Q$1006:$U$1006,0)))),"Fix")))</f>
        <v xml:space="preserve"> </v>
      </c>
      <c r="D214" s="3" t="str">
        <f ca="1">IF(OR(INDEX($K$2:$K$1001,MATCH(ROWS($J$2:J214),$J$2:$J$1001,0),1)&gt;=100000,INDEX($Q$1005:$U$1005,1,MATCH(COLUMNS($Q$1006:S1006),$Q$1006:$U$1006,0))&gt;=100000), " ",IF(INDEX($Q$2:$U$1001,MATCH(ROWS($J$2:J214),$J$2:$J$1001,0),MATCH(COLUMNS($Q$1006:S1006),$Q$1006:$U$1006,0)), HYPERLINK("#",""), HYPERLINK(CONCATENATE("#metadata!", ADDRESS(INDEX($L$2:$L$1001,MATCH(ROWS($J$2:J214),$J$2:$J$1001,0),0), INDEX($Q$1004:$U$1004,1,MATCH(COLUMNS($Q$1006:S1006),$Q$1006:$U$1006,0)))),"Fix")))</f>
        <v xml:space="preserve"> </v>
      </c>
      <c r="E214" s="3" t="str">
        <f ca="1">IF(OR(INDEX($K$2:$K$1001,MATCH(ROWS($J$2:J214),$J$2:$J$1001,0),1)&gt;=100000,INDEX($Q$1005:$U$1005,1,MATCH(COLUMNS($Q$1006:T1006),$Q$1006:$U$1006,0))&gt;=100000), " ",IF(INDEX($Q$2:$U$1001,MATCH(ROWS($J$2:J214),$J$2:$J$1001,0),MATCH(COLUMNS($Q$1006:T1006),$Q$1006:$U$1006,0)), HYPERLINK("#",""), HYPERLINK(CONCATENATE("#metadata!", ADDRESS(INDEX($L$2:$L$1001,MATCH(ROWS($J$2:J214),$J$2:$J$1001,0),0), INDEX($Q$1004:$U$1004,1,MATCH(COLUMNS($Q$1006:T1006),$Q$1006:$U$1006,0)))),"Fix")))</f>
        <v xml:space="preserve"> </v>
      </c>
      <c r="F214" s="3" t="str">
        <f ca="1">IF(OR(INDEX($K$2:$K$1001,MATCH(ROWS($J$2:J214),$J$2:$J$1001,0),1)&gt;=100000,INDEX($Q$1005:$U$1005,1,MATCH(COLUMNS($Q$1006:U1006),$Q$1006:$U$1006,0))&gt;=100000), " ",IF(INDEX($Q$2:$U$1001,MATCH(ROWS($J$2:J214),$J$2:$J$1001,0),MATCH(COLUMNS($Q$1006:U1006),$Q$1006:$U$1006,0)), HYPERLINK("#",""), HYPERLINK(CONCATENATE("#metadata!", ADDRESS(INDEX($L$2:$L$1001,MATCH(ROWS($J$2:J214),$J$2:$J$1001,0),0), INDEX($Q$1004:$U$1004,1,MATCH(COLUMNS($Q$1006:U1006),$Q$1006:$U$1006,0)))),"Fix")))</f>
        <v xml:space="preserve"> </v>
      </c>
      <c r="J214">
        <v>213</v>
      </c>
      <c r="K214">
        <v>100214</v>
      </c>
      <c r="L214">
        <v>214</v>
      </c>
      <c r="M214" t="b">
        <f t="shared" si="3"/>
        <v>1</v>
      </c>
      <c r="N214" t="b">
        <f>COUNTBLANK(metadata!B214:F214)=COLUMNS(metadata!B214:F214)</f>
        <v>1</v>
      </c>
      <c r="O214" t="str">
        <v/>
      </c>
      <c r="Q214" t="b">
        <f ca="1">AND(IF(metadata!B214="",FALSE,TRUE),COUNTIF(metadata!B:B, metadata!B214) = 1,NOT(ISERROR(SUMPRODUCT(SEARCH(MID(metadata!B214,ROW(INDIRECT("1:"&amp;LEN(metadata!B214))), 1),"0123456789abcdefghijklmnopqrstuvwxyzABCDEFGHIJKLMNOPQRSTUVWXYZ.")))))</f>
        <v>0</v>
      </c>
      <c r="R214" t="b">
        <f>AND(IF(metadata!C214="",FALSE,TRUE),OR(EXACT(metadata!C214,"saline"),EXACT(metadata!C214,"non-saline")))</f>
        <v>0</v>
      </c>
      <c r="S214" t="b">
        <f>AND(IF(metadata!D214="",FALSE,TRUE),OR(EXACT(metadata!D214,"surface (non-saline)"),EXACT(metadata!D214,"aerosol (non-saline)"),EXACT(metadata!D214,"sediment (non-saline)"),EXACT(metadata!D214,"surface (saline)"),EXACT(metadata!D214,"aerosol (saline)"),EXACT(metadata!D214,"sediment (saline)")))</f>
        <v>0</v>
      </c>
      <c r="T214" t="b">
        <f>AND(IF(metadata!E214="",FALSE,TRUE),EXACT(metadata!E214,"built environment"))</f>
        <v>0</v>
      </c>
      <c r="U214" t="b">
        <f>OR(AND(IF(metadata!F214="",FALSE,TRUE),EXACT(metadata!F214,"not applicable")),AND(IF(metadata!F214="",FALSE,TRUE),EXACT(metadata!F214,"anaerobic digester content")))</f>
        <v>0</v>
      </c>
    </row>
    <row r="215" spans="1:21" x14ac:dyDescent="0.2">
      <c r="A215" s="4" t="str">
        <f ca="1">IF(B215=" "," ",HYPERLINK(CONCATENATE("#metadata!",ADDRESS(INDEX($L$2:$L$1001,MATCH(ROWS($J$2:J215),$J$2:$J$1001,0),0),1)),INDEX($O$2:$O$1001,MATCH(ROWS($J$2:J215),$J$2:$J$1001,0),0)))</f>
        <v xml:space="preserve"> </v>
      </c>
      <c r="B215" s="3" t="str">
        <f ca="1">IF(OR(INDEX($K$2:$K$1001,MATCH(ROWS($J$2:J215),$J$2:$J$1001,0),1)&gt;=100000,INDEX($Q$1005:$U$1005,1,MATCH(COLUMNS($Q$1006:Q1006),$Q$1006:$U$1006,0))&gt;=100000), " ",IF(INDEX($Q$2:$U$1001,MATCH(ROWS($J$2:J215),$J$2:$J$1001,0),MATCH(COLUMNS($Q$1006:Q1006),$Q$1006:$U$1006,0)), HYPERLINK("#",""), HYPERLINK(CONCATENATE("#metadata!", ADDRESS(INDEX($L$2:$L$1001,MATCH(ROWS($J$2:J215),$J$2:$J$1001,0),0), INDEX($Q$1004:$U$1004,1,MATCH(COLUMNS($Q$1006:Q1006),$Q$1006:$U$1006,0)))),"Fix")))</f>
        <v xml:space="preserve"> </v>
      </c>
      <c r="C215" s="3" t="str">
        <f ca="1">IF(OR(INDEX($K$2:$K$1001,MATCH(ROWS($J$2:J215),$J$2:$J$1001,0),1)&gt;=100000,INDEX($Q$1005:$U$1005,1,MATCH(COLUMNS($Q$1006:R1006),$Q$1006:$U$1006,0))&gt;=100000), " ",IF(INDEX($Q$2:$U$1001,MATCH(ROWS($J$2:J215),$J$2:$J$1001,0),MATCH(COLUMNS($Q$1006:R1006),$Q$1006:$U$1006,0)), HYPERLINK("#",""), HYPERLINK(CONCATENATE("#metadata!", ADDRESS(INDEX($L$2:$L$1001,MATCH(ROWS($J$2:J215),$J$2:$J$1001,0),0), INDEX($Q$1004:$U$1004,1,MATCH(COLUMNS($Q$1006:R1006),$Q$1006:$U$1006,0)))),"Fix")))</f>
        <v xml:space="preserve"> </v>
      </c>
      <c r="D215" s="3" t="str">
        <f ca="1">IF(OR(INDEX($K$2:$K$1001,MATCH(ROWS($J$2:J215),$J$2:$J$1001,0),1)&gt;=100000,INDEX($Q$1005:$U$1005,1,MATCH(COLUMNS($Q$1006:S1006),$Q$1006:$U$1006,0))&gt;=100000), " ",IF(INDEX($Q$2:$U$1001,MATCH(ROWS($J$2:J215),$J$2:$J$1001,0),MATCH(COLUMNS($Q$1006:S1006),$Q$1006:$U$1006,0)), HYPERLINK("#",""), HYPERLINK(CONCATENATE("#metadata!", ADDRESS(INDEX($L$2:$L$1001,MATCH(ROWS($J$2:J215),$J$2:$J$1001,0),0), INDEX($Q$1004:$U$1004,1,MATCH(COLUMNS($Q$1006:S1006),$Q$1006:$U$1006,0)))),"Fix")))</f>
        <v xml:space="preserve"> </v>
      </c>
      <c r="E215" s="3" t="str">
        <f ca="1">IF(OR(INDEX($K$2:$K$1001,MATCH(ROWS($J$2:J215),$J$2:$J$1001,0),1)&gt;=100000,INDEX($Q$1005:$U$1005,1,MATCH(COLUMNS($Q$1006:T1006),$Q$1006:$U$1006,0))&gt;=100000), " ",IF(INDEX($Q$2:$U$1001,MATCH(ROWS($J$2:J215),$J$2:$J$1001,0),MATCH(COLUMNS($Q$1006:T1006),$Q$1006:$U$1006,0)), HYPERLINK("#",""), HYPERLINK(CONCATENATE("#metadata!", ADDRESS(INDEX($L$2:$L$1001,MATCH(ROWS($J$2:J215),$J$2:$J$1001,0),0), INDEX($Q$1004:$U$1004,1,MATCH(COLUMNS($Q$1006:T1006),$Q$1006:$U$1006,0)))),"Fix")))</f>
        <v xml:space="preserve"> </v>
      </c>
      <c r="F215" s="3" t="str">
        <f ca="1">IF(OR(INDEX($K$2:$K$1001,MATCH(ROWS($J$2:J215),$J$2:$J$1001,0),1)&gt;=100000,INDEX($Q$1005:$U$1005,1,MATCH(COLUMNS($Q$1006:U1006),$Q$1006:$U$1006,0))&gt;=100000), " ",IF(INDEX($Q$2:$U$1001,MATCH(ROWS($J$2:J215),$J$2:$J$1001,0),MATCH(COLUMNS($Q$1006:U1006),$Q$1006:$U$1006,0)), HYPERLINK("#",""), HYPERLINK(CONCATENATE("#metadata!", ADDRESS(INDEX($L$2:$L$1001,MATCH(ROWS($J$2:J215),$J$2:$J$1001,0),0), INDEX($Q$1004:$U$1004,1,MATCH(COLUMNS($Q$1006:U1006),$Q$1006:$U$1006,0)))),"Fix")))</f>
        <v xml:space="preserve"> </v>
      </c>
      <c r="J215">
        <v>214</v>
      </c>
      <c r="K215">
        <v>100215</v>
      </c>
      <c r="L215">
        <v>215</v>
      </c>
      <c r="M215" t="b">
        <f t="shared" si="3"/>
        <v>1</v>
      </c>
      <c r="N215" t="b">
        <f>COUNTBLANK(metadata!B215:F215)=COLUMNS(metadata!B215:F215)</f>
        <v>1</v>
      </c>
      <c r="O215" t="str">
        <v/>
      </c>
      <c r="Q215" t="b">
        <f ca="1">AND(IF(metadata!B215="",FALSE,TRUE),COUNTIF(metadata!B:B, metadata!B215) = 1,NOT(ISERROR(SUMPRODUCT(SEARCH(MID(metadata!B215,ROW(INDIRECT("1:"&amp;LEN(metadata!B215))), 1),"0123456789abcdefghijklmnopqrstuvwxyzABCDEFGHIJKLMNOPQRSTUVWXYZ.")))))</f>
        <v>0</v>
      </c>
      <c r="R215" t="b">
        <f>AND(IF(metadata!C215="",FALSE,TRUE),OR(EXACT(metadata!C215,"saline"),EXACT(metadata!C215,"non-saline")))</f>
        <v>0</v>
      </c>
      <c r="S215" t="b">
        <f>AND(IF(metadata!D215="",FALSE,TRUE),OR(EXACT(metadata!D215,"surface (non-saline)"),EXACT(metadata!D215,"aerosol (non-saline)"),EXACT(metadata!D215,"sediment (non-saline)"),EXACT(metadata!D215,"surface (saline)"),EXACT(metadata!D215,"aerosol (saline)"),EXACT(metadata!D215,"sediment (saline)")))</f>
        <v>0</v>
      </c>
      <c r="T215" t="b">
        <f>AND(IF(metadata!E215="",FALSE,TRUE),EXACT(metadata!E215,"built environment"))</f>
        <v>0</v>
      </c>
      <c r="U215" t="b">
        <f>OR(AND(IF(metadata!F215="",FALSE,TRUE),EXACT(metadata!F215,"not applicable")),AND(IF(metadata!F215="",FALSE,TRUE),EXACT(metadata!F215,"anaerobic digester content")))</f>
        <v>0</v>
      </c>
    </row>
    <row r="216" spans="1:21" x14ac:dyDescent="0.2">
      <c r="A216" s="4" t="str">
        <f ca="1">IF(B216=" "," ",HYPERLINK(CONCATENATE("#metadata!",ADDRESS(INDEX($L$2:$L$1001,MATCH(ROWS($J$2:J216),$J$2:$J$1001,0),0),1)),INDEX($O$2:$O$1001,MATCH(ROWS($J$2:J216),$J$2:$J$1001,0),0)))</f>
        <v xml:space="preserve"> </v>
      </c>
      <c r="B216" s="3" t="str">
        <f ca="1">IF(OR(INDEX($K$2:$K$1001,MATCH(ROWS($J$2:J216),$J$2:$J$1001,0),1)&gt;=100000,INDEX($Q$1005:$U$1005,1,MATCH(COLUMNS($Q$1006:Q1006),$Q$1006:$U$1006,0))&gt;=100000), " ",IF(INDEX($Q$2:$U$1001,MATCH(ROWS($J$2:J216),$J$2:$J$1001,0),MATCH(COLUMNS($Q$1006:Q1006),$Q$1006:$U$1006,0)), HYPERLINK("#",""), HYPERLINK(CONCATENATE("#metadata!", ADDRESS(INDEX($L$2:$L$1001,MATCH(ROWS($J$2:J216),$J$2:$J$1001,0),0), INDEX($Q$1004:$U$1004,1,MATCH(COLUMNS($Q$1006:Q1006),$Q$1006:$U$1006,0)))),"Fix")))</f>
        <v xml:space="preserve"> </v>
      </c>
      <c r="C216" s="3" t="str">
        <f ca="1">IF(OR(INDEX($K$2:$K$1001,MATCH(ROWS($J$2:J216),$J$2:$J$1001,0),1)&gt;=100000,INDEX($Q$1005:$U$1005,1,MATCH(COLUMNS($Q$1006:R1006),$Q$1006:$U$1006,0))&gt;=100000), " ",IF(INDEX($Q$2:$U$1001,MATCH(ROWS($J$2:J216),$J$2:$J$1001,0),MATCH(COLUMNS($Q$1006:R1006),$Q$1006:$U$1006,0)), HYPERLINK("#",""), HYPERLINK(CONCATENATE("#metadata!", ADDRESS(INDEX($L$2:$L$1001,MATCH(ROWS($J$2:J216),$J$2:$J$1001,0),0), INDEX($Q$1004:$U$1004,1,MATCH(COLUMNS($Q$1006:R1006),$Q$1006:$U$1006,0)))),"Fix")))</f>
        <v xml:space="preserve"> </v>
      </c>
      <c r="D216" s="3" t="str">
        <f ca="1">IF(OR(INDEX($K$2:$K$1001,MATCH(ROWS($J$2:J216),$J$2:$J$1001,0),1)&gt;=100000,INDEX($Q$1005:$U$1005,1,MATCH(COLUMNS($Q$1006:S1006),$Q$1006:$U$1006,0))&gt;=100000), " ",IF(INDEX($Q$2:$U$1001,MATCH(ROWS($J$2:J216),$J$2:$J$1001,0),MATCH(COLUMNS($Q$1006:S1006),$Q$1006:$U$1006,0)), HYPERLINK("#",""), HYPERLINK(CONCATENATE("#metadata!", ADDRESS(INDEX($L$2:$L$1001,MATCH(ROWS($J$2:J216),$J$2:$J$1001,0),0), INDEX($Q$1004:$U$1004,1,MATCH(COLUMNS($Q$1006:S1006),$Q$1006:$U$1006,0)))),"Fix")))</f>
        <v xml:space="preserve"> </v>
      </c>
      <c r="E216" s="3" t="str">
        <f ca="1">IF(OR(INDEX($K$2:$K$1001,MATCH(ROWS($J$2:J216),$J$2:$J$1001,0),1)&gt;=100000,INDEX($Q$1005:$U$1005,1,MATCH(COLUMNS($Q$1006:T1006),$Q$1006:$U$1006,0))&gt;=100000), " ",IF(INDEX($Q$2:$U$1001,MATCH(ROWS($J$2:J216),$J$2:$J$1001,0),MATCH(COLUMNS($Q$1006:T1006),$Q$1006:$U$1006,0)), HYPERLINK("#",""), HYPERLINK(CONCATENATE("#metadata!", ADDRESS(INDEX($L$2:$L$1001,MATCH(ROWS($J$2:J216),$J$2:$J$1001,0),0), INDEX($Q$1004:$U$1004,1,MATCH(COLUMNS($Q$1006:T1006),$Q$1006:$U$1006,0)))),"Fix")))</f>
        <v xml:space="preserve"> </v>
      </c>
      <c r="F216" s="3" t="str">
        <f ca="1">IF(OR(INDEX($K$2:$K$1001,MATCH(ROWS($J$2:J216),$J$2:$J$1001,0),1)&gt;=100000,INDEX($Q$1005:$U$1005,1,MATCH(COLUMNS($Q$1006:U1006),$Q$1006:$U$1006,0))&gt;=100000), " ",IF(INDEX($Q$2:$U$1001,MATCH(ROWS($J$2:J216),$J$2:$J$1001,0),MATCH(COLUMNS($Q$1006:U1006),$Q$1006:$U$1006,0)), HYPERLINK("#",""), HYPERLINK(CONCATENATE("#metadata!", ADDRESS(INDEX($L$2:$L$1001,MATCH(ROWS($J$2:J216),$J$2:$J$1001,0),0), INDEX($Q$1004:$U$1004,1,MATCH(COLUMNS($Q$1006:U1006),$Q$1006:$U$1006,0)))),"Fix")))</f>
        <v xml:space="preserve"> </v>
      </c>
      <c r="J216">
        <v>215</v>
      </c>
      <c r="K216">
        <v>100216</v>
      </c>
      <c r="L216">
        <v>216</v>
      </c>
      <c r="M216" t="b">
        <f t="shared" si="3"/>
        <v>1</v>
      </c>
      <c r="N216" t="b">
        <f>COUNTBLANK(metadata!B216:F216)=COLUMNS(metadata!B216:F216)</f>
        <v>1</v>
      </c>
      <c r="O216" t="str">
        <v/>
      </c>
      <c r="Q216" t="b">
        <f ca="1">AND(IF(metadata!B216="",FALSE,TRUE),COUNTIF(metadata!B:B, metadata!B216) = 1,NOT(ISERROR(SUMPRODUCT(SEARCH(MID(metadata!B216,ROW(INDIRECT("1:"&amp;LEN(metadata!B216))), 1),"0123456789abcdefghijklmnopqrstuvwxyzABCDEFGHIJKLMNOPQRSTUVWXYZ.")))))</f>
        <v>0</v>
      </c>
      <c r="R216" t="b">
        <f>AND(IF(metadata!C216="",FALSE,TRUE),OR(EXACT(metadata!C216,"saline"),EXACT(metadata!C216,"non-saline")))</f>
        <v>0</v>
      </c>
      <c r="S216" t="b">
        <f>AND(IF(metadata!D216="",FALSE,TRUE),OR(EXACT(metadata!D216,"surface (non-saline)"),EXACT(metadata!D216,"aerosol (non-saline)"),EXACT(metadata!D216,"sediment (non-saline)"),EXACT(metadata!D216,"surface (saline)"),EXACT(metadata!D216,"aerosol (saline)"),EXACT(metadata!D216,"sediment (saline)")))</f>
        <v>0</v>
      </c>
      <c r="T216" t="b">
        <f>AND(IF(metadata!E216="",FALSE,TRUE),EXACT(metadata!E216,"built environment"))</f>
        <v>0</v>
      </c>
      <c r="U216" t="b">
        <f>OR(AND(IF(metadata!F216="",FALSE,TRUE),EXACT(metadata!F216,"not applicable")),AND(IF(metadata!F216="",FALSE,TRUE),EXACT(metadata!F216,"anaerobic digester content")))</f>
        <v>0</v>
      </c>
    </row>
    <row r="217" spans="1:21" x14ac:dyDescent="0.2">
      <c r="A217" s="4" t="str">
        <f ca="1">IF(B217=" "," ",HYPERLINK(CONCATENATE("#metadata!",ADDRESS(INDEX($L$2:$L$1001,MATCH(ROWS($J$2:J217),$J$2:$J$1001,0),0),1)),INDEX($O$2:$O$1001,MATCH(ROWS($J$2:J217),$J$2:$J$1001,0),0)))</f>
        <v xml:space="preserve"> </v>
      </c>
      <c r="B217" s="3" t="str">
        <f ca="1">IF(OR(INDEX($K$2:$K$1001,MATCH(ROWS($J$2:J217),$J$2:$J$1001,0),1)&gt;=100000,INDEX($Q$1005:$U$1005,1,MATCH(COLUMNS($Q$1006:Q1006),$Q$1006:$U$1006,0))&gt;=100000), " ",IF(INDEX($Q$2:$U$1001,MATCH(ROWS($J$2:J217),$J$2:$J$1001,0),MATCH(COLUMNS($Q$1006:Q1006),$Q$1006:$U$1006,0)), HYPERLINK("#",""), HYPERLINK(CONCATENATE("#metadata!", ADDRESS(INDEX($L$2:$L$1001,MATCH(ROWS($J$2:J217),$J$2:$J$1001,0),0), INDEX($Q$1004:$U$1004,1,MATCH(COLUMNS($Q$1006:Q1006),$Q$1006:$U$1006,0)))),"Fix")))</f>
        <v xml:space="preserve"> </v>
      </c>
      <c r="C217" s="3" t="str">
        <f ca="1">IF(OR(INDEX($K$2:$K$1001,MATCH(ROWS($J$2:J217),$J$2:$J$1001,0),1)&gt;=100000,INDEX($Q$1005:$U$1005,1,MATCH(COLUMNS($Q$1006:R1006),$Q$1006:$U$1006,0))&gt;=100000), " ",IF(INDEX($Q$2:$U$1001,MATCH(ROWS($J$2:J217),$J$2:$J$1001,0),MATCH(COLUMNS($Q$1006:R1006),$Q$1006:$U$1006,0)), HYPERLINK("#",""), HYPERLINK(CONCATENATE("#metadata!", ADDRESS(INDEX($L$2:$L$1001,MATCH(ROWS($J$2:J217),$J$2:$J$1001,0),0), INDEX($Q$1004:$U$1004,1,MATCH(COLUMNS($Q$1006:R1006),$Q$1006:$U$1006,0)))),"Fix")))</f>
        <v xml:space="preserve"> </v>
      </c>
      <c r="D217" s="3" t="str">
        <f ca="1">IF(OR(INDEX($K$2:$K$1001,MATCH(ROWS($J$2:J217),$J$2:$J$1001,0),1)&gt;=100000,INDEX($Q$1005:$U$1005,1,MATCH(COLUMNS($Q$1006:S1006),$Q$1006:$U$1006,0))&gt;=100000), " ",IF(INDEX($Q$2:$U$1001,MATCH(ROWS($J$2:J217),$J$2:$J$1001,0),MATCH(COLUMNS($Q$1006:S1006),$Q$1006:$U$1006,0)), HYPERLINK("#",""), HYPERLINK(CONCATENATE("#metadata!", ADDRESS(INDEX($L$2:$L$1001,MATCH(ROWS($J$2:J217),$J$2:$J$1001,0),0), INDEX($Q$1004:$U$1004,1,MATCH(COLUMNS($Q$1006:S1006),$Q$1006:$U$1006,0)))),"Fix")))</f>
        <v xml:space="preserve"> </v>
      </c>
      <c r="E217" s="3" t="str">
        <f ca="1">IF(OR(INDEX($K$2:$K$1001,MATCH(ROWS($J$2:J217),$J$2:$J$1001,0),1)&gt;=100000,INDEX($Q$1005:$U$1005,1,MATCH(COLUMNS($Q$1006:T1006),$Q$1006:$U$1006,0))&gt;=100000), " ",IF(INDEX($Q$2:$U$1001,MATCH(ROWS($J$2:J217),$J$2:$J$1001,0),MATCH(COLUMNS($Q$1006:T1006),$Q$1006:$U$1006,0)), HYPERLINK("#",""), HYPERLINK(CONCATENATE("#metadata!", ADDRESS(INDEX($L$2:$L$1001,MATCH(ROWS($J$2:J217),$J$2:$J$1001,0),0), INDEX($Q$1004:$U$1004,1,MATCH(COLUMNS($Q$1006:T1006),$Q$1006:$U$1006,0)))),"Fix")))</f>
        <v xml:space="preserve"> </v>
      </c>
      <c r="F217" s="3" t="str">
        <f ca="1">IF(OR(INDEX($K$2:$K$1001,MATCH(ROWS($J$2:J217),$J$2:$J$1001,0),1)&gt;=100000,INDEX($Q$1005:$U$1005,1,MATCH(COLUMNS($Q$1006:U1006),$Q$1006:$U$1006,0))&gt;=100000), " ",IF(INDEX($Q$2:$U$1001,MATCH(ROWS($J$2:J217),$J$2:$J$1001,0),MATCH(COLUMNS($Q$1006:U1006),$Q$1006:$U$1006,0)), HYPERLINK("#",""), HYPERLINK(CONCATENATE("#metadata!", ADDRESS(INDEX($L$2:$L$1001,MATCH(ROWS($J$2:J217),$J$2:$J$1001,0),0), INDEX($Q$1004:$U$1004,1,MATCH(COLUMNS($Q$1006:U1006),$Q$1006:$U$1006,0)))),"Fix")))</f>
        <v xml:space="preserve"> </v>
      </c>
      <c r="J217">
        <v>216</v>
      </c>
      <c r="K217">
        <v>100217</v>
      </c>
      <c r="L217">
        <v>217</v>
      </c>
      <c r="M217" t="b">
        <f t="shared" si="3"/>
        <v>1</v>
      </c>
      <c r="N217" t="b">
        <f>COUNTBLANK(metadata!B217:F217)=COLUMNS(metadata!B217:F217)</f>
        <v>1</v>
      </c>
      <c r="O217" t="str">
        <v/>
      </c>
      <c r="Q217" t="b">
        <f ca="1">AND(IF(metadata!B217="",FALSE,TRUE),COUNTIF(metadata!B:B, metadata!B217) = 1,NOT(ISERROR(SUMPRODUCT(SEARCH(MID(metadata!B217,ROW(INDIRECT("1:"&amp;LEN(metadata!B217))), 1),"0123456789abcdefghijklmnopqrstuvwxyzABCDEFGHIJKLMNOPQRSTUVWXYZ.")))))</f>
        <v>0</v>
      </c>
      <c r="R217" t="b">
        <f>AND(IF(metadata!C217="",FALSE,TRUE),OR(EXACT(metadata!C217,"saline"),EXACT(metadata!C217,"non-saline")))</f>
        <v>0</v>
      </c>
      <c r="S217" t="b">
        <f>AND(IF(metadata!D217="",FALSE,TRUE),OR(EXACT(metadata!D217,"surface (non-saline)"),EXACT(metadata!D217,"aerosol (non-saline)"),EXACT(metadata!D217,"sediment (non-saline)"),EXACT(metadata!D217,"surface (saline)"),EXACT(metadata!D217,"aerosol (saline)"),EXACT(metadata!D217,"sediment (saline)")))</f>
        <v>0</v>
      </c>
      <c r="T217" t="b">
        <f>AND(IF(metadata!E217="",FALSE,TRUE),EXACT(metadata!E217,"built environment"))</f>
        <v>0</v>
      </c>
      <c r="U217" t="b">
        <f>OR(AND(IF(metadata!F217="",FALSE,TRUE),EXACT(metadata!F217,"not applicable")),AND(IF(metadata!F217="",FALSE,TRUE),EXACT(metadata!F217,"anaerobic digester content")))</f>
        <v>0</v>
      </c>
    </row>
    <row r="218" spans="1:21" x14ac:dyDescent="0.2">
      <c r="A218" s="4" t="str">
        <f ca="1">IF(B218=" "," ",HYPERLINK(CONCATENATE("#metadata!",ADDRESS(INDEX($L$2:$L$1001,MATCH(ROWS($J$2:J218),$J$2:$J$1001,0),0),1)),INDEX($O$2:$O$1001,MATCH(ROWS($J$2:J218),$J$2:$J$1001,0),0)))</f>
        <v xml:space="preserve"> </v>
      </c>
      <c r="B218" s="3" t="str">
        <f ca="1">IF(OR(INDEX($K$2:$K$1001,MATCH(ROWS($J$2:J218),$J$2:$J$1001,0),1)&gt;=100000,INDEX($Q$1005:$U$1005,1,MATCH(COLUMNS($Q$1006:Q1006),$Q$1006:$U$1006,0))&gt;=100000), " ",IF(INDEX($Q$2:$U$1001,MATCH(ROWS($J$2:J218),$J$2:$J$1001,0),MATCH(COLUMNS($Q$1006:Q1006),$Q$1006:$U$1006,0)), HYPERLINK("#",""), HYPERLINK(CONCATENATE("#metadata!", ADDRESS(INDEX($L$2:$L$1001,MATCH(ROWS($J$2:J218),$J$2:$J$1001,0),0), INDEX($Q$1004:$U$1004,1,MATCH(COLUMNS($Q$1006:Q1006),$Q$1006:$U$1006,0)))),"Fix")))</f>
        <v xml:space="preserve"> </v>
      </c>
      <c r="C218" s="3" t="str">
        <f ca="1">IF(OR(INDEX($K$2:$K$1001,MATCH(ROWS($J$2:J218),$J$2:$J$1001,0),1)&gt;=100000,INDEX($Q$1005:$U$1005,1,MATCH(COLUMNS($Q$1006:R1006),$Q$1006:$U$1006,0))&gt;=100000), " ",IF(INDEX($Q$2:$U$1001,MATCH(ROWS($J$2:J218),$J$2:$J$1001,0),MATCH(COLUMNS($Q$1006:R1006),$Q$1006:$U$1006,0)), HYPERLINK("#",""), HYPERLINK(CONCATENATE("#metadata!", ADDRESS(INDEX($L$2:$L$1001,MATCH(ROWS($J$2:J218),$J$2:$J$1001,0),0), INDEX($Q$1004:$U$1004,1,MATCH(COLUMNS($Q$1006:R1006),$Q$1006:$U$1006,0)))),"Fix")))</f>
        <v xml:space="preserve"> </v>
      </c>
      <c r="D218" s="3" t="str">
        <f ca="1">IF(OR(INDEX($K$2:$K$1001,MATCH(ROWS($J$2:J218),$J$2:$J$1001,0),1)&gt;=100000,INDEX($Q$1005:$U$1005,1,MATCH(COLUMNS($Q$1006:S1006),$Q$1006:$U$1006,0))&gt;=100000), " ",IF(INDEX($Q$2:$U$1001,MATCH(ROWS($J$2:J218),$J$2:$J$1001,0),MATCH(COLUMNS($Q$1006:S1006),$Q$1006:$U$1006,0)), HYPERLINK("#",""), HYPERLINK(CONCATENATE("#metadata!", ADDRESS(INDEX($L$2:$L$1001,MATCH(ROWS($J$2:J218),$J$2:$J$1001,0),0), INDEX($Q$1004:$U$1004,1,MATCH(COLUMNS($Q$1006:S1006),$Q$1006:$U$1006,0)))),"Fix")))</f>
        <v xml:space="preserve"> </v>
      </c>
      <c r="E218" s="3" t="str">
        <f ca="1">IF(OR(INDEX($K$2:$K$1001,MATCH(ROWS($J$2:J218),$J$2:$J$1001,0),1)&gt;=100000,INDEX($Q$1005:$U$1005,1,MATCH(COLUMNS($Q$1006:T1006),$Q$1006:$U$1006,0))&gt;=100000), " ",IF(INDEX($Q$2:$U$1001,MATCH(ROWS($J$2:J218),$J$2:$J$1001,0),MATCH(COLUMNS($Q$1006:T1006),$Q$1006:$U$1006,0)), HYPERLINK("#",""), HYPERLINK(CONCATENATE("#metadata!", ADDRESS(INDEX($L$2:$L$1001,MATCH(ROWS($J$2:J218),$J$2:$J$1001,0),0), INDEX($Q$1004:$U$1004,1,MATCH(COLUMNS($Q$1006:T1006),$Q$1006:$U$1006,0)))),"Fix")))</f>
        <v xml:space="preserve"> </v>
      </c>
      <c r="F218" s="3" t="str">
        <f ca="1">IF(OR(INDEX($K$2:$K$1001,MATCH(ROWS($J$2:J218),$J$2:$J$1001,0),1)&gt;=100000,INDEX($Q$1005:$U$1005,1,MATCH(COLUMNS($Q$1006:U1006),$Q$1006:$U$1006,0))&gt;=100000), " ",IF(INDEX($Q$2:$U$1001,MATCH(ROWS($J$2:J218),$J$2:$J$1001,0),MATCH(COLUMNS($Q$1006:U1006),$Q$1006:$U$1006,0)), HYPERLINK("#",""), HYPERLINK(CONCATENATE("#metadata!", ADDRESS(INDEX($L$2:$L$1001,MATCH(ROWS($J$2:J218),$J$2:$J$1001,0),0), INDEX($Q$1004:$U$1004,1,MATCH(COLUMNS($Q$1006:U1006),$Q$1006:$U$1006,0)))),"Fix")))</f>
        <v xml:space="preserve"> </v>
      </c>
      <c r="J218">
        <v>217</v>
      </c>
      <c r="K218">
        <v>100218</v>
      </c>
      <c r="L218">
        <v>218</v>
      </c>
      <c r="M218" t="b">
        <f t="shared" si="3"/>
        <v>1</v>
      </c>
      <c r="N218" t="b">
        <f>COUNTBLANK(metadata!B218:F218)=COLUMNS(metadata!B218:F218)</f>
        <v>1</v>
      </c>
      <c r="O218" t="str">
        <v/>
      </c>
      <c r="Q218" t="b">
        <f ca="1">AND(IF(metadata!B218="",FALSE,TRUE),COUNTIF(metadata!B:B, metadata!B218) = 1,NOT(ISERROR(SUMPRODUCT(SEARCH(MID(metadata!B218,ROW(INDIRECT("1:"&amp;LEN(metadata!B218))), 1),"0123456789abcdefghijklmnopqrstuvwxyzABCDEFGHIJKLMNOPQRSTUVWXYZ.")))))</f>
        <v>0</v>
      </c>
      <c r="R218" t="b">
        <f>AND(IF(metadata!C218="",FALSE,TRUE),OR(EXACT(metadata!C218,"saline"),EXACT(metadata!C218,"non-saline")))</f>
        <v>0</v>
      </c>
      <c r="S218" t="b">
        <f>AND(IF(metadata!D218="",FALSE,TRUE),OR(EXACT(metadata!D218,"surface (non-saline)"),EXACT(metadata!D218,"aerosol (non-saline)"),EXACT(metadata!D218,"sediment (non-saline)"),EXACT(metadata!D218,"surface (saline)"),EXACT(metadata!D218,"aerosol (saline)"),EXACT(metadata!D218,"sediment (saline)")))</f>
        <v>0</v>
      </c>
      <c r="T218" t="b">
        <f>AND(IF(metadata!E218="",FALSE,TRUE),EXACT(metadata!E218,"built environment"))</f>
        <v>0</v>
      </c>
      <c r="U218" t="b">
        <f>OR(AND(IF(metadata!F218="",FALSE,TRUE),EXACT(metadata!F218,"not applicable")),AND(IF(metadata!F218="",FALSE,TRUE),EXACT(metadata!F218,"anaerobic digester content")))</f>
        <v>0</v>
      </c>
    </row>
    <row r="219" spans="1:21" x14ac:dyDescent="0.2">
      <c r="A219" s="4" t="str">
        <f ca="1">IF(B219=" "," ",HYPERLINK(CONCATENATE("#metadata!",ADDRESS(INDEX($L$2:$L$1001,MATCH(ROWS($J$2:J219),$J$2:$J$1001,0),0),1)),INDEX($O$2:$O$1001,MATCH(ROWS($J$2:J219),$J$2:$J$1001,0),0)))</f>
        <v xml:space="preserve"> </v>
      </c>
      <c r="B219" s="3" t="str">
        <f ca="1">IF(OR(INDEX($K$2:$K$1001,MATCH(ROWS($J$2:J219),$J$2:$J$1001,0),1)&gt;=100000,INDEX($Q$1005:$U$1005,1,MATCH(COLUMNS($Q$1006:Q1006),$Q$1006:$U$1006,0))&gt;=100000), " ",IF(INDEX($Q$2:$U$1001,MATCH(ROWS($J$2:J219),$J$2:$J$1001,0),MATCH(COLUMNS($Q$1006:Q1006),$Q$1006:$U$1006,0)), HYPERLINK("#",""), HYPERLINK(CONCATENATE("#metadata!", ADDRESS(INDEX($L$2:$L$1001,MATCH(ROWS($J$2:J219),$J$2:$J$1001,0),0), INDEX($Q$1004:$U$1004,1,MATCH(COLUMNS($Q$1006:Q1006),$Q$1006:$U$1006,0)))),"Fix")))</f>
        <v xml:space="preserve"> </v>
      </c>
      <c r="C219" s="3" t="str">
        <f ca="1">IF(OR(INDEX($K$2:$K$1001,MATCH(ROWS($J$2:J219),$J$2:$J$1001,0),1)&gt;=100000,INDEX($Q$1005:$U$1005,1,MATCH(COLUMNS($Q$1006:R1006),$Q$1006:$U$1006,0))&gt;=100000), " ",IF(INDEX($Q$2:$U$1001,MATCH(ROWS($J$2:J219),$J$2:$J$1001,0),MATCH(COLUMNS($Q$1006:R1006),$Q$1006:$U$1006,0)), HYPERLINK("#",""), HYPERLINK(CONCATENATE("#metadata!", ADDRESS(INDEX($L$2:$L$1001,MATCH(ROWS($J$2:J219),$J$2:$J$1001,0),0), INDEX($Q$1004:$U$1004,1,MATCH(COLUMNS($Q$1006:R1006),$Q$1006:$U$1006,0)))),"Fix")))</f>
        <v xml:space="preserve"> </v>
      </c>
      <c r="D219" s="3" t="str">
        <f ca="1">IF(OR(INDEX($K$2:$K$1001,MATCH(ROWS($J$2:J219),$J$2:$J$1001,0),1)&gt;=100000,INDEX($Q$1005:$U$1005,1,MATCH(COLUMNS($Q$1006:S1006),$Q$1006:$U$1006,0))&gt;=100000), " ",IF(INDEX($Q$2:$U$1001,MATCH(ROWS($J$2:J219),$J$2:$J$1001,0),MATCH(COLUMNS($Q$1006:S1006),$Q$1006:$U$1006,0)), HYPERLINK("#",""), HYPERLINK(CONCATENATE("#metadata!", ADDRESS(INDEX($L$2:$L$1001,MATCH(ROWS($J$2:J219),$J$2:$J$1001,0),0), INDEX($Q$1004:$U$1004,1,MATCH(COLUMNS($Q$1006:S1006),$Q$1006:$U$1006,0)))),"Fix")))</f>
        <v xml:space="preserve"> </v>
      </c>
      <c r="E219" s="3" t="str">
        <f ca="1">IF(OR(INDEX($K$2:$K$1001,MATCH(ROWS($J$2:J219),$J$2:$J$1001,0),1)&gt;=100000,INDEX($Q$1005:$U$1005,1,MATCH(COLUMNS($Q$1006:T1006),$Q$1006:$U$1006,0))&gt;=100000), " ",IF(INDEX($Q$2:$U$1001,MATCH(ROWS($J$2:J219),$J$2:$J$1001,0),MATCH(COLUMNS($Q$1006:T1006),$Q$1006:$U$1006,0)), HYPERLINK("#",""), HYPERLINK(CONCATENATE("#metadata!", ADDRESS(INDEX($L$2:$L$1001,MATCH(ROWS($J$2:J219),$J$2:$J$1001,0),0), INDEX($Q$1004:$U$1004,1,MATCH(COLUMNS($Q$1006:T1006),$Q$1006:$U$1006,0)))),"Fix")))</f>
        <v xml:space="preserve"> </v>
      </c>
      <c r="F219" s="3" t="str">
        <f ca="1">IF(OR(INDEX($K$2:$K$1001,MATCH(ROWS($J$2:J219),$J$2:$J$1001,0),1)&gt;=100000,INDEX($Q$1005:$U$1005,1,MATCH(COLUMNS($Q$1006:U1006),$Q$1006:$U$1006,0))&gt;=100000), " ",IF(INDEX($Q$2:$U$1001,MATCH(ROWS($J$2:J219),$J$2:$J$1001,0),MATCH(COLUMNS($Q$1006:U1006),$Q$1006:$U$1006,0)), HYPERLINK("#",""), HYPERLINK(CONCATENATE("#metadata!", ADDRESS(INDEX($L$2:$L$1001,MATCH(ROWS($J$2:J219),$J$2:$J$1001,0),0), INDEX($Q$1004:$U$1004,1,MATCH(COLUMNS($Q$1006:U1006),$Q$1006:$U$1006,0)))),"Fix")))</f>
        <v xml:space="preserve"> </v>
      </c>
      <c r="J219">
        <v>218</v>
      </c>
      <c r="K219">
        <v>100219</v>
      </c>
      <c r="L219">
        <v>219</v>
      </c>
      <c r="M219" t="b">
        <f t="shared" si="3"/>
        <v>1</v>
      </c>
      <c r="N219" t="b">
        <f>COUNTBLANK(metadata!B219:F219)=COLUMNS(metadata!B219:F219)</f>
        <v>1</v>
      </c>
      <c r="O219" t="str">
        <v/>
      </c>
      <c r="Q219" t="b">
        <f ca="1">AND(IF(metadata!B219="",FALSE,TRUE),COUNTIF(metadata!B:B, metadata!B219) = 1,NOT(ISERROR(SUMPRODUCT(SEARCH(MID(metadata!B219,ROW(INDIRECT("1:"&amp;LEN(metadata!B219))), 1),"0123456789abcdefghijklmnopqrstuvwxyzABCDEFGHIJKLMNOPQRSTUVWXYZ.")))))</f>
        <v>0</v>
      </c>
      <c r="R219" t="b">
        <f>AND(IF(metadata!C219="",FALSE,TRUE),OR(EXACT(metadata!C219,"saline"),EXACT(metadata!C219,"non-saline")))</f>
        <v>0</v>
      </c>
      <c r="S219" t="b">
        <f>AND(IF(metadata!D219="",FALSE,TRUE),OR(EXACT(metadata!D219,"surface (non-saline)"),EXACT(metadata!D219,"aerosol (non-saline)"),EXACT(metadata!D219,"sediment (non-saline)"),EXACT(metadata!D219,"surface (saline)"),EXACT(metadata!D219,"aerosol (saline)"),EXACT(metadata!D219,"sediment (saline)")))</f>
        <v>0</v>
      </c>
      <c r="T219" t="b">
        <f>AND(IF(metadata!E219="",FALSE,TRUE),EXACT(metadata!E219,"built environment"))</f>
        <v>0</v>
      </c>
      <c r="U219" t="b">
        <f>OR(AND(IF(metadata!F219="",FALSE,TRUE),EXACT(metadata!F219,"not applicable")),AND(IF(metadata!F219="",FALSE,TRUE),EXACT(metadata!F219,"anaerobic digester content")))</f>
        <v>0</v>
      </c>
    </row>
    <row r="220" spans="1:21" x14ac:dyDescent="0.2">
      <c r="A220" s="4" t="str">
        <f ca="1">IF(B220=" "," ",HYPERLINK(CONCATENATE("#metadata!",ADDRESS(INDEX($L$2:$L$1001,MATCH(ROWS($J$2:J220),$J$2:$J$1001,0),0),1)),INDEX($O$2:$O$1001,MATCH(ROWS($J$2:J220),$J$2:$J$1001,0),0)))</f>
        <v xml:space="preserve"> </v>
      </c>
      <c r="B220" s="3" t="str">
        <f ca="1">IF(OR(INDEX($K$2:$K$1001,MATCH(ROWS($J$2:J220),$J$2:$J$1001,0),1)&gt;=100000,INDEX($Q$1005:$U$1005,1,MATCH(COLUMNS($Q$1006:Q1006),$Q$1006:$U$1006,0))&gt;=100000), " ",IF(INDEX($Q$2:$U$1001,MATCH(ROWS($J$2:J220),$J$2:$J$1001,0),MATCH(COLUMNS($Q$1006:Q1006),$Q$1006:$U$1006,0)), HYPERLINK("#",""), HYPERLINK(CONCATENATE("#metadata!", ADDRESS(INDEX($L$2:$L$1001,MATCH(ROWS($J$2:J220),$J$2:$J$1001,0),0), INDEX($Q$1004:$U$1004,1,MATCH(COLUMNS($Q$1006:Q1006),$Q$1006:$U$1006,0)))),"Fix")))</f>
        <v xml:space="preserve"> </v>
      </c>
      <c r="C220" s="3" t="str">
        <f ca="1">IF(OR(INDEX($K$2:$K$1001,MATCH(ROWS($J$2:J220),$J$2:$J$1001,0),1)&gt;=100000,INDEX($Q$1005:$U$1005,1,MATCH(COLUMNS($Q$1006:R1006),$Q$1006:$U$1006,0))&gt;=100000), " ",IF(INDEX($Q$2:$U$1001,MATCH(ROWS($J$2:J220),$J$2:$J$1001,0),MATCH(COLUMNS($Q$1006:R1006),$Q$1006:$U$1006,0)), HYPERLINK("#",""), HYPERLINK(CONCATENATE("#metadata!", ADDRESS(INDEX($L$2:$L$1001,MATCH(ROWS($J$2:J220),$J$2:$J$1001,0),0), INDEX($Q$1004:$U$1004,1,MATCH(COLUMNS($Q$1006:R1006),$Q$1006:$U$1006,0)))),"Fix")))</f>
        <v xml:space="preserve"> </v>
      </c>
      <c r="D220" s="3" t="str">
        <f ca="1">IF(OR(INDEX($K$2:$K$1001,MATCH(ROWS($J$2:J220),$J$2:$J$1001,0),1)&gt;=100000,INDEX($Q$1005:$U$1005,1,MATCH(COLUMNS($Q$1006:S1006),$Q$1006:$U$1006,0))&gt;=100000), " ",IF(INDEX($Q$2:$U$1001,MATCH(ROWS($J$2:J220),$J$2:$J$1001,0),MATCH(COLUMNS($Q$1006:S1006),$Q$1006:$U$1006,0)), HYPERLINK("#",""), HYPERLINK(CONCATENATE("#metadata!", ADDRESS(INDEX($L$2:$L$1001,MATCH(ROWS($J$2:J220),$J$2:$J$1001,0),0), INDEX($Q$1004:$U$1004,1,MATCH(COLUMNS($Q$1006:S1006),$Q$1006:$U$1006,0)))),"Fix")))</f>
        <v xml:space="preserve"> </v>
      </c>
      <c r="E220" s="3" t="str">
        <f ca="1">IF(OR(INDEX($K$2:$K$1001,MATCH(ROWS($J$2:J220),$J$2:$J$1001,0),1)&gt;=100000,INDEX($Q$1005:$U$1005,1,MATCH(COLUMNS($Q$1006:T1006),$Q$1006:$U$1006,0))&gt;=100000), " ",IF(INDEX($Q$2:$U$1001,MATCH(ROWS($J$2:J220),$J$2:$J$1001,0),MATCH(COLUMNS($Q$1006:T1006),$Q$1006:$U$1006,0)), HYPERLINK("#",""), HYPERLINK(CONCATENATE("#metadata!", ADDRESS(INDEX($L$2:$L$1001,MATCH(ROWS($J$2:J220),$J$2:$J$1001,0),0), INDEX($Q$1004:$U$1004,1,MATCH(COLUMNS($Q$1006:T1006),$Q$1006:$U$1006,0)))),"Fix")))</f>
        <v xml:space="preserve"> </v>
      </c>
      <c r="F220" s="3" t="str">
        <f ca="1">IF(OR(INDEX($K$2:$K$1001,MATCH(ROWS($J$2:J220),$J$2:$J$1001,0),1)&gt;=100000,INDEX($Q$1005:$U$1005,1,MATCH(COLUMNS($Q$1006:U1006),$Q$1006:$U$1006,0))&gt;=100000), " ",IF(INDEX($Q$2:$U$1001,MATCH(ROWS($J$2:J220),$J$2:$J$1001,0),MATCH(COLUMNS($Q$1006:U1006),$Q$1006:$U$1006,0)), HYPERLINK("#",""), HYPERLINK(CONCATENATE("#metadata!", ADDRESS(INDEX($L$2:$L$1001,MATCH(ROWS($J$2:J220),$J$2:$J$1001,0),0), INDEX($Q$1004:$U$1004,1,MATCH(COLUMNS($Q$1006:U1006),$Q$1006:$U$1006,0)))),"Fix")))</f>
        <v xml:space="preserve"> </v>
      </c>
      <c r="J220">
        <v>219</v>
      </c>
      <c r="K220">
        <v>100220</v>
      </c>
      <c r="L220">
        <v>220</v>
      </c>
      <c r="M220" t="b">
        <f t="shared" si="3"/>
        <v>1</v>
      </c>
      <c r="N220" t="b">
        <f>COUNTBLANK(metadata!B220:F220)=COLUMNS(metadata!B220:F220)</f>
        <v>1</v>
      </c>
      <c r="O220" t="str">
        <v/>
      </c>
      <c r="Q220" t="b">
        <f ca="1">AND(IF(metadata!B220="",FALSE,TRUE),COUNTIF(metadata!B:B, metadata!B220) = 1,NOT(ISERROR(SUMPRODUCT(SEARCH(MID(metadata!B220,ROW(INDIRECT("1:"&amp;LEN(metadata!B220))), 1),"0123456789abcdefghijklmnopqrstuvwxyzABCDEFGHIJKLMNOPQRSTUVWXYZ.")))))</f>
        <v>0</v>
      </c>
      <c r="R220" t="b">
        <f>AND(IF(metadata!C220="",FALSE,TRUE),OR(EXACT(metadata!C220,"saline"),EXACT(metadata!C220,"non-saline")))</f>
        <v>0</v>
      </c>
      <c r="S220" t="b">
        <f>AND(IF(metadata!D220="",FALSE,TRUE),OR(EXACT(metadata!D220,"surface (non-saline)"),EXACT(metadata!D220,"aerosol (non-saline)"),EXACT(metadata!D220,"sediment (non-saline)"),EXACT(metadata!D220,"surface (saline)"),EXACT(metadata!D220,"aerosol (saline)"),EXACT(metadata!D220,"sediment (saline)")))</f>
        <v>0</v>
      </c>
      <c r="T220" t="b">
        <f>AND(IF(metadata!E220="",FALSE,TRUE),EXACT(metadata!E220,"built environment"))</f>
        <v>0</v>
      </c>
      <c r="U220" t="b">
        <f>OR(AND(IF(metadata!F220="",FALSE,TRUE),EXACT(metadata!F220,"not applicable")),AND(IF(metadata!F220="",FALSE,TRUE),EXACT(metadata!F220,"anaerobic digester content")))</f>
        <v>0</v>
      </c>
    </row>
    <row r="221" spans="1:21" x14ac:dyDescent="0.2">
      <c r="A221" s="4" t="str">
        <f ca="1">IF(B221=" "," ",HYPERLINK(CONCATENATE("#metadata!",ADDRESS(INDEX($L$2:$L$1001,MATCH(ROWS($J$2:J221),$J$2:$J$1001,0),0),1)),INDEX($O$2:$O$1001,MATCH(ROWS($J$2:J221),$J$2:$J$1001,0),0)))</f>
        <v xml:space="preserve"> </v>
      </c>
      <c r="B221" s="3" t="str">
        <f ca="1">IF(OR(INDEX($K$2:$K$1001,MATCH(ROWS($J$2:J221),$J$2:$J$1001,0),1)&gt;=100000,INDEX($Q$1005:$U$1005,1,MATCH(COLUMNS($Q$1006:Q1006),$Q$1006:$U$1006,0))&gt;=100000), " ",IF(INDEX($Q$2:$U$1001,MATCH(ROWS($J$2:J221),$J$2:$J$1001,0),MATCH(COLUMNS($Q$1006:Q1006),$Q$1006:$U$1006,0)), HYPERLINK("#",""), HYPERLINK(CONCATENATE("#metadata!", ADDRESS(INDEX($L$2:$L$1001,MATCH(ROWS($J$2:J221),$J$2:$J$1001,0),0), INDEX($Q$1004:$U$1004,1,MATCH(COLUMNS($Q$1006:Q1006),$Q$1006:$U$1006,0)))),"Fix")))</f>
        <v xml:space="preserve"> </v>
      </c>
      <c r="C221" s="3" t="str">
        <f ca="1">IF(OR(INDEX($K$2:$K$1001,MATCH(ROWS($J$2:J221),$J$2:$J$1001,0),1)&gt;=100000,INDEX($Q$1005:$U$1005,1,MATCH(COLUMNS($Q$1006:R1006),$Q$1006:$U$1006,0))&gt;=100000), " ",IF(INDEX($Q$2:$U$1001,MATCH(ROWS($J$2:J221),$J$2:$J$1001,0),MATCH(COLUMNS($Q$1006:R1006),$Q$1006:$U$1006,0)), HYPERLINK("#",""), HYPERLINK(CONCATENATE("#metadata!", ADDRESS(INDEX($L$2:$L$1001,MATCH(ROWS($J$2:J221),$J$2:$J$1001,0),0), INDEX($Q$1004:$U$1004,1,MATCH(COLUMNS($Q$1006:R1006),$Q$1006:$U$1006,0)))),"Fix")))</f>
        <v xml:space="preserve"> </v>
      </c>
      <c r="D221" s="3" t="str">
        <f ca="1">IF(OR(INDEX($K$2:$K$1001,MATCH(ROWS($J$2:J221),$J$2:$J$1001,0),1)&gt;=100000,INDEX($Q$1005:$U$1005,1,MATCH(COLUMNS($Q$1006:S1006),$Q$1006:$U$1006,0))&gt;=100000), " ",IF(INDEX($Q$2:$U$1001,MATCH(ROWS($J$2:J221),$J$2:$J$1001,0),MATCH(COLUMNS($Q$1006:S1006),$Q$1006:$U$1006,0)), HYPERLINK("#",""), HYPERLINK(CONCATENATE("#metadata!", ADDRESS(INDEX($L$2:$L$1001,MATCH(ROWS($J$2:J221),$J$2:$J$1001,0),0), INDEX($Q$1004:$U$1004,1,MATCH(COLUMNS($Q$1006:S1006),$Q$1006:$U$1006,0)))),"Fix")))</f>
        <v xml:space="preserve"> </v>
      </c>
      <c r="E221" s="3" t="str">
        <f ca="1">IF(OR(INDEX($K$2:$K$1001,MATCH(ROWS($J$2:J221),$J$2:$J$1001,0),1)&gt;=100000,INDEX($Q$1005:$U$1005,1,MATCH(COLUMNS($Q$1006:T1006),$Q$1006:$U$1006,0))&gt;=100000), " ",IF(INDEX($Q$2:$U$1001,MATCH(ROWS($J$2:J221),$J$2:$J$1001,0),MATCH(COLUMNS($Q$1006:T1006),$Q$1006:$U$1006,0)), HYPERLINK("#",""), HYPERLINK(CONCATENATE("#metadata!", ADDRESS(INDEX($L$2:$L$1001,MATCH(ROWS($J$2:J221),$J$2:$J$1001,0),0), INDEX($Q$1004:$U$1004,1,MATCH(COLUMNS($Q$1006:T1006),$Q$1006:$U$1006,0)))),"Fix")))</f>
        <v xml:space="preserve"> </v>
      </c>
      <c r="F221" s="3" t="str">
        <f ca="1">IF(OR(INDEX($K$2:$K$1001,MATCH(ROWS($J$2:J221),$J$2:$J$1001,0),1)&gt;=100000,INDEX($Q$1005:$U$1005,1,MATCH(COLUMNS($Q$1006:U1006),$Q$1006:$U$1006,0))&gt;=100000), " ",IF(INDEX($Q$2:$U$1001,MATCH(ROWS($J$2:J221),$J$2:$J$1001,0),MATCH(COLUMNS($Q$1006:U1006),$Q$1006:$U$1006,0)), HYPERLINK("#",""), HYPERLINK(CONCATENATE("#metadata!", ADDRESS(INDEX($L$2:$L$1001,MATCH(ROWS($J$2:J221),$J$2:$J$1001,0),0), INDEX($Q$1004:$U$1004,1,MATCH(COLUMNS($Q$1006:U1006),$Q$1006:$U$1006,0)))),"Fix")))</f>
        <v xml:space="preserve"> </v>
      </c>
      <c r="J221">
        <v>220</v>
      </c>
      <c r="K221">
        <v>100221</v>
      </c>
      <c r="L221">
        <v>221</v>
      </c>
      <c r="M221" t="b">
        <f t="shared" si="3"/>
        <v>1</v>
      </c>
      <c r="N221" t="b">
        <f>COUNTBLANK(metadata!B221:F221)=COLUMNS(metadata!B221:F221)</f>
        <v>1</v>
      </c>
      <c r="O221" t="str">
        <v/>
      </c>
      <c r="Q221" t="b">
        <f ca="1">AND(IF(metadata!B221="",FALSE,TRUE),COUNTIF(metadata!B:B, metadata!B221) = 1,NOT(ISERROR(SUMPRODUCT(SEARCH(MID(metadata!B221,ROW(INDIRECT("1:"&amp;LEN(metadata!B221))), 1),"0123456789abcdefghijklmnopqrstuvwxyzABCDEFGHIJKLMNOPQRSTUVWXYZ.")))))</f>
        <v>0</v>
      </c>
      <c r="R221" t="b">
        <f>AND(IF(metadata!C221="",FALSE,TRUE),OR(EXACT(metadata!C221,"saline"),EXACT(metadata!C221,"non-saline")))</f>
        <v>0</v>
      </c>
      <c r="S221" t="b">
        <f>AND(IF(metadata!D221="",FALSE,TRUE),OR(EXACT(metadata!D221,"surface (non-saline)"),EXACT(metadata!D221,"aerosol (non-saline)"),EXACT(metadata!D221,"sediment (non-saline)"),EXACT(metadata!D221,"surface (saline)"),EXACT(metadata!D221,"aerosol (saline)"),EXACT(metadata!D221,"sediment (saline)")))</f>
        <v>0</v>
      </c>
      <c r="T221" t="b">
        <f>AND(IF(metadata!E221="",FALSE,TRUE),EXACT(metadata!E221,"built environment"))</f>
        <v>0</v>
      </c>
      <c r="U221" t="b">
        <f>OR(AND(IF(metadata!F221="",FALSE,TRUE),EXACT(metadata!F221,"not applicable")),AND(IF(metadata!F221="",FALSE,TRUE),EXACT(metadata!F221,"anaerobic digester content")))</f>
        <v>0</v>
      </c>
    </row>
    <row r="222" spans="1:21" x14ac:dyDescent="0.2">
      <c r="A222" s="4" t="str">
        <f ca="1">IF(B222=" "," ",HYPERLINK(CONCATENATE("#metadata!",ADDRESS(INDEX($L$2:$L$1001,MATCH(ROWS($J$2:J222),$J$2:$J$1001,0),0),1)),INDEX($O$2:$O$1001,MATCH(ROWS($J$2:J222),$J$2:$J$1001,0),0)))</f>
        <v xml:space="preserve"> </v>
      </c>
      <c r="B222" s="3" t="str">
        <f ca="1">IF(OR(INDEX($K$2:$K$1001,MATCH(ROWS($J$2:J222),$J$2:$J$1001,0),1)&gt;=100000,INDEX($Q$1005:$U$1005,1,MATCH(COLUMNS($Q$1006:Q1006),$Q$1006:$U$1006,0))&gt;=100000), " ",IF(INDEX($Q$2:$U$1001,MATCH(ROWS($J$2:J222),$J$2:$J$1001,0),MATCH(COLUMNS($Q$1006:Q1006),$Q$1006:$U$1006,0)), HYPERLINK("#",""), HYPERLINK(CONCATENATE("#metadata!", ADDRESS(INDEX($L$2:$L$1001,MATCH(ROWS($J$2:J222),$J$2:$J$1001,0),0), INDEX($Q$1004:$U$1004,1,MATCH(COLUMNS($Q$1006:Q1006),$Q$1006:$U$1006,0)))),"Fix")))</f>
        <v xml:space="preserve"> </v>
      </c>
      <c r="C222" s="3" t="str">
        <f ca="1">IF(OR(INDEX($K$2:$K$1001,MATCH(ROWS($J$2:J222),$J$2:$J$1001,0),1)&gt;=100000,INDEX($Q$1005:$U$1005,1,MATCH(COLUMNS($Q$1006:R1006),$Q$1006:$U$1006,0))&gt;=100000), " ",IF(INDEX($Q$2:$U$1001,MATCH(ROWS($J$2:J222),$J$2:$J$1001,0),MATCH(COLUMNS($Q$1006:R1006),$Q$1006:$U$1006,0)), HYPERLINK("#",""), HYPERLINK(CONCATENATE("#metadata!", ADDRESS(INDEX($L$2:$L$1001,MATCH(ROWS($J$2:J222),$J$2:$J$1001,0),0), INDEX($Q$1004:$U$1004,1,MATCH(COLUMNS($Q$1006:R1006),$Q$1006:$U$1006,0)))),"Fix")))</f>
        <v xml:space="preserve"> </v>
      </c>
      <c r="D222" s="3" t="str">
        <f ca="1">IF(OR(INDEX($K$2:$K$1001,MATCH(ROWS($J$2:J222),$J$2:$J$1001,0),1)&gt;=100000,INDEX($Q$1005:$U$1005,1,MATCH(COLUMNS($Q$1006:S1006),$Q$1006:$U$1006,0))&gt;=100000), " ",IF(INDEX($Q$2:$U$1001,MATCH(ROWS($J$2:J222),$J$2:$J$1001,0),MATCH(COLUMNS($Q$1006:S1006),$Q$1006:$U$1006,0)), HYPERLINK("#",""), HYPERLINK(CONCATENATE("#metadata!", ADDRESS(INDEX($L$2:$L$1001,MATCH(ROWS($J$2:J222),$J$2:$J$1001,0),0), INDEX($Q$1004:$U$1004,1,MATCH(COLUMNS($Q$1006:S1006),$Q$1006:$U$1006,0)))),"Fix")))</f>
        <v xml:space="preserve"> </v>
      </c>
      <c r="E222" s="3" t="str">
        <f ca="1">IF(OR(INDEX($K$2:$K$1001,MATCH(ROWS($J$2:J222),$J$2:$J$1001,0),1)&gt;=100000,INDEX($Q$1005:$U$1005,1,MATCH(COLUMNS($Q$1006:T1006),$Q$1006:$U$1006,0))&gt;=100000), " ",IF(INDEX($Q$2:$U$1001,MATCH(ROWS($J$2:J222),$J$2:$J$1001,0),MATCH(COLUMNS($Q$1006:T1006),$Q$1006:$U$1006,0)), HYPERLINK("#",""), HYPERLINK(CONCATENATE("#metadata!", ADDRESS(INDEX($L$2:$L$1001,MATCH(ROWS($J$2:J222),$J$2:$J$1001,0),0), INDEX($Q$1004:$U$1004,1,MATCH(COLUMNS($Q$1006:T1006),$Q$1006:$U$1006,0)))),"Fix")))</f>
        <v xml:space="preserve"> </v>
      </c>
      <c r="F222" s="3" t="str">
        <f ca="1">IF(OR(INDEX($K$2:$K$1001,MATCH(ROWS($J$2:J222),$J$2:$J$1001,0),1)&gt;=100000,INDEX($Q$1005:$U$1005,1,MATCH(COLUMNS($Q$1006:U1006),$Q$1006:$U$1006,0))&gt;=100000), " ",IF(INDEX($Q$2:$U$1001,MATCH(ROWS($J$2:J222),$J$2:$J$1001,0),MATCH(COLUMNS($Q$1006:U1006),$Q$1006:$U$1006,0)), HYPERLINK("#",""), HYPERLINK(CONCATENATE("#metadata!", ADDRESS(INDEX($L$2:$L$1001,MATCH(ROWS($J$2:J222),$J$2:$J$1001,0),0), INDEX($Q$1004:$U$1004,1,MATCH(COLUMNS($Q$1006:U1006),$Q$1006:$U$1006,0)))),"Fix")))</f>
        <v xml:space="preserve"> </v>
      </c>
      <c r="J222">
        <v>221</v>
      </c>
      <c r="K222">
        <v>100222</v>
      </c>
      <c r="L222">
        <v>222</v>
      </c>
      <c r="M222" t="b">
        <f t="shared" si="3"/>
        <v>1</v>
      </c>
      <c r="N222" t="b">
        <f>COUNTBLANK(metadata!B222:F222)=COLUMNS(metadata!B222:F222)</f>
        <v>1</v>
      </c>
      <c r="O222" t="str">
        <v/>
      </c>
      <c r="Q222" t="b">
        <f ca="1">AND(IF(metadata!B222="",FALSE,TRUE),COUNTIF(metadata!B:B, metadata!B222) = 1,NOT(ISERROR(SUMPRODUCT(SEARCH(MID(metadata!B222,ROW(INDIRECT("1:"&amp;LEN(metadata!B222))), 1),"0123456789abcdefghijklmnopqrstuvwxyzABCDEFGHIJKLMNOPQRSTUVWXYZ.")))))</f>
        <v>0</v>
      </c>
      <c r="R222" t="b">
        <f>AND(IF(metadata!C222="",FALSE,TRUE),OR(EXACT(metadata!C222,"saline"),EXACT(metadata!C222,"non-saline")))</f>
        <v>0</v>
      </c>
      <c r="S222" t="b">
        <f>AND(IF(metadata!D222="",FALSE,TRUE),OR(EXACT(metadata!D222,"surface (non-saline)"),EXACT(metadata!D222,"aerosol (non-saline)"),EXACT(metadata!D222,"sediment (non-saline)"),EXACT(metadata!D222,"surface (saline)"),EXACT(metadata!D222,"aerosol (saline)"),EXACT(metadata!D222,"sediment (saline)")))</f>
        <v>0</v>
      </c>
      <c r="T222" t="b">
        <f>AND(IF(metadata!E222="",FALSE,TRUE),EXACT(metadata!E222,"built environment"))</f>
        <v>0</v>
      </c>
      <c r="U222" t="b">
        <f>OR(AND(IF(metadata!F222="",FALSE,TRUE),EXACT(metadata!F222,"not applicable")),AND(IF(metadata!F222="",FALSE,TRUE),EXACT(metadata!F222,"anaerobic digester content")))</f>
        <v>0</v>
      </c>
    </row>
    <row r="223" spans="1:21" x14ac:dyDescent="0.2">
      <c r="A223" s="4" t="str">
        <f ca="1">IF(B223=" "," ",HYPERLINK(CONCATENATE("#metadata!",ADDRESS(INDEX($L$2:$L$1001,MATCH(ROWS($J$2:J223),$J$2:$J$1001,0),0),1)),INDEX($O$2:$O$1001,MATCH(ROWS($J$2:J223),$J$2:$J$1001,0),0)))</f>
        <v xml:space="preserve"> </v>
      </c>
      <c r="B223" s="3" t="str">
        <f ca="1">IF(OR(INDEX($K$2:$K$1001,MATCH(ROWS($J$2:J223),$J$2:$J$1001,0),1)&gt;=100000,INDEX($Q$1005:$U$1005,1,MATCH(COLUMNS($Q$1006:Q1006),$Q$1006:$U$1006,0))&gt;=100000), " ",IF(INDEX($Q$2:$U$1001,MATCH(ROWS($J$2:J223),$J$2:$J$1001,0),MATCH(COLUMNS($Q$1006:Q1006),$Q$1006:$U$1006,0)), HYPERLINK("#",""), HYPERLINK(CONCATENATE("#metadata!", ADDRESS(INDEX($L$2:$L$1001,MATCH(ROWS($J$2:J223),$J$2:$J$1001,0),0), INDEX($Q$1004:$U$1004,1,MATCH(COLUMNS($Q$1006:Q1006),$Q$1006:$U$1006,0)))),"Fix")))</f>
        <v xml:space="preserve"> </v>
      </c>
      <c r="C223" s="3" t="str">
        <f ca="1">IF(OR(INDEX($K$2:$K$1001,MATCH(ROWS($J$2:J223),$J$2:$J$1001,0),1)&gt;=100000,INDEX($Q$1005:$U$1005,1,MATCH(COLUMNS($Q$1006:R1006),$Q$1006:$U$1006,0))&gt;=100000), " ",IF(INDEX($Q$2:$U$1001,MATCH(ROWS($J$2:J223),$J$2:$J$1001,0),MATCH(COLUMNS($Q$1006:R1006),$Q$1006:$U$1006,0)), HYPERLINK("#",""), HYPERLINK(CONCATENATE("#metadata!", ADDRESS(INDEX($L$2:$L$1001,MATCH(ROWS($J$2:J223),$J$2:$J$1001,0),0), INDEX($Q$1004:$U$1004,1,MATCH(COLUMNS($Q$1006:R1006),$Q$1006:$U$1006,0)))),"Fix")))</f>
        <v xml:space="preserve"> </v>
      </c>
      <c r="D223" s="3" t="str">
        <f ca="1">IF(OR(INDEX($K$2:$K$1001,MATCH(ROWS($J$2:J223),$J$2:$J$1001,0),1)&gt;=100000,INDEX($Q$1005:$U$1005,1,MATCH(COLUMNS($Q$1006:S1006),$Q$1006:$U$1006,0))&gt;=100000), " ",IF(INDEX($Q$2:$U$1001,MATCH(ROWS($J$2:J223),$J$2:$J$1001,0),MATCH(COLUMNS($Q$1006:S1006),$Q$1006:$U$1006,0)), HYPERLINK("#",""), HYPERLINK(CONCATENATE("#metadata!", ADDRESS(INDEX($L$2:$L$1001,MATCH(ROWS($J$2:J223),$J$2:$J$1001,0),0), INDEX($Q$1004:$U$1004,1,MATCH(COLUMNS($Q$1006:S1006),$Q$1006:$U$1006,0)))),"Fix")))</f>
        <v xml:space="preserve"> </v>
      </c>
      <c r="E223" s="3" t="str">
        <f ca="1">IF(OR(INDEX($K$2:$K$1001,MATCH(ROWS($J$2:J223),$J$2:$J$1001,0),1)&gt;=100000,INDEX($Q$1005:$U$1005,1,MATCH(COLUMNS($Q$1006:T1006),$Q$1006:$U$1006,0))&gt;=100000), " ",IF(INDEX($Q$2:$U$1001,MATCH(ROWS($J$2:J223),$J$2:$J$1001,0),MATCH(COLUMNS($Q$1006:T1006),$Q$1006:$U$1006,0)), HYPERLINK("#",""), HYPERLINK(CONCATENATE("#metadata!", ADDRESS(INDEX($L$2:$L$1001,MATCH(ROWS($J$2:J223),$J$2:$J$1001,0),0), INDEX($Q$1004:$U$1004,1,MATCH(COLUMNS($Q$1006:T1006),$Q$1006:$U$1006,0)))),"Fix")))</f>
        <v xml:space="preserve"> </v>
      </c>
      <c r="F223" s="3" t="str">
        <f ca="1">IF(OR(INDEX($K$2:$K$1001,MATCH(ROWS($J$2:J223),$J$2:$J$1001,0),1)&gt;=100000,INDEX($Q$1005:$U$1005,1,MATCH(COLUMNS($Q$1006:U1006),$Q$1006:$U$1006,0))&gt;=100000), " ",IF(INDEX($Q$2:$U$1001,MATCH(ROWS($J$2:J223),$J$2:$J$1001,0),MATCH(COLUMNS($Q$1006:U1006),$Q$1006:$U$1006,0)), HYPERLINK("#",""), HYPERLINK(CONCATENATE("#metadata!", ADDRESS(INDEX($L$2:$L$1001,MATCH(ROWS($J$2:J223),$J$2:$J$1001,0),0), INDEX($Q$1004:$U$1004,1,MATCH(COLUMNS($Q$1006:U1006),$Q$1006:$U$1006,0)))),"Fix")))</f>
        <v xml:space="preserve"> </v>
      </c>
      <c r="J223">
        <v>222</v>
      </c>
      <c r="K223">
        <v>100223</v>
      </c>
      <c r="L223">
        <v>223</v>
      </c>
      <c r="M223" t="b">
        <f t="shared" si="3"/>
        <v>1</v>
      </c>
      <c r="N223" t="b">
        <f>COUNTBLANK(metadata!B223:F223)=COLUMNS(metadata!B223:F223)</f>
        <v>1</v>
      </c>
      <c r="O223" t="str">
        <v/>
      </c>
      <c r="Q223" t="b">
        <f ca="1">AND(IF(metadata!B223="",FALSE,TRUE),COUNTIF(metadata!B:B, metadata!B223) = 1,NOT(ISERROR(SUMPRODUCT(SEARCH(MID(metadata!B223,ROW(INDIRECT("1:"&amp;LEN(metadata!B223))), 1),"0123456789abcdefghijklmnopqrstuvwxyzABCDEFGHIJKLMNOPQRSTUVWXYZ.")))))</f>
        <v>0</v>
      </c>
      <c r="R223" t="b">
        <f>AND(IF(metadata!C223="",FALSE,TRUE),OR(EXACT(metadata!C223,"saline"),EXACT(metadata!C223,"non-saline")))</f>
        <v>0</v>
      </c>
      <c r="S223" t="b">
        <f>AND(IF(metadata!D223="",FALSE,TRUE),OR(EXACT(metadata!D223,"surface (non-saline)"),EXACT(metadata!D223,"aerosol (non-saline)"),EXACT(metadata!D223,"sediment (non-saline)"),EXACT(metadata!D223,"surface (saline)"),EXACT(metadata!D223,"aerosol (saline)"),EXACT(metadata!D223,"sediment (saline)")))</f>
        <v>0</v>
      </c>
      <c r="T223" t="b">
        <f>AND(IF(metadata!E223="",FALSE,TRUE),EXACT(metadata!E223,"built environment"))</f>
        <v>0</v>
      </c>
      <c r="U223" t="b">
        <f>OR(AND(IF(metadata!F223="",FALSE,TRUE),EXACT(metadata!F223,"not applicable")),AND(IF(metadata!F223="",FALSE,TRUE),EXACT(metadata!F223,"anaerobic digester content")))</f>
        <v>0</v>
      </c>
    </row>
    <row r="224" spans="1:21" x14ac:dyDescent="0.2">
      <c r="A224" s="4" t="str">
        <f ca="1">IF(B224=" "," ",HYPERLINK(CONCATENATE("#metadata!",ADDRESS(INDEX($L$2:$L$1001,MATCH(ROWS($J$2:J224),$J$2:$J$1001,0),0),1)),INDEX($O$2:$O$1001,MATCH(ROWS($J$2:J224),$J$2:$J$1001,0),0)))</f>
        <v xml:space="preserve"> </v>
      </c>
      <c r="B224" s="3" t="str">
        <f ca="1">IF(OR(INDEX($K$2:$K$1001,MATCH(ROWS($J$2:J224),$J$2:$J$1001,0),1)&gt;=100000,INDEX($Q$1005:$U$1005,1,MATCH(COLUMNS($Q$1006:Q1006),$Q$1006:$U$1006,0))&gt;=100000), " ",IF(INDEX($Q$2:$U$1001,MATCH(ROWS($J$2:J224),$J$2:$J$1001,0),MATCH(COLUMNS($Q$1006:Q1006),$Q$1006:$U$1006,0)), HYPERLINK("#",""), HYPERLINK(CONCATENATE("#metadata!", ADDRESS(INDEX($L$2:$L$1001,MATCH(ROWS($J$2:J224),$J$2:$J$1001,0),0), INDEX($Q$1004:$U$1004,1,MATCH(COLUMNS($Q$1006:Q1006),$Q$1006:$U$1006,0)))),"Fix")))</f>
        <v xml:space="preserve"> </v>
      </c>
      <c r="C224" s="3" t="str">
        <f ca="1">IF(OR(INDEX($K$2:$K$1001,MATCH(ROWS($J$2:J224),$J$2:$J$1001,0),1)&gt;=100000,INDEX($Q$1005:$U$1005,1,MATCH(COLUMNS($Q$1006:R1006),$Q$1006:$U$1006,0))&gt;=100000), " ",IF(INDEX($Q$2:$U$1001,MATCH(ROWS($J$2:J224),$J$2:$J$1001,0),MATCH(COLUMNS($Q$1006:R1006),$Q$1006:$U$1006,0)), HYPERLINK("#",""), HYPERLINK(CONCATENATE("#metadata!", ADDRESS(INDEX($L$2:$L$1001,MATCH(ROWS($J$2:J224),$J$2:$J$1001,0),0), INDEX($Q$1004:$U$1004,1,MATCH(COLUMNS($Q$1006:R1006),$Q$1006:$U$1006,0)))),"Fix")))</f>
        <v xml:space="preserve"> </v>
      </c>
      <c r="D224" s="3" t="str">
        <f ca="1">IF(OR(INDEX($K$2:$K$1001,MATCH(ROWS($J$2:J224),$J$2:$J$1001,0),1)&gt;=100000,INDEX($Q$1005:$U$1005,1,MATCH(COLUMNS($Q$1006:S1006),$Q$1006:$U$1006,0))&gt;=100000), " ",IF(INDEX($Q$2:$U$1001,MATCH(ROWS($J$2:J224),$J$2:$J$1001,0),MATCH(COLUMNS($Q$1006:S1006),$Q$1006:$U$1006,0)), HYPERLINK("#",""), HYPERLINK(CONCATENATE("#metadata!", ADDRESS(INDEX($L$2:$L$1001,MATCH(ROWS($J$2:J224),$J$2:$J$1001,0),0), INDEX($Q$1004:$U$1004,1,MATCH(COLUMNS($Q$1006:S1006),$Q$1006:$U$1006,0)))),"Fix")))</f>
        <v xml:space="preserve"> </v>
      </c>
      <c r="E224" s="3" t="str">
        <f ca="1">IF(OR(INDEX($K$2:$K$1001,MATCH(ROWS($J$2:J224),$J$2:$J$1001,0),1)&gt;=100000,INDEX($Q$1005:$U$1005,1,MATCH(COLUMNS($Q$1006:T1006),$Q$1006:$U$1006,0))&gt;=100000), " ",IF(INDEX($Q$2:$U$1001,MATCH(ROWS($J$2:J224),$J$2:$J$1001,0),MATCH(COLUMNS($Q$1006:T1006),$Q$1006:$U$1006,0)), HYPERLINK("#",""), HYPERLINK(CONCATENATE("#metadata!", ADDRESS(INDEX($L$2:$L$1001,MATCH(ROWS($J$2:J224),$J$2:$J$1001,0),0), INDEX($Q$1004:$U$1004,1,MATCH(COLUMNS($Q$1006:T1006),$Q$1006:$U$1006,0)))),"Fix")))</f>
        <v xml:space="preserve"> </v>
      </c>
      <c r="F224" s="3" t="str">
        <f ca="1">IF(OR(INDEX($K$2:$K$1001,MATCH(ROWS($J$2:J224),$J$2:$J$1001,0),1)&gt;=100000,INDEX($Q$1005:$U$1005,1,MATCH(COLUMNS($Q$1006:U1006),$Q$1006:$U$1006,0))&gt;=100000), " ",IF(INDEX($Q$2:$U$1001,MATCH(ROWS($J$2:J224),$J$2:$J$1001,0),MATCH(COLUMNS($Q$1006:U1006),$Q$1006:$U$1006,0)), HYPERLINK("#",""), HYPERLINK(CONCATENATE("#metadata!", ADDRESS(INDEX($L$2:$L$1001,MATCH(ROWS($J$2:J224),$J$2:$J$1001,0),0), INDEX($Q$1004:$U$1004,1,MATCH(COLUMNS($Q$1006:U1006),$Q$1006:$U$1006,0)))),"Fix")))</f>
        <v xml:space="preserve"> </v>
      </c>
      <c r="J224">
        <v>223</v>
      </c>
      <c r="K224">
        <v>100224</v>
      </c>
      <c r="L224">
        <v>224</v>
      </c>
      <c r="M224" t="b">
        <f t="shared" si="3"/>
        <v>1</v>
      </c>
      <c r="N224" t="b">
        <f>COUNTBLANK(metadata!B224:F224)=COLUMNS(metadata!B224:F224)</f>
        <v>1</v>
      </c>
      <c r="O224" t="str">
        <v/>
      </c>
      <c r="Q224" t="b">
        <f ca="1">AND(IF(metadata!B224="",FALSE,TRUE),COUNTIF(metadata!B:B, metadata!B224) = 1,NOT(ISERROR(SUMPRODUCT(SEARCH(MID(metadata!B224,ROW(INDIRECT("1:"&amp;LEN(metadata!B224))), 1),"0123456789abcdefghijklmnopqrstuvwxyzABCDEFGHIJKLMNOPQRSTUVWXYZ.")))))</f>
        <v>0</v>
      </c>
      <c r="R224" t="b">
        <f>AND(IF(metadata!C224="",FALSE,TRUE),OR(EXACT(metadata!C224,"saline"),EXACT(metadata!C224,"non-saline")))</f>
        <v>0</v>
      </c>
      <c r="S224" t="b">
        <f>AND(IF(metadata!D224="",FALSE,TRUE),OR(EXACT(metadata!D224,"surface (non-saline)"),EXACT(metadata!D224,"aerosol (non-saline)"),EXACT(metadata!D224,"sediment (non-saline)"),EXACT(metadata!D224,"surface (saline)"),EXACT(metadata!D224,"aerosol (saline)"),EXACT(metadata!D224,"sediment (saline)")))</f>
        <v>0</v>
      </c>
      <c r="T224" t="b">
        <f>AND(IF(metadata!E224="",FALSE,TRUE),EXACT(metadata!E224,"built environment"))</f>
        <v>0</v>
      </c>
      <c r="U224" t="b">
        <f>OR(AND(IF(metadata!F224="",FALSE,TRUE),EXACT(metadata!F224,"not applicable")),AND(IF(metadata!F224="",FALSE,TRUE),EXACT(metadata!F224,"anaerobic digester content")))</f>
        <v>0</v>
      </c>
    </row>
    <row r="225" spans="1:21" x14ac:dyDescent="0.2">
      <c r="A225" s="4" t="str">
        <f ca="1">IF(B225=" "," ",HYPERLINK(CONCATENATE("#metadata!",ADDRESS(INDEX($L$2:$L$1001,MATCH(ROWS($J$2:J225),$J$2:$J$1001,0),0),1)),INDEX($O$2:$O$1001,MATCH(ROWS($J$2:J225),$J$2:$J$1001,0),0)))</f>
        <v xml:space="preserve"> </v>
      </c>
      <c r="B225" s="3" t="str">
        <f ca="1">IF(OR(INDEX($K$2:$K$1001,MATCH(ROWS($J$2:J225),$J$2:$J$1001,0),1)&gt;=100000,INDEX($Q$1005:$U$1005,1,MATCH(COLUMNS($Q$1006:Q1006),$Q$1006:$U$1006,0))&gt;=100000), " ",IF(INDEX($Q$2:$U$1001,MATCH(ROWS($J$2:J225),$J$2:$J$1001,0),MATCH(COLUMNS($Q$1006:Q1006),$Q$1006:$U$1006,0)), HYPERLINK("#",""), HYPERLINK(CONCATENATE("#metadata!", ADDRESS(INDEX($L$2:$L$1001,MATCH(ROWS($J$2:J225),$J$2:$J$1001,0),0), INDEX($Q$1004:$U$1004,1,MATCH(COLUMNS($Q$1006:Q1006),$Q$1006:$U$1006,0)))),"Fix")))</f>
        <v xml:space="preserve"> </v>
      </c>
      <c r="C225" s="3" t="str">
        <f ca="1">IF(OR(INDEX($K$2:$K$1001,MATCH(ROWS($J$2:J225),$J$2:$J$1001,0),1)&gt;=100000,INDEX($Q$1005:$U$1005,1,MATCH(COLUMNS($Q$1006:R1006),$Q$1006:$U$1006,0))&gt;=100000), " ",IF(INDEX($Q$2:$U$1001,MATCH(ROWS($J$2:J225),$J$2:$J$1001,0),MATCH(COLUMNS($Q$1006:R1006),$Q$1006:$U$1006,0)), HYPERLINK("#",""), HYPERLINK(CONCATENATE("#metadata!", ADDRESS(INDEX($L$2:$L$1001,MATCH(ROWS($J$2:J225),$J$2:$J$1001,0),0), INDEX($Q$1004:$U$1004,1,MATCH(COLUMNS($Q$1006:R1006),$Q$1006:$U$1006,0)))),"Fix")))</f>
        <v xml:space="preserve"> </v>
      </c>
      <c r="D225" s="3" t="str">
        <f ca="1">IF(OR(INDEX($K$2:$K$1001,MATCH(ROWS($J$2:J225),$J$2:$J$1001,0),1)&gt;=100000,INDEX($Q$1005:$U$1005,1,MATCH(COLUMNS($Q$1006:S1006),$Q$1006:$U$1006,0))&gt;=100000), " ",IF(INDEX($Q$2:$U$1001,MATCH(ROWS($J$2:J225),$J$2:$J$1001,0),MATCH(COLUMNS($Q$1006:S1006),$Q$1006:$U$1006,0)), HYPERLINK("#",""), HYPERLINK(CONCATENATE("#metadata!", ADDRESS(INDEX($L$2:$L$1001,MATCH(ROWS($J$2:J225),$J$2:$J$1001,0),0), INDEX($Q$1004:$U$1004,1,MATCH(COLUMNS($Q$1006:S1006),$Q$1006:$U$1006,0)))),"Fix")))</f>
        <v xml:space="preserve"> </v>
      </c>
      <c r="E225" s="3" t="str">
        <f ca="1">IF(OR(INDEX($K$2:$K$1001,MATCH(ROWS($J$2:J225),$J$2:$J$1001,0),1)&gt;=100000,INDEX($Q$1005:$U$1005,1,MATCH(COLUMNS($Q$1006:T1006),$Q$1006:$U$1006,0))&gt;=100000), " ",IF(INDEX($Q$2:$U$1001,MATCH(ROWS($J$2:J225),$J$2:$J$1001,0),MATCH(COLUMNS($Q$1006:T1006),$Q$1006:$U$1006,0)), HYPERLINK("#",""), HYPERLINK(CONCATENATE("#metadata!", ADDRESS(INDEX($L$2:$L$1001,MATCH(ROWS($J$2:J225),$J$2:$J$1001,0),0), INDEX($Q$1004:$U$1004,1,MATCH(COLUMNS($Q$1006:T1006),$Q$1006:$U$1006,0)))),"Fix")))</f>
        <v xml:space="preserve"> </v>
      </c>
      <c r="F225" s="3" t="str">
        <f ca="1">IF(OR(INDEX($K$2:$K$1001,MATCH(ROWS($J$2:J225),$J$2:$J$1001,0),1)&gt;=100000,INDEX($Q$1005:$U$1005,1,MATCH(COLUMNS($Q$1006:U1006),$Q$1006:$U$1006,0))&gt;=100000), " ",IF(INDEX($Q$2:$U$1001,MATCH(ROWS($J$2:J225),$J$2:$J$1001,0),MATCH(COLUMNS($Q$1006:U1006),$Q$1006:$U$1006,0)), HYPERLINK("#",""), HYPERLINK(CONCATENATE("#metadata!", ADDRESS(INDEX($L$2:$L$1001,MATCH(ROWS($J$2:J225),$J$2:$J$1001,0),0), INDEX($Q$1004:$U$1004,1,MATCH(COLUMNS($Q$1006:U1006),$Q$1006:$U$1006,0)))),"Fix")))</f>
        <v xml:space="preserve"> </v>
      </c>
      <c r="J225">
        <v>224</v>
      </c>
      <c r="K225">
        <v>100225</v>
      </c>
      <c r="L225">
        <v>225</v>
      </c>
      <c r="M225" t="b">
        <f t="shared" si="3"/>
        <v>1</v>
      </c>
      <c r="N225" t="b">
        <f>COUNTBLANK(metadata!B225:F225)=COLUMNS(metadata!B225:F225)</f>
        <v>1</v>
      </c>
      <c r="O225" t="str">
        <v/>
      </c>
      <c r="Q225" t="b">
        <f ca="1">AND(IF(metadata!B225="",FALSE,TRUE),COUNTIF(metadata!B:B, metadata!B225) = 1,NOT(ISERROR(SUMPRODUCT(SEARCH(MID(metadata!B225,ROW(INDIRECT("1:"&amp;LEN(metadata!B225))), 1),"0123456789abcdefghijklmnopqrstuvwxyzABCDEFGHIJKLMNOPQRSTUVWXYZ.")))))</f>
        <v>0</v>
      </c>
      <c r="R225" t="b">
        <f>AND(IF(metadata!C225="",FALSE,TRUE),OR(EXACT(metadata!C225,"saline"),EXACT(metadata!C225,"non-saline")))</f>
        <v>0</v>
      </c>
      <c r="S225" t="b">
        <f>AND(IF(metadata!D225="",FALSE,TRUE),OR(EXACT(metadata!D225,"surface (non-saline)"),EXACT(metadata!D225,"aerosol (non-saline)"),EXACT(metadata!D225,"sediment (non-saline)"),EXACT(metadata!D225,"surface (saline)"),EXACT(metadata!D225,"aerosol (saline)"),EXACT(metadata!D225,"sediment (saline)")))</f>
        <v>0</v>
      </c>
      <c r="T225" t="b">
        <f>AND(IF(metadata!E225="",FALSE,TRUE),EXACT(metadata!E225,"built environment"))</f>
        <v>0</v>
      </c>
      <c r="U225" t="b">
        <f>OR(AND(IF(metadata!F225="",FALSE,TRUE),EXACT(metadata!F225,"not applicable")),AND(IF(metadata!F225="",FALSE,TRUE),EXACT(metadata!F225,"anaerobic digester content")))</f>
        <v>0</v>
      </c>
    </row>
    <row r="226" spans="1:21" x14ac:dyDescent="0.2">
      <c r="A226" s="4" t="str">
        <f ca="1">IF(B226=" "," ",HYPERLINK(CONCATENATE("#metadata!",ADDRESS(INDEX($L$2:$L$1001,MATCH(ROWS($J$2:J226),$J$2:$J$1001,0),0),1)),INDEX($O$2:$O$1001,MATCH(ROWS($J$2:J226),$J$2:$J$1001,0),0)))</f>
        <v xml:space="preserve"> </v>
      </c>
      <c r="B226" s="3" t="str">
        <f ca="1">IF(OR(INDEX($K$2:$K$1001,MATCH(ROWS($J$2:J226),$J$2:$J$1001,0),1)&gt;=100000,INDEX($Q$1005:$U$1005,1,MATCH(COLUMNS($Q$1006:Q1006),$Q$1006:$U$1006,0))&gt;=100000), " ",IF(INDEX($Q$2:$U$1001,MATCH(ROWS($J$2:J226),$J$2:$J$1001,0),MATCH(COLUMNS($Q$1006:Q1006),$Q$1006:$U$1006,0)), HYPERLINK("#",""), HYPERLINK(CONCATENATE("#metadata!", ADDRESS(INDEX($L$2:$L$1001,MATCH(ROWS($J$2:J226),$J$2:$J$1001,0),0), INDEX($Q$1004:$U$1004,1,MATCH(COLUMNS($Q$1006:Q1006),$Q$1006:$U$1006,0)))),"Fix")))</f>
        <v xml:space="preserve"> </v>
      </c>
      <c r="C226" s="3" t="str">
        <f ca="1">IF(OR(INDEX($K$2:$K$1001,MATCH(ROWS($J$2:J226),$J$2:$J$1001,0),1)&gt;=100000,INDEX($Q$1005:$U$1005,1,MATCH(COLUMNS($Q$1006:R1006),$Q$1006:$U$1006,0))&gt;=100000), " ",IF(INDEX($Q$2:$U$1001,MATCH(ROWS($J$2:J226),$J$2:$J$1001,0),MATCH(COLUMNS($Q$1006:R1006),$Q$1006:$U$1006,0)), HYPERLINK("#",""), HYPERLINK(CONCATENATE("#metadata!", ADDRESS(INDEX($L$2:$L$1001,MATCH(ROWS($J$2:J226),$J$2:$J$1001,0),0), INDEX($Q$1004:$U$1004,1,MATCH(COLUMNS($Q$1006:R1006),$Q$1006:$U$1006,0)))),"Fix")))</f>
        <v xml:space="preserve"> </v>
      </c>
      <c r="D226" s="3" t="str">
        <f ca="1">IF(OR(INDEX($K$2:$K$1001,MATCH(ROWS($J$2:J226),$J$2:$J$1001,0),1)&gt;=100000,INDEX($Q$1005:$U$1005,1,MATCH(COLUMNS($Q$1006:S1006),$Q$1006:$U$1006,0))&gt;=100000), " ",IF(INDEX($Q$2:$U$1001,MATCH(ROWS($J$2:J226),$J$2:$J$1001,0),MATCH(COLUMNS($Q$1006:S1006),$Q$1006:$U$1006,0)), HYPERLINK("#",""), HYPERLINK(CONCATENATE("#metadata!", ADDRESS(INDEX($L$2:$L$1001,MATCH(ROWS($J$2:J226),$J$2:$J$1001,0),0), INDEX($Q$1004:$U$1004,1,MATCH(COLUMNS($Q$1006:S1006),$Q$1006:$U$1006,0)))),"Fix")))</f>
        <v xml:space="preserve"> </v>
      </c>
      <c r="E226" s="3" t="str">
        <f ca="1">IF(OR(INDEX($K$2:$K$1001,MATCH(ROWS($J$2:J226),$J$2:$J$1001,0),1)&gt;=100000,INDEX($Q$1005:$U$1005,1,MATCH(COLUMNS($Q$1006:T1006),$Q$1006:$U$1006,0))&gt;=100000), " ",IF(INDEX($Q$2:$U$1001,MATCH(ROWS($J$2:J226),$J$2:$J$1001,0),MATCH(COLUMNS($Q$1006:T1006),$Q$1006:$U$1006,0)), HYPERLINK("#",""), HYPERLINK(CONCATENATE("#metadata!", ADDRESS(INDEX($L$2:$L$1001,MATCH(ROWS($J$2:J226),$J$2:$J$1001,0),0), INDEX($Q$1004:$U$1004,1,MATCH(COLUMNS($Q$1006:T1006),$Q$1006:$U$1006,0)))),"Fix")))</f>
        <v xml:space="preserve"> </v>
      </c>
      <c r="F226" s="3" t="str">
        <f ca="1">IF(OR(INDEX($K$2:$K$1001,MATCH(ROWS($J$2:J226),$J$2:$J$1001,0),1)&gt;=100000,INDEX($Q$1005:$U$1005,1,MATCH(COLUMNS($Q$1006:U1006),$Q$1006:$U$1006,0))&gt;=100000), " ",IF(INDEX($Q$2:$U$1001,MATCH(ROWS($J$2:J226),$J$2:$J$1001,0),MATCH(COLUMNS($Q$1006:U1006),$Q$1006:$U$1006,0)), HYPERLINK("#",""), HYPERLINK(CONCATENATE("#metadata!", ADDRESS(INDEX($L$2:$L$1001,MATCH(ROWS($J$2:J226),$J$2:$J$1001,0),0), INDEX($Q$1004:$U$1004,1,MATCH(COLUMNS($Q$1006:U1006),$Q$1006:$U$1006,0)))),"Fix")))</f>
        <v xml:space="preserve"> </v>
      </c>
      <c r="J226">
        <v>225</v>
      </c>
      <c r="K226">
        <v>100226</v>
      </c>
      <c r="L226">
        <v>226</v>
      </c>
      <c r="M226" t="b">
        <f t="shared" si="3"/>
        <v>1</v>
      </c>
      <c r="N226" t="b">
        <f>COUNTBLANK(metadata!B226:F226)=COLUMNS(metadata!B226:F226)</f>
        <v>1</v>
      </c>
      <c r="O226" t="str">
        <v/>
      </c>
      <c r="Q226" t="b">
        <f ca="1">AND(IF(metadata!B226="",FALSE,TRUE),COUNTIF(metadata!B:B, metadata!B226) = 1,NOT(ISERROR(SUMPRODUCT(SEARCH(MID(metadata!B226,ROW(INDIRECT("1:"&amp;LEN(metadata!B226))), 1),"0123456789abcdefghijklmnopqrstuvwxyzABCDEFGHIJKLMNOPQRSTUVWXYZ.")))))</f>
        <v>0</v>
      </c>
      <c r="R226" t="b">
        <f>AND(IF(metadata!C226="",FALSE,TRUE),OR(EXACT(metadata!C226,"saline"),EXACT(metadata!C226,"non-saline")))</f>
        <v>0</v>
      </c>
      <c r="S226" t="b">
        <f>AND(IF(metadata!D226="",FALSE,TRUE),OR(EXACT(metadata!D226,"surface (non-saline)"),EXACT(metadata!D226,"aerosol (non-saline)"),EXACT(metadata!D226,"sediment (non-saline)"),EXACT(metadata!D226,"surface (saline)"),EXACT(metadata!D226,"aerosol (saline)"),EXACT(metadata!D226,"sediment (saline)")))</f>
        <v>0</v>
      </c>
      <c r="T226" t="b">
        <f>AND(IF(metadata!E226="",FALSE,TRUE),EXACT(metadata!E226,"built environment"))</f>
        <v>0</v>
      </c>
      <c r="U226" t="b">
        <f>OR(AND(IF(metadata!F226="",FALSE,TRUE),EXACT(metadata!F226,"not applicable")),AND(IF(metadata!F226="",FALSE,TRUE),EXACT(metadata!F226,"anaerobic digester content")))</f>
        <v>0</v>
      </c>
    </row>
    <row r="227" spans="1:21" x14ac:dyDescent="0.2">
      <c r="A227" s="4" t="str">
        <f ca="1">IF(B227=" "," ",HYPERLINK(CONCATENATE("#metadata!",ADDRESS(INDEX($L$2:$L$1001,MATCH(ROWS($J$2:J227),$J$2:$J$1001,0),0),1)),INDEX($O$2:$O$1001,MATCH(ROWS($J$2:J227),$J$2:$J$1001,0),0)))</f>
        <v xml:space="preserve"> </v>
      </c>
      <c r="B227" s="3" t="str">
        <f ca="1">IF(OR(INDEX($K$2:$K$1001,MATCH(ROWS($J$2:J227),$J$2:$J$1001,0),1)&gt;=100000,INDEX($Q$1005:$U$1005,1,MATCH(COLUMNS($Q$1006:Q1006),$Q$1006:$U$1006,0))&gt;=100000), " ",IF(INDEX($Q$2:$U$1001,MATCH(ROWS($J$2:J227),$J$2:$J$1001,0),MATCH(COLUMNS($Q$1006:Q1006),$Q$1006:$U$1006,0)), HYPERLINK("#",""), HYPERLINK(CONCATENATE("#metadata!", ADDRESS(INDEX($L$2:$L$1001,MATCH(ROWS($J$2:J227),$J$2:$J$1001,0),0), INDEX($Q$1004:$U$1004,1,MATCH(COLUMNS($Q$1006:Q1006),$Q$1006:$U$1006,0)))),"Fix")))</f>
        <v xml:space="preserve"> </v>
      </c>
      <c r="C227" s="3" t="str">
        <f ca="1">IF(OR(INDEX($K$2:$K$1001,MATCH(ROWS($J$2:J227),$J$2:$J$1001,0),1)&gt;=100000,INDEX($Q$1005:$U$1005,1,MATCH(COLUMNS($Q$1006:R1006),$Q$1006:$U$1006,0))&gt;=100000), " ",IF(INDEX($Q$2:$U$1001,MATCH(ROWS($J$2:J227),$J$2:$J$1001,0),MATCH(COLUMNS($Q$1006:R1006),$Q$1006:$U$1006,0)), HYPERLINK("#",""), HYPERLINK(CONCATENATE("#metadata!", ADDRESS(INDEX($L$2:$L$1001,MATCH(ROWS($J$2:J227),$J$2:$J$1001,0),0), INDEX($Q$1004:$U$1004,1,MATCH(COLUMNS($Q$1006:R1006),$Q$1006:$U$1006,0)))),"Fix")))</f>
        <v xml:space="preserve"> </v>
      </c>
      <c r="D227" s="3" t="str">
        <f ca="1">IF(OR(INDEX($K$2:$K$1001,MATCH(ROWS($J$2:J227),$J$2:$J$1001,0),1)&gt;=100000,INDEX($Q$1005:$U$1005,1,MATCH(COLUMNS($Q$1006:S1006),$Q$1006:$U$1006,0))&gt;=100000), " ",IF(INDEX($Q$2:$U$1001,MATCH(ROWS($J$2:J227),$J$2:$J$1001,0),MATCH(COLUMNS($Q$1006:S1006),$Q$1006:$U$1006,0)), HYPERLINK("#",""), HYPERLINK(CONCATENATE("#metadata!", ADDRESS(INDEX($L$2:$L$1001,MATCH(ROWS($J$2:J227),$J$2:$J$1001,0),0), INDEX($Q$1004:$U$1004,1,MATCH(COLUMNS($Q$1006:S1006),$Q$1006:$U$1006,0)))),"Fix")))</f>
        <v xml:space="preserve"> </v>
      </c>
      <c r="E227" s="3" t="str">
        <f ca="1">IF(OR(INDEX($K$2:$K$1001,MATCH(ROWS($J$2:J227),$J$2:$J$1001,0),1)&gt;=100000,INDEX($Q$1005:$U$1005,1,MATCH(COLUMNS($Q$1006:T1006),$Q$1006:$U$1006,0))&gt;=100000), " ",IF(INDEX($Q$2:$U$1001,MATCH(ROWS($J$2:J227),$J$2:$J$1001,0),MATCH(COLUMNS($Q$1006:T1006),$Q$1006:$U$1006,0)), HYPERLINK("#",""), HYPERLINK(CONCATENATE("#metadata!", ADDRESS(INDEX($L$2:$L$1001,MATCH(ROWS($J$2:J227),$J$2:$J$1001,0),0), INDEX($Q$1004:$U$1004,1,MATCH(COLUMNS($Q$1006:T1006),$Q$1006:$U$1006,0)))),"Fix")))</f>
        <v xml:space="preserve"> </v>
      </c>
      <c r="F227" s="3" t="str">
        <f ca="1">IF(OR(INDEX($K$2:$K$1001,MATCH(ROWS($J$2:J227),$J$2:$J$1001,0),1)&gt;=100000,INDEX($Q$1005:$U$1005,1,MATCH(COLUMNS($Q$1006:U1006),$Q$1006:$U$1006,0))&gt;=100000), " ",IF(INDEX($Q$2:$U$1001,MATCH(ROWS($J$2:J227),$J$2:$J$1001,0),MATCH(COLUMNS($Q$1006:U1006),$Q$1006:$U$1006,0)), HYPERLINK("#",""), HYPERLINK(CONCATENATE("#metadata!", ADDRESS(INDEX($L$2:$L$1001,MATCH(ROWS($J$2:J227),$J$2:$J$1001,0),0), INDEX($Q$1004:$U$1004,1,MATCH(COLUMNS($Q$1006:U1006),$Q$1006:$U$1006,0)))),"Fix")))</f>
        <v xml:space="preserve"> </v>
      </c>
      <c r="J227">
        <v>226</v>
      </c>
      <c r="K227">
        <v>100227</v>
      </c>
      <c r="L227">
        <v>227</v>
      </c>
      <c r="M227" t="b">
        <f t="shared" si="3"/>
        <v>1</v>
      </c>
      <c r="N227" t="b">
        <f>COUNTBLANK(metadata!B227:F227)=COLUMNS(metadata!B227:F227)</f>
        <v>1</v>
      </c>
      <c r="O227" t="str">
        <v/>
      </c>
      <c r="Q227" t="b">
        <f ca="1">AND(IF(metadata!B227="",FALSE,TRUE),COUNTIF(metadata!B:B, metadata!B227) = 1,NOT(ISERROR(SUMPRODUCT(SEARCH(MID(metadata!B227,ROW(INDIRECT("1:"&amp;LEN(metadata!B227))), 1),"0123456789abcdefghijklmnopqrstuvwxyzABCDEFGHIJKLMNOPQRSTUVWXYZ.")))))</f>
        <v>0</v>
      </c>
      <c r="R227" t="b">
        <f>AND(IF(metadata!C227="",FALSE,TRUE),OR(EXACT(metadata!C227,"saline"),EXACT(metadata!C227,"non-saline")))</f>
        <v>0</v>
      </c>
      <c r="S227" t="b">
        <f>AND(IF(metadata!D227="",FALSE,TRUE),OR(EXACT(metadata!D227,"surface (non-saline)"),EXACT(metadata!D227,"aerosol (non-saline)"),EXACT(metadata!D227,"sediment (non-saline)"),EXACT(metadata!D227,"surface (saline)"),EXACT(metadata!D227,"aerosol (saline)"),EXACT(metadata!D227,"sediment (saline)")))</f>
        <v>0</v>
      </c>
      <c r="T227" t="b">
        <f>AND(IF(metadata!E227="",FALSE,TRUE),EXACT(metadata!E227,"built environment"))</f>
        <v>0</v>
      </c>
      <c r="U227" t="b">
        <f>OR(AND(IF(metadata!F227="",FALSE,TRUE),EXACT(metadata!F227,"not applicable")),AND(IF(metadata!F227="",FALSE,TRUE),EXACT(metadata!F227,"anaerobic digester content")))</f>
        <v>0</v>
      </c>
    </row>
    <row r="228" spans="1:21" x14ac:dyDescent="0.2">
      <c r="A228" s="4" t="str">
        <f ca="1">IF(B228=" "," ",HYPERLINK(CONCATENATE("#metadata!",ADDRESS(INDEX($L$2:$L$1001,MATCH(ROWS($J$2:J228),$J$2:$J$1001,0),0),1)),INDEX($O$2:$O$1001,MATCH(ROWS($J$2:J228),$J$2:$J$1001,0),0)))</f>
        <v xml:space="preserve"> </v>
      </c>
      <c r="B228" s="3" t="str">
        <f ca="1">IF(OR(INDEX($K$2:$K$1001,MATCH(ROWS($J$2:J228),$J$2:$J$1001,0),1)&gt;=100000,INDEX($Q$1005:$U$1005,1,MATCH(COLUMNS($Q$1006:Q1006),$Q$1006:$U$1006,0))&gt;=100000), " ",IF(INDEX($Q$2:$U$1001,MATCH(ROWS($J$2:J228),$J$2:$J$1001,0),MATCH(COLUMNS($Q$1006:Q1006),$Q$1006:$U$1006,0)), HYPERLINK("#",""), HYPERLINK(CONCATENATE("#metadata!", ADDRESS(INDEX($L$2:$L$1001,MATCH(ROWS($J$2:J228),$J$2:$J$1001,0),0), INDEX($Q$1004:$U$1004,1,MATCH(COLUMNS($Q$1006:Q1006),$Q$1006:$U$1006,0)))),"Fix")))</f>
        <v xml:space="preserve"> </v>
      </c>
      <c r="C228" s="3" t="str">
        <f ca="1">IF(OR(INDEX($K$2:$K$1001,MATCH(ROWS($J$2:J228),$J$2:$J$1001,0),1)&gt;=100000,INDEX($Q$1005:$U$1005,1,MATCH(COLUMNS($Q$1006:R1006),$Q$1006:$U$1006,0))&gt;=100000), " ",IF(INDEX($Q$2:$U$1001,MATCH(ROWS($J$2:J228),$J$2:$J$1001,0),MATCH(COLUMNS($Q$1006:R1006),$Q$1006:$U$1006,0)), HYPERLINK("#",""), HYPERLINK(CONCATENATE("#metadata!", ADDRESS(INDEX($L$2:$L$1001,MATCH(ROWS($J$2:J228),$J$2:$J$1001,0),0), INDEX($Q$1004:$U$1004,1,MATCH(COLUMNS($Q$1006:R1006),$Q$1006:$U$1006,0)))),"Fix")))</f>
        <v xml:space="preserve"> </v>
      </c>
      <c r="D228" s="3" t="str">
        <f ca="1">IF(OR(INDEX($K$2:$K$1001,MATCH(ROWS($J$2:J228),$J$2:$J$1001,0),1)&gt;=100000,INDEX($Q$1005:$U$1005,1,MATCH(COLUMNS($Q$1006:S1006),$Q$1006:$U$1006,0))&gt;=100000), " ",IF(INDEX($Q$2:$U$1001,MATCH(ROWS($J$2:J228),$J$2:$J$1001,0),MATCH(COLUMNS($Q$1006:S1006),$Q$1006:$U$1006,0)), HYPERLINK("#",""), HYPERLINK(CONCATENATE("#metadata!", ADDRESS(INDEX($L$2:$L$1001,MATCH(ROWS($J$2:J228),$J$2:$J$1001,0),0), INDEX($Q$1004:$U$1004,1,MATCH(COLUMNS($Q$1006:S1006),$Q$1006:$U$1006,0)))),"Fix")))</f>
        <v xml:space="preserve"> </v>
      </c>
      <c r="E228" s="3" t="str">
        <f ca="1">IF(OR(INDEX($K$2:$K$1001,MATCH(ROWS($J$2:J228),$J$2:$J$1001,0),1)&gt;=100000,INDEX($Q$1005:$U$1005,1,MATCH(COLUMNS($Q$1006:T1006),$Q$1006:$U$1006,0))&gt;=100000), " ",IF(INDEX($Q$2:$U$1001,MATCH(ROWS($J$2:J228),$J$2:$J$1001,0),MATCH(COLUMNS($Q$1006:T1006),$Q$1006:$U$1006,0)), HYPERLINK("#",""), HYPERLINK(CONCATENATE("#metadata!", ADDRESS(INDEX($L$2:$L$1001,MATCH(ROWS($J$2:J228),$J$2:$J$1001,0),0), INDEX($Q$1004:$U$1004,1,MATCH(COLUMNS($Q$1006:T1006),$Q$1006:$U$1006,0)))),"Fix")))</f>
        <v xml:space="preserve"> </v>
      </c>
      <c r="F228" s="3" t="str">
        <f ca="1">IF(OR(INDEX($K$2:$K$1001,MATCH(ROWS($J$2:J228),$J$2:$J$1001,0),1)&gt;=100000,INDEX($Q$1005:$U$1005,1,MATCH(COLUMNS($Q$1006:U1006),$Q$1006:$U$1006,0))&gt;=100000), " ",IF(INDEX($Q$2:$U$1001,MATCH(ROWS($J$2:J228),$J$2:$J$1001,0),MATCH(COLUMNS($Q$1006:U1006),$Q$1006:$U$1006,0)), HYPERLINK("#",""), HYPERLINK(CONCATENATE("#metadata!", ADDRESS(INDEX($L$2:$L$1001,MATCH(ROWS($J$2:J228),$J$2:$J$1001,0),0), INDEX($Q$1004:$U$1004,1,MATCH(COLUMNS($Q$1006:U1006),$Q$1006:$U$1006,0)))),"Fix")))</f>
        <v xml:space="preserve"> </v>
      </c>
      <c r="J228">
        <v>227</v>
      </c>
      <c r="K228">
        <v>100228</v>
      </c>
      <c r="L228">
        <v>228</v>
      </c>
      <c r="M228" t="b">
        <f t="shared" si="3"/>
        <v>1</v>
      </c>
      <c r="N228" t="b">
        <f>COUNTBLANK(metadata!B228:F228)=COLUMNS(metadata!B228:F228)</f>
        <v>1</v>
      </c>
      <c r="O228" t="str">
        <v/>
      </c>
      <c r="Q228" t="b">
        <f ca="1">AND(IF(metadata!B228="",FALSE,TRUE),COUNTIF(metadata!B:B, metadata!B228) = 1,NOT(ISERROR(SUMPRODUCT(SEARCH(MID(metadata!B228,ROW(INDIRECT("1:"&amp;LEN(metadata!B228))), 1),"0123456789abcdefghijklmnopqrstuvwxyzABCDEFGHIJKLMNOPQRSTUVWXYZ.")))))</f>
        <v>0</v>
      </c>
      <c r="R228" t="b">
        <f>AND(IF(metadata!C228="",FALSE,TRUE),OR(EXACT(metadata!C228,"saline"),EXACT(metadata!C228,"non-saline")))</f>
        <v>0</v>
      </c>
      <c r="S228" t="b">
        <f>AND(IF(metadata!D228="",FALSE,TRUE),OR(EXACT(metadata!D228,"surface (non-saline)"),EXACT(metadata!D228,"aerosol (non-saline)"),EXACT(metadata!D228,"sediment (non-saline)"),EXACT(metadata!D228,"surface (saline)"),EXACT(metadata!D228,"aerosol (saline)"),EXACT(metadata!D228,"sediment (saline)")))</f>
        <v>0</v>
      </c>
      <c r="T228" t="b">
        <f>AND(IF(metadata!E228="",FALSE,TRUE),EXACT(metadata!E228,"built environment"))</f>
        <v>0</v>
      </c>
      <c r="U228" t="b">
        <f>OR(AND(IF(metadata!F228="",FALSE,TRUE),EXACT(metadata!F228,"not applicable")),AND(IF(metadata!F228="",FALSE,TRUE),EXACT(metadata!F228,"anaerobic digester content")))</f>
        <v>0</v>
      </c>
    </row>
    <row r="229" spans="1:21" x14ac:dyDescent="0.2">
      <c r="A229" s="4" t="str">
        <f ca="1">IF(B229=" "," ",HYPERLINK(CONCATENATE("#metadata!",ADDRESS(INDEX($L$2:$L$1001,MATCH(ROWS($J$2:J229),$J$2:$J$1001,0),0),1)),INDEX($O$2:$O$1001,MATCH(ROWS($J$2:J229),$J$2:$J$1001,0),0)))</f>
        <v xml:space="preserve"> </v>
      </c>
      <c r="B229" s="3" t="str">
        <f ca="1">IF(OR(INDEX($K$2:$K$1001,MATCH(ROWS($J$2:J229),$J$2:$J$1001,0),1)&gt;=100000,INDEX($Q$1005:$U$1005,1,MATCH(COLUMNS($Q$1006:Q1006),$Q$1006:$U$1006,0))&gt;=100000), " ",IF(INDEX($Q$2:$U$1001,MATCH(ROWS($J$2:J229),$J$2:$J$1001,0),MATCH(COLUMNS($Q$1006:Q1006),$Q$1006:$U$1006,0)), HYPERLINK("#",""), HYPERLINK(CONCATENATE("#metadata!", ADDRESS(INDEX($L$2:$L$1001,MATCH(ROWS($J$2:J229),$J$2:$J$1001,0),0), INDEX($Q$1004:$U$1004,1,MATCH(COLUMNS($Q$1006:Q1006),$Q$1006:$U$1006,0)))),"Fix")))</f>
        <v xml:space="preserve"> </v>
      </c>
      <c r="C229" s="3" t="str">
        <f ca="1">IF(OR(INDEX($K$2:$K$1001,MATCH(ROWS($J$2:J229),$J$2:$J$1001,0),1)&gt;=100000,INDEX($Q$1005:$U$1005,1,MATCH(COLUMNS($Q$1006:R1006),$Q$1006:$U$1006,0))&gt;=100000), " ",IF(INDEX($Q$2:$U$1001,MATCH(ROWS($J$2:J229),$J$2:$J$1001,0),MATCH(COLUMNS($Q$1006:R1006),$Q$1006:$U$1006,0)), HYPERLINK("#",""), HYPERLINK(CONCATENATE("#metadata!", ADDRESS(INDEX($L$2:$L$1001,MATCH(ROWS($J$2:J229),$J$2:$J$1001,0),0), INDEX($Q$1004:$U$1004,1,MATCH(COLUMNS($Q$1006:R1006),$Q$1006:$U$1006,0)))),"Fix")))</f>
        <v xml:space="preserve"> </v>
      </c>
      <c r="D229" s="3" t="str">
        <f ca="1">IF(OR(INDEX($K$2:$K$1001,MATCH(ROWS($J$2:J229),$J$2:$J$1001,0),1)&gt;=100000,INDEX($Q$1005:$U$1005,1,MATCH(COLUMNS($Q$1006:S1006),$Q$1006:$U$1006,0))&gt;=100000), " ",IF(INDEX($Q$2:$U$1001,MATCH(ROWS($J$2:J229),$J$2:$J$1001,0),MATCH(COLUMNS($Q$1006:S1006),$Q$1006:$U$1006,0)), HYPERLINK("#",""), HYPERLINK(CONCATENATE("#metadata!", ADDRESS(INDEX($L$2:$L$1001,MATCH(ROWS($J$2:J229),$J$2:$J$1001,0),0), INDEX($Q$1004:$U$1004,1,MATCH(COLUMNS($Q$1006:S1006),$Q$1006:$U$1006,0)))),"Fix")))</f>
        <v xml:space="preserve"> </v>
      </c>
      <c r="E229" s="3" t="str">
        <f ca="1">IF(OR(INDEX($K$2:$K$1001,MATCH(ROWS($J$2:J229),$J$2:$J$1001,0),1)&gt;=100000,INDEX($Q$1005:$U$1005,1,MATCH(COLUMNS($Q$1006:T1006),$Q$1006:$U$1006,0))&gt;=100000), " ",IF(INDEX($Q$2:$U$1001,MATCH(ROWS($J$2:J229),$J$2:$J$1001,0),MATCH(COLUMNS($Q$1006:T1006),$Q$1006:$U$1006,0)), HYPERLINK("#",""), HYPERLINK(CONCATENATE("#metadata!", ADDRESS(INDEX($L$2:$L$1001,MATCH(ROWS($J$2:J229),$J$2:$J$1001,0),0), INDEX($Q$1004:$U$1004,1,MATCH(COLUMNS($Q$1006:T1006),$Q$1006:$U$1006,0)))),"Fix")))</f>
        <v xml:space="preserve"> </v>
      </c>
      <c r="F229" s="3" t="str">
        <f ca="1">IF(OR(INDEX($K$2:$K$1001,MATCH(ROWS($J$2:J229),$J$2:$J$1001,0),1)&gt;=100000,INDEX($Q$1005:$U$1005,1,MATCH(COLUMNS($Q$1006:U1006),$Q$1006:$U$1006,0))&gt;=100000), " ",IF(INDEX($Q$2:$U$1001,MATCH(ROWS($J$2:J229),$J$2:$J$1001,0),MATCH(COLUMNS($Q$1006:U1006),$Q$1006:$U$1006,0)), HYPERLINK("#",""), HYPERLINK(CONCATENATE("#metadata!", ADDRESS(INDEX($L$2:$L$1001,MATCH(ROWS($J$2:J229),$J$2:$J$1001,0),0), INDEX($Q$1004:$U$1004,1,MATCH(COLUMNS($Q$1006:U1006),$Q$1006:$U$1006,0)))),"Fix")))</f>
        <v xml:space="preserve"> </v>
      </c>
      <c r="J229">
        <v>228</v>
      </c>
      <c r="K229">
        <v>100229</v>
      </c>
      <c r="L229">
        <v>229</v>
      </c>
      <c r="M229" t="b">
        <f t="shared" si="3"/>
        <v>1</v>
      </c>
      <c r="N229" t="b">
        <f>COUNTBLANK(metadata!B229:F229)=COLUMNS(metadata!B229:F229)</f>
        <v>1</v>
      </c>
      <c r="O229" t="str">
        <v/>
      </c>
      <c r="Q229" t="b">
        <f ca="1">AND(IF(metadata!B229="",FALSE,TRUE),COUNTIF(metadata!B:B, metadata!B229) = 1,NOT(ISERROR(SUMPRODUCT(SEARCH(MID(metadata!B229,ROW(INDIRECT("1:"&amp;LEN(metadata!B229))), 1),"0123456789abcdefghijklmnopqrstuvwxyzABCDEFGHIJKLMNOPQRSTUVWXYZ.")))))</f>
        <v>0</v>
      </c>
      <c r="R229" t="b">
        <f>AND(IF(metadata!C229="",FALSE,TRUE),OR(EXACT(metadata!C229,"saline"),EXACT(metadata!C229,"non-saline")))</f>
        <v>0</v>
      </c>
      <c r="S229" t="b">
        <f>AND(IF(metadata!D229="",FALSE,TRUE),OR(EXACT(metadata!D229,"surface (non-saline)"),EXACT(metadata!D229,"aerosol (non-saline)"),EXACT(metadata!D229,"sediment (non-saline)"),EXACT(metadata!D229,"surface (saline)"),EXACT(metadata!D229,"aerosol (saline)"),EXACT(metadata!D229,"sediment (saline)")))</f>
        <v>0</v>
      </c>
      <c r="T229" t="b">
        <f>AND(IF(metadata!E229="",FALSE,TRUE),EXACT(metadata!E229,"built environment"))</f>
        <v>0</v>
      </c>
      <c r="U229" t="b">
        <f>OR(AND(IF(metadata!F229="",FALSE,TRUE),EXACT(metadata!F229,"not applicable")),AND(IF(metadata!F229="",FALSE,TRUE),EXACT(metadata!F229,"anaerobic digester content")))</f>
        <v>0</v>
      </c>
    </row>
    <row r="230" spans="1:21" x14ac:dyDescent="0.2">
      <c r="A230" s="4" t="str">
        <f ca="1">IF(B230=" "," ",HYPERLINK(CONCATENATE("#metadata!",ADDRESS(INDEX($L$2:$L$1001,MATCH(ROWS($J$2:J230),$J$2:$J$1001,0),0),1)),INDEX($O$2:$O$1001,MATCH(ROWS($J$2:J230),$J$2:$J$1001,0),0)))</f>
        <v xml:space="preserve"> </v>
      </c>
      <c r="B230" s="3" t="str">
        <f ca="1">IF(OR(INDEX($K$2:$K$1001,MATCH(ROWS($J$2:J230),$J$2:$J$1001,0),1)&gt;=100000,INDEX($Q$1005:$U$1005,1,MATCH(COLUMNS($Q$1006:Q1006),$Q$1006:$U$1006,0))&gt;=100000), " ",IF(INDEX($Q$2:$U$1001,MATCH(ROWS($J$2:J230),$J$2:$J$1001,0),MATCH(COLUMNS($Q$1006:Q1006),$Q$1006:$U$1006,0)), HYPERLINK("#",""), HYPERLINK(CONCATENATE("#metadata!", ADDRESS(INDEX($L$2:$L$1001,MATCH(ROWS($J$2:J230),$J$2:$J$1001,0),0), INDEX($Q$1004:$U$1004,1,MATCH(COLUMNS($Q$1006:Q1006),$Q$1006:$U$1006,0)))),"Fix")))</f>
        <v xml:space="preserve"> </v>
      </c>
      <c r="C230" s="3" t="str">
        <f ca="1">IF(OR(INDEX($K$2:$K$1001,MATCH(ROWS($J$2:J230),$J$2:$J$1001,0),1)&gt;=100000,INDEX($Q$1005:$U$1005,1,MATCH(COLUMNS($Q$1006:R1006),$Q$1006:$U$1006,0))&gt;=100000), " ",IF(INDEX($Q$2:$U$1001,MATCH(ROWS($J$2:J230),$J$2:$J$1001,0),MATCH(COLUMNS($Q$1006:R1006),$Q$1006:$U$1006,0)), HYPERLINK("#",""), HYPERLINK(CONCATENATE("#metadata!", ADDRESS(INDEX($L$2:$L$1001,MATCH(ROWS($J$2:J230),$J$2:$J$1001,0),0), INDEX($Q$1004:$U$1004,1,MATCH(COLUMNS($Q$1006:R1006),$Q$1006:$U$1006,0)))),"Fix")))</f>
        <v xml:space="preserve"> </v>
      </c>
      <c r="D230" s="3" t="str">
        <f ca="1">IF(OR(INDEX($K$2:$K$1001,MATCH(ROWS($J$2:J230),$J$2:$J$1001,0),1)&gt;=100000,INDEX($Q$1005:$U$1005,1,MATCH(COLUMNS($Q$1006:S1006),$Q$1006:$U$1006,0))&gt;=100000), " ",IF(INDEX($Q$2:$U$1001,MATCH(ROWS($J$2:J230),$J$2:$J$1001,0),MATCH(COLUMNS($Q$1006:S1006),$Q$1006:$U$1006,0)), HYPERLINK("#",""), HYPERLINK(CONCATENATE("#metadata!", ADDRESS(INDEX($L$2:$L$1001,MATCH(ROWS($J$2:J230),$J$2:$J$1001,0),0), INDEX($Q$1004:$U$1004,1,MATCH(COLUMNS($Q$1006:S1006),$Q$1006:$U$1006,0)))),"Fix")))</f>
        <v xml:space="preserve"> </v>
      </c>
      <c r="E230" s="3" t="str">
        <f ca="1">IF(OR(INDEX($K$2:$K$1001,MATCH(ROWS($J$2:J230),$J$2:$J$1001,0),1)&gt;=100000,INDEX($Q$1005:$U$1005,1,MATCH(COLUMNS($Q$1006:T1006),$Q$1006:$U$1006,0))&gt;=100000), " ",IF(INDEX($Q$2:$U$1001,MATCH(ROWS($J$2:J230),$J$2:$J$1001,0),MATCH(COLUMNS($Q$1006:T1006),$Q$1006:$U$1006,0)), HYPERLINK("#",""), HYPERLINK(CONCATENATE("#metadata!", ADDRESS(INDEX($L$2:$L$1001,MATCH(ROWS($J$2:J230),$J$2:$J$1001,0),0), INDEX($Q$1004:$U$1004,1,MATCH(COLUMNS($Q$1006:T1006),$Q$1006:$U$1006,0)))),"Fix")))</f>
        <v xml:space="preserve"> </v>
      </c>
      <c r="F230" s="3" t="str">
        <f ca="1">IF(OR(INDEX($K$2:$K$1001,MATCH(ROWS($J$2:J230),$J$2:$J$1001,0),1)&gt;=100000,INDEX($Q$1005:$U$1005,1,MATCH(COLUMNS($Q$1006:U1006),$Q$1006:$U$1006,0))&gt;=100000), " ",IF(INDEX($Q$2:$U$1001,MATCH(ROWS($J$2:J230),$J$2:$J$1001,0),MATCH(COLUMNS($Q$1006:U1006),$Q$1006:$U$1006,0)), HYPERLINK("#",""), HYPERLINK(CONCATENATE("#metadata!", ADDRESS(INDEX($L$2:$L$1001,MATCH(ROWS($J$2:J230),$J$2:$J$1001,0),0), INDEX($Q$1004:$U$1004,1,MATCH(COLUMNS($Q$1006:U1006),$Q$1006:$U$1006,0)))),"Fix")))</f>
        <v xml:space="preserve"> </v>
      </c>
      <c r="J230">
        <v>229</v>
      </c>
      <c r="K230">
        <v>100230</v>
      </c>
      <c r="L230">
        <v>230</v>
      </c>
      <c r="M230" t="b">
        <f t="shared" si="3"/>
        <v>1</v>
      </c>
      <c r="N230" t="b">
        <f>COUNTBLANK(metadata!B230:F230)=COLUMNS(metadata!B230:F230)</f>
        <v>1</v>
      </c>
      <c r="O230" t="str">
        <v/>
      </c>
      <c r="Q230" t="b">
        <f ca="1">AND(IF(metadata!B230="",FALSE,TRUE),COUNTIF(metadata!B:B, metadata!B230) = 1,NOT(ISERROR(SUMPRODUCT(SEARCH(MID(metadata!B230,ROW(INDIRECT("1:"&amp;LEN(metadata!B230))), 1),"0123456789abcdefghijklmnopqrstuvwxyzABCDEFGHIJKLMNOPQRSTUVWXYZ.")))))</f>
        <v>0</v>
      </c>
      <c r="R230" t="b">
        <f>AND(IF(metadata!C230="",FALSE,TRUE),OR(EXACT(metadata!C230,"saline"),EXACT(metadata!C230,"non-saline")))</f>
        <v>0</v>
      </c>
      <c r="S230" t="b">
        <f>AND(IF(metadata!D230="",FALSE,TRUE),OR(EXACT(metadata!D230,"surface (non-saline)"),EXACT(metadata!D230,"aerosol (non-saline)"),EXACT(metadata!D230,"sediment (non-saline)"),EXACT(metadata!D230,"surface (saline)"),EXACT(metadata!D230,"aerosol (saline)"),EXACT(metadata!D230,"sediment (saline)")))</f>
        <v>0</v>
      </c>
      <c r="T230" t="b">
        <f>AND(IF(metadata!E230="",FALSE,TRUE),EXACT(metadata!E230,"built environment"))</f>
        <v>0</v>
      </c>
      <c r="U230" t="b">
        <f>OR(AND(IF(metadata!F230="",FALSE,TRUE),EXACT(metadata!F230,"not applicable")),AND(IF(metadata!F230="",FALSE,TRUE),EXACT(metadata!F230,"anaerobic digester content")))</f>
        <v>0</v>
      </c>
    </row>
    <row r="231" spans="1:21" x14ac:dyDescent="0.2">
      <c r="A231" s="4" t="str">
        <f ca="1">IF(B231=" "," ",HYPERLINK(CONCATENATE("#metadata!",ADDRESS(INDEX($L$2:$L$1001,MATCH(ROWS($J$2:J231),$J$2:$J$1001,0),0),1)),INDEX($O$2:$O$1001,MATCH(ROWS($J$2:J231),$J$2:$J$1001,0),0)))</f>
        <v xml:space="preserve"> </v>
      </c>
      <c r="B231" s="3" t="str">
        <f ca="1">IF(OR(INDEX($K$2:$K$1001,MATCH(ROWS($J$2:J231),$J$2:$J$1001,0),1)&gt;=100000,INDEX($Q$1005:$U$1005,1,MATCH(COLUMNS($Q$1006:Q1006),$Q$1006:$U$1006,0))&gt;=100000), " ",IF(INDEX($Q$2:$U$1001,MATCH(ROWS($J$2:J231),$J$2:$J$1001,0),MATCH(COLUMNS($Q$1006:Q1006),$Q$1006:$U$1006,0)), HYPERLINK("#",""), HYPERLINK(CONCATENATE("#metadata!", ADDRESS(INDEX($L$2:$L$1001,MATCH(ROWS($J$2:J231),$J$2:$J$1001,0),0), INDEX($Q$1004:$U$1004,1,MATCH(COLUMNS($Q$1006:Q1006),$Q$1006:$U$1006,0)))),"Fix")))</f>
        <v xml:space="preserve"> </v>
      </c>
      <c r="C231" s="3" t="str">
        <f ca="1">IF(OR(INDEX($K$2:$K$1001,MATCH(ROWS($J$2:J231),$J$2:$J$1001,0),1)&gt;=100000,INDEX($Q$1005:$U$1005,1,MATCH(COLUMNS($Q$1006:R1006),$Q$1006:$U$1006,0))&gt;=100000), " ",IF(INDEX($Q$2:$U$1001,MATCH(ROWS($J$2:J231),$J$2:$J$1001,0),MATCH(COLUMNS($Q$1006:R1006),$Q$1006:$U$1006,0)), HYPERLINK("#",""), HYPERLINK(CONCATENATE("#metadata!", ADDRESS(INDEX($L$2:$L$1001,MATCH(ROWS($J$2:J231),$J$2:$J$1001,0),0), INDEX($Q$1004:$U$1004,1,MATCH(COLUMNS($Q$1006:R1006),$Q$1006:$U$1006,0)))),"Fix")))</f>
        <v xml:space="preserve"> </v>
      </c>
      <c r="D231" s="3" t="str">
        <f ca="1">IF(OR(INDEX($K$2:$K$1001,MATCH(ROWS($J$2:J231),$J$2:$J$1001,0),1)&gt;=100000,INDEX($Q$1005:$U$1005,1,MATCH(COLUMNS($Q$1006:S1006),$Q$1006:$U$1006,0))&gt;=100000), " ",IF(INDEX($Q$2:$U$1001,MATCH(ROWS($J$2:J231),$J$2:$J$1001,0),MATCH(COLUMNS($Q$1006:S1006),$Q$1006:$U$1006,0)), HYPERLINK("#",""), HYPERLINK(CONCATENATE("#metadata!", ADDRESS(INDEX($L$2:$L$1001,MATCH(ROWS($J$2:J231),$J$2:$J$1001,0),0), INDEX($Q$1004:$U$1004,1,MATCH(COLUMNS($Q$1006:S1006),$Q$1006:$U$1006,0)))),"Fix")))</f>
        <v xml:space="preserve"> </v>
      </c>
      <c r="E231" s="3" t="str">
        <f ca="1">IF(OR(INDEX($K$2:$K$1001,MATCH(ROWS($J$2:J231),$J$2:$J$1001,0),1)&gt;=100000,INDEX($Q$1005:$U$1005,1,MATCH(COLUMNS($Q$1006:T1006),$Q$1006:$U$1006,0))&gt;=100000), " ",IF(INDEX($Q$2:$U$1001,MATCH(ROWS($J$2:J231),$J$2:$J$1001,0),MATCH(COLUMNS($Q$1006:T1006),$Q$1006:$U$1006,0)), HYPERLINK("#",""), HYPERLINK(CONCATENATE("#metadata!", ADDRESS(INDEX($L$2:$L$1001,MATCH(ROWS($J$2:J231),$J$2:$J$1001,0),0), INDEX($Q$1004:$U$1004,1,MATCH(COLUMNS($Q$1006:T1006),$Q$1006:$U$1006,0)))),"Fix")))</f>
        <v xml:space="preserve"> </v>
      </c>
      <c r="F231" s="3" t="str">
        <f ca="1">IF(OR(INDEX($K$2:$K$1001,MATCH(ROWS($J$2:J231),$J$2:$J$1001,0),1)&gt;=100000,INDEX($Q$1005:$U$1005,1,MATCH(COLUMNS($Q$1006:U1006),$Q$1006:$U$1006,0))&gt;=100000), " ",IF(INDEX($Q$2:$U$1001,MATCH(ROWS($J$2:J231),$J$2:$J$1001,0),MATCH(COLUMNS($Q$1006:U1006),$Q$1006:$U$1006,0)), HYPERLINK("#",""), HYPERLINK(CONCATENATE("#metadata!", ADDRESS(INDEX($L$2:$L$1001,MATCH(ROWS($J$2:J231),$J$2:$J$1001,0),0), INDEX($Q$1004:$U$1004,1,MATCH(COLUMNS($Q$1006:U1006),$Q$1006:$U$1006,0)))),"Fix")))</f>
        <v xml:space="preserve"> </v>
      </c>
      <c r="J231">
        <v>230</v>
      </c>
      <c r="K231">
        <v>100231</v>
      </c>
      <c r="L231">
        <v>231</v>
      </c>
      <c r="M231" t="b">
        <f t="shared" si="3"/>
        <v>1</v>
      </c>
      <c r="N231" t="b">
        <f>COUNTBLANK(metadata!B231:F231)=COLUMNS(metadata!B231:F231)</f>
        <v>1</v>
      </c>
      <c r="O231" t="str">
        <v/>
      </c>
      <c r="Q231" t="b">
        <f ca="1">AND(IF(metadata!B231="",FALSE,TRUE),COUNTIF(metadata!B:B, metadata!B231) = 1,NOT(ISERROR(SUMPRODUCT(SEARCH(MID(metadata!B231,ROW(INDIRECT("1:"&amp;LEN(metadata!B231))), 1),"0123456789abcdefghijklmnopqrstuvwxyzABCDEFGHIJKLMNOPQRSTUVWXYZ.")))))</f>
        <v>0</v>
      </c>
      <c r="R231" t="b">
        <f>AND(IF(metadata!C231="",FALSE,TRUE),OR(EXACT(metadata!C231,"saline"),EXACT(metadata!C231,"non-saline")))</f>
        <v>0</v>
      </c>
      <c r="S231" t="b">
        <f>AND(IF(metadata!D231="",FALSE,TRUE),OR(EXACT(metadata!D231,"surface (non-saline)"),EXACT(metadata!D231,"aerosol (non-saline)"),EXACT(metadata!D231,"sediment (non-saline)"),EXACT(metadata!D231,"surface (saline)"),EXACT(metadata!D231,"aerosol (saline)"),EXACT(metadata!D231,"sediment (saline)")))</f>
        <v>0</v>
      </c>
      <c r="T231" t="b">
        <f>AND(IF(metadata!E231="",FALSE,TRUE),EXACT(metadata!E231,"built environment"))</f>
        <v>0</v>
      </c>
      <c r="U231" t="b">
        <f>OR(AND(IF(metadata!F231="",FALSE,TRUE),EXACT(metadata!F231,"not applicable")),AND(IF(metadata!F231="",FALSE,TRUE),EXACT(metadata!F231,"anaerobic digester content")))</f>
        <v>0</v>
      </c>
    </row>
    <row r="232" spans="1:21" x14ac:dyDescent="0.2">
      <c r="A232" s="4" t="str">
        <f ca="1">IF(B232=" "," ",HYPERLINK(CONCATENATE("#metadata!",ADDRESS(INDEX($L$2:$L$1001,MATCH(ROWS($J$2:J232),$J$2:$J$1001,0),0),1)),INDEX($O$2:$O$1001,MATCH(ROWS($J$2:J232),$J$2:$J$1001,0),0)))</f>
        <v xml:space="preserve"> </v>
      </c>
      <c r="B232" s="3" t="str">
        <f ca="1">IF(OR(INDEX($K$2:$K$1001,MATCH(ROWS($J$2:J232),$J$2:$J$1001,0),1)&gt;=100000,INDEX($Q$1005:$U$1005,1,MATCH(COLUMNS($Q$1006:Q1006),$Q$1006:$U$1006,0))&gt;=100000), " ",IF(INDEX($Q$2:$U$1001,MATCH(ROWS($J$2:J232),$J$2:$J$1001,0),MATCH(COLUMNS($Q$1006:Q1006),$Q$1006:$U$1006,0)), HYPERLINK("#",""), HYPERLINK(CONCATENATE("#metadata!", ADDRESS(INDEX($L$2:$L$1001,MATCH(ROWS($J$2:J232),$J$2:$J$1001,0),0), INDEX($Q$1004:$U$1004,1,MATCH(COLUMNS($Q$1006:Q1006),$Q$1006:$U$1006,0)))),"Fix")))</f>
        <v xml:space="preserve"> </v>
      </c>
      <c r="C232" s="3" t="str">
        <f ca="1">IF(OR(INDEX($K$2:$K$1001,MATCH(ROWS($J$2:J232),$J$2:$J$1001,0),1)&gt;=100000,INDEX($Q$1005:$U$1005,1,MATCH(COLUMNS($Q$1006:R1006),$Q$1006:$U$1006,0))&gt;=100000), " ",IF(INDEX($Q$2:$U$1001,MATCH(ROWS($J$2:J232),$J$2:$J$1001,0),MATCH(COLUMNS($Q$1006:R1006),$Q$1006:$U$1006,0)), HYPERLINK("#",""), HYPERLINK(CONCATENATE("#metadata!", ADDRESS(INDEX($L$2:$L$1001,MATCH(ROWS($J$2:J232),$J$2:$J$1001,0),0), INDEX($Q$1004:$U$1004,1,MATCH(COLUMNS($Q$1006:R1006),$Q$1006:$U$1006,0)))),"Fix")))</f>
        <v xml:space="preserve"> </v>
      </c>
      <c r="D232" s="3" t="str">
        <f ca="1">IF(OR(INDEX($K$2:$K$1001,MATCH(ROWS($J$2:J232),$J$2:$J$1001,0),1)&gt;=100000,INDEX($Q$1005:$U$1005,1,MATCH(COLUMNS($Q$1006:S1006),$Q$1006:$U$1006,0))&gt;=100000), " ",IF(INDEX($Q$2:$U$1001,MATCH(ROWS($J$2:J232),$J$2:$J$1001,0),MATCH(COLUMNS($Q$1006:S1006),$Q$1006:$U$1006,0)), HYPERLINK("#",""), HYPERLINK(CONCATENATE("#metadata!", ADDRESS(INDEX($L$2:$L$1001,MATCH(ROWS($J$2:J232),$J$2:$J$1001,0),0), INDEX($Q$1004:$U$1004,1,MATCH(COLUMNS($Q$1006:S1006),$Q$1006:$U$1006,0)))),"Fix")))</f>
        <v xml:space="preserve"> </v>
      </c>
      <c r="E232" s="3" t="str">
        <f ca="1">IF(OR(INDEX($K$2:$K$1001,MATCH(ROWS($J$2:J232),$J$2:$J$1001,0),1)&gt;=100000,INDEX($Q$1005:$U$1005,1,MATCH(COLUMNS($Q$1006:T1006),$Q$1006:$U$1006,0))&gt;=100000), " ",IF(INDEX($Q$2:$U$1001,MATCH(ROWS($J$2:J232),$J$2:$J$1001,0),MATCH(COLUMNS($Q$1006:T1006),$Q$1006:$U$1006,0)), HYPERLINK("#",""), HYPERLINK(CONCATENATE("#metadata!", ADDRESS(INDEX($L$2:$L$1001,MATCH(ROWS($J$2:J232),$J$2:$J$1001,0),0), INDEX($Q$1004:$U$1004,1,MATCH(COLUMNS($Q$1006:T1006),$Q$1006:$U$1006,0)))),"Fix")))</f>
        <v xml:space="preserve"> </v>
      </c>
      <c r="F232" s="3" t="str">
        <f ca="1">IF(OR(INDEX($K$2:$K$1001,MATCH(ROWS($J$2:J232),$J$2:$J$1001,0),1)&gt;=100000,INDEX($Q$1005:$U$1005,1,MATCH(COLUMNS($Q$1006:U1006),$Q$1006:$U$1006,0))&gt;=100000), " ",IF(INDEX($Q$2:$U$1001,MATCH(ROWS($J$2:J232),$J$2:$J$1001,0),MATCH(COLUMNS($Q$1006:U1006),$Q$1006:$U$1006,0)), HYPERLINK("#",""), HYPERLINK(CONCATENATE("#metadata!", ADDRESS(INDEX($L$2:$L$1001,MATCH(ROWS($J$2:J232),$J$2:$J$1001,0),0), INDEX($Q$1004:$U$1004,1,MATCH(COLUMNS($Q$1006:U1006),$Q$1006:$U$1006,0)))),"Fix")))</f>
        <v xml:space="preserve"> </v>
      </c>
      <c r="J232">
        <v>231</v>
      </c>
      <c r="K232">
        <v>100232</v>
      </c>
      <c r="L232">
        <v>232</v>
      </c>
      <c r="M232" t="b">
        <f t="shared" si="3"/>
        <v>1</v>
      </c>
      <c r="N232" t="b">
        <f>COUNTBLANK(metadata!B232:F232)=COLUMNS(metadata!B232:F232)</f>
        <v>1</v>
      </c>
      <c r="O232" t="str">
        <v/>
      </c>
      <c r="Q232" t="b">
        <f ca="1">AND(IF(metadata!B232="",FALSE,TRUE),COUNTIF(metadata!B:B, metadata!B232) = 1,NOT(ISERROR(SUMPRODUCT(SEARCH(MID(metadata!B232,ROW(INDIRECT("1:"&amp;LEN(metadata!B232))), 1),"0123456789abcdefghijklmnopqrstuvwxyzABCDEFGHIJKLMNOPQRSTUVWXYZ.")))))</f>
        <v>0</v>
      </c>
      <c r="R232" t="b">
        <f>AND(IF(metadata!C232="",FALSE,TRUE),OR(EXACT(metadata!C232,"saline"),EXACT(metadata!C232,"non-saline")))</f>
        <v>0</v>
      </c>
      <c r="S232" t="b">
        <f>AND(IF(metadata!D232="",FALSE,TRUE),OR(EXACT(metadata!D232,"surface (non-saline)"),EXACT(metadata!D232,"aerosol (non-saline)"),EXACT(metadata!D232,"sediment (non-saline)"),EXACT(metadata!D232,"surface (saline)"),EXACT(metadata!D232,"aerosol (saline)"),EXACT(metadata!D232,"sediment (saline)")))</f>
        <v>0</v>
      </c>
      <c r="T232" t="b">
        <f>AND(IF(metadata!E232="",FALSE,TRUE),EXACT(metadata!E232,"built environment"))</f>
        <v>0</v>
      </c>
      <c r="U232" t="b">
        <f>OR(AND(IF(metadata!F232="",FALSE,TRUE),EXACT(metadata!F232,"not applicable")),AND(IF(metadata!F232="",FALSE,TRUE),EXACT(metadata!F232,"anaerobic digester content")))</f>
        <v>0</v>
      </c>
    </row>
    <row r="233" spans="1:21" x14ac:dyDescent="0.2">
      <c r="A233" s="4" t="str">
        <f ca="1">IF(B233=" "," ",HYPERLINK(CONCATENATE("#metadata!",ADDRESS(INDEX($L$2:$L$1001,MATCH(ROWS($J$2:J233),$J$2:$J$1001,0),0),1)),INDEX($O$2:$O$1001,MATCH(ROWS($J$2:J233),$J$2:$J$1001,0),0)))</f>
        <v xml:space="preserve"> </v>
      </c>
      <c r="B233" s="3" t="str">
        <f ca="1">IF(OR(INDEX($K$2:$K$1001,MATCH(ROWS($J$2:J233),$J$2:$J$1001,0),1)&gt;=100000,INDEX($Q$1005:$U$1005,1,MATCH(COLUMNS($Q$1006:Q1006),$Q$1006:$U$1006,0))&gt;=100000), " ",IF(INDEX($Q$2:$U$1001,MATCH(ROWS($J$2:J233),$J$2:$J$1001,0),MATCH(COLUMNS($Q$1006:Q1006),$Q$1006:$U$1006,0)), HYPERLINK("#",""), HYPERLINK(CONCATENATE("#metadata!", ADDRESS(INDEX($L$2:$L$1001,MATCH(ROWS($J$2:J233),$J$2:$J$1001,0),0), INDEX($Q$1004:$U$1004,1,MATCH(COLUMNS($Q$1006:Q1006),$Q$1006:$U$1006,0)))),"Fix")))</f>
        <v xml:space="preserve"> </v>
      </c>
      <c r="C233" s="3" t="str">
        <f ca="1">IF(OR(INDEX($K$2:$K$1001,MATCH(ROWS($J$2:J233),$J$2:$J$1001,0),1)&gt;=100000,INDEX($Q$1005:$U$1005,1,MATCH(COLUMNS($Q$1006:R1006),$Q$1006:$U$1006,0))&gt;=100000), " ",IF(INDEX($Q$2:$U$1001,MATCH(ROWS($J$2:J233),$J$2:$J$1001,0),MATCH(COLUMNS($Q$1006:R1006),$Q$1006:$U$1006,0)), HYPERLINK("#",""), HYPERLINK(CONCATENATE("#metadata!", ADDRESS(INDEX($L$2:$L$1001,MATCH(ROWS($J$2:J233),$J$2:$J$1001,0),0), INDEX($Q$1004:$U$1004,1,MATCH(COLUMNS($Q$1006:R1006),$Q$1006:$U$1006,0)))),"Fix")))</f>
        <v xml:space="preserve"> </v>
      </c>
      <c r="D233" s="3" t="str">
        <f ca="1">IF(OR(INDEX($K$2:$K$1001,MATCH(ROWS($J$2:J233),$J$2:$J$1001,0),1)&gt;=100000,INDEX($Q$1005:$U$1005,1,MATCH(COLUMNS($Q$1006:S1006),$Q$1006:$U$1006,0))&gt;=100000), " ",IF(INDEX($Q$2:$U$1001,MATCH(ROWS($J$2:J233),$J$2:$J$1001,0),MATCH(COLUMNS($Q$1006:S1006),$Q$1006:$U$1006,0)), HYPERLINK("#",""), HYPERLINK(CONCATENATE("#metadata!", ADDRESS(INDEX($L$2:$L$1001,MATCH(ROWS($J$2:J233),$J$2:$J$1001,0),0), INDEX($Q$1004:$U$1004,1,MATCH(COLUMNS($Q$1006:S1006),$Q$1006:$U$1006,0)))),"Fix")))</f>
        <v xml:space="preserve"> </v>
      </c>
      <c r="E233" s="3" t="str">
        <f ca="1">IF(OR(INDEX($K$2:$K$1001,MATCH(ROWS($J$2:J233),$J$2:$J$1001,0),1)&gt;=100000,INDEX($Q$1005:$U$1005,1,MATCH(COLUMNS($Q$1006:T1006),$Q$1006:$U$1006,0))&gt;=100000), " ",IF(INDEX($Q$2:$U$1001,MATCH(ROWS($J$2:J233),$J$2:$J$1001,0),MATCH(COLUMNS($Q$1006:T1006),$Q$1006:$U$1006,0)), HYPERLINK("#",""), HYPERLINK(CONCATENATE("#metadata!", ADDRESS(INDEX($L$2:$L$1001,MATCH(ROWS($J$2:J233),$J$2:$J$1001,0),0), INDEX($Q$1004:$U$1004,1,MATCH(COLUMNS($Q$1006:T1006),$Q$1006:$U$1006,0)))),"Fix")))</f>
        <v xml:space="preserve"> </v>
      </c>
      <c r="F233" s="3" t="str">
        <f ca="1">IF(OR(INDEX($K$2:$K$1001,MATCH(ROWS($J$2:J233),$J$2:$J$1001,0),1)&gt;=100000,INDEX($Q$1005:$U$1005,1,MATCH(COLUMNS($Q$1006:U1006),$Q$1006:$U$1006,0))&gt;=100000), " ",IF(INDEX($Q$2:$U$1001,MATCH(ROWS($J$2:J233),$J$2:$J$1001,0),MATCH(COLUMNS($Q$1006:U1006),$Q$1006:$U$1006,0)), HYPERLINK("#",""), HYPERLINK(CONCATENATE("#metadata!", ADDRESS(INDEX($L$2:$L$1001,MATCH(ROWS($J$2:J233),$J$2:$J$1001,0),0), INDEX($Q$1004:$U$1004,1,MATCH(COLUMNS($Q$1006:U1006),$Q$1006:$U$1006,0)))),"Fix")))</f>
        <v xml:space="preserve"> </v>
      </c>
      <c r="J233">
        <v>232</v>
      </c>
      <c r="K233">
        <v>100233</v>
      </c>
      <c r="L233">
        <v>233</v>
      </c>
      <c r="M233" t="b">
        <f t="shared" si="3"/>
        <v>1</v>
      </c>
      <c r="N233" t="b">
        <f>COUNTBLANK(metadata!B233:F233)=COLUMNS(metadata!B233:F233)</f>
        <v>1</v>
      </c>
      <c r="O233" t="str">
        <v/>
      </c>
      <c r="Q233" t="b">
        <f ca="1">AND(IF(metadata!B233="",FALSE,TRUE),COUNTIF(metadata!B:B, metadata!B233) = 1,NOT(ISERROR(SUMPRODUCT(SEARCH(MID(metadata!B233,ROW(INDIRECT("1:"&amp;LEN(metadata!B233))), 1),"0123456789abcdefghijklmnopqrstuvwxyzABCDEFGHIJKLMNOPQRSTUVWXYZ.")))))</f>
        <v>0</v>
      </c>
      <c r="R233" t="b">
        <f>AND(IF(metadata!C233="",FALSE,TRUE),OR(EXACT(metadata!C233,"saline"),EXACT(metadata!C233,"non-saline")))</f>
        <v>0</v>
      </c>
      <c r="S233" t="b">
        <f>AND(IF(metadata!D233="",FALSE,TRUE),OR(EXACT(metadata!D233,"surface (non-saline)"),EXACT(metadata!D233,"aerosol (non-saline)"),EXACT(metadata!D233,"sediment (non-saline)"),EXACT(metadata!D233,"surface (saline)"),EXACT(metadata!D233,"aerosol (saline)"),EXACT(metadata!D233,"sediment (saline)")))</f>
        <v>0</v>
      </c>
      <c r="T233" t="b">
        <f>AND(IF(metadata!E233="",FALSE,TRUE),EXACT(metadata!E233,"built environment"))</f>
        <v>0</v>
      </c>
      <c r="U233" t="b">
        <f>OR(AND(IF(metadata!F233="",FALSE,TRUE),EXACT(metadata!F233,"not applicable")),AND(IF(metadata!F233="",FALSE,TRUE),EXACT(metadata!F233,"anaerobic digester content")))</f>
        <v>0</v>
      </c>
    </row>
    <row r="234" spans="1:21" x14ac:dyDescent="0.2">
      <c r="A234" s="4" t="str">
        <f ca="1">IF(B234=" "," ",HYPERLINK(CONCATENATE("#metadata!",ADDRESS(INDEX($L$2:$L$1001,MATCH(ROWS($J$2:J234),$J$2:$J$1001,0),0),1)),INDEX($O$2:$O$1001,MATCH(ROWS($J$2:J234),$J$2:$J$1001,0),0)))</f>
        <v xml:space="preserve"> </v>
      </c>
      <c r="B234" s="3" t="str">
        <f ca="1">IF(OR(INDEX($K$2:$K$1001,MATCH(ROWS($J$2:J234),$J$2:$J$1001,0),1)&gt;=100000,INDEX($Q$1005:$U$1005,1,MATCH(COLUMNS($Q$1006:Q1006),$Q$1006:$U$1006,0))&gt;=100000), " ",IF(INDEX($Q$2:$U$1001,MATCH(ROWS($J$2:J234),$J$2:$J$1001,0),MATCH(COLUMNS($Q$1006:Q1006),$Q$1006:$U$1006,0)), HYPERLINK("#",""), HYPERLINK(CONCATENATE("#metadata!", ADDRESS(INDEX($L$2:$L$1001,MATCH(ROWS($J$2:J234),$J$2:$J$1001,0),0), INDEX($Q$1004:$U$1004,1,MATCH(COLUMNS($Q$1006:Q1006),$Q$1006:$U$1006,0)))),"Fix")))</f>
        <v xml:space="preserve"> </v>
      </c>
      <c r="C234" s="3" t="str">
        <f ca="1">IF(OR(INDEX($K$2:$K$1001,MATCH(ROWS($J$2:J234),$J$2:$J$1001,0),1)&gt;=100000,INDEX($Q$1005:$U$1005,1,MATCH(COLUMNS($Q$1006:R1006),$Q$1006:$U$1006,0))&gt;=100000), " ",IF(INDEX($Q$2:$U$1001,MATCH(ROWS($J$2:J234),$J$2:$J$1001,0),MATCH(COLUMNS($Q$1006:R1006),$Q$1006:$U$1006,0)), HYPERLINK("#",""), HYPERLINK(CONCATENATE("#metadata!", ADDRESS(INDEX($L$2:$L$1001,MATCH(ROWS($J$2:J234),$J$2:$J$1001,0),0), INDEX($Q$1004:$U$1004,1,MATCH(COLUMNS($Q$1006:R1006),$Q$1006:$U$1006,0)))),"Fix")))</f>
        <v xml:space="preserve"> </v>
      </c>
      <c r="D234" s="3" t="str">
        <f ca="1">IF(OR(INDEX($K$2:$K$1001,MATCH(ROWS($J$2:J234),$J$2:$J$1001,0),1)&gt;=100000,INDEX($Q$1005:$U$1005,1,MATCH(COLUMNS($Q$1006:S1006),$Q$1006:$U$1006,0))&gt;=100000), " ",IF(INDEX($Q$2:$U$1001,MATCH(ROWS($J$2:J234),$J$2:$J$1001,0),MATCH(COLUMNS($Q$1006:S1006),$Q$1006:$U$1006,0)), HYPERLINK("#",""), HYPERLINK(CONCATENATE("#metadata!", ADDRESS(INDEX($L$2:$L$1001,MATCH(ROWS($J$2:J234),$J$2:$J$1001,0),0), INDEX($Q$1004:$U$1004,1,MATCH(COLUMNS($Q$1006:S1006),$Q$1006:$U$1006,0)))),"Fix")))</f>
        <v xml:space="preserve"> </v>
      </c>
      <c r="E234" s="3" t="str">
        <f ca="1">IF(OR(INDEX($K$2:$K$1001,MATCH(ROWS($J$2:J234),$J$2:$J$1001,0),1)&gt;=100000,INDEX($Q$1005:$U$1005,1,MATCH(COLUMNS($Q$1006:T1006),$Q$1006:$U$1006,0))&gt;=100000), " ",IF(INDEX($Q$2:$U$1001,MATCH(ROWS($J$2:J234),$J$2:$J$1001,0),MATCH(COLUMNS($Q$1006:T1006),$Q$1006:$U$1006,0)), HYPERLINK("#",""), HYPERLINK(CONCATENATE("#metadata!", ADDRESS(INDEX($L$2:$L$1001,MATCH(ROWS($J$2:J234),$J$2:$J$1001,0),0), INDEX($Q$1004:$U$1004,1,MATCH(COLUMNS($Q$1006:T1006),$Q$1006:$U$1006,0)))),"Fix")))</f>
        <v xml:space="preserve"> </v>
      </c>
      <c r="F234" s="3" t="str">
        <f ca="1">IF(OR(INDEX($K$2:$K$1001,MATCH(ROWS($J$2:J234),$J$2:$J$1001,0),1)&gt;=100000,INDEX($Q$1005:$U$1005,1,MATCH(COLUMNS($Q$1006:U1006),$Q$1006:$U$1006,0))&gt;=100000), " ",IF(INDEX($Q$2:$U$1001,MATCH(ROWS($J$2:J234),$J$2:$J$1001,0),MATCH(COLUMNS($Q$1006:U1006),$Q$1006:$U$1006,0)), HYPERLINK("#",""), HYPERLINK(CONCATENATE("#metadata!", ADDRESS(INDEX($L$2:$L$1001,MATCH(ROWS($J$2:J234),$J$2:$J$1001,0),0), INDEX($Q$1004:$U$1004,1,MATCH(COLUMNS($Q$1006:U1006),$Q$1006:$U$1006,0)))),"Fix")))</f>
        <v xml:space="preserve"> </v>
      </c>
      <c r="J234">
        <v>233</v>
      </c>
      <c r="K234">
        <v>100234</v>
      </c>
      <c r="L234">
        <v>234</v>
      </c>
      <c r="M234" t="b">
        <f t="shared" si="3"/>
        <v>1</v>
      </c>
      <c r="N234" t="b">
        <f>COUNTBLANK(metadata!B234:F234)=COLUMNS(metadata!B234:F234)</f>
        <v>1</v>
      </c>
      <c r="O234" t="str">
        <v/>
      </c>
      <c r="Q234" t="b">
        <f ca="1">AND(IF(metadata!B234="",FALSE,TRUE),COUNTIF(metadata!B:B, metadata!B234) = 1,NOT(ISERROR(SUMPRODUCT(SEARCH(MID(metadata!B234,ROW(INDIRECT("1:"&amp;LEN(metadata!B234))), 1),"0123456789abcdefghijklmnopqrstuvwxyzABCDEFGHIJKLMNOPQRSTUVWXYZ.")))))</f>
        <v>0</v>
      </c>
      <c r="R234" t="b">
        <f>AND(IF(metadata!C234="",FALSE,TRUE),OR(EXACT(metadata!C234,"saline"),EXACT(metadata!C234,"non-saline")))</f>
        <v>0</v>
      </c>
      <c r="S234" t="b">
        <f>AND(IF(metadata!D234="",FALSE,TRUE),OR(EXACT(metadata!D234,"surface (non-saline)"),EXACT(metadata!D234,"aerosol (non-saline)"),EXACT(metadata!D234,"sediment (non-saline)"),EXACT(metadata!D234,"surface (saline)"),EXACT(metadata!D234,"aerosol (saline)"),EXACT(metadata!D234,"sediment (saline)")))</f>
        <v>0</v>
      </c>
      <c r="T234" t="b">
        <f>AND(IF(metadata!E234="",FALSE,TRUE),EXACT(metadata!E234,"built environment"))</f>
        <v>0</v>
      </c>
      <c r="U234" t="b">
        <f>OR(AND(IF(metadata!F234="",FALSE,TRUE),EXACT(metadata!F234,"not applicable")),AND(IF(metadata!F234="",FALSE,TRUE),EXACT(metadata!F234,"anaerobic digester content")))</f>
        <v>0</v>
      </c>
    </row>
    <row r="235" spans="1:21" x14ac:dyDescent="0.2">
      <c r="A235" s="4" t="str">
        <f ca="1">IF(B235=" "," ",HYPERLINK(CONCATENATE("#metadata!",ADDRESS(INDEX($L$2:$L$1001,MATCH(ROWS($J$2:J235),$J$2:$J$1001,0),0),1)),INDEX($O$2:$O$1001,MATCH(ROWS($J$2:J235),$J$2:$J$1001,0),0)))</f>
        <v xml:space="preserve"> </v>
      </c>
      <c r="B235" s="3" t="str">
        <f ca="1">IF(OR(INDEX($K$2:$K$1001,MATCH(ROWS($J$2:J235),$J$2:$J$1001,0),1)&gt;=100000,INDEX($Q$1005:$U$1005,1,MATCH(COLUMNS($Q$1006:Q1006),$Q$1006:$U$1006,0))&gt;=100000), " ",IF(INDEX($Q$2:$U$1001,MATCH(ROWS($J$2:J235),$J$2:$J$1001,0),MATCH(COLUMNS($Q$1006:Q1006),$Q$1006:$U$1006,0)), HYPERLINK("#",""), HYPERLINK(CONCATENATE("#metadata!", ADDRESS(INDEX($L$2:$L$1001,MATCH(ROWS($J$2:J235),$J$2:$J$1001,0),0), INDEX($Q$1004:$U$1004,1,MATCH(COLUMNS($Q$1006:Q1006),$Q$1006:$U$1006,0)))),"Fix")))</f>
        <v xml:space="preserve"> </v>
      </c>
      <c r="C235" s="3" t="str">
        <f ca="1">IF(OR(INDEX($K$2:$K$1001,MATCH(ROWS($J$2:J235),$J$2:$J$1001,0),1)&gt;=100000,INDEX($Q$1005:$U$1005,1,MATCH(COLUMNS($Q$1006:R1006),$Q$1006:$U$1006,0))&gt;=100000), " ",IF(INDEX($Q$2:$U$1001,MATCH(ROWS($J$2:J235),$J$2:$J$1001,0),MATCH(COLUMNS($Q$1006:R1006),$Q$1006:$U$1006,0)), HYPERLINK("#",""), HYPERLINK(CONCATENATE("#metadata!", ADDRESS(INDEX($L$2:$L$1001,MATCH(ROWS($J$2:J235),$J$2:$J$1001,0),0), INDEX($Q$1004:$U$1004,1,MATCH(COLUMNS($Q$1006:R1006),$Q$1006:$U$1006,0)))),"Fix")))</f>
        <v xml:space="preserve"> </v>
      </c>
      <c r="D235" s="3" t="str">
        <f ca="1">IF(OR(INDEX($K$2:$K$1001,MATCH(ROWS($J$2:J235),$J$2:$J$1001,0),1)&gt;=100000,INDEX($Q$1005:$U$1005,1,MATCH(COLUMNS($Q$1006:S1006),$Q$1006:$U$1006,0))&gt;=100000), " ",IF(INDEX($Q$2:$U$1001,MATCH(ROWS($J$2:J235),$J$2:$J$1001,0),MATCH(COLUMNS($Q$1006:S1006),$Q$1006:$U$1006,0)), HYPERLINK("#",""), HYPERLINK(CONCATENATE("#metadata!", ADDRESS(INDEX($L$2:$L$1001,MATCH(ROWS($J$2:J235),$J$2:$J$1001,0),0), INDEX($Q$1004:$U$1004,1,MATCH(COLUMNS($Q$1006:S1006),$Q$1006:$U$1006,0)))),"Fix")))</f>
        <v xml:space="preserve"> </v>
      </c>
      <c r="E235" s="3" t="str">
        <f ca="1">IF(OR(INDEX($K$2:$K$1001,MATCH(ROWS($J$2:J235),$J$2:$J$1001,0),1)&gt;=100000,INDEX($Q$1005:$U$1005,1,MATCH(COLUMNS($Q$1006:T1006),$Q$1006:$U$1006,0))&gt;=100000), " ",IF(INDEX($Q$2:$U$1001,MATCH(ROWS($J$2:J235),$J$2:$J$1001,0),MATCH(COLUMNS($Q$1006:T1006),$Q$1006:$U$1006,0)), HYPERLINK("#",""), HYPERLINK(CONCATENATE("#metadata!", ADDRESS(INDEX($L$2:$L$1001,MATCH(ROWS($J$2:J235),$J$2:$J$1001,0),0), INDEX($Q$1004:$U$1004,1,MATCH(COLUMNS($Q$1006:T1006),$Q$1006:$U$1006,0)))),"Fix")))</f>
        <v xml:space="preserve"> </v>
      </c>
      <c r="F235" s="3" t="str">
        <f ca="1">IF(OR(INDEX($K$2:$K$1001,MATCH(ROWS($J$2:J235),$J$2:$J$1001,0),1)&gt;=100000,INDEX($Q$1005:$U$1005,1,MATCH(COLUMNS($Q$1006:U1006),$Q$1006:$U$1006,0))&gt;=100000), " ",IF(INDEX($Q$2:$U$1001,MATCH(ROWS($J$2:J235),$J$2:$J$1001,0),MATCH(COLUMNS($Q$1006:U1006),$Q$1006:$U$1006,0)), HYPERLINK("#",""), HYPERLINK(CONCATENATE("#metadata!", ADDRESS(INDEX($L$2:$L$1001,MATCH(ROWS($J$2:J235),$J$2:$J$1001,0),0), INDEX($Q$1004:$U$1004,1,MATCH(COLUMNS($Q$1006:U1006),$Q$1006:$U$1006,0)))),"Fix")))</f>
        <v xml:space="preserve"> </v>
      </c>
      <c r="J235">
        <v>234</v>
      </c>
      <c r="K235">
        <v>100235</v>
      </c>
      <c r="L235">
        <v>235</v>
      </c>
      <c r="M235" t="b">
        <f t="shared" si="3"/>
        <v>1</v>
      </c>
      <c r="N235" t="b">
        <f>COUNTBLANK(metadata!B235:F235)=COLUMNS(metadata!B235:F235)</f>
        <v>1</v>
      </c>
      <c r="O235" t="str">
        <v/>
      </c>
      <c r="Q235" t="b">
        <f ca="1">AND(IF(metadata!B235="",FALSE,TRUE),COUNTIF(metadata!B:B, metadata!B235) = 1,NOT(ISERROR(SUMPRODUCT(SEARCH(MID(metadata!B235,ROW(INDIRECT("1:"&amp;LEN(metadata!B235))), 1),"0123456789abcdefghijklmnopqrstuvwxyzABCDEFGHIJKLMNOPQRSTUVWXYZ.")))))</f>
        <v>0</v>
      </c>
      <c r="R235" t="b">
        <f>AND(IF(metadata!C235="",FALSE,TRUE),OR(EXACT(metadata!C235,"saline"),EXACT(metadata!C235,"non-saline")))</f>
        <v>0</v>
      </c>
      <c r="S235" t="b">
        <f>AND(IF(metadata!D235="",FALSE,TRUE),OR(EXACT(metadata!D235,"surface (non-saline)"),EXACT(metadata!D235,"aerosol (non-saline)"),EXACT(metadata!D235,"sediment (non-saline)"),EXACT(metadata!D235,"surface (saline)"),EXACT(metadata!D235,"aerosol (saline)"),EXACT(metadata!D235,"sediment (saline)")))</f>
        <v>0</v>
      </c>
      <c r="T235" t="b">
        <f>AND(IF(metadata!E235="",FALSE,TRUE),EXACT(metadata!E235,"built environment"))</f>
        <v>0</v>
      </c>
      <c r="U235" t="b">
        <f>OR(AND(IF(metadata!F235="",FALSE,TRUE),EXACT(metadata!F235,"not applicable")),AND(IF(metadata!F235="",FALSE,TRUE),EXACT(metadata!F235,"anaerobic digester content")))</f>
        <v>0</v>
      </c>
    </row>
    <row r="236" spans="1:21" x14ac:dyDescent="0.2">
      <c r="A236" s="4" t="str">
        <f ca="1">IF(B236=" "," ",HYPERLINK(CONCATENATE("#metadata!",ADDRESS(INDEX($L$2:$L$1001,MATCH(ROWS($J$2:J236),$J$2:$J$1001,0),0),1)),INDEX($O$2:$O$1001,MATCH(ROWS($J$2:J236),$J$2:$J$1001,0),0)))</f>
        <v xml:space="preserve"> </v>
      </c>
      <c r="B236" s="3" t="str">
        <f ca="1">IF(OR(INDEX($K$2:$K$1001,MATCH(ROWS($J$2:J236),$J$2:$J$1001,0),1)&gt;=100000,INDEX($Q$1005:$U$1005,1,MATCH(COLUMNS($Q$1006:Q1006),$Q$1006:$U$1006,0))&gt;=100000), " ",IF(INDEX($Q$2:$U$1001,MATCH(ROWS($J$2:J236),$J$2:$J$1001,0),MATCH(COLUMNS($Q$1006:Q1006),$Q$1006:$U$1006,0)), HYPERLINK("#",""), HYPERLINK(CONCATENATE("#metadata!", ADDRESS(INDEX($L$2:$L$1001,MATCH(ROWS($J$2:J236),$J$2:$J$1001,0),0), INDEX($Q$1004:$U$1004,1,MATCH(COLUMNS($Q$1006:Q1006),$Q$1006:$U$1006,0)))),"Fix")))</f>
        <v xml:space="preserve"> </v>
      </c>
      <c r="C236" s="3" t="str">
        <f ca="1">IF(OR(INDEX($K$2:$K$1001,MATCH(ROWS($J$2:J236),$J$2:$J$1001,0),1)&gt;=100000,INDEX($Q$1005:$U$1005,1,MATCH(COLUMNS($Q$1006:R1006),$Q$1006:$U$1006,0))&gt;=100000), " ",IF(INDEX($Q$2:$U$1001,MATCH(ROWS($J$2:J236),$J$2:$J$1001,0),MATCH(COLUMNS($Q$1006:R1006),$Q$1006:$U$1006,0)), HYPERLINK("#",""), HYPERLINK(CONCATENATE("#metadata!", ADDRESS(INDEX($L$2:$L$1001,MATCH(ROWS($J$2:J236),$J$2:$J$1001,0),0), INDEX($Q$1004:$U$1004,1,MATCH(COLUMNS($Q$1006:R1006),$Q$1006:$U$1006,0)))),"Fix")))</f>
        <v xml:space="preserve"> </v>
      </c>
      <c r="D236" s="3" t="str">
        <f ca="1">IF(OR(INDEX($K$2:$K$1001,MATCH(ROWS($J$2:J236),$J$2:$J$1001,0),1)&gt;=100000,INDEX($Q$1005:$U$1005,1,MATCH(COLUMNS($Q$1006:S1006),$Q$1006:$U$1006,0))&gt;=100000), " ",IF(INDEX($Q$2:$U$1001,MATCH(ROWS($J$2:J236),$J$2:$J$1001,0),MATCH(COLUMNS($Q$1006:S1006),$Q$1006:$U$1006,0)), HYPERLINK("#",""), HYPERLINK(CONCATENATE("#metadata!", ADDRESS(INDEX($L$2:$L$1001,MATCH(ROWS($J$2:J236),$J$2:$J$1001,0),0), INDEX($Q$1004:$U$1004,1,MATCH(COLUMNS($Q$1006:S1006),$Q$1006:$U$1006,0)))),"Fix")))</f>
        <v xml:space="preserve"> </v>
      </c>
      <c r="E236" s="3" t="str">
        <f ca="1">IF(OR(INDEX($K$2:$K$1001,MATCH(ROWS($J$2:J236),$J$2:$J$1001,0),1)&gt;=100000,INDEX($Q$1005:$U$1005,1,MATCH(COLUMNS($Q$1006:T1006),$Q$1006:$U$1006,0))&gt;=100000), " ",IF(INDEX($Q$2:$U$1001,MATCH(ROWS($J$2:J236),$J$2:$J$1001,0),MATCH(COLUMNS($Q$1006:T1006),$Q$1006:$U$1006,0)), HYPERLINK("#",""), HYPERLINK(CONCATENATE("#metadata!", ADDRESS(INDEX($L$2:$L$1001,MATCH(ROWS($J$2:J236),$J$2:$J$1001,0),0), INDEX($Q$1004:$U$1004,1,MATCH(COLUMNS($Q$1006:T1006),$Q$1006:$U$1006,0)))),"Fix")))</f>
        <v xml:space="preserve"> </v>
      </c>
      <c r="F236" s="3" t="str">
        <f ca="1">IF(OR(INDEX($K$2:$K$1001,MATCH(ROWS($J$2:J236),$J$2:$J$1001,0),1)&gt;=100000,INDEX($Q$1005:$U$1005,1,MATCH(COLUMNS($Q$1006:U1006),$Q$1006:$U$1006,0))&gt;=100000), " ",IF(INDEX($Q$2:$U$1001,MATCH(ROWS($J$2:J236),$J$2:$J$1001,0),MATCH(COLUMNS($Q$1006:U1006),$Q$1006:$U$1006,0)), HYPERLINK("#",""), HYPERLINK(CONCATENATE("#metadata!", ADDRESS(INDEX($L$2:$L$1001,MATCH(ROWS($J$2:J236),$J$2:$J$1001,0),0), INDEX($Q$1004:$U$1004,1,MATCH(COLUMNS($Q$1006:U1006),$Q$1006:$U$1006,0)))),"Fix")))</f>
        <v xml:space="preserve"> </v>
      </c>
      <c r="J236">
        <v>235</v>
      </c>
      <c r="K236">
        <v>100236</v>
      </c>
      <c r="L236">
        <v>236</v>
      </c>
      <c r="M236" t="b">
        <f t="shared" si="3"/>
        <v>1</v>
      </c>
      <c r="N236" t="b">
        <f>COUNTBLANK(metadata!B236:F236)=COLUMNS(metadata!B236:F236)</f>
        <v>1</v>
      </c>
      <c r="O236" t="str">
        <v/>
      </c>
      <c r="Q236" t="b">
        <f ca="1">AND(IF(metadata!B236="",FALSE,TRUE),COUNTIF(metadata!B:B, metadata!B236) = 1,NOT(ISERROR(SUMPRODUCT(SEARCH(MID(metadata!B236,ROW(INDIRECT("1:"&amp;LEN(metadata!B236))), 1),"0123456789abcdefghijklmnopqrstuvwxyzABCDEFGHIJKLMNOPQRSTUVWXYZ.")))))</f>
        <v>0</v>
      </c>
      <c r="R236" t="b">
        <f>AND(IF(metadata!C236="",FALSE,TRUE),OR(EXACT(metadata!C236,"saline"),EXACT(metadata!C236,"non-saline")))</f>
        <v>0</v>
      </c>
      <c r="S236" t="b">
        <f>AND(IF(metadata!D236="",FALSE,TRUE),OR(EXACT(metadata!D236,"surface (non-saline)"),EXACT(metadata!D236,"aerosol (non-saline)"),EXACT(metadata!D236,"sediment (non-saline)"),EXACT(metadata!D236,"surface (saline)"),EXACT(metadata!D236,"aerosol (saline)"),EXACT(metadata!D236,"sediment (saline)")))</f>
        <v>0</v>
      </c>
      <c r="T236" t="b">
        <f>AND(IF(metadata!E236="",FALSE,TRUE),EXACT(metadata!E236,"built environment"))</f>
        <v>0</v>
      </c>
      <c r="U236" t="b">
        <f>OR(AND(IF(metadata!F236="",FALSE,TRUE),EXACT(metadata!F236,"not applicable")),AND(IF(metadata!F236="",FALSE,TRUE),EXACT(metadata!F236,"anaerobic digester content")))</f>
        <v>0</v>
      </c>
    </row>
    <row r="237" spans="1:21" x14ac:dyDescent="0.2">
      <c r="A237" s="4" t="str">
        <f ca="1">IF(B237=" "," ",HYPERLINK(CONCATENATE("#metadata!",ADDRESS(INDEX($L$2:$L$1001,MATCH(ROWS($J$2:J237),$J$2:$J$1001,0),0),1)),INDEX($O$2:$O$1001,MATCH(ROWS($J$2:J237),$J$2:$J$1001,0),0)))</f>
        <v xml:space="preserve"> </v>
      </c>
      <c r="B237" s="3" t="str">
        <f ca="1">IF(OR(INDEX($K$2:$K$1001,MATCH(ROWS($J$2:J237),$J$2:$J$1001,0),1)&gt;=100000,INDEX($Q$1005:$U$1005,1,MATCH(COLUMNS($Q$1006:Q1006),$Q$1006:$U$1006,0))&gt;=100000), " ",IF(INDEX($Q$2:$U$1001,MATCH(ROWS($J$2:J237),$J$2:$J$1001,0),MATCH(COLUMNS($Q$1006:Q1006),$Q$1006:$U$1006,0)), HYPERLINK("#",""), HYPERLINK(CONCATENATE("#metadata!", ADDRESS(INDEX($L$2:$L$1001,MATCH(ROWS($J$2:J237),$J$2:$J$1001,0),0), INDEX($Q$1004:$U$1004,1,MATCH(COLUMNS($Q$1006:Q1006),$Q$1006:$U$1006,0)))),"Fix")))</f>
        <v xml:space="preserve"> </v>
      </c>
      <c r="C237" s="3" t="str">
        <f ca="1">IF(OR(INDEX($K$2:$K$1001,MATCH(ROWS($J$2:J237),$J$2:$J$1001,0),1)&gt;=100000,INDEX($Q$1005:$U$1005,1,MATCH(COLUMNS($Q$1006:R1006),$Q$1006:$U$1006,0))&gt;=100000), " ",IF(INDEX($Q$2:$U$1001,MATCH(ROWS($J$2:J237),$J$2:$J$1001,0),MATCH(COLUMNS($Q$1006:R1006),$Q$1006:$U$1006,0)), HYPERLINK("#",""), HYPERLINK(CONCATENATE("#metadata!", ADDRESS(INDEX($L$2:$L$1001,MATCH(ROWS($J$2:J237),$J$2:$J$1001,0),0), INDEX($Q$1004:$U$1004,1,MATCH(COLUMNS($Q$1006:R1006),$Q$1006:$U$1006,0)))),"Fix")))</f>
        <v xml:space="preserve"> </v>
      </c>
      <c r="D237" s="3" t="str">
        <f ca="1">IF(OR(INDEX($K$2:$K$1001,MATCH(ROWS($J$2:J237),$J$2:$J$1001,0),1)&gt;=100000,INDEX($Q$1005:$U$1005,1,MATCH(COLUMNS($Q$1006:S1006),$Q$1006:$U$1006,0))&gt;=100000), " ",IF(INDEX($Q$2:$U$1001,MATCH(ROWS($J$2:J237),$J$2:$J$1001,0),MATCH(COLUMNS($Q$1006:S1006),$Q$1006:$U$1006,0)), HYPERLINK("#",""), HYPERLINK(CONCATENATE("#metadata!", ADDRESS(INDEX($L$2:$L$1001,MATCH(ROWS($J$2:J237),$J$2:$J$1001,0),0), INDEX($Q$1004:$U$1004,1,MATCH(COLUMNS($Q$1006:S1006),$Q$1006:$U$1006,0)))),"Fix")))</f>
        <v xml:space="preserve"> </v>
      </c>
      <c r="E237" s="3" t="str">
        <f ca="1">IF(OR(INDEX($K$2:$K$1001,MATCH(ROWS($J$2:J237),$J$2:$J$1001,0),1)&gt;=100000,INDEX($Q$1005:$U$1005,1,MATCH(COLUMNS($Q$1006:T1006),$Q$1006:$U$1006,0))&gt;=100000), " ",IF(INDEX($Q$2:$U$1001,MATCH(ROWS($J$2:J237),$J$2:$J$1001,0),MATCH(COLUMNS($Q$1006:T1006),$Q$1006:$U$1006,0)), HYPERLINK("#",""), HYPERLINK(CONCATENATE("#metadata!", ADDRESS(INDEX($L$2:$L$1001,MATCH(ROWS($J$2:J237),$J$2:$J$1001,0),0), INDEX($Q$1004:$U$1004,1,MATCH(COLUMNS($Q$1006:T1006),$Q$1006:$U$1006,0)))),"Fix")))</f>
        <v xml:space="preserve"> </v>
      </c>
      <c r="F237" s="3" t="str">
        <f ca="1">IF(OR(INDEX($K$2:$K$1001,MATCH(ROWS($J$2:J237),$J$2:$J$1001,0),1)&gt;=100000,INDEX($Q$1005:$U$1005,1,MATCH(COLUMNS($Q$1006:U1006),$Q$1006:$U$1006,0))&gt;=100000), " ",IF(INDEX($Q$2:$U$1001,MATCH(ROWS($J$2:J237),$J$2:$J$1001,0),MATCH(COLUMNS($Q$1006:U1006),$Q$1006:$U$1006,0)), HYPERLINK("#",""), HYPERLINK(CONCATENATE("#metadata!", ADDRESS(INDEX($L$2:$L$1001,MATCH(ROWS($J$2:J237),$J$2:$J$1001,0),0), INDEX($Q$1004:$U$1004,1,MATCH(COLUMNS($Q$1006:U1006),$Q$1006:$U$1006,0)))),"Fix")))</f>
        <v xml:space="preserve"> </v>
      </c>
      <c r="J237">
        <v>236</v>
      </c>
      <c r="K237">
        <v>100237</v>
      </c>
      <c r="L237">
        <v>237</v>
      </c>
      <c r="M237" t="b">
        <f t="shared" si="3"/>
        <v>1</v>
      </c>
      <c r="N237" t="b">
        <f>COUNTBLANK(metadata!B237:F237)=COLUMNS(metadata!B237:F237)</f>
        <v>1</v>
      </c>
      <c r="O237" t="str">
        <v/>
      </c>
      <c r="Q237" t="b">
        <f ca="1">AND(IF(metadata!B237="",FALSE,TRUE),COUNTIF(metadata!B:B, metadata!B237) = 1,NOT(ISERROR(SUMPRODUCT(SEARCH(MID(metadata!B237,ROW(INDIRECT("1:"&amp;LEN(metadata!B237))), 1),"0123456789abcdefghijklmnopqrstuvwxyzABCDEFGHIJKLMNOPQRSTUVWXYZ.")))))</f>
        <v>0</v>
      </c>
      <c r="R237" t="b">
        <f>AND(IF(metadata!C237="",FALSE,TRUE),OR(EXACT(metadata!C237,"saline"),EXACT(metadata!C237,"non-saline")))</f>
        <v>0</v>
      </c>
      <c r="S237" t="b">
        <f>AND(IF(metadata!D237="",FALSE,TRUE),OR(EXACT(metadata!D237,"surface (non-saline)"),EXACT(metadata!D237,"aerosol (non-saline)"),EXACT(metadata!D237,"sediment (non-saline)"),EXACT(metadata!D237,"surface (saline)"),EXACT(metadata!D237,"aerosol (saline)"),EXACT(metadata!D237,"sediment (saline)")))</f>
        <v>0</v>
      </c>
      <c r="T237" t="b">
        <f>AND(IF(metadata!E237="",FALSE,TRUE),EXACT(metadata!E237,"built environment"))</f>
        <v>0</v>
      </c>
      <c r="U237" t="b">
        <f>OR(AND(IF(metadata!F237="",FALSE,TRUE),EXACT(metadata!F237,"not applicable")),AND(IF(metadata!F237="",FALSE,TRUE),EXACT(metadata!F237,"anaerobic digester content")))</f>
        <v>0</v>
      </c>
    </row>
    <row r="238" spans="1:21" x14ac:dyDescent="0.2">
      <c r="A238" s="4" t="str">
        <f ca="1">IF(B238=" "," ",HYPERLINK(CONCATENATE("#metadata!",ADDRESS(INDEX($L$2:$L$1001,MATCH(ROWS($J$2:J238),$J$2:$J$1001,0),0),1)),INDEX($O$2:$O$1001,MATCH(ROWS($J$2:J238),$J$2:$J$1001,0),0)))</f>
        <v xml:space="preserve"> </v>
      </c>
      <c r="B238" s="3" t="str">
        <f ca="1">IF(OR(INDEX($K$2:$K$1001,MATCH(ROWS($J$2:J238),$J$2:$J$1001,0),1)&gt;=100000,INDEX($Q$1005:$U$1005,1,MATCH(COLUMNS($Q$1006:Q1006),$Q$1006:$U$1006,0))&gt;=100000), " ",IF(INDEX($Q$2:$U$1001,MATCH(ROWS($J$2:J238),$J$2:$J$1001,0),MATCH(COLUMNS($Q$1006:Q1006),$Q$1006:$U$1006,0)), HYPERLINK("#",""), HYPERLINK(CONCATENATE("#metadata!", ADDRESS(INDEX($L$2:$L$1001,MATCH(ROWS($J$2:J238),$J$2:$J$1001,0),0), INDEX($Q$1004:$U$1004,1,MATCH(COLUMNS($Q$1006:Q1006),$Q$1006:$U$1006,0)))),"Fix")))</f>
        <v xml:space="preserve"> </v>
      </c>
      <c r="C238" s="3" t="str">
        <f ca="1">IF(OR(INDEX($K$2:$K$1001,MATCH(ROWS($J$2:J238),$J$2:$J$1001,0),1)&gt;=100000,INDEX($Q$1005:$U$1005,1,MATCH(COLUMNS($Q$1006:R1006),$Q$1006:$U$1006,0))&gt;=100000), " ",IF(INDEX($Q$2:$U$1001,MATCH(ROWS($J$2:J238),$J$2:$J$1001,0),MATCH(COLUMNS($Q$1006:R1006),$Q$1006:$U$1006,0)), HYPERLINK("#",""), HYPERLINK(CONCATENATE("#metadata!", ADDRESS(INDEX($L$2:$L$1001,MATCH(ROWS($J$2:J238),$J$2:$J$1001,0),0), INDEX($Q$1004:$U$1004,1,MATCH(COLUMNS($Q$1006:R1006),$Q$1006:$U$1006,0)))),"Fix")))</f>
        <v xml:space="preserve"> </v>
      </c>
      <c r="D238" s="3" t="str">
        <f ca="1">IF(OR(INDEX($K$2:$K$1001,MATCH(ROWS($J$2:J238),$J$2:$J$1001,0),1)&gt;=100000,INDEX($Q$1005:$U$1005,1,MATCH(COLUMNS($Q$1006:S1006),$Q$1006:$U$1006,0))&gt;=100000), " ",IF(INDEX($Q$2:$U$1001,MATCH(ROWS($J$2:J238),$J$2:$J$1001,0),MATCH(COLUMNS($Q$1006:S1006),$Q$1006:$U$1006,0)), HYPERLINK("#",""), HYPERLINK(CONCATENATE("#metadata!", ADDRESS(INDEX($L$2:$L$1001,MATCH(ROWS($J$2:J238),$J$2:$J$1001,0),0), INDEX($Q$1004:$U$1004,1,MATCH(COLUMNS($Q$1006:S1006),$Q$1006:$U$1006,0)))),"Fix")))</f>
        <v xml:space="preserve"> </v>
      </c>
      <c r="E238" s="3" t="str">
        <f ca="1">IF(OR(INDEX($K$2:$K$1001,MATCH(ROWS($J$2:J238),$J$2:$J$1001,0),1)&gt;=100000,INDEX($Q$1005:$U$1005,1,MATCH(COLUMNS($Q$1006:T1006),$Q$1006:$U$1006,0))&gt;=100000), " ",IF(INDEX($Q$2:$U$1001,MATCH(ROWS($J$2:J238),$J$2:$J$1001,0),MATCH(COLUMNS($Q$1006:T1006),$Q$1006:$U$1006,0)), HYPERLINK("#",""), HYPERLINK(CONCATENATE("#metadata!", ADDRESS(INDEX($L$2:$L$1001,MATCH(ROWS($J$2:J238),$J$2:$J$1001,0),0), INDEX($Q$1004:$U$1004,1,MATCH(COLUMNS($Q$1006:T1006),$Q$1006:$U$1006,0)))),"Fix")))</f>
        <v xml:space="preserve"> </v>
      </c>
      <c r="F238" s="3" t="str">
        <f ca="1">IF(OR(INDEX($K$2:$K$1001,MATCH(ROWS($J$2:J238),$J$2:$J$1001,0),1)&gt;=100000,INDEX($Q$1005:$U$1005,1,MATCH(COLUMNS($Q$1006:U1006),$Q$1006:$U$1006,0))&gt;=100000), " ",IF(INDEX($Q$2:$U$1001,MATCH(ROWS($J$2:J238),$J$2:$J$1001,0),MATCH(COLUMNS($Q$1006:U1006),$Q$1006:$U$1006,0)), HYPERLINK("#",""), HYPERLINK(CONCATENATE("#metadata!", ADDRESS(INDEX($L$2:$L$1001,MATCH(ROWS($J$2:J238),$J$2:$J$1001,0),0), INDEX($Q$1004:$U$1004,1,MATCH(COLUMNS($Q$1006:U1006),$Q$1006:$U$1006,0)))),"Fix")))</f>
        <v xml:space="preserve"> </v>
      </c>
      <c r="J238">
        <v>237</v>
      </c>
      <c r="K238">
        <v>100238</v>
      </c>
      <c r="L238">
        <v>238</v>
      </c>
      <c r="M238" t="b">
        <f t="shared" si="3"/>
        <v>1</v>
      </c>
      <c r="N238" t="b">
        <f>COUNTBLANK(metadata!B238:F238)=COLUMNS(metadata!B238:F238)</f>
        <v>1</v>
      </c>
      <c r="O238" t="str">
        <v/>
      </c>
      <c r="Q238" t="b">
        <f ca="1">AND(IF(metadata!B238="",FALSE,TRUE),COUNTIF(metadata!B:B, metadata!B238) = 1,NOT(ISERROR(SUMPRODUCT(SEARCH(MID(metadata!B238,ROW(INDIRECT("1:"&amp;LEN(metadata!B238))), 1),"0123456789abcdefghijklmnopqrstuvwxyzABCDEFGHIJKLMNOPQRSTUVWXYZ.")))))</f>
        <v>0</v>
      </c>
      <c r="R238" t="b">
        <f>AND(IF(metadata!C238="",FALSE,TRUE),OR(EXACT(metadata!C238,"saline"),EXACT(metadata!C238,"non-saline")))</f>
        <v>0</v>
      </c>
      <c r="S238" t="b">
        <f>AND(IF(metadata!D238="",FALSE,TRUE),OR(EXACT(metadata!D238,"surface (non-saline)"),EXACT(metadata!D238,"aerosol (non-saline)"),EXACT(metadata!D238,"sediment (non-saline)"),EXACT(metadata!D238,"surface (saline)"),EXACT(metadata!D238,"aerosol (saline)"),EXACT(metadata!D238,"sediment (saline)")))</f>
        <v>0</v>
      </c>
      <c r="T238" t="b">
        <f>AND(IF(metadata!E238="",FALSE,TRUE),EXACT(metadata!E238,"built environment"))</f>
        <v>0</v>
      </c>
      <c r="U238" t="b">
        <f>OR(AND(IF(metadata!F238="",FALSE,TRUE),EXACT(metadata!F238,"not applicable")),AND(IF(metadata!F238="",FALSE,TRUE),EXACT(metadata!F238,"anaerobic digester content")))</f>
        <v>0</v>
      </c>
    </row>
    <row r="239" spans="1:21" x14ac:dyDescent="0.2">
      <c r="A239" s="4" t="str">
        <f ca="1">IF(B239=" "," ",HYPERLINK(CONCATENATE("#metadata!",ADDRESS(INDEX($L$2:$L$1001,MATCH(ROWS($J$2:J239),$J$2:$J$1001,0),0),1)),INDEX($O$2:$O$1001,MATCH(ROWS($J$2:J239),$J$2:$J$1001,0),0)))</f>
        <v xml:space="preserve"> </v>
      </c>
      <c r="B239" s="3" t="str">
        <f ca="1">IF(OR(INDEX($K$2:$K$1001,MATCH(ROWS($J$2:J239),$J$2:$J$1001,0),1)&gt;=100000,INDEX($Q$1005:$U$1005,1,MATCH(COLUMNS($Q$1006:Q1006),$Q$1006:$U$1006,0))&gt;=100000), " ",IF(INDEX($Q$2:$U$1001,MATCH(ROWS($J$2:J239),$J$2:$J$1001,0),MATCH(COLUMNS($Q$1006:Q1006),$Q$1006:$U$1006,0)), HYPERLINK("#",""), HYPERLINK(CONCATENATE("#metadata!", ADDRESS(INDEX($L$2:$L$1001,MATCH(ROWS($J$2:J239),$J$2:$J$1001,0),0), INDEX($Q$1004:$U$1004,1,MATCH(COLUMNS($Q$1006:Q1006),$Q$1006:$U$1006,0)))),"Fix")))</f>
        <v xml:space="preserve"> </v>
      </c>
      <c r="C239" s="3" t="str">
        <f ca="1">IF(OR(INDEX($K$2:$K$1001,MATCH(ROWS($J$2:J239),$J$2:$J$1001,0),1)&gt;=100000,INDEX($Q$1005:$U$1005,1,MATCH(COLUMNS($Q$1006:R1006),$Q$1006:$U$1006,0))&gt;=100000), " ",IF(INDEX($Q$2:$U$1001,MATCH(ROWS($J$2:J239),$J$2:$J$1001,0),MATCH(COLUMNS($Q$1006:R1006),$Q$1006:$U$1006,0)), HYPERLINK("#",""), HYPERLINK(CONCATENATE("#metadata!", ADDRESS(INDEX($L$2:$L$1001,MATCH(ROWS($J$2:J239),$J$2:$J$1001,0),0), INDEX($Q$1004:$U$1004,1,MATCH(COLUMNS($Q$1006:R1006),$Q$1006:$U$1006,0)))),"Fix")))</f>
        <v xml:space="preserve"> </v>
      </c>
      <c r="D239" s="3" t="str">
        <f ca="1">IF(OR(INDEX($K$2:$K$1001,MATCH(ROWS($J$2:J239),$J$2:$J$1001,0),1)&gt;=100000,INDEX($Q$1005:$U$1005,1,MATCH(COLUMNS($Q$1006:S1006),$Q$1006:$U$1006,0))&gt;=100000), " ",IF(INDEX($Q$2:$U$1001,MATCH(ROWS($J$2:J239),$J$2:$J$1001,0),MATCH(COLUMNS($Q$1006:S1006),$Q$1006:$U$1006,0)), HYPERLINK("#",""), HYPERLINK(CONCATENATE("#metadata!", ADDRESS(INDEX($L$2:$L$1001,MATCH(ROWS($J$2:J239),$J$2:$J$1001,0),0), INDEX($Q$1004:$U$1004,1,MATCH(COLUMNS($Q$1006:S1006),$Q$1006:$U$1006,0)))),"Fix")))</f>
        <v xml:space="preserve"> </v>
      </c>
      <c r="E239" s="3" t="str">
        <f ca="1">IF(OR(INDEX($K$2:$K$1001,MATCH(ROWS($J$2:J239),$J$2:$J$1001,0),1)&gt;=100000,INDEX($Q$1005:$U$1005,1,MATCH(COLUMNS($Q$1006:T1006),$Q$1006:$U$1006,0))&gt;=100000), " ",IF(INDEX($Q$2:$U$1001,MATCH(ROWS($J$2:J239),$J$2:$J$1001,0),MATCH(COLUMNS($Q$1006:T1006),$Q$1006:$U$1006,0)), HYPERLINK("#",""), HYPERLINK(CONCATENATE("#metadata!", ADDRESS(INDEX($L$2:$L$1001,MATCH(ROWS($J$2:J239),$J$2:$J$1001,0),0), INDEX($Q$1004:$U$1004,1,MATCH(COLUMNS($Q$1006:T1006),$Q$1006:$U$1006,0)))),"Fix")))</f>
        <v xml:space="preserve"> </v>
      </c>
      <c r="F239" s="3" t="str">
        <f ca="1">IF(OR(INDEX($K$2:$K$1001,MATCH(ROWS($J$2:J239),$J$2:$J$1001,0),1)&gt;=100000,INDEX($Q$1005:$U$1005,1,MATCH(COLUMNS($Q$1006:U1006),$Q$1006:$U$1006,0))&gt;=100000), " ",IF(INDEX($Q$2:$U$1001,MATCH(ROWS($J$2:J239),$J$2:$J$1001,0),MATCH(COLUMNS($Q$1006:U1006),$Q$1006:$U$1006,0)), HYPERLINK("#",""), HYPERLINK(CONCATENATE("#metadata!", ADDRESS(INDEX($L$2:$L$1001,MATCH(ROWS($J$2:J239),$J$2:$J$1001,0),0), INDEX($Q$1004:$U$1004,1,MATCH(COLUMNS($Q$1006:U1006),$Q$1006:$U$1006,0)))),"Fix")))</f>
        <v xml:space="preserve"> </v>
      </c>
      <c r="J239">
        <v>238</v>
      </c>
      <c r="K239">
        <v>100239</v>
      </c>
      <c r="L239">
        <v>239</v>
      </c>
      <c r="M239" t="b">
        <f t="shared" si="3"/>
        <v>1</v>
      </c>
      <c r="N239" t="b">
        <f>COUNTBLANK(metadata!B239:F239)=COLUMNS(metadata!B239:F239)</f>
        <v>1</v>
      </c>
      <c r="O239" t="str">
        <v/>
      </c>
      <c r="Q239" t="b">
        <f ca="1">AND(IF(metadata!B239="",FALSE,TRUE),COUNTIF(metadata!B:B, metadata!B239) = 1,NOT(ISERROR(SUMPRODUCT(SEARCH(MID(metadata!B239,ROW(INDIRECT("1:"&amp;LEN(metadata!B239))), 1),"0123456789abcdefghijklmnopqrstuvwxyzABCDEFGHIJKLMNOPQRSTUVWXYZ.")))))</f>
        <v>0</v>
      </c>
      <c r="R239" t="b">
        <f>AND(IF(metadata!C239="",FALSE,TRUE),OR(EXACT(metadata!C239,"saline"),EXACT(metadata!C239,"non-saline")))</f>
        <v>0</v>
      </c>
      <c r="S239" t="b">
        <f>AND(IF(metadata!D239="",FALSE,TRUE),OR(EXACT(metadata!D239,"surface (non-saline)"),EXACT(metadata!D239,"aerosol (non-saline)"),EXACT(metadata!D239,"sediment (non-saline)"),EXACT(metadata!D239,"surface (saline)"),EXACT(metadata!D239,"aerosol (saline)"),EXACT(metadata!D239,"sediment (saline)")))</f>
        <v>0</v>
      </c>
      <c r="T239" t="b">
        <f>AND(IF(metadata!E239="",FALSE,TRUE),EXACT(metadata!E239,"built environment"))</f>
        <v>0</v>
      </c>
      <c r="U239" t="b">
        <f>OR(AND(IF(metadata!F239="",FALSE,TRUE),EXACT(metadata!F239,"not applicable")),AND(IF(metadata!F239="",FALSE,TRUE),EXACT(metadata!F239,"anaerobic digester content")))</f>
        <v>0</v>
      </c>
    </row>
    <row r="240" spans="1:21" x14ac:dyDescent="0.2">
      <c r="A240" s="4" t="str">
        <f ca="1">IF(B240=" "," ",HYPERLINK(CONCATENATE("#metadata!",ADDRESS(INDEX($L$2:$L$1001,MATCH(ROWS($J$2:J240),$J$2:$J$1001,0),0),1)),INDEX($O$2:$O$1001,MATCH(ROWS($J$2:J240),$J$2:$J$1001,0),0)))</f>
        <v xml:space="preserve"> </v>
      </c>
      <c r="B240" s="3" t="str">
        <f ca="1">IF(OR(INDEX($K$2:$K$1001,MATCH(ROWS($J$2:J240),$J$2:$J$1001,0),1)&gt;=100000,INDEX($Q$1005:$U$1005,1,MATCH(COLUMNS($Q$1006:Q1006),$Q$1006:$U$1006,0))&gt;=100000), " ",IF(INDEX($Q$2:$U$1001,MATCH(ROWS($J$2:J240),$J$2:$J$1001,0),MATCH(COLUMNS($Q$1006:Q1006),$Q$1006:$U$1006,0)), HYPERLINK("#",""), HYPERLINK(CONCATENATE("#metadata!", ADDRESS(INDEX($L$2:$L$1001,MATCH(ROWS($J$2:J240),$J$2:$J$1001,0),0), INDEX($Q$1004:$U$1004,1,MATCH(COLUMNS($Q$1006:Q1006),$Q$1006:$U$1006,0)))),"Fix")))</f>
        <v xml:space="preserve"> </v>
      </c>
      <c r="C240" s="3" t="str">
        <f ca="1">IF(OR(INDEX($K$2:$K$1001,MATCH(ROWS($J$2:J240),$J$2:$J$1001,0),1)&gt;=100000,INDEX($Q$1005:$U$1005,1,MATCH(COLUMNS($Q$1006:R1006),$Q$1006:$U$1006,0))&gt;=100000), " ",IF(INDEX($Q$2:$U$1001,MATCH(ROWS($J$2:J240),$J$2:$J$1001,0),MATCH(COLUMNS($Q$1006:R1006),$Q$1006:$U$1006,0)), HYPERLINK("#",""), HYPERLINK(CONCATENATE("#metadata!", ADDRESS(INDEX($L$2:$L$1001,MATCH(ROWS($J$2:J240),$J$2:$J$1001,0),0), INDEX($Q$1004:$U$1004,1,MATCH(COLUMNS($Q$1006:R1006),$Q$1006:$U$1006,0)))),"Fix")))</f>
        <v xml:space="preserve"> </v>
      </c>
      <c r="D240" s="3" t="str">
        <f ca="1">IF(OR(INDEX($K$2:$K$1001,MATCH(ROWS($J$2:J240),$J$2:$J$1001,0),1)&gt;=100000,INDEX($Q$1005:$U$1005,1,MATCH(COLUMNS($Q$1006:S1006),$Q$1006:$U$1006,0))&gt;=100000), " ",IF(INDEX($Q$2:$U$1001,MATCH(ROWS($J$2:J240),$J$2:$J$1001,0),MATCH(COLUMNS($Q$1006:S1006),$Q$1006:$U$1006,0)), HYPERLINK("#",""), HYPERLINK(CONCATENATE("#metadata!", ADDRESS(INDEX($L$2:$L$1001,MATCH(ROWS($J$2:J240),$J$2:$J$1001,0),0), INDEX($Q$1004:$U$1004,1,MATCH(COLUMNS($Q$1006:S1006),$Q$1006:$U$1006,0)))),"Fix")))</f>
        <v xml:space="preserve"> </v>
      </c>
      <c r="E240" s="3" t="str">
        <f ca="1">IF(OR(INDEX($K$2:$K$1001,MATCH(ROWS($J$2:J240),$J$2:$J$1001,0),1)&gt;=100000,INDEX($Q$1005:$U$1005,1,MATCH(COLUMNS($Q$1006:T1006),$Q$1006:$U$1006,0))&gt;=100000), " ",IF(INDEX($Q$2:$U$1001,MATCH(ROWS($J$2:J240),$J$2:$J$1001,0),MATCH(COLUMNS($Q$1006:T1006),$Q$1006:$U$1006,0)), HYPERLINK("#",""), HYPERLINK(CONCATENATE("#metadata!", ADDRESS(INDEX($L$2:$L$1001,MATCH(ROWS($J$2:J240),$J$2:$J$1001,0),0), INDEX($Q$1004:$U$1004,1,MATCH(COLUMNS($Q$1006:T1006),$Q$1006:$U$1006,0)))),"Fix")))</f>
        <v xml:space="preserve"> </v>
      </c>
      <c r="F240" s="3" t="str">
        <f ca="1">IF(OR(INDEX($K$2:$K$1001,MATCH(ROWS($J$2:J240),$J$2:$J$1001,0),1)&gt;=100000,INDEX($Q$1005:$U$1005,1,MATCH(COLUMNS($Q$1006:U1006),$Q$1006:$U$1006,0))&gt;=100000), " ",IF(INDEX($Q$2:$U$1001,MATCH(ROWS($J$2:J240),$J$2:$J$1001,0),MATCH(COLUMNS($Q$1006:U1006),$Q$1006:$U$1006,0)), HYPERLINK("#",""), HYPERLINK(CONCATENATE("#metadata!", ADDRESS(INDEX($L$2:$L$1001,MATCH(ROWS($J$2:J240),$J$2:$J$1001,0),0), INDEX($Q$1004:$U$1004,1,MATCH(COLUMNS($Q$1006:U1006),$Q$1006:$U$1006,0)))),"Fix")))</f>
        <v xml:space="preserve"> </v>
      </c>
      <c r="J240">
        <v>239</v>
      </c>
      <c r="K240">
        <v>100240</v>
      </c>
      <c r="L240">
        <v>240</v>
      </c>
      <c r="M240" t="b">
        <f t="shared" si="3"/>
        <v>1</v>
      </c>
      <c r="N240" t="b">
        <f>COUNTBLANK(metadata!B240:F240)=COLUMNS(metadata!B240:F240)</f>
        <v>1</v>
      </c>
      <c r="O240" t="str">
        <v/>
      </c>
      <c r="Q240" t="b">
        <f ca="1">AND(IF(metadata!B240="",FALSE,TRUE),COUNTIF(metadata!B:B, metadata!B240) = 1,NOT(ISERROR(SUMPRODUCT(SEARCH(MID(metadata!B240,ROW(INDIRECT("1:"&amp;LEN(metadata!B240))), 1),"0123456789abcdefghijklmnopqrstuvwxyzABCDEFGHIJKLMNOPQRSTUVWXYZ.")))))</f>
        <v>0</v>
      </c>
      <c r="R240" t="b">
        <f>AND(IF(metadata!C240="",FALSE,TRUE),OR(EXACT(metadata!C240,"saline"),EXACT(metadata!C240,"non-saline")))</f>
        <v>0</v>
      </c>
      <c r="S240" t="b">
        <f>AND(IF(metadata!D240="",FALSE,TRUE),OR(EXACT(metadata!D240,"surface (non-saline)"),EXACT(metadata!D240,"aerosol (non-saline)"),EXACT(metadata!D240,"sediment (non-saline)"),EXACT(metadata!D240,"surface (saline)"),EXACT(metadata!D240,"aerosol (saline)"),EXACT(metadata!D240,"sediment (saline)")))</f>
        <v>0</v>
      </c>
      <c r="T240" t="b">
        <f>AND(IF(metadata!E240="",FALSE,TRUE),EXACT(metadata!E240,"built environment"))</f>
        <v>0</v>
      </c>
      <c r="U240" t="b">
        <f>OR(AND(IF(metadata!F240="",FALSE,TRUE),EXACT(metadata!F240,"not applicable")),AND(IF(metadata!F240="",FALSE,TRUE),EXACT(metadata!F240,"anaerobic digester content")))</f>
        <v>0</v>
      </c>
    </row>
    <row r="241" spans="1:21" x14ac:dyDescent="0.2">
      <c r="A241" s="4" t="str">
        <f ca="1">IF(B241=" "," ",HYPERLINK(CONCATENATE("#metadata!",ADDRESS(INDEX($L$2:$L$1001,MATCH(ROWS($J$2:J241),$J$2:$J$1001,0),0),1)),INDEX($O$2:$O$1001,MATCH(ROWS($J$2:J241),$J$2:$J$1001,0),0)))</f>
        <v xml:space="preserve"> </v>
      </c>
      <c r="B241" s="3" t="str">
        <f ca="1">IF(OR(INDEX($K$2:$K$1001,MATCH(ROWS($J$2:J241),$J$2:$J$1001,0),1)&gt;=100000,INDEX($Q$1005:$U$1005,1,MATCH(COLUMNS($Q$1006:Q1006),$Q$1006:$U$1006,0))&gt;=100000), " ",IF(INDEX($Q$2:$U$1001,MATCH(ROWS($J$2:J241),$J$2:$J$1001,0),MATCH(COLUMNS($Q$1006:Q1006),$Q$1006:$U$1006,0)), HYPERLINK("#",""), HYPERLINK(CONCATENATE("#metadata!", ADDRESS(INDEX($L$2:$L$1001,MATCH(ROWS($J$2:J241),$J$2:$J$1001,0),0), INDEX($Q$1004:$U$1004,1,MATCH(COLUMNS($Q$1006:Q1006),$Q$1006:$U$1006,0)))),"Fix")))</f>
        <v xml:space="preserve"> </v>
      </c>
      <c r="C241" s="3" t="str">
        <f ca="1">IF(OR(INDEX($K$2:$K$1001,MATCH(ROWS($J$2:J241),$J$2:$J$1001,0),1)&gt;=100000,INDEX($Q$1005:$U$1005,1,MATCH(COLUMNS($Q$1006:R1006),$Q$1006:$U$1006,0))&gt;=100000), " ",IF(INDEX($Q$2:$U$1001,MATCH(ROWS($J$2:J241),$J$2:$J$1001,0),MATCH(COLUMNS($Q$1006:R1006),$Q$1006:$U$1006,0)), HYPERLINK("#",""), HYPERLINK(CONCATENATE("#metadata!", ADDRESS(INDEX($L$2:$L$1001,MATCH(ROWS($J$2:J241),$J$2:$J$1001,0),0), INDEX($Q$1004:$U$1004,1,MATCH(COLUMNS($Q$1006:R1006),$Q$1006:$U$1006,0)))),"Fix")))</f>
        <v xml:space="preserve"> </v>
      </c>
      <c r="D241" s="3" t="str">
        <f ca="1">IF(OR(INDEX($K$2:$K$1001,MATCH(ROWS($J$2:J241),$J$2:$J$1001,0),1)&gt;=100000,INDEX($Q$1005:$U$1005,1,MATCH(COLUMNS($Q$1006:S1006),$Q$1006:$U$1006,0))&gt;=100000), " ",IF(INDEX($Q$2:$U$1001,MATCH(ROWS($J$2:J241),$J$2:$J$1001,0),MATCH(COLUMNS($Q$1006:S1006),$Q$1006:$U$1006,0)), HYPERLINK("#",""), HYPERLINK(CONCATENATE("#metadata!", ADDRESS(INDEX($L$2:$L$1001,MATCH(ROWS($J$2:J241),$J$2:$J$1001,0),0), INDEX($Q$1004:$U$1004,1,MATCH(COLUMNS($Q$1006:S1006),$Q$1006:$U$1006,0)))),"Fix")))</f>
        <v xml:space="preserve"> </v>
      </c>
      <c r="E241" s="3" t="str">
        <f ca="1">IF(OR(INDEX($K$2:$K$1001,MATCH(ROWS($J$2:J241),$J$2:$J$1001,0),1)&gt;=100000,INDEX($Q$1005:$U$1005,1,MATCH(COLUMNS($Q$1006:T1006),$Q$1006:$U$1006,0))&gt;=100000), " ",IF(INDEX($Q$2:$U$1001,MATCH(ROWS($J$2:J241),$J$2:$J$1001,0),MATCH(COLUMNS($Q$1006:T1006),$Q$1006:$U$1006,0)), HYPERLINK("#",""), HYPERLINK(CONCATENATE("#metadata!", ADDRESS(INDEX($L$2:$L$1001,MATCH(ROWS($J$2:J241),$J$2:$J$1001,0),0), INDEX($Q$1004:$U$1004,1,MATCH(COLUMNS($Q$1006:T1006),$Q$1006:$U$1006,0)))),"Fix")))</f>
        <v xml:space="preserve"> </v>
      </c>
      <c r="F241" s="3" t="str">
        <f ca="1">IF(OR(INDEX($K$2:$K$1001,MATCH(ROWS($J$2:J241),$J$2:$J$1001,0),1)&gt;=100000,INDEX($Q$1005:$U$1005,1,MATCH(COLUMNS($Q$1006:U1006),$Q$1006:$U$1006,0))&gt;=100000), " ",IF(INDEX($Q$2:$U$1001,MATCH(ROWS($J$2:J241),$J$2:$J$1001,0),MATCH(COLUMNS($Q$1006:U1006),$Q$1006:$U$1006,0)), HYPERLINK("#",""), HYPERLINK(CONCATENATE("#metadata!", ADDRESS(INDEX($L$2:$L$1001,MATCH(ROWS($J$2:J241),$J$2:$J$1001,0),0), INDEX($Q$1004:$U$1004,1,MATCH(COLUMNS($Q$1006:U1006),$Q$1006:$U$1006,0)))),"Fix")))</f>
        <v xml:space="preserve"> </v>
      </c>
      <c r="J241">
        <v>240</v>
      </c>
      <c r="K241">
        <v>100241</v>
      </c>
      <c r="L241">
        <v>241</v>
      </c>
      <c r="M241" t="b">
        <f t="shared" si="3"/>
        <v>1</v>
      </c>
      <c r="N241" t="b">
        <f>COUNTBLANK(metadata!B241:F241)=COLUMNS(metadata!B241:F241)</f>
        <v>1</v>
      </c>
      <c r="O241" t="str">
        <v/>
      </c>
      <c r="Q241" t="b">
        <f ca="1">AND(IF(metadata!B241="",FALSE,TRUE),COUNTIF(metadata!B:B, metadata!B241) = 1,NOT(ISERROR(SUMPRODUCT(SEARCH(MID(metadata!B241,ROW(INDIRECT("1:"&amp;LEN(metadata!B241))), 1),"0123456789abcdefghijklmnopqrstuvwxyzABCDEFGHIJKLMNOPQRSTUVWXYZ.")))))</f>
        <v>0</v>
      </c>
      <c r="R241" t="b">
        <f>AND(IF(metadata!C241="",FALSE,TRUE),OR(EXACT(metadata!C241,"saline"),EXACT(metadata!C241,"non-saline")))</f>
        <v>0</v>
      </c>
      <c r="S241" t="b">
        <f>AND(IF(metadata!D241="",FALSE,TRUE),OR(EXACT(metadata!D241,"surface (non-saline)"),EXACT(metadata!D241,"aerosol (non-saline)"),EXACT(metadata!D241,"sediment (non-saline)"),EXACT(metadata!D241,"surface (saline)"),EXACT(metadata!D241,"aerosol (saline)"),EXACT(metadata!D241,"sediment (saline)")))</f>
        <v>0</v>
      </c>
      <c r="T241" t="b">
        <f>AND(IF(metadata!E241="",FALSE,TRUE),EXACT(metadata!E241,"built environment"))</f>
        <v>0</v>
      </c>
      <c r="U241" t="b">
        <f>OR(AND(IF(metadata!F241="",FALSE,TRUE),EXACT(metadata!F241,"not applicable")),AND(IF(metadata!F241="",FALSE,TRUE),EXACT(metadata!F241,"anaerobic digester content")))</f>
        <v>0</v>
      </c>
    </row>
    <row r="242" spans="1:21" x14ac:dyDescent="0.2">
      <c r="A242" s="4" t="str">
        <f ca="1">IF(B242=" "," ",HYPERLINK(CONCATENATE("#metadata!",ADDRESS(INDEX($L$2:$L$1001,MATCH(ROWS($J$2:J242),$J$2:$J$1001,0),0),1)),INDEX($O$2:$O$1001,MATCH(ROWS($J$2:J242),$J$2:$J$1001,0),0)))</f>
        <v xml:space="preserve"> </v>
      </c>
      <c r="B242" s="3" t="str">
        <f ca="1">IF(OR(INDEX($K$2:$K$1001,MATCH(ROWS($J$2:J242),$J$2:$J$1001,0),1)&gt;=100000,INDEX($Q$1005:$U$1005,1,MATCH(COLUMNS($Q$1006:Q1006),$Q$1006:$U$1006,0))&gt;=100000), " ",IF(INDEX($Q$2:$U$1001,MATCH(ROWS($J$2:J242),$J$2:$J$1001,0),MATCH(COLUMNS($Q$1006:Q1006),$Q$1006:$U$1006,0)), HYPERLINK("#",""), HYPERLINK(CONCATENATE("#metadata!", ADDRESS(INDEX($L$2:$L$1001,MATCH(ROWS($J$2:J242),$J$2:$J$1001,0),0), INDEX($Q$1004:$U$1004,1,MATCH(COLUMNS($Q$1006:Q1006),$Q$1006:$U$1006,0)))),"Fix")))</f>
        <v xml:space="preserve"> </v>
      </c>
      <c r="C242" s="3" t="str">
        <f ca="1">IF(OR(INDEX($K$2:$K$1001,MATCH(ROWS($J$2:J242),$J$2:$J$1001,0),1)&gt;=100000,INDEX($Q$1005:$U$1005,1,MATCH(COLUMNS($Q$1006:R1006),$Q$1006:$U$1006,0))&gt;=100000), " ",IF(INDEX($Q$2:$U$1001,MATCH(ROWS($J$2:J242),$J$2:$J$1001,0),MATCH(COLUMNS($Q$1006:R1006),$Q$1006:$U$1006,0)), HYPERLINK("#",""), HYPERLINK(CONCATENATE("#metadata!", ADDRESS(INDEX($L$2:$L$1001,MATCH(ROWS($J$2:J242),$J$2:$J$1001,0),0), INDEX($Q$1004:$U$1004,1,MATCH(COLUMNS($Q$1006:R1006),$Q$1006:$U$1006,0)))),"Fix")))</f>
        <v xml:space="preserve"> </v>
      </c>
      <c r="D242" s="3" t="str">
        <f ca="1">IF(OR(INDEX($K$2:$K$1001,MATCH(ROWS($J$2:J242),$J$2:$J$1001,0),1)&gt;=100000,INDEX($Q$1005:$U$1005,1,MATCH(COLUMNS($Q$1006:S1006),$Q$1006:$U$1006,0))&gt;=100000), " ",IF(INDEX($Q$2:$U$1001,MATCH(ROWS($J$2:J242),$J$2:$J$1001,0),MATCH(COLUMNS($Q$1006:S1006),$Q$1006:$U$1006,0)), HYPERLINK("#",""), HYPERLINK(CONCATENATE("#metadata!", ADDRESS(INDEX($L$2:$L$1001,MATCH(ROWS($J$2:J242),$J$2:$J$1001,0),0), INDEX($Q$1004:$U$1004,1,MATCH(COLUMNS($Q$1006:S1006),$Q$1006:$U$1006,0)))),"Fix")))</f>
        <v xml:space="preserve"> </v>
      </c>
      <c r="E242" s="3" t="str">
        <f ca="1">IF(OR(INDEX($K$2:$K$1001,MATCH(ROWS($J$2:J242),$J$2:$J$1001,0),1)&gt;=100000,INDEX($Q$1005:$U$1005,1,MATCH(COLUMNS($Q$1006:T1006),$Q$1006:$U$1006,0))&gt;=100000), " ",IF(INDEX($Q$2:$U$1001,MATCH(ROWS($J$2:J242),$J$2:$J$1001,0),MATCH(COLUMNS($Q$1006:T1006),$Q$1006:$U$1006,0)), HYPERLINK("#",""), HYPERLINK(CONCATENATE("#metadata!", ADDRESS(INDEX($L$2:$L$1001,MATCH(ROWS($J$2:J242),$J$2:$J$1001,0),0), INDEX($Q$1004:$U$1004,1,MATCH(COLUMNS($Q$1006:T1006),$Q$1006:$U$1006,0)))),"Fix")))</f>
        <v xml:space="preserve"> </v>
      </c>
      <c r="F242" s="3" t="str">
        <f ca="1">IF(OR(INDEX($K$2:$K$1001,MATCH(ROWS($J$2:J242),$J$2:$J$1001,0),1)&gt;=100000,INDEX($Q$1005:$U$1005,1,MATCH(COLUMNS($Q$1006:U1006),$Q$1006:$U$1006,0))&gt;=100000), " ",IF(INDEX($Q$2:$U$1001,MATCH(ROWS($J$2:J242),$J$2:$J$1001,0),MATCH(COLUMNS($Q$1006:U1006),$Q$1006:$U$1006,0)), HYPERLINK("#",""), HYPERLINK(CONCATENATE("#metadata!", ADDRESS(INDEX($L$2:$L$1001,MATCH(ROWS($J$2:J242),$J$2:$J$1001,0),0), INDEX($Q$1004:$U$1004,1,MATCH(COLUMNS($Q$1006:U1006),$Q$1006:$U$1006,0)))),"Fix")))</f>
        <v xml:space="preserve"> </v>
      </c>
      <c r="J242">
        <v>241</v>
      </c>
      <c r="K242">
        <v>100242</v>
      </c>
      <c r="L242">
        <v>242</v>
      </c>
      <c r="M242" t="b">
        <f t="shared" si="3"/>
        <v>1</v>
      </c>
      <c r="N242" t="b">
        <f>COUNTBLANK(metadata!B242:F242)=COLUMNS(metadata!B242:F242)</f>
        <v>1</v>
      </c>
      <c r="O242" t="str">
        <v/>
      </c>
      <c r="Q242" t="b">
        <f ca="1">AND(IF(metadata!B242="",FALSE,TRUE),COUNTIF(metadata!B:B, metadata!B242) = 1,NOT(ISERROR(SUMPRODUCT(SEARCH(MID(metadata!B242,ROW(INDIRECT("1:"&amp;LEN(metadata!B242))), 1),"0123456789abcdefghijklmnopqrstuvwxyzABCDEFGHIJKLMNOPQRSTUVWXYZ.")))))</f>
        <v>0</v>
      </c>
      <c r="R242" t="b">
        <f>AND(IF(metadata!C242="",FALSE,TRUE),OR(EXACT(metadata!C242,"saline"),EXACT(metadata!C242,"non-saline")))</f>
        <v>0</v>
      </c>
      <c r="S242" t="b">
        <f>AND(IF(metadata!D242="",FALSE,TRUE),OR(EXACT(metadata!D242,"surface (non-saline)"),EXACT(metadata!D242,"aerosol (non-saline)"),EXACT(metadata!D242,"sediment (non-saline)"),EXACT(metadata!D242,"surface (saline)"),EXACT(metadata!D242,"aerosol (saline)"),EXACT(metadata!D242,"sediment (saline)")))</f>
        <v>0</v>
      </c>
      <c r="T242" t="b">
        <f>AND(IF(metadata!E242="",FALSE,TRUE),EXACT(metadata!E242,"built environment"))</f>
        <v>0</v>
      </c>
      <c r="U242" t="b">
        <f>OR(AND(IF(metadata!F242="",FALSE,TRUE),EXACT(metadata!F242,"not applicable")),AND(IF(metadata!F242="",FALSE,TRUE),EXACT(metadata!F242,"anaerobic digester content")))</f>
        <v>0</v>
      </c>
    </row>
    <row r="243" spans="1:21" x14ac:dyDescent="0.2">
      <c r="A243" s="4" t="str">
        <f ca="1">IF(B243=" "," ",HYPERLINK(CONCATENATE("#metadata!",ADDRESS(INDEX($L$2:$L$1001,MATCH(ROWS($J$2:J243),$J$2:$J$1001,0),0),1)),INDEX($O$2:$O$1001,MATCH(ROWS($J$2:J243),$J$2:$J$1001,0),0)))</f>
        <v xml:space="preserve"> </v>
      </c>
      <c r="B243" s="3" t="str">
        <f ca="1">IF(OR(INDEX($K$2:$K$1001,MATCH(ROWS($J$2:J243),$J$2:$J$1001,0),1)&gt;=100000,INDEX($Q$1005:$U$1005,1,MATCH(COLUMNS($Q$1006:Q1006),$Q$1006:$U$1006,0))&gt;=100000), " ",IF(INDEX($Q$2:$U$1001,MATCH(ROWS($J$2:J243),$J$2:$J$1001,0),MATCH(COLUMNS($Q$1006:Q1006),$Q$1006:$U$1006,0)), HYPERLINK("#",""), HYPERLINK(CONCATENATE("#metadata!", ADDRESS(INDEX($L$2:$L$1001,MATCH(ROWS($J$2:J243),$J$2:$J$1001,0),0), INDEX($Q$1004:$U$1004,1,MATCH(COLUMNS($Q$1006:Q1006),$Q$1006:$U$1006,0)))),"Fix")))</f>
        <v xml:space="preserve"> </v>
      </c>
      <c r="C243" s="3" t="str">
        <f ca="1">IF(OR(INDEX($K$2:$K$1001,MATCH(ROWS($J$2:J243),$J$2:$J$1001,0),1)&gt;=100000,INDEX($Q$1005:$U$1005,1,MATCH(COLUMNS($Q$1006:R1006),$Q$1006:$U$1006,0))&gt;=100000), " ",IF(INDEX($Q$2:$U$1001,MATCH(ROWS($J$2:J243),$J$2:$J$1001,0),MATCH(COLUMNS($Q$1006:R1006),$Q$1006:$U$1006,0)), HYPERLINK("#",""), HYPERLINK(CONCATENATE("#metadata!", ADDRESS(INDEX($L$2:$L$1001,MATCH(ROWS($J$2:J243),$J$2:$J$1001,0),0), INDEX($Q$1004:$U$1004,1,MATCH(COLUMNS($Q$1006:R1006),$Q$1006:$U$1006,0)))),"Fix")))</f>
        <v xml:space="preserve"> </v>
      </c>
      <c r="D243" s="3" t="str">
        <f ca="1">IF(OR(INDEX($K$2:$K$1001,MATCH(ROWS($J$2:J243),$J$2:$J$1001,0),1)&gt;=100000,INDEX($Q$1005:$U$1005,1,MATCH(COLUMNS($Q$1006:S1006),$Q$1006:$U$1006,0))&gt;=100000), " ",IF(INDEX($Q$2:$U$1001,MATCH(ROWS($J$2:J243),$J$2:$J$1001,0),MATCH(COLUMNS($Q$1006:S1006),$Q$1006:$U$1006,0)), HYPERLINK("#",""), HYPERLINK(CONCATENATE("#metadata!", ADDRESS(INDEX($L$2:$L$1001,MATCH(ROWS($J$2:J243),$J$2:$J$1001,0),0), INDEX($Q$1004:$U$1004,1,MATCH(COLUMNS($Q$1006:S1006),$Q$1006:$U$1006,0)))),"Fix")))</f>
        <v xml:space="preserve"> </v>
      </c>
      <c r="E243" s="3" t="str">
        <f ca="1">IF(OR(INDEX($K$2:$K$1001,MATCH(ROWS($J$2:J243),$J$2:$J$1001,0),1)&gt;=100000,INDEX($Q$1005:$U$1005,1,MATCH(COLUMNS($Q$1006:T1006),$Q$1006:$U$1006,0))&gt;=100000), " ",IF(INDEX($Q$2:$U$1001,MATCH(ROWS($J$2:J243),$J$2:$J$1001,0),MATCH(COLUMNS($Q$1006:T1006),$Q$1006:$U$1006,0)), HYPERLINK("#",""), HYPERLINK(CONCATENATE("#metadata!", ADDRESS(INDEX($L$2:$L$1001,MATCH(ROWS($J$2:J243),$J$2:$J$1001,0),0), INDEX($Q$1004:$U$1004,1,MATCH(COLUMNS($Q$1006:T1006),$Q$1006:$U$1006,0)))),"Fix")))</f>
        <v xml:space="preserve"> </v>
      </c>
      <c r="F243" s="3" t="str">
        <f ca="1">IF(OR(INDEX($K$2:$K$1001,MATCH(ROWS($J$2:J243),$J$2:$J$1001,0),1)&gt;=100000,INDEX($Q$1005:$U$1005,1,MATCH(COLUMNS($Q$1006:U1006),$Q$1006:$U$1006,0))&gt;=100000), " ",IF(INDEX($Q$2:$U$1001,MATCH(ROWS($J$2:J243),$J$2:$J$1001,0),MATCH(COLUMNS($Q$1006:U1006),$Q$1006:$U$1006,0)), HYPERLINK("#",""), HYPERLINK(CONCATENATE("#metadata!", ADDRESS(INDEX($L$2:$L$1001,MATCH(ROWS($J$2:J243),$J$2:$J$1001,0),0), INDEX($Q$1004:$U$1004,1,MATCH(COLUMNS($Q$1006:U1006),$Q$1006:$U$1006,0)))),"Fix")))</f>
        <v xml:space="preserve"> </v>
      </c>
      <c r="J243">
        <v>242</v>
      </c>
      <c r="K243">
        <v>100243</v>
      </c>
      <c r="L243">
        <v>243</v>
      </c>
      <c r="M243" t="b">
        <f t="shared" si="3"/>
        <v>1</v>
      </c>
      <c r="N243" t="b">
        <f>COUNTBLANK(metadata!B243:F243)=COLUMNS(metadata!B243:F243)</f>
        <v>1</v>
      </c>
      <c r="O243" t="str">
        <v/>
      </c>
      <c r="Q243" t="b">
        <f ca="1">AND(IF(metadata!B243="",FALSE,TRUE),COUNTIF(metadata!B:B, metadata!B243) = 1,NOT(ISERROR(SUMPRODUCT(SEARCH(MID(metadata!B243,ROW(INDIRECT("1:"&amp;LEN(metadata!B243))), 1),"0123456789abcdefghijklmnopqrstuvwxyzABCDEFGHIJKLMNOPQRSTUVWXYZ.")))))</f>
        <v>0</v>
      </c>
      <c r="R243" t="b">
        <f>AND(IF(metadata!C243="",FALSE,TRUE),OR(EXACT(metadata!C243,"saline"),EXACT(metadata!C243,"non-saline")))</f>
        <v>0</v>
      </c>
      <c r="S243" t="b">
        <f>AND(IF(metadata!D243="",FALSE,TRUE),OR(EXACT(metadata!D243,"surface (non-saline)"),EXACT(metadata!D243,"aerosol (non-saline)"),EXACT(metadata!D243,"sediment (non-saline)"),EXACT(metadata!D243,"surface (saline)"),EXACT(metadata!D243,"aerosol (saline)"),EXACT(metadata!D243,"sediment (saline)")))</f>
        <v>0</v>
      </c>
      <c r="T243" t="b">
        <f>AND(IF(metadata!E243="",FALSE,TRUE),EXACT(metadata!E243,"built environment"))</f>
        <v>0</v>
      </c>
      <c r="U243" t="b">
        <f>OR(AND(IF(metadata!F243="",FALSE,TRUE),EXACT(metadata!F243,"not applicable")),AND(IF(metadata!F243="",FALSE,TRUE),EXACT(metadata!F243,"anaerobic digester content")))</f>
        <v>0</v>
      </c>
    </row>
    <row r="244" spans="1:21" x14ac:dyDescent="0.2">
      <c r="A244" s="4" t="str">
        <f ca="1">IF(B244=" "," ",HYPERLINK(CONCATENATE("#metadata!",ADDRESS(INDEX($L$2:$L$1001,MATCH(ROWS($J$2:J244),$J$2:$J$1001,0),0),1)),INDEX($O$2:$O$1001,MATCH(ROWS($J$2:J244),$J$2:$J$1001,0),0)))</f>
        <v xml:space="preserve"> </v>
      </c>
      <c r="B244" s="3" t="str">
        <f ca="1">IF(OR(INDEX($K$2:$K$1001,MATCH(ROWS($J$2:J244),$J$2:$J$1001,0),1)&gt;=100000,INDEX($Q$1005:$U$1005,1,MATCH(COLUMNS($Q$1006:Q1006),$Q$1006:$U$1006,0))&gt;=100000), " ",IF(INDEX($Q$2:$U$1001,MATCH(ROWS($J$2:J244),$J$2:$J$1001,0),MATCH(COLUMNS($Q$1006:Q1006),$Q$1006:$U$1006,0)), HYPERLINK("#",""), HYPERLINK(CONCATENATE("#metadata!", ADDRESS(INDEX($L$2:$L$1001,MATCH(ROWS($J$2:J244),$J$2:$J$1001,0),0), INDEX($Q$1004:$U$1004,1,MATCH(COLUMNS($Q$1006:Q1006),$Q$1006:$U$1006,0)))),"Fix")))</f>
        <v xml:space="preserve"> </v>
      </c>
      <c r="C244" s="3" t="str">
        <f ca="1">IF(OR(INDEX($K$2:$K$1001,MATCH(ROWS($J$2:J244),$J$2:$J$1001,0),1)&gt;=100000,INDEX($Q$1005:$U$1005,1,MATCH(COLUMNS($Q$1006:R1006),$Q$1006:$U$1006,0))&gt;=100000), " ",IF(INDEX($Q$2:$U$1001,MATCH(ROWS($J$2:J244),$J$2:$J$1001,0),MATCH(COLUMNS($Q$1006:R1006),$Q$1006:$U$1006,0)), HYPERLINK("#",""), HYPERLINK(CONCATENATE("#metadata!", ADDRESS(INDEX($L$2:$L$1001,MATCH(ROWS($J$2:J244),$J$2:$J$1001,0),0), INDEX($Q$1004:$U$1004,1,MATCH(COLUMNS($Q$1006:R1006),$Q$1006:$U$1006,0)))),"Fix")))</f>
        <v xml:space="preserve"> </v>
      </c>
      <c r="D244" s="3" t="str">
        <f ca="1">IF(OR(INDEX($K$2:$K$1001,MATCH(ROWS($J$2:J244),$J$2:$J$1001,0),1)&gt;=100000,INDEX($Q$1005:$U$1005,1,MATCH(COLUMNS($Q$1006:S1006),$Q$1006:$U$1006,0))&gt;=100000), " ",IF(INDEX($Q$2:$U$1001,MATCH(ROWS($J$2:J244),$J$2:$J$1001,0),MATCH(COLUMNS($Q$1006:S1006),$Q$1006:$U$1006,0)), HYPERLINK("#",""), HYPERLINK(CONCATENATE("#metadata!", ADDRESS(INDEX($L$2:$L$1001,MATCH(ROWS($J$2:J244),$J$2:$J$1001,0),0), INDEX($Q$1004:$U$1004,1,MATCH(COLUMNS($Q$1006:S1006),$Q$1006:$U$1006,0)))),"Fix")))</f>
        <v xml:space="preserve"> </v>
      </c>
      <c r="E244" s="3" t="str">
        <f ca="1">IF(OR(INDEX($K$2:$K$1001,MATCH(ROWS($J$2:J244),$J$2:$J$1001,0),1)&gt;=100000,INDEX($Q$1005:$U$1005,1,MATCH(COLUMNS($Q$1006:T1006),$Q$1006:$U$1006,0))&gt;=100000), " ",IF(INDEX($Q$2:$U$1001,MATCH(ROWS($J$2:J244),$J$2:$J$1001,0),MATCH(COLUMNS($Q$1006:T1006),$Q$1006:$U$1006,0)), HYPERLINK("#",""), HYPERLINK(CONCATENATE("#metadata!", ADDRESS(INDEX($L$2:$L$1001,MATCH(ROWS($J$2:J244),$J$2:$J$1001,0),0), INDEX($Q$1004:$U$1004,1,MATCH(COLUMNS($Q$1006:T1006),$Q$1006:$U$1006,0)))),"Fix")))</f>
        <v xml:space="preserve"> </v>
      </c>
      <c r="F244" s="3" t="str">
        <f ca="1">IF(OR(INDEX($K$2:$K$1001,MATCH(ROWS($J$2:J244),$J$2:$J$1001,0),1)&gt;=100000,INDEX($Q$1005:$U$1005,1,MATCH(COLUMNS($Q$1006:U1006),$Q$1006:$U$1006,0))&gt;=100000), " ",IF(INDEX($Q$2:$U$1001,MATCH(ROWS($J$2:J244),$J$2:$J$1001,0),MATCH(COLUMNS($Q$1006:U1006),$Q$1006:$U$1006,0)), HYPERLINK("#",""), HYPERLINK(CONCATENATE("#metadata!", ADDRESS(INDEX($L$2:$L$1001,MATCH(ROWS($J$2:J244),$J$2:$J$1001,0),0), INDEX($Q$1004:$U$1004,1,MATCH(COLUMNS($Q$1006:U1006),$Q$1006:$U$1006,0)))),"Fix")))</f>
        <v xml:space="preserve"> </v>
      </c>
      <c r="J244">
        <v>243</v>
      </c>
      <c r="K244">
        <v>100244</v>
      </c>
      <c r="L244">
        <v>244</v>
      </c>
      <c r="M244" t="b">
        <f t="shared" si="3"/>
        <v>1</v>
      </c>
      <c r="N244" t="b">
        <f>COUNTBLANK(metadata!B244:F244)=COLUMNS(metadata!B244:F244)</f>
        <v>1</v>
      </c>
      <c r="O244" t="str">
        <v/>
      </c>
      <c r="Q244" t="b">
        <f ca="1">AND(IF(metadata!B244="",FALSE,TRUE),COUNTIF(metadata!B:B, metadata!B244) = 1,NOT(ISERROR(SUMPRODUCT(SEARCH(MID(metadata!B244,ROW(INDIRECT("1:"&amp;LEN(metadata!B244))), 1),"0123456789abcdefghijklmnopqrstuvwxyzABCDEFGHIJKLMNOPQRSTUVWXYZ.")))))</f>
        <v>0</v>
      </c>
      <c r="R244" t="b">
        <f>AND(IF(metadata!C244="",FALSE,TRUE),OR(EXACT(metadata!C244,"saline"),EXACT(metadata!C244,"non-saline")))</f>
        <v>0</v>
      </c>
      <c r="S244" t="b">
        <f>AND(IF(metadata!D244="",FALSE,TRUE),OR(EXACT(metadata!D244,"surface (non-saline)"),EXACT(metadata!D244,"aerosol (non-saline)"),EXACT(metadata!D244,"sediment (non-saline)"),EXACT(metadata!D244,"surface (saline)"),EXACT(metadata!D244,"aerosol (saline)"),EXACT(metadata!D244,"sediment (saline)")))</f>
        <v>0</v>
      </c>
      <c r="T244" t="b">
        <f>AND(IF(metadata!E244="",FALSE,TRUE),EXACT(metadata!E244,"built environment"))</f>
        <v>0</v>
      </c>
      <c r="U244" t="b">
        <f>OR(AND(IF(metadata!F244="",FALSE,TRUE),EXACT(metadata!F244,"not applicable")),AND(IF(metadata!F244="",FALSE,TRUE),EXACT(metadata!F244,"anaerobic digester content")))</f>
        <v>0</v>
      </c>
    </row>
    <row r="245" spans="1:21" x14ac:dyDescent="0.2">
      <c r="A245" s="4" t="str">
        <f ca="1">IF(B245=" "," ",HYPERLINK(CONCATENATE("#metadata!",ADDRESS(INDEX($L$2:$L$1001,MATCH(ROWS($J$2:J245),$J$2:$J$1001,0),0),1)),INDEX($O$2:$O$1001,MATCH(ROWS($J$2:J245),$J$2:$J$1001,0),0)))</f>
        <v xml:space="preserve"> </v>
      </c>
      <c r="B245" s="3" t="str">
        <f ca="1">IF(OR(INDEX($K$2:$K$1001,MATCH(ROWS($J$2:J245),$J$2:$J$1001,0),1)&gt;=100000,INDEX($Q$1005:$U$1005,1,MATCH(COLUMNS($Q$1006:Q1006),$Q$1006:$U$1006,0))&gt;=100000), " ",IF(INDEX($Q$2:$U$1001,MATCH(ROWS($J$2:J245),$J$2:$J$1001,0),MATCH(COLUMNS($Q$1006:Q1006),$Q$1006:$U$1006,0)), HYPERLINK("#",""), HYPERLINK(CONCATENATE("#metadata!", ADDRESS(INDEX($L$2:$L$1001,MATCH(ROWS($J$2:J245),$J$2:$J$1001,0),0), INDEX($Q$1004:$U$1004,1,MATCH(COLUMNS($Q$1006:Q1006),$Q$1006:$U$1006,0)))),"Fix")))</f>
        <v xml:space="preserve"> </v>
      </c>
      <c r="C245" s="3" t="str">
        <f ca="1">IF(OR(INDEX($K$2:$K$1001,MATCH(ROWS($J$2:J245),$J$2:$J$1001,0),1)&gt;=100000,INDEX($Q$1005:$U$1005,1,MATCH(COLUMNS($Q$1006:R1006),$Q$1006:$U$1006,0))&gt;=100000), " ",IF(INDEX($Q$2:$U$1001,MATCH(ROWS($J$2:J245),$J$2:$J$1001,0),MATCH(COLUMNS($Q$1006:R1006),$Q$1006:$U$1006,0)), HYPERLINK("#",""), HYPERLINK(CONCATENATE("#metadata!", ADDRESS(INDEX($L$2:$L$1001,MATCH(ROWS($J$2:J245),$J$2:$J$1001,0),0), INDEX($Q$1004:$U$1004,1,MATCH(COLUMNS($Q$1006:R1006),$Q$1006:$U$1006,0)))),"Fix")))</f>
        <v xml:space="preserve"> </v>
      </c>
      <c r="D245" s="3" t="str">
        <f ca="1">IF(OR(INDEX($K$2:$K$1001,MATCH(ROWS($J$2:J245),$J$2:$J$1001,0),1)&gt;=100000,INDEX($Q$1005:$U$1005,1,MATCH(COLUMNS($Q$1006:S1006),$Q$1006:$U$1006,0))&gt;=100000), " ",IF(INDEX($Q$2:$U$1001,MATCH(ROWS($J$2:J245),$J$2:$J$1001,0),MATCH(COLUMNS($Q$1006:S1006),$Q$1006:$U$1006,0)), HYPERLINK("#",""), HYPERLINK(CONCATENATE("#metadata!", ADDRESS(INDEX($L$2:$L$1001,MATCH(ROWS($J$2:J245),$J$2:$J$1001,0),0), INDEX($Q$1004:$U$1004,1,MATCH(COLUMNS($Q$1006:S1006),$Q$1006:$U$1006,0)))),"Fix")))</f>
        <v xml:space="preserve"> </v>
      </c>
      <c r="E245" s="3" t="str">
        <f ca="1">IF(OR(INDEX($K$2:$K$1001,MATCH(ROWS($J$2:J245),$J$2:$J$1001,0),1)&gt;=100000,INDEX($Q$1005:$U$1005,1,MATCH(COLUMNS($Q$1006:T1006),$Q$1006:$U$1006,0))&gt;=100000), " ",IF(INDEX($Q$2:$U$1001,MATCH(ROWS($J$2:J245),$J$2:$J$1001,0),MATCH(COLUMNS($Q$1006:T1006),$Q$1006:$U$1006,0)), HYPERLINK("#",""), HYPERLINK(CONCATENATE("#metadata!", ADDRESS(INDEX($L$2:$L$1001,MATCH(ROWS($J$2:J245),$J$2:$J$1001,0),0), INDEX($Q$1004:$U$1004,1,MATCH(COLUMNS($Q$1006:T1006),$Q$1006:$U$1006,0)))),"Fix")))</f>
        <v xml:space="preserve"> </v>
      </c>
      <c r="F245" s="3" t="str">
        <f ca="1">IF(OR(INDEX($K$2:$K$1001,MATCH(ROWS($J$2:J245),$J$2:$J$1001,0),1)&gt;=100000,INDEX($Q$1005:$U$1005,1,MATCH(COLUMNS($Q$1006:U1006),$Q$1006:$U$1006,0))&gt;=100000), " ",IF(INDEX($Q$2:$U$1001,MATCH(ROWS($J$2:J245),$J$2:$J$1001,0),MATCH(COLUMNS($Q$1006:U1006),$Q$1006:$U$1006,0)), HYPERLINK("#",""), HYPERLINK(CONCATENATE("#metadata!", ADDRESS(INDEX($L$2:$L$1001,MATCH(ROWS($J$2:J245),$J$2:$J$1001,0),0), INDEX($Q$1004:$U$1004,1,MATCH(COLUMNS($Q$1006:U1006),$Q$1006:$U$1006,0)))),"Fix")))</f>
        <v xml:space="preserve"> </v>
      </c>
      <c r="J245">
        <v>244</v>
      </c>
      <c r="K245">
        <v>100245</v>
      </c>
      <c r="L245">
        <v>245</v>
      </c>
      <c r="M245" t="b">
        <f t="shared" si="3"/>
        <v>1</v>
      </c>
      <c r="N245" t="b">
        <f>COUNTBLANK(metadata!B245:F245)=COLUMNS(metadata!B245:F245)</f>
        <v>1</v>
      </c>
      <c r="O245" t="str">
        <v/>
      </c>
      <c r="Q245" t="b">
        <f ca="1">AND(IF(metadata!B245="",FALSE,TRUE),COUNTIF(metadata!B:B, metadata!B245) = 1,NOT(ISERROR(SUMPRODUCT(SEARCH(MID(metadata!B245,ROW(INDIRECT("1:"&amp;LEN(metadata!B245))), 1),"0123456789abcdefghijklmnopqrstuvwxyzABCDEFGHIJKLMNOPQRSTUVWXYZ.")))))</f>
        <v>0</v>
      </c>
      <c r="R245" t="b">
        <f>AND(IF(metadata!C245="",FALSE,TRUE),OR(EXACT(metadata!C245,"saline"),EXACT(metadata!C245,"non-saline")))</f>
        <v>0</v>
      </c>
      <c r="S245" t="b">
        <f>AND(IF(metadata!D245="",FALSE,TRUE),OR(EXACT(metadata!D245,"surface (non-saline)"),EXACT(metadata!D245,"aerosol (non-saline)"),EXACT(metadata!D245,"sediment (non-saline)"),EXACT(metadata!D245,"surface (saline)"),EXACT(metadata!D245,"aerosol (saline)"),EXACT(metadata!D245,"sediment (saline)")))</f>
        <v>0</v>
      </c>
      <c r="T245" t="b">
        <f>AND(IF(metadata!E245="",FALSE,TRUE),EXACT(metadata!E245,"built environment"))</f>
        <v>0</v>
      </c>
      <c r="U245" t="b">
        <f>OR(AND(IF(metadata!F245="",FALSE,TRUE),EXACT(metadata!F245,"not applicable")),AND(IF(metadata!F245="",FALSE,TRUE),EXACT(metadata!F245,"anaerobic digester content")))</f>
        <v>0</v>
      </c>
    </row>
    <row r="246" spans="1:21" x14ac:dyDescent="0.2">
      <c r="A246" s="4" t="str">
        <f ca="1">IF(B246=" "," ",HYPERLINK(CONCATENATE("#metadata!",ADDRESS(INDEX($L$2:$L$1001,MATCH(ROWS($J$2:J246),$J$2:$J$1001,0),0),1)),INDEX($O$2:$O$1001,MATCH(ROWS($J$2:J246),$J$2:$J$1001,0),0)))</f>
        <v xml:space="preserve"> </v>
      </c>
      <c r="B246" s="3" t="str">
        <f ca="1">IF(OR(INDEX($K$2:$K$1001,MATCH(ROWS($J$2:J246),$J$2:$J$1001,0),1)&gt;=100000,INDEX($Q$1005:$U$1005,1,MATCH(COLUMNS($Q$1006:Q1006),$Q$1006:$U$1006,0))&gt;=100000), " ",IF(INDEX($Q$2:$U$1001,MATCH(ROWS($J$2:J246),$J$2:$J$1001,0),MATCH(COLUMNS($Q$1006:Q1006),$Q$1006:$U$1006,0)), HYPERLINK("#",""), HYPERLINK(CONCATENATE("#metadata!", ADDRESS(INDEX($L$2:$L$1001,MATCH(ROWS($J$2:J246),$J$2:$J$1001,0),0), INDEX($Q$1004:$U$1004,1,MATCH(COLUMNS($Q$1006:Q1006),$Q$1006:$U$1006,0)))),"Fix")))</f>
        <v xml:space="preserve"> </v>
      </c>
      <c r="C246" s="3" t="str">
        <f ca="1">IF(OR(INDEX($K$2:$K$1001,MATCH(ROWS($J$2:J246),$J$2:$J$1001,0),1)&gt;=100000,INDEX($Q$1005:$U$1005,1,MATCH(COLUMNS($Q$1006:R1006),$Q$1006:$U$1006,0))&gt;=100000), " ",IF(INDEX($Q$2:$U$1001,MATCH(ROWS($J$2:J246),$J$2:$J$1001,0),MATCH(COLUMNS($Q$1006:R1006),$Q$1006:$U$1006,0)), HYPERLINK("#",""), HYPERLINK(CONCATENATE("#metadata!", ADDRESS(INDEX($L$2:$L$1001,MATCH(ROWS($J$2:J246),$J$2:$J$1001,0),0), INDEX($Q$1004:$U$1004,1,MATCH(COLUMNS($Q$1006:R1006),$Q$1006:$U$1006,0)))),"Fix")))</f>
        <v xml:space="preserve"> </v>
      </c>
      <c r="D246" s="3" t="str">
        <f ca="1">IF(OR(INDEX($K$2:$K$1001,MATCH(ROWS($J$2:J246),$J$2:$J$1001,0),1)&gt;=100000,INDEX($Q$1005:$U$1005,1,MATCH(COLUMNS($Q$1006:S1006),$Q$1006:$U$1006,0))&gt;=100000), " ",IF(INDEX($Q$2:$U$1001,MATCH(ROWS($J$2:J246),$J$2:$J$1001,0),MATCH(COLUMNS($Q$1006:S1006),$Q$1006:$U$1006,0)), HYPERLINK("#",""), HYPERLINK(CONCATENATE("#metadata!", ADDRESS(INDEX($L$2:$L$1001,MATCH(ROWS($J$2:J246),$J$2:$J$1001,0),0), INDEX($Q$1004:$U$1004,1,MATCH(COLUMNS($Q$1006:S1006),$Q$1006:$U$1006,0)))),"Fix")))</f>
        <v xml:space="preserve"> </v>
      </c>
      <c r="E246" s="3" t="str">
        <f ca="1">IF(OR(INDEX($K$2:$K$1001,MATCH(ROWS($J$2:J246),$J$2:$J$1001,0),1)&gt;=100000,INDEX($Q$1005:$U$1005,1,MATCH(COLUMNS($Q$1006:T1006),$Q$1006:$U$1006,0))&gt;=100000), " ",IF(INDEX($Q$2:$U$1001,MATCH(ROWS($J$2:J246),$J$2:$J$1001,0),MATCH(COLUMNS($Q$1006:T1006),$Q$1006:$U$1006,0)), HYPERLINK("#",""), HYPERLINK(CONCATENATE("#metadata!", ADDRESS(INDEX($L$2:$L$1001,MATCH(ROWS($J$2:J246),$J$2:$J$1001,0),0), INDEX($Q$1004:$U$1004,1,MATCH(COLUMNS($Q$1006:T1006),$Q$1006:$U$1006,0)))),"Fix")))</f>
        <v xml:space="preserve"> </v>
      </c>
      <c r="F246" s="3" t="str">
        <f ca="1">IF(OR(INDEX($K$2:$K$1001,MATCH(ROWS($J$2:J246),$J$2:$J$1001,0),1)&gt;=100000,INDEX($Q$1005:$U$1005,1,MATCH(COLUMNS($Q$1006:U1006),$Q$1006:$U$1006,0))&gt;=100000), " ",IF(INDEX($Q$2:$U$1001,MATCH(ROWS($J$2:J246),$J$2:$J$1001,0),MATCH(COLUMNS($Q$1006:U1006),$Q$1006:$U$1006,0)), HYPERLINK("#",""), HYPERLINK(CONCATENATE("#metadata!", ADDRESS(INDEX($L$2:$L$1001,MATCH(ROWS($J$2:J246),$J$2:$J$1001,0),0), INDEX($Q$1004:$U$1004,1,MATCH(COLUMNS($Q$1006:U1006),$Q$1006:$U$1006,0)))),"Fix")))</f>
        <v xml:space="preserve"> </v>
      </c>
      <c r="J246">
        <v>245</v>
      </c>
      <c r="K246">
        <v>100246</v>
      </c>
      <c r="L246">
        <v>246</v>
      </c>
      <c r="M246" t="b">
        <f t="shared" si="3"/>
        <v>1</v>
      </c>
      <c r="N246" t="b">
        <f>COUNTBLANK(metadata!B246:F246)=COLUMNS(metadata!B246:F246)</f>
        <v>1</v>
      </c>
      <c r="O246" t="str">
        <v/>
      </c>
      <c r="Q246" t="b">
        <f ca="1">AND(IF(metadata!B246="",FALSE,TRUE),COUNTIF(metadata!B:B, metadata!B246) = 1,NOT(ISERROR(SUMPRODUCT(SEARCH(MID(metadata!B246,ROW(INDIRECT("1:"&amp;LEN(metadata!B246))), 1),"0123456789abcdefghijklmnopqrstuvwxyzABCDEFGHIJKLMNOPQRSTUVWXYZ.")))))</f>
        <v>0</v>
      </c>
      <c r="R246" t="b">
        <f>AND(IF(metadata!C246="",FALSE,TRUE),OR(EXACT(metadata!C246,"saline"),EXACT(metadata!C246,"non-saline")))</f>
        <v>0</v>
      </c>
      <c r="S246" t="b">
        <f>AND(IF(metadata!D246="",FALSE,TRUE),OR(EXACT(metadata!D246,"surface (non-saline)"),EXACT(metadata!D246,"aerosol (non-saline)"),EXACT(metadata!D246,"sediment (non-saline)"),EXACT(metadata!D246,"surface (saline)"),EXACT(metadata!D246,"aerosol (saline)"),EXACT(metadata!D246,"sediment (saline)")))</f>
        <v>0</v>
      </c>
      <c r="T246" t="b">
        <f>AND(IF(metadata!E246="",FALSE,TRUE),EXACT(metadata!E246,"built environment"))</f>
        <v>0</v>
      </c>
      <c r="U246" t="b">
        <f>OR(AND(IF(metadata!F246="",FALSE,TRUE),EXACT(metadata!F246,"not applicable")),AND(IF(metadata!F246="",FALSE,TRUE),EXACT(metadata!F246,"anaerobic digester content")))</f>
        <v>0</v>
      </c>
    </row>
    <row r="247" spans="1:21" x14ac:dyDescent="0.2">
      <c r="A247" s="4" t="str">
        <f ca="1">IF(B247=" "," ",HYPERLINK(CONCATENATE("#metadata!",ADDRESS(INDEX($L$2:$L$1001,MATCH(ROWS($J$2:J247),$J$2:$J$1001,0),0),1)),INDEX($O$2:$O$1001,MATCH(ROWS($J$2:J247),$J$2:$J$1001,0),0)))</f>
        <v xml:space="preserve"> </v>
      </c>
      <c r="B247" s="3" t="str">
        <f ca="1">IF(OR(INDEX($K$2:$K$1001,MATCH(ROWS($J$2:J247),$J$2:$J$1001,0),1)&gt;=100000,INDEX($Q$1005:$U$1005,1,MATCH(COLUMNS($Q$1006:Q1006),$Q$1006:$U$1006,0))&gt;=100000), " ",IF(INDEX($Q$2:$U$1001,MATCH(ROWS($J$2:J247),$J$2:$J$1001,0),MATCH(COLUMNS($Q$1006:Q1006),$Q$1006:$U$1006,0)), HYPERLINK("#",""), HYPERLINK(CONCATENATE("#metadata!", ADDRESS(INDEX($L$2:$L$1001,MATCH(ROWS($J$2:J247),$J$2:$J$1001,0),0), INDEX($Q$1004:$U$1004,1,MATCH(COLUMNS($Q$1006:Q1006),$Q$1006:$U$1006,0)))),"Fix")))</f>
        <v xml:space="preserve"> </v>
      </c>
      <c r="C247" s="3" t="str">
        <f ca="1">IF(OR(INDEX($K$2:$K$1001,MATCH(ROWS($J$2:J247),$J$2:$J$1001,0),1)&gt;=100000,INDEX($Q$1005:$U$1005,1,MATCH(COLUMNS($Q$1006:R1006),$Q$1006:$U$1006,0))&gt;=100000), " ",IF(INDEX($Q$2:$U$1001,MATCH(ROWS($J$2:J247),$J$2:$J$1001,0),MATCH(COLUMNS($Q$1006:R1006),$Q$1006:$U$1006,0)), HYPERLINK("#",""), HYPERLINK(CONCATENATE("#metadata!", ADDRESS(INDEX($L$2:$L$1001,MATCH(ROWS($J$2:J247),$J$2:$J$1001,0),0), INDEX($Q$1004:$U$1004,1,MATCH(COLUMNS($Q$1006:R1006),$Q$1006:$U$1006,0)))),"Fix")))</f>
        <v xml:space="preserve"> </v>
      </c>
      <c r="D247" s="3" t="str">
        <f ca="1">IF(OR(INDEX($K$2:$K$1001,MATCH(ROWS($J$2:J247),$J$2:$J$1001,0),1)&gt;=100000,INDEX($Q$1005:$U$1005,1,MATCH(COLUMNS($Q$1006:S1006),$Q$1006:$U$1006,0))&gt;=100000), " ",IF(INDEX($Q$2:$U$1001,MATCH(ROWS($J$2:J247),$J$2:$J$1001,0),MATCH(COLUMNS($Q$1006:S1006),$Q$1006:$U$1006,0)), HYPERLINK("#",""), HYPERLINK(CONCATENATE("#metadata!", ADDRESS(INDEX($L$2:$L$1001,MATCH(ROWS($J$2:J247),$J$2:$J$1001,0),0), INDEX($Q$1004:$U$1004,1,MATCH(COLUMNS($Q$1006:S1006),$Q$1006:$U$1006,0)))),"Fix")))</f>
        <v xml:space="preserve"> </v>
      </c>
      <c r="E247" s="3" t="str">
        <f ca="1">IF(OR(INDEX($K$2:$K$1001,MATCH(ROWS($J$2:J247),$J$2:$J$1001,0),1)&gt;=100000,INDEX($Q$1005:$U$1005,1,MATCH(COLUMNS($Q$1006:T1006),$Q$1006:$U$1006,0))&gt;=100000), " ",IF(INDEX($Q$2:$U$1001,MATCH(ROWS($J$2:J247),$J$2:$J$1001,0),MATCH(COLUMNS($Q$1006:T1006),$Q$1006:$U$1006,0)), HYPERLINK("#",""), HYPERLINK(CONCATENATE("#metadata!", ADDRESS(INDEX($L$2:$L$1001,MATCH(ROWS($J$2:J247),$J$2:$J$1001,0),0), INDEX($Q$1004:$U$1004,1,MATCH(COLUMNS($Q$1006:T1006),$Q$1006:$U$1006,0)))),"Fix")))</f>
        <v xml:space="preserve"> </v>
      </c>
      <c r="F247" s="3" t="str">
        <f ca="1">IF(OR(INDEX($K$2:$K$1001,MATCH(ROWS($J$2:J247),$J$2:$J$1001,0),1)&gt;=100000,INDEX($Q$1005:$U$1005,1,MATCH(COLUMNS($Q$1006:U1006),$Q$1006:$U$1006,0))&gt;=100000), " ",IF(INDEX($Q$2:$U$1001,MATCH(ROWS($J$2:J247),$J$2:$J$1001,0),MATCH(COLUMNS($Q$1006:U1006),$Q$1006:$U$1006,0)), HYPERLINK("#",""), HYPERLINK(CONCATENATE("#metadata!", ADDRESS(INDEX($L$2:$L$1001,MATCH(ROWS($J$2:J247),$J$2:$J$1001,0),0), INDEX($Q$1004:$U$1004,1,MATCH(COLUMNS($Q$1006:U1006),$Q$1006:$U$1006,0)))),"Fix")))</f>
        <v xml:space="preserve"> </v>
      </c>
      <c r="J247">
        <v>246</v>
      </c>
      <c r="K247">
        <v>100247</v>
      </c>
      <c r="L247">
        <v>247</v>
      </c>
      <c r="M247" t="b">
        <f t="shared" si="3"/>
        <v>1</v>
      </c>
      <c r="N247" t="b">
        <f>COUNTBLANK(metadata!B247:F247)=COLUMNS(metadata!B247:F247)</f>
        <v>1</v>
      </c>
      <c r="O247" t="str">
        <v/>
      </c>
      <c r="Q247" t="b">
        <f ca="1">AND(IF(metadata!B247="",FALSE,TRUE),COUNTIF(metadata!B:B, metadata!B247) = 1,NOT(ISERROR(SUMPRODUCT(SEARCH(MID(metadata!B247,ROW(INDIRECT("1:"&amp;LEN(metadata!B247))), 1),"0123456789abcdefghijklmnopqrstuvwxyzABCDEFGHIJKLMNOPQRSTUVWXYZ.")))))</f>
        <v>0</v>
      </c>
      <c r="R247" t="b">
        <f>AND(IF(metadata!C247="",FALSE,TRUE),OR(EXACT(metadata!C247,"saline"),EXACT(metadata!C247,"non-saline")))</f>
        <v>0</v>
      </c>
      <c r="S247" t="b">
        <f>AND(IF(metadata!D247="",FALSE,TRUE),OR(EXACT(metadata!D247,"surface (non-saline)"),EXACT(metadata!D247,"aerosol (non-saline)"),EXACT(metadata!D247,"sediment (non-saline)"),EXACT(metadata!D247,"surface (saline)"),EXACT(metadata!D247,"aerosol (saline)"),EXACT(metadata!D247,"sediment (saline)")))</f>
        <v>0</v>
      </c>
      <c r="T247" t="b">
        <f>AND(IF(metadata!E247="",FALSE,TRUE),EXACT(metadata!E247,"built environment"))</f>
        <v>0</v>
      </c>
      <c r="U247" t="b">
        <f>OR(AND(IF(metadata!F247="",FALSE,TRUE),EXACT(metadata!F247,"not applicable")),AND(IF(metadata!F247="",FALSE,TRUE),EXACT(metadata!F247,"anaerobic digester content")))</f>
        <v>0</v>
      </c>
    </row>
    <row r="248" spans="1:21" x14ac:dyDescent="0.2">
      <c r="A248" s="4" t="str">
        <f ca="1">IF(B248=" "," ",HYPERLINK(CONCATENATE("#metadata!",ADDRESS(INDEX($L$2:$L$1001,MATCH(ROWS($J$2:J248),$J$2:$J$1001,0),0),1)),INDEX($O$2:$O$1001,MATCH(ROWS($J$2:J248),$J$2:$J$1001,0),0)))</f>
        <v xml:space="preserve"> </v>
      </c>
      <c r="B248" s="3" t="str">
        <f ca="1">IF(OR(INDEX($K$2:$K$1001,MATCH(ROWS($J$2:J248),$J$2:$J$1001,0),1)&gt;=100000,INDEX($Q$1005:$U$1005,1,MATCH(COLUMNS($Q$1006:Q1006),$Q$1006:$U$1006,0))&gt;=100000), " ",IF(INDEX($Q$2:$U$1001,MATCH(ROWS($J$2:J248),$J$2:$J$1001,0),MATCH(COLUMNS($Q$1006:Q1006),$Q$1006:$U$1006,0)), HYPERLINK("#",""), HYPERLINK(CONCATENATE("#metadata!", ADDRESS(INDEX($L$2:$L$1001,MATCH(ROWS($J$2:J248),$J$2:$J$1001,0),0), INDEX($Q$1004:$U$1004,1,MATCH(COLUMNS($Q$1006:Q1006),$Q$1006:$U$1006,0)))),"Fix")))</f>
        <v xml:space="preserve"> </v>
      </c>
      <c r="C248" s="3" t="str">
        <f ca="1">IF(OR(INDEX($K$2:$K$1001,MATCH(ROWS($J$2:J248),$J$2:$J$1001,0),1)&gt;=100000,INDEX($Q$1005:$U$1005,1,MATCH(COLUMNS($Q$1006:R1006),$Q$1006:$U$1006,0))&gt;=100000), " ",IF(INDEX($Q$2:$U$1001,MATCH(ROWS($J$2:J248),$J$2:$J$1001,0),MATCH(COLUMNS($Q$1006:R1006),$Q$1006:$U$1006,0)), HYPERLINK("#",""), HYPERLINK(CONCATENATE("#metadata!", ADDRESS(INDEX($L$2:$L$1001,MATCH(ROWS($J$2:J248),$J$2:$J$1001,0),0), INDEX($Q$1004:$U$1004,1,MATCH(COLUMNS($Q$1006:R1006),$Q$1006:$U$1006,0)))),"Fix")))</f>
        <v xml:space="preserve"> </v>
      </c>
      <c r="D248" s="3" t="str">
        <f ca="1">IF(OR(INDEX($K$2:$K$1001,MATCH(ROWS($J$2:J248),$J$2:$J$1001,0),1)&gt;=100000,INDEX($Q$1005:$U$1005,1,MATCH(COLUMNS($Q$1006:S1006),$Q$1006:$U$1006,0))&gt;=100000), " ",IF(INDEX($Q$2:$U$1001,MATCH(ROWS($J$2:J248),$J$2:$J$1001,0),MATCH(COLUMNS($Q$1006:S1006),$Q$1006:$U$1006,0)), HYPERLINK("#",""), HYPERLINK(CONCATENATE("#metadata!", ADDRESS(INDEX($L$2:$L$1001,MATCH(ROWS($J$2:J248),$J$2:$J$1001,0),0), INDEX($Q$1004:$U$1004,1,MATCH(COLUMNS($Q$1006:S1006),$Q$1006:$U$1006,0)))),"Fix")))</f>
        <v xml:space="preserve"> </v>
      </c>
      <c r="E248" s="3" t="str">
        <f ca="1">IF(OR(INDEX($K$2:$K$1001,MATCH(ROWS($J$2:J248),$J$2:$J$1001,0),1)&gt;=100000,INDEX($Q$1005:$U$1005,1,MATCH(COLUMNS($Q$1006:T1006),$Q$1006:$U$1006,0))&gt;=100000), " ",IF(INDEX($Q$2:$U$1001,MATCH(ROWS($J$2:J248),$J$2:$J$1001,0),MATCH(COLUMNS($Q$1006:T1006),$Q$1006:$U$1006,0)), HYPERLINK("#",""), HYPERLINK(CONCATENATE("#metadata!", ADDRESS(INDEX($L$2:$L$1001,MATCH(ROWS($J$2:J248),$J$2:$J$1001,0),0), INDEX($Q$1004:$U$1004,1,MATCH(COLUMNS($Q$1006:T1006),$Q$1006:$U$1006,0)))),"Fix")))</f>
        <v xml:space="preserve"> </v>
      </c>
      <c r="F248" s="3" t="str">
        <f ca="1">IF(OR(INDEX($K$2:$K$1001,MATCH(ROWS($J$2:J248),$J$2:$J$1001,0),1)&gt;=100000,INDEX($Q$1005:$U$1005,1,MATCH(COLUMNS($Q$1006:U1006),$Q$1006:$U$1006,0))&gt;=100000), " ",IF(INDEX($Q$2:$U$1001,MATCH(ROWS($J$2:J248),$J$2:$J$1001,0),MATCH(COLUMNS($Q$1006:U1006),$Q$1006:$U$1006,0)), HYPERLINK("#",""), HYPERLINK(CONCATENATE("#metadata!", ADDRESS(INDEX($L$2:$L$1001,MATCH(ROWS($J$2:J248),$J$2:$J$1001,0),0), INDEX($Q$1004:$U$1004,1,MATCH(COLUMNS($Q$1006:U1006),$Q$1006:$U$1006,0)))),"Fix")))</f>
        <v xml:space="preserve"> </v>
      </c>
      <c r="J248">
        <v>247</v>
      </c>
      <c r="K248">
        <v>100248</v>
      </c>
      <c r="L248">
        <v>248</v>
      </c>
      <c r="M248" t="b">
        <f t="shared" si="3"/>
        <v>1</v>
      </c>
      <c r="N248" t="b">
        <f>COUNTBLANK(metadata!B248:F248)=COLUMNS(metadata!B248:F248)</f>
        <v>1</v>
      </c>
      <c r="O248" t="str">
        <v/>
      </c>
      <c r="Q248" t="b">
        <f ca="1">AND(IF(metadata!B248="",FALSE,TRUE),COUNTIF(metadata!B:B, metadata!B248) = 1,NOT(ISERROR(SUMPRODUCT(SEARCH(MID(metadata!B248,ROW(INDIRECT("1:"&amp;LEN(metadata!B248))), 1),"0123456789abcdefghijklmnopqrstuvwxyzABCDEFGHIJKLMNOPQRSTUVWXYZ.")))))</f>
        <v>0</v>
      </c>
      <c r="R248" t="b">
        <f>AND(IF(metadata!C248="",FALSE,TRUE),OR(EXACT(metadata!C248,"saline"),EXACT(metadata!C248,"non-saline")))</f>
        <v>0</v>
      </c>
      <c r="S248" t="b">
        <f>AND(IF(metadata!D248="",FALSE,TRUE),OR(EXACT(metadata!D248,"surface (non-saline)"),EXACT(metadata!D248,"aerosol (non-saline)"),EXACT(metadata!D248,"sediment (non-saline)"),EXACT(metadata!D248,"surface (saline)"),EXACT(metadata!D248,"aerosol (saline)"),EXACT(metadata!D248,"sediment (saline)")))</f>
        <v>0</v>
      </c>
      <c r="T248" t="b">
        <f>AND(IF(metadata!E248="",FALSE,TRUE),EXACT(metadata!E248,"built environment"))</f>
        <v>0</v>
      </c>
      <c r="U248" t="b">
        <f>OR(AND(IF(metadata!F248="",FALSE,TRUE),EXACT(metadata!F248,"not applicable")),AND(IF(metadata!F248="",FALSE,TRUE),EXACT(metadata!F248,"anaerobic digester content")))</f>
        <v>0</v>
      </c>
    </row>
    <row r="249" spans="1:21" x14ac:dyDescent="0.2">
      <c r="A249" s="4" t="str">
        <f ca="1">IF(B249=" "," ",HYPERLINK(CONCATENATE("#metadata!",ADDRESS(INDEX($L$2:$L$1001,MATCH(ROWS($J$2:J249),$J$2:$J$1001,0),0),1)),INDEX($O$2:$O$1001,MATCH(ROWS($J$2:J249),$J$2:$J$1001,0),0)))</f>
        <v xml:space="preserve"> </v>
      </c>
      <c r="B249" s="3" t="str">
        <f ca="1">IF(OR(INDEX($K$2:$K$1001,MATCH(ROWS($J$2:J249),$J$2:$J$1001,0),1)&gt;=100000,INDEX($Q$1005:$U$1005,1,MATCH(COLUMNS($Q$1006:Q1006),$Q$1006:$U$1006,0))&gt;=100000), " ",IF(INDEX($Q$2:$U$1001,MATCH(ROWS($J$2:J249),$J$2:$J$1001,0),MATCH(COLUMNS($Q$1006:Q1006),$Q$1006:$U$1006,0)), HYPERLINK("#",""), HYPERLINK(CONCATENATE("#metadata!", ADDRESS(INDEX($L$2:$L$1001,MATCH(ROWS($J$2:J249),$J$2:$J$1001,0),0), INDEX($Q$1004:$U$1004,1,MATCH(COLUMNS($Q$1006:Q1006),$Q$1006:$U$1006,0)))),"Fix")))</f>
        <v xml:space="preserve"> </v>
      </c>
      <c r="C249" s="3" t="str">
        <f ca="1">IF(OR(INDEX($K$2:$K$1001,MATCH(ROWS($J$2:J249),$J$2:$J$1001,0),1)&gt;=100000,INDEX($Q$1005:$U$1005,1,MATCH(COLUMNS($Q$1006:R1006),$Q$1006:$U$1006,0))&gt;=100000), " ",IF(INDEX($Q$2:$U$1001,MATCH(ROWS($J$2:J249),$J$2:$J$1001,0),MATCH(COLUMNS($Q$1006:R1006),$Q$1006:$U$1006,0)), HYPERLINK("#",""), HYPERLINK(CONCATENATE("#metadata!", ADDRESS(INDEX($L$2:$L$1001,MATCH(ROWS($J$2:J249),$J$2:$J$1001,0),0), INDEX($Q$1004:$U$1004,1,MATCH(COLUMNS($Q$1006:R1006),$Q$1006:$U$1006,0)))),"Fix")))</f>
        <v xml:space="preserve"> </v>
      </c>
      <c r="D249" s="3" t="str">
        <f ca="1">IF(OR(INDEX($K$2:$K$1001,MATCH(ROWS($J$2:J249),$J$2:$J$1001,0),1)&gt;=100000,INDEX($Q$1005:$U$1005,1,MATCH(COLUMNS($Q$1006:S1006),$Q$1006:$U$1006,0))&gt;=100000), " ",IF(INDEX($Q$2:$U$1001,MATCH(ROWS($J$2:J249),$J$2:$J$1001,0),MATCH(COLUMNS($Q$1006:S1006),$Q$1006:$U$1006,0)), HYPERLINK("#",""), HYPERLINK(CONCATENATE("#metadata!", ADDRESS(INDEX($L$2:$L$1001,MATCH(ROWS($J$2:J249),$J$2:$J$1001,0),0), INDEX($Q$1004:$U$1004,1,MATCH(COLUMNS($Q$1006:S1006),$Q$1006:$U$1006,0)))),"Fix")))</f>
        <v xml:space="preserve"> </v>
      </c>
      <c r="E249" s="3" t="str">
        <f ca="1">IF(OR(INDEX($K$2:$K$1001,MATCH(ROWS($J$2:J249),$J$2:$J$1001,0),1)&gt;=100000,INDEX($Q$1005:$U$1005,1,MATCH(COLUMNS($Q$1006:T1006),$Q$1006:$U$1006,0))&gt;=100000), " ",IF(INDEX($Q$2:$U$1001,MATCH(ROWS($J$2:J249),$J$2:$J$1001,0),MATCH(COLUMNS($Q$1006:T1006),$Q$1006:$U$1006,0)), HYPERLINK("#",""), HYPERLINK(CONCATENATE("#metadata!", ADDRESS(INDEX($L$2:$L$1001,MATCH(ROWS($J$2:J249),$J$2:$J$1001,0),0), INDEX($Q$1004:$U$1004,1,MATCH(COLUMNS($Q$1006:T1006),$Q$1006:$U$1006,0)))),"Fix")))</f>
        <v xml:space="preserve"> </v>
      </c>
      <c r="F249" s="3" t="str">
        <f ca="1">IF(OR(INDEX($K$2:$K$1001,MATCH(ROWS($J$2:J249),$J$2:$J$1001,0),1)&gt;=100000,INDEX($Q$1005:$U$1005,1,MATCH(COLUMNS($Q$1006:U1006),$Q$1006:$U$1006,0))&gt;=100000), " ",IF(INDEX($Q$2:$U$1001,MATCH(ROWS($J$2:J249),$J$2:$J$1001,0),MATCH(COLUMNS($Q$1006:U1006),$Q$1006:$U$1006,0)), HYPERLINK("#",""), HYPERLINK(CONCATENATE("#metadata!", ADDRESS(INDEX($L$2:$L$1001,MATCH(ROWS($J$2:J249),$J$2:$J$1001,0),0), INDEX($Q$1004:$U$1004,1,MATCH(COLUMNS($Q$1006:U1006),$Q$1006:$U$1006,0)))),"Fix")))</f>
        <v xml:space="preserve"> </v>
      </c>
      <c r="J249">
        <v>248</v>
      </c>
      <c r="K249">
        <v>100249</v>
      </c>
      <c r="L249">
        <v>249</v>
      </c>
      <c r="M249" t="b">
        <f t="shared" si="3"/>
        <v>1</v>
      </c>
      <c r="N249" t="b">
        <f>COUNTBLANK(metadata!B249:F249)=COLUMNS(metadata!B249:F249)</f>
        <v>1</v>
      </c>
      <c r="O249" t="str">
        <v/>
      </c>
      <c r="Q249" t="b">
        <f ca="1">AND(IF(metadata!B249="",FALSE,TRUE),COUNTIF(metadata!B:B, metadata!B249) = 1,NOT(ISERROR(SUMPRODUCT(SEARCH(MID(metadata!B249,ROW(INDIRECT("1:"&amp;LEN(metadata!B249))), 1),"0123456789abcdefghijklmnopqrstuvwxyzABCDEFGHIJKLMNOPQRSTUVWXYZ.")))))</f>
        <v>0</v>
      </c>
      <c r="R249" t="b">
        <f>AND(IF(metadata!C249="",FALSE,TRUE),OR(EXACT(metadata!C249,"saline"),EXACT(metadata!C249,"non-saline")))</f>
        <v>0</v>
      </c>
      <c r="S249" t="b">
        <f>AND(IF(metadata!D249="",FALSE,TRUE),OR(EXACT(metadata!D249,"surface (non-saline)"),EXACT(metadata!D249,"aerosol (non-saline)"),EXACT(metadata!D249,"sediment (non-saline)"),EXACT(metadata!D249,"surface (saline)"),EXACT(metadata!D249,"aerosol (saline)"),EXACT(metadata!D249,"sediment (saline)")))</f>
        <v>0</v>
      </c>
      <c r="T249" t="b">
        <f>AND(IF(metadata!E249="",FALSE,TRUE),EXACT(metadata!E249,"built environment"))</f>
        <v>0</v>
      </c>
      <c r="U249" t="b">
        <f>OR(AND(IF(metadata!F249="",FALSE,TRUE),EXACT(metadata!F249,"not applicable")),AND(IF(metadata!F249="",FALSE,TRUE),EXACT(metadata!F249,"anaerobic digester content")))</f>
        <v>0</v>
      </c>
    </row>
    <row r="250" spans="1:21" x14ac:dyDescent="0.2">
      <c r="A250" s="4" t="str">
        <f ca="1">IF(B250=" "," ",HYPERLINK(CONCATENATE("#metadata!",ADDRESS(INDEX($L$2:$L$1001,MATCH(ROWS($J$2:J250),$J$2:$J$1001,0),0),1)),INDEX($O$2:$O$1001,MATCH(ROWS($J$2:J250),$J$2:$J$1001,0),0)))</f>
        <v xml:space="preserve"> </v>
      </c>
      <c r="B250" s="3" t="str">
        <f ca="1">IF(OR(INDEX($K$2:$K$1001,MATCH(ROWS($J$2:J250),$J$2:$J$1001,0),1)&gt;=100000,INDEX($Q$1005:$U$1005,1,MATCH(COLUMNS($Q$1006:Q1006),$Q$1006:$U$1006,0))&gt;=100000), " ",IF(INDEX($Q$2:$U$1001,MATCH(ROWS($J$2:J250),$J$2:$J$1001,0),MATCH(COLUMNS($Q$1006:Q1006),$Q$1006:$U$1006,0)), HYPERLINK("#",""), HYPERLINK(CONCATENATE("#metadata!", ADDRESS(INDEX($L$2:$L$1001,MATCH(ROWS($J$2:J250),$J$2:$J$1001,0),0), INDEX($Q$1004:$U$1004,1,MATCH(COLUMNS($Q$1006:Q1006),$Q$1006:$U$1006,0)))),"Fix")))</f>
        <v xml:space="preserve"> </v>
      </c>
      <c r="C250" s="3" t="str">
        <f ca="1">IF(OR(INDEX($K$2:$K$1001,MATCH(ROWS($J$2:J250),$J$2:$J$1001,0),1)&gt;=100000,INDEX($Q$1005:$U$1005,1,MATCH(COLUMNS($Q$1006:R1006),$Q$1006:$U$1006,0))&gt;=100000), " ",IF(INDEX($Q$2:$U$1001,MATCH(ROWS($J$2:J250),$J$2:$J$1001,0),MATCH(COLUMNS($Q$1006:R1006),$Q$1006:$U$1006,0)), HYPERLINK("#",""), HYPERLINK(CONCATENATE("#metadata!", ADDRESS(INDEX($L$2:$L$1001,MATCH(ROWS($J$2:J250),$J$2:$J$1001,0),0), INDEX($Q$1004:$U$1004,1,MATCH(COLUMNS($Q$1006:R1006),$Q$1006:$U$1006,0)))),"Fix")))</f>
        <v xml:space="preserve"> </v>
      </c>
      <c r="D250" s="3" t="str">
        <f ca="1">IF(OR(INDEX($K$2:$K$1001,MATCH(ROWS($J$2:J250),$J$2:$J$1001,0),1)&gt;=100000,INDEX($Q$1005:$U$1005,1,MATCH(COLUMNS($Q$1006:S1006),$Q$1006:$U$1006,0))&gt;=100000), " ",IF(INDEX($Q$2:$U$1001,MATCH(ROWS($J$2:J250),$J$2:$J$1001,0),MATCH(COLUMNS($Q$1006:S1006),$Q$1006:$U$1006,0)), HYPERLINK("#",""), HYPERLINK(CONCATENATE("#metadata!", ADDRESS(INDEX($L$2:$L$1001,MATCH(ROWS($J$2:J250),$J$2:$J$1001,0),0), INDEX($Q$1004:$U$1004,1,MATCH(COLUMNS($Q$1006:S1006),$Q$1006:$U$1006,0)))),"Fix")))</f>
        <v xml:space="preserve"> </v>
      </c>
      <c r="E250" s="3" t="str">
        <f ca="1">IF(OR(INDEX($K$2:$K$1001,MATCH(ROWS($J$2:J250),$J$2:$J$1001,0),1)&gt;=100000,INDEX($Q$1005:$U$1005,1,MATCH(COLUMNS($Q$1006:T1006),$Q$1006:$U$1006,0))&gt;=100000), " ",IF(INDEX($Q$2:$U$1001,MATCH(ROWS($J$2:J250),$J$2:$J$1001,0),MATCH(COLUMNS($Q$1006:T1006),$Q$1006:$U$1006,0)), HYPERLINK("#",""), HYPERLINK(CONCATENATE("#metadata!", ADDRESS(INDEX($L$2:$L$1001,MATCH(ROWS($J$2:J250),$J$2:$J$1001,0),0), INDEX($Q$1004:$U$1004,1,MATCH(COLUMNS($Q$1006:T1006),$Q$1006:$U$1006,0)))),"Fix")))</f>
        <v xml:space="preserve"> </v>
      </c>
      <c r="F250" s="3" t="str">
        <f ca="1">IF(OR(INDEX($K$2:$K$1001,MATCH(ROWS($J$2:J250),$J$2:$J$1001,0),1)&gt;=100000,INDEX($Q$1005:$U$1005,1,MATCH(COLUMNS($Q$1006:U1006),$Q$1006:$U$1006,0))&gt;=100000), " ",IF(INDEX($Q$2:$U$1001,MATCH(ROWS($J$2:J250),$J$2:$J$1001,0),MATCH(COLUMNS($Q$1006:U1006),$Q$1006:$U$1006,0)), HYPERLINK("#",""), HYPERLINK(CONCATENATE("#metadata!", ADDRESS(INDEX($L$2:$L$1001,MATCH(ROWS($J$2:J250),$J$2:$J$1001,0),0), INDEX($Q$1004:$U$1004,1,MATCH(COLUMNS($Q$1006:U1006),$Q$1006:$U$1006,0)))),"Fix")))</f>
        <v xml:space="preserve"> </v>
      </c>
      <c r="J250">
        <v>249</v>
      </c>
      <c r="K250">
        <v>100250</v>
      </c>
      <c r="L250">
        <v>250</v>
      </c>
      <c r="M250" t="b">
        <f t="shared" si="3"/>
        <v>1</v>
      </c>
      <c r="N250" t="b">
        <f>COUNTBLANK(metadata!B250:F250)=COLUMNS(metadata!B250:F250)</f>
        <v>1</v>
      </c>
      <c r="O250" t="str">
        <v/>
      </c>
      <c r="Q250" t="b">
        <f ca="1">AND(IF(metadata!B250="",FALSE,TRUE),COUNTIF(metadata!B:B, metadata!B250) = 1,NOT(ISERROR(SUMPRODUCT(SEARCH(MID(metadata!B250,ROW(INDIRECT("1:"&amp;LEN(metadata!B250))), 1),"0123456789abcdefghijklmnopqrstuvwxyzABCDEFGHIJKLMNOPQRSTUVWXYZ.")))))</f>
        <v>0</v>
      </c>
      <c r="R250" t="b">
        <f>AND(IF(metadata!C250="",FALSE,TRUE),OR(EXACT(metadata!C250,"saline"),EXACT(metadata!C250,"non-saline")))</f>
        <v>0</v>
      </c>
      <c r="S250" t="b">
        <f>AND(IF(metadata!D250="",FALSE,TRUE),OR(EXACT(metadata!D250,"surface (non-saline)"),EXACT(metadata!D250,"aerosol (non-saline)"),EXACT(metadata!D250,"sediment (non-saline)"),EXACT(metadata!D250,"surface (saline)"),EXACT(metadata!D250,"aerosol (saline)"),EXACT(metadata!D250,"sediment (saline)")))</f>
        <v>0</v>
      </c>
      <c r="T250" t="b">
        <f>AND(IF(metadata!E250="",FALSE,TRUE),EXACT(metadata!E250,"built environment"))</f>
        <v>0</v>
      </c>
      <c r="U250" t="b">
        <f>OR(AND(IF(metadata!F250="",FALSE,TRUE),EXACT(metadata!F250,"not applicable")),AND(IF(metadata!F250="",FALSE,TRUE),EXACT(metadata!F250,"anaerobic digester content")))</f>
        <v>0</v>
      </c>
    </row>
    <row r="251" spans="1:21" x14ac:dyDescent="0.2">
      <c r="A251" s="4" t="str">
        <f ca="1">IF(B251=" "," ",HYPERLINK(CONCATENATE("#metadata!",ADDRESS(INDEX($L$2:$L$1001,MATCH(ROWS($J$2:J251),$J$2:$J$1001,0),0),1)),INDEX($O$2:$O$1001,MATCH(ROWS($J$2:J251),$J$2:$J$1001,0),0)))</f>
        <v xml:space="preserve"> </v>
      </c>
      <c r="B251" s="3" t="str">
        <f ca="1">IF(OR(INDEX($K$2:$K$1001,MATCH(ROWS($J$2:J251),$J$2:$J$1001,0),1)&gt;=100000,INDEX($Q$1005:$U$1005,1,MATCH(COLUMNS($Q$1006:Q1006),$Q$1006:$U$1006,0))&gt;=100000), " ",IF(INDEX($Q$2:$U$1001,MATCH(ROWS($J$2:J251),$J$2:$J$1001,0),MATCH(COLUMNS($Q$1006:Q1006),$Q$1006:$U$1006,0)), HYPERLINK("#",""), HYPERLINK(CONCATENATE("#metadata!", ADDRESS(INDEX($L$2:$L$1001,MATCH(ROWS($J$2:J251),$J$2:$J$1001,0),0), INDEX($Q$1004:$U$1004,1,MATCH(COLUMNS($Q$1006:Q1006),$Q$1006:$U$1006,0)))),"Fix")))</f>
        <v xml:space="preserve"> </v>
      </c>
      <c r="C251" s="3" t="str">
        <f ca="1">IF(OR(INDEX($K$2:$K$1001,MATCH(ROWS($J$2:J251),$J$2:$J$1001,0),1)&gt;=100000,INDEX($Q$1005:$U$1005,1,MATCH(COLUMNS($Q$1006:R1006),$Q$1006:$U$1006,0))&gt;=100000), " ",IF(INDEX($Q$2:$U$1001,MATCH(ROWS($J$2:J251),$J$2:$J$1001,0),MATCH(COLUMNS($Q$1006:R1006),$Q$1006:$U$1006,0)), HYPERLINK("#",""), HYPERLINK(CONCATENATE("#metadata!", ADDRESS(INDEX($L$2:$L$1001,MATCH(ROWS($J$2:J251),$J$2:$J$1001,0),0), INDEX($Q$1004:$U$1004,1,MATCH(COLUMNS($Q$1006:R1006),$Q$1006:$U$1006,0)))),"Fix")))</f>
        <v xml:space="preserve"> </v>
      </c>
      <c r="D251" s="3" t="str">
        <f ca="1">IF(OR(INDEX($K$2:$K$1001,MATCH(ROWS($J$2:J251),$J$2:$J$1001,0),1)&gt;=100000,INDEX($Q$1005:$U$1005,1,MATCH(COLUMNS($Q$1006:S1006),$Q$1006:$U$1006,0))&gt;=100000), " ",IF(INDEX($Q$2:$U$1001,MATCH(ROWS($J$2:J251),$J$2:$J$1001,0),MATCH(COLUMNS($Q$1006:S1006),$Q$1006:$U$1006,0)), HYPERLINK("#",""), HYPERLINK(CONCATENATE("#metadata!", ADDRESS(INDEX($L$2:$L$1001,MATCH(ROWS($J$2:J251),$J$2:$J$1001,0),0), INDEX($Q$1004:$U$1004,1,MATCH(COLUMNS($Q$1006:S1006),$Q$1006:$U$1006,0)))),"Fix")))</f>
        <v xml:space="preserve"> </v>
      </c>
      <c r="E251" s="3" t="str">
        <f ca="1">IF(OR(INDEX($K$2:$K$1001,MATCH(ROWS($J$2:J251),$J$2:$J$1001,0),1)&gt;=100000,INDEX($Q$1005:$U$1005,1,MATCH(COLUMNS($Q$1006:T1006),$Q$1006:$U$1006,0))&gt;=100000), " ",IF(INDEX($Q$2:$U$1001,MATCH(ROWS($J$2:J251),$J$2:$J$1001,0),MATCH(COLUMNS($Q$1006:T1006),$Q$1006:$U$1006,0)), HYPERLINK("#",""), HYPERLINK(CONCATENATE("#metadata!", ADDRESS(INDEX($L$2:$L$1001,MATCH(ROWS($J$2:J251),$J$2:$J$1001,0),0), INDEX($Q$1004:$U$1004,1,MATCH(COLUMNS($Q$1006:T1006),$Q$1006:$U$1006,0)))),"Fix")))</f>
        <v xml:space="preserve"> </v>
      </c>
      <c r="F251" s="3" t="str">
        <f ca="1">IF(OR(INDEX($K$2:$K$1001,MATCH(ROWS($J$2:J251),$J$2:$J$1001,0),1)&gt;=100000,INDEX($Q$1005:$U$1005,1,MATCH(COLUMNS($Q$1006:U1006),$Q$1006:$U$1006,0))&gt;=100000), " ",IF(INDEX($Q$2:$U$1001,MATCH(ROWS($J$2:J251),$J$2:$J$1001,0),MATCH(COLUMNS($Q$1006:U1006),$Q$1006:$U$1006,0)), HYPERLINK("#",""), HYPERLINK(CONCATENATE("#metadata!", ADDRESS(INDEX($L$2:$L$1001,MATCH(ROWS($J$2:J251),$J$2:$J$1001,0),0), INDEX($Q$1004:$U$1004,1,MATCH(COLUMNS($Q$1006:U1006),$Q$1006:$U$1006,0)))),"Fix")))</f>
        <v xml:space="preserve"> </v>
      </c>
      <c r="J251">
        <v>250</v>
      </c>
      <c r="K251">
        <v>100251</v>
      </c>
      <c r="L251">
        <v>251</v>
      </c>
      <c r="M251" t="b">
        <f t="shared" si="3"/>
        <v>1</v>
      </c>
      <c r="N251" t="b">
        <f>COUNTBLANK(metadata!B251:F251)=COLUMNS(metadata!B251:F251)</f>
        <v>1</v>
      </c>
      <c r="O251" t="str">
        <v/>
      </c>
      <c r="Q251" t="b">
        <f ca="1">AND(IF(metadata!B251="",FALSE,TRUE),COUNTIF(metadata!B:B, metadata!B251) = 1,NOT(ISERROR(SUMPRODUCT(SEARCH(MID(metadata!B251,ROW(INDIRECT("1:"&amp;LEN(metadata!B251))), 1),"0123456789abcdefghijklmnopqrstuvwxyzABCDEFGHIJKLMNOPQRSTUVWXYZ.")))))</f>
        <v>0</v>
      </c>
      <c r="R251" t="b">
        <f>AND(IF(metadata!C251="",FALSE,TRUE),OR(EXACT(metadata!C251,"saline"),EXACT(metadata!C251,"non-saline")))</f>
        <v>0</v>
      </c>
      <c r="S251" t="b">
        <f>AND(IF(metadata!D251="",FALSE,TRUE),OR(EXACT(metadata!D251,"surface (non-saline)"),EXACT(metadata!D251,"aerosol (non-saline)"),EXACT(metadata!D251,"sediment (non-saline)"),EXACT(metadata!D251,"surface (saline)"),EXACT(metadata!D251,"aerosol (saline)"),EXACT(metadata!D251,"sediment (saline)")))</f>
        <v>0</v>
      </c>
      <c r="T251" t="b">
        <f>AND(IF(metadata!E251="",FALSE,TRUE),EXACT(metadata!E251,"built environment"))</f>
        <v>0</v>
      </c>
      <c r="U251" t="b">
        <f>OR(AND(IF(metadata!F251="",FALSE,TRUE),EXACT(metadata!F251,"not applicable")),AND(IF(metadata!F251="",FALSE,TRUE),EXACT(metadata!F251,"anaerobic digester content")))</f>
        <v>0</v>
      </c>
    </row>
    <row r="252" spans="1:21" x14ac:dyDescent="0.2">
      <c r="A252" s="4" t="str">
        <f ca="1">IF(B252=" "," ",HYPERLINK(CONCATENATE("#metadata!",ADDRESS(INDEX($L$2:$L$1001,MATCH(ROWS($J$2:J252),$J$2:$J$1001,0),0),1)),INDEX($O$2:$O$1001,MATCH(ROWS($J$2:J252),$J$2:$J$1001,0),0)))</f>
        <v xml:space="preserve"> </v>
      </c>
      <c r="B252" s="3" t="str">
        <f ca="1">IF(OR(INDEX($K$2:$K$1001,MATCH(ROWS($J$2:J252),$J$2:$J$1001,0),1)&gt;=100000,INDEX($Q$1005:$U$1005,1,MATCH(COLUMNS($Q$1006:Q1006),$Q$1006:$U$1006,0))&gt;=100000), " ",IF(INDEX($Q$2:$U$1001,MATCH(ROWS($J$2:J252),$J$2:$J$1001,0),MATCH(COLUMNS($Q$1006:Q1006),$Q$1006:$U$1006,0)), HYPERLINK("#",""), HYPERLINK(CONCATENATE("#metadata!", ADDRESS(INDEX($L$2:$L$1001,MATCH(ROWS($J$2:J252),$J$2:$J$1001,0),0), INDEX($Q$1004:$U$1004,1,MATCH(COLUMNS($Q$1006:Q1006),$Q$1006:$U$1006,0)))),"Fix")))</f>
        <v xml:space="preserve"> </v>
      </c>
      <c r="C252" s="3" t="str">
        <f ca="1">IF(OR(INDEX($K$2:$K$1001,MATCH(ROWS($J$2:J252),$J$2:$J$1001,0),1)&gt;=100000,INDEX($Q$1005:$U$1005,1,MATCH(COLUMNS($Q$1006:R1006),$Q$1006:$U$1006,0))&gt;=100000), " ",IF(INDEX($Q$2:$U$1001,MATCH(ROWS($J$2:J252),$J$2:$J$1001,0),MATCH(COLUMNS($Q$1006:R1006),$Q$1006:$U$1006,0)), HYPERLINK("#",""), HYPERLINK(CONCATENATE("#metadata!", ADDRESS(INDEX($L$2:$L$1001,MATCH(ROWS($J$2:J252),$J$2:$J$1001,0),0), INDEX($Q$1004:$U$1004,1,MATCH(COLUMNS($Q$1006:R1006),$Q$1006:$U$1006,0)))),"Fix")))</f>
        <v xml:space="preserve"> </v>
      </c>
      <c r="D252" s="3" t="str">
        <f ca="1">IF(OR(INDEX($K$2:$K$1001,MATCH(ROWS($J$2:J252),$J$2:$J$1001,0),1)&gt;=100000,INDEX($Q$1005:$U$1005,1,MATCH(COLUMNS($Q$1006:S1006),$Q$1006:$U$1006,0))&gt;=100000), " ",IF(INDEX($Q$2:$U$1001,MATCH(ROWS($J$2:J252),$J$2:$J$1001,0),MATCH(COLUMNS($Q$1006:S1006),$Q$1006:$U$1006,0)), HYPERLINK("#",""), HYPERLINK(CONCATENATE("#metadata!", ADDRESS(INDEX($L$2:$L$1001,MATCH(ROWS($J$2:J252),$J$2:$J$1001,0),0), INDEX($Q$1004:$U$1004,1,MATCH(COLUMNS($Q$1006:S1006),$Q$1006:$U$1006,0)))),"Fix")))</f>
        <v xml:space="preserve"> </v>
      </c>
      <c r="E252" s="3" t="str">
        <f ca="1">IF(OR(INDEX($K$2:$K$1001,MATCH(ROWS($J$2:J252),$J$2:$J$1001,0),1)&gt;=100000,INDEX($Q$1005:$U$1005,1,MATCH(COLUMNS($Q$1006:T1006),$Q$1006:$U$1006,0))&gt;=100000), " ",IF(INDEX($Q$2:$U$1001,MATCH(ROWS($J$2:J252),$J$2:$J$1001,0),MATCH(COLUMNS($Q$1006:T1006),$Q$1006:$U$1006,0)), HYPERLINK("#",""), HYPERLINK(CONCATENATE("#metadata!", ADDRESS(INDEX($L$2:$L$1001,MATCH(ROWS($J$2:J252),$J$2:$J$1001,0),0), INDEX($Q$1004:$U$1004,1,MATCH(COLUMNS($Q$1006:T1006),$Q$1006:$U$1006,0)))),"Fix")))</f>
        <v xml:space="preserve"> </v>
      </c>
      <c r="F252" s="3" t="str">
        <f ca="1">IF(OR(INDEX($K$2:$K$1001,MATCH(ROWS($J$2:J252),$J$2:$J$1001,0),1)&gt;=100000,INDEX($Q$1005:$U$1005,1,MATCH(COLUMNS($Q$1006:U1006),$Q$1006:$U$1006,0))&gt;=100000), " ",IF(INDEX($Q$2:$U$1001,MATCH(ROWS($J$2:J252),$J$2:$J$1001,0),MATCH(COLUMNS($Q$1006:U1006),$Q$1006:$U$1006,0)), HYPERLINK("#",""), HYPERLINK(CONCATENATE("#metadata!", ADDRESS(INDEX($L$2:$L$1001,MATCH(ROWS($J$2:J252),$J$2:$J$1001,0),0), INDEX($Q$1004:$U$1004,1,MATCH(COLUMNS($Q$1006:U1006),$Q$1006:$U$1006,0)))),"Fix")))</f>
        <v xml:space="preserve"> </v>
      </c>
      <c r="J252">
        <v>251</v>
      </c>
      <c r="K252">
        <v>100252</v>
      </c>
      <c r="L252">
        <v>252</v>
      </c>
      <c r="M252" t="b">
        <f t="shared" si="3"/>
        <v>1</v>
      </c>
      <c r="N252" t="b">
        <f>COUNTBLANK(metadata!B252:F252)=COLUMNS(metadata!B252:F252)</f>
        <v>1</v>
      </c>
      <c r="O252" t="str">
        <v/>
      </c>
      <c r="Q252" t="b">
        <f ca="1">AND(IF(metadata!B252="",FALSE,TRUE),COUNTIF(metadata!B:B, metadata!B252) = 1,NOT(ISERROR(SUMPRODUCT(SEARCH(MID(metadata!B252,ROW(INDIRECT("1:"&amp;LEN(metadata!B252))), 1),"0123456789abcdefghijklmnopqrstuvwxyzABCDEFGHIJKLMNOPQRSTUVWXYZ.")))))</f>
        <v>0</v>
      </c>
      <c r="R252" t="b">
        <f>AND(IF(metadata!C252="",FALSE,TRUE),OR(EXACT(metadata!C252,"saline"),EXACT(metadata!C252,"non-saline")))</f>
        <v>0</v>
      </c>
      <c r="S252" t="b">
        <f>AND(IF(metadata!D252="",FALSE,TRUE),OR(EXACT(metadata!D252,"surface (non-saline)"),EXACT(metadata!D252,"aerosol (non-saline)"),EXACT(metadata!D252,"sediment (non-saline)"),EXACT(metadata!D252,"surface (saline)"),EXACT(metadata!D252,"aerosol (saline)"),EXACT(metadata!D252,"sediment (saline)")))</f>
        <v>0</v>
      </c>
      <c r="T252" t="b">
        <f>AND(IF(metadata!E252="",FALSE,TRUE),EXACT(metadata!E252,"built environment"))</f>
        <v>0</v>
      </c>
      <c r="U252" t="b">
        <f>OR(AND(IF(metadata!F252="",FALSE,TRUE),EXACT(metadata!F252,"not applicable")),AND(IF(metadata!F252="",FALSE,TRUE),EXACT(metadata!F252,"anaerobic digester content")))</f>
        <v>0</v>
      </c>
    </row>
    <row r="253" spans="1:21" x14ac:dyDescent="0.2">
      <c r="A253" s="4" t="str">
        <f ca="1">IF(B253=" "," ",HYPERLINK(CONCATENATE("#metadata!",ADDRESS(INDEX($L$2:$L$1001,MATCH(ROWS($J$2:J253),$J$2:$J$1001,0),0),1)),INDEX($O$2:$O$1001,MATCH(ROWS($J$2:J253),$J$2:$J$1001,0),0)))</f>
        <v xml:space="preserve"> </v>
      </c>
      <c r="B253" s="3" t="str">
        <f ca="1">IF(OR(INDEX($K$2:$K$1001,MATCH(ROWS($J$2:J253),$J$2:$J$1001,0),1)&gt;=100000,INDEX($Q$1005:$U$1005,1,MATCH(COLUMNS($Q$1006:Q1006),$Q$1006:$U$1006,0))&gt;=100000), " ",IF(INDEX($Q$2:$U$1001,MATCH(ROWS($J$2:J253),$J$2:$J$1001,0),MATCH(COLUMNS($Q$1006:Q1006),$Q$1006:$U$1006,0)), HYPERLINK("#",""), HYPERLINK(CONCATENATE("#metadata!", ADDRESS(INDEX($L$2:$L$1001,MATCH(ROWS($J$2:J253),$J$2:$J$1001,0),0), INDEX($Q$1004:$U$1004,1,MATCH(COLUMNS($Q$1006:Q1006),$Q$1006:$U$1006,0)))),"Fix")))</f>
        <v xml:space="preserve"> </v>
      </c>
      <c r="C253" s="3" t="str">
        <f ca="1">IF(OR(INDEX($K$2:$K$1001,MATCH(ROWS($J$2:J253),$J$2:$J$1001,0),1)&gt;=100000,INDEX($Q$1005:$U$1005,1,MATCH(COLUMNS($Q$1006:R1006),$Q$1006:$U$1006,0))&gt;=100000), " ",IF(INDEX($Q$2:$U$1001,MATCH(ROWS($J$2:J253),$J$2:$J$1001,0),MATCH(COLUMNS($Q$1006:R1006),$Q$1006:$U$1006,0)), HYPERLINK("#",""), HYPERLINK(CONCATENATE("#metadata!", ADDRESS(INDEX($L$2:$L$1001,MATCH(ROWS($J$2:J253),$J$2:$J$1001,0),0), INDEX($Q$1004:$U$1004,1,MATCH(COLUMNS($Q$1006:R1006),$Q$1006:$U$1006,0)))),"Fix")))</f>
        <v xml:space="preserve"> </v>
      </c>
      <c r="D253" s="3" t="str">
        <f ca="1">IF(OR(INDEX($K$2:$K$1001,MATCH(ROWS($J$2:J253),$J$2:$J$1001,0),1)&gt;=100000,INDEX($Q$1005:$U$1005,1,MATCH(COLUMNS($Q$1006:S1006),$Q$1006:$U$1006,0))&gt;=100000), " ",IF(INDEX($Q$2:$U$1001,MATCH(ROWS($J$2:J253),$J$2:$J$1001,0),MATCH(COLUMNS($Q$1006:S1006),$Q$1006:$U$1006,0)), HYPERLINK("#",""), HYPERLINK(CONCATENATE("#metadata!", ADDRESS(INDEX($L$2:$L$1001,MATCH(ROWS($J$2:J253),$J$2:$J$1001,0),0), INDEX($Q$1004:$U$1004,1,MATCH(COLUMNS($Q$1006:S1006),$Q$1006:$U$1006,0)))),"Fix")))</f>
        <v xml:space="preserve"> </v>
      </c>
      <c r="E253" s="3" t="str">
        <f ca="1">IF(OR(INDEX($K$2:$K$1001,MATCH(ROWS($J$2:J253),$J$2:$J$1001,0),1)&gt;=100000,INDEX($Q$1005:$U$1005,1,MATCH(COLUMNS($Q$1006:T1006),$Q$1006:$U$1006,0))&gt;=100000), " ",IF(INDEX($Q$2:$U$1001,MATCH(ROWS($J$2:J253),$J$2:$J$1001,0),MATCH(COLUMNS($Q$1006:T1006),$Q$1006:$U$1006,0)), HYPERLINK("#",""), HYPERLINK(CONCATENATE("#metadata!", ADDRESS(INDEX($L$2:$L$1001,MATCH(ROWS($J$2:J253),$J$2:$J$1001,0),0), INDEX($Q$1004:$U$1004,1,MATCH(COLUMNS($Q$1006:T1006),$Q$1006:$U$1006,0)))),"Fix")))</f>
        <v xml:space="preserve"> </v>
      </c>
      <c r="F253" s="3" t="str">
        <f ca="1">IF(OR(INDEX($K$2:$K$1001,MATCH(ROWS($J$2:J253),$J$2:$J$1001,0),1)&gt;=100000,INDEX($Q$1005:$U$1005,1,MATCH(COLUMNS($Q$1006:U1006),$Q$1006:$U$1006,0))&gt;=100000), " ",IF(INDEX($Q$2:$U$1001,MATCH(ROWS($J$2:J253),$J$2:$J$1001,0),MATCH(COLUMNS($Q$1006:U1006),$Q$1006:$U$1006,0)), HYPERLINK("#",""), HYPERLINK(CONCATENATE("#metadata!", ADDRESS(INDEX($L$2:$L$1001,MATCH(ROWS($J$2:J253),$J$2:$J$1001,0),0), INDEX($Q$1004:$U$1004,1,MATCH(COLUMNS($Q$1006:U1006),$Q$1006:$U$1006,0)))),"Fix")))</f>
        <v xml:space="preserve"> </v>
      </c>
      <c r="J253">
        <v>252</v>
      </c>
      <c r="K253">
        <v>100253</v>
      </c>
      <c r="L253">
        <v>253</v>
      </c>
      <c r="M253" t="b">
        <f t="shared" si="3"/>
        <v>1</v>
      </c>
      <c r="N253" t="b">
        <f>COUNTBLANK(metadata!B253:F253)=COLUMNS(metadata!B253:F253)</f>
        <v>1</v>
      </c>
      <c r="O253" t="str">
        <v/>
      </c>
      <c r="Q253" t="b">
        <f ca="1">AND(IF(metadata!B253="",FALSE,TRUE),COUNTIF(metadata!B:B, metadata!B253) = 1,NOT(ISERROR(SUMPRODUCT(SEARCH(MID(metadata!B253,ROW(INDIRECT("1:"&amp;LEN(metadata!B253))), 1),"0123456789abcdefghijklmnopqrstuvwxyzABCDEFGHIJKLMNOPQRSTUVWXYZ.")))))</f>
        <v>0</v>
      </c>
      <c r="R253" t="b">
        <f>AND(IF(metadata!C253="",FALSE,TRUE),OR(EXACT(metadata!C253,"saline"),EXACT(metadata!C253,"non-saline")))</f>
        <v>0</v>
      </c>
      <c r="S253" t="b">
        <f>AND(IF(metadata!D253="",FALSE,TRUE),OR(EXACT(metadata!D253,"surface (non-saline)"),EXACT(metadata!D253,"aerosol (non-saline)"),EXACT(metadata!D253,"sediment (non-saline)"),EXACT(metadata!D253,"surface (saline)"),EXACT(metadata!D253,"aerosol (saline)"),EXACT(metadata!D253,"sediment (saline)")))</f>
        <v>0</v>
      </c>
      <c r="T253" t="b">
        <f>AND(IF(metadata!E253="",FALSE,TRUE),EXACT(metadata!E253,"built environment"))</f>
        <v>0</v>
      </c>
      <c r="U253" t="b">
        <f>OR(AND(IF(metadata!F253="",FALSE,TRUE),EXACT(metadata!F253,"not applicable")),AND(IF(metadata!F253="",FALSE,TRUE),EXACT(metadata!F253,"anaerobic digester content")))</f>
        <v>0</v>
      </c>
    </row>
    <row r="254" spans="1:21" x14ac:dyDescent="0.2">
      <c r="A254" s="4" t="str">
        <f ca="1">IF(B254=" "," ",HYPERLINK(CONCATENATE("#metadata!",ADDRESS(INDEX($L$2:$L$1001,MATCH(ROWS($J$2:J254),$J$2:$J$1001,0),0),1)),INDEX($O$2:$O$1001,MATCH(ROWS($J$2:J254),$J$2:$J$1001,0),0)))</f>
        <v xml:space="preserve"> </v>
      </c>
      <c r="B254" s="3" t="str">
        <f ca="1">IF(OR(INDEX($K$2:$K$1001,MATCH(ROWS($J$2:J254),$J$2:$J$1001,0),1)&gt;=100000,INDEX($Q$1005:$U$1005,1,MATCH(COLUMNS($Q$1006:Q1006),$Q$1006:$U$1006,0))&gt;=100000), " ",IF(INDEX($Q$2:$U$1001,MATCH(ROWS($J$2:J254),$J$2:$J$1001,0),MATCH(COLUMNS($Q$1006:Q1006),$Q$1006:$U$1006,0)), HYPERLINK("#",""), HYPERLINK(CONCATENATE("#metadata!", ADDRESS(INDEX($L$2:$L$1001,MATCH(ROWS($J$2:J254),$J$2:$J$1001,0),0), INDEX($Q$1004:$U$1004,1,MATCH(COLUMNS($Q$1006:Q1006),$Q$1006:$U$1006,0)))),"Fix")))</f>
        <v xml:space="preserve"> </v>
      </c>
      <c r="C254" s="3" t="str">
        <f ca="1">IF(OR(INDEX($K$2:$K$1001,MATCH(ROWS($J$2:J254),$J$2:$J$1001,0),1)&gt;=100000,INDEX($Q$1005:$U$1005,1,MATCH(COLUMNS($Q$1006:R1006),$Q$1006:$U$1006,0))&gt;=100000), " ",IF(INDEX($Q$2:$U$1001,MATCH(ROWS($J$2:J254),$J$2:$J$1001,0),MATCH(COLUMNS($Q$1006:R1006),$Q$1006:$U$1006,0)), HYPERLINK("#",""), HYPERLINK(CONCATENATE("#metadata!", ADDRESS(INDEX($L$2:$L$1001,MATCH(ROWS($J$2:J254),$J$2:$J$1001,0),0), INDEX($Q$1004:$U$1004,1,MATCH(COLUMNS($Q$1006:R1006),$Q$1006:$U$1006,0)))),"Fix")))</f>
        <v xml:space="preserve"> </v>
      </c>
      <c r="D254" s="3" t="str">
        <f ca="1">IF(OR(INDEX($K$2:$K$1001,MATCH(ROWS($J$2:J254),$J$2:$J$1001,0),1)&gt;=100000,INDEX($Q$1005:$U$1005,1,MATCH(COLUMNS($Q$1006:S1006),$Q$1006:$U$1006,0))&gt;=100000), " ",IF(INDEX($Q$2:$U$1001,MATCH(ROWS($J$2:J254),$J$2:$J$1001,0),MATCH(COLUMNS($Q$1006:S1006),$Q$1006:$U$1006,0)), HYPERLINK("#",""), HYPERLINK(CONCATENATE("#metadata!", ADDRESS(INDEX($L$2:$L$1001,MATCH(ROWS($J$2:J254),$J$2:$J$1001,0),0), INDEX($Q$1004:$U$1004,1,MATCH(COLUMNS($Q$1006:S1006),$Q$1006:$U$1006,0)))),"Fix")))</f>
        <v xml:space="preserve"> </v>
      </c>
      <c r="E254" s="3" t="str">
        <f ca="1">IF(OR(INDEX($K$2:$K$1001,MATCH(ROWS($J$2:J254),$J$2:$J$1001,0),1)&gt;=100000,INDEX($Q$1005:$U$1005,1,MATCH(COLUMNS($Q$1006:T1006),$Q$1006:$U$1006,0))&gt;=100000), " ",IF(INDEX($Q$2:$U$1001,MATCH(ROWS($J$2:J254),$J$2:$J$1001,0),MATCH(COLUMNS($Q$1006:T1006),$Q$1006:$U$1006,0)), HYPERLINK("#",""), HYPERLINK(CONCATENATE("#metadata!", ADDRESS(INDEX($L$2:$L$1001,MATCH(ROWS($J$2:J254),$J$2:$J$1001,0),0), INDEX($Q$1004:$U$1004,1,MATCH(COLUMNS($Q$1006:T1006),$Q$1006:$U$1006,0)))),"Fix")))</f>
        <v xml:space="preserve"> </v>
      </c>
      <c r="F254" s="3" t="str">
        <f ca="1">IF(OR(INDEX($K$2:$K$1001,MATCH(ROWS($J$2:J254),$J$2:$J$1001,0),1)&gt;=100000,INDEX($Q$1005:$U$1005,1,MATCH(COLUMNS($Q$1006:U1006),$Q$1006:$U$1006,0))&gt;=100000), " ",IF(INDEX($Q$2:$U$1001,MATCH(ROWS($J$2:J254),$J$2:$J$1001,0),MATCH(COLUMNS($Q$1006:U1006),$Q$1006:$U$1006,0)), HYPERLINK("#",""), HYPERLINK(CONCATENATE("#metadata!", ADDRESS(INDEX($L$2:$L$1001,MATCH(ROWS($J$2:J254),$J$2:$J$1001,0),0), INDEX($Q$1004:$U$1004,1,MATCH(COLUMNS($Q$1006:U1006),$Q$1006:$U$1006,0)))),"Fix")))</f>
        <v xml:space="preserve"> </v>
      </c>
      <c r="J254">
        <v>253</v>
      </c>
      <c r="K254">
        <v>100254</v>
      </c>
      <c r="L254">
        <v>254</v>
      </c>
      <c r="M254" t="b">
        <f t="shared" si="3"/>
        <v>1</v>
      </c>
      <c r="N254" t="b">
        <f>COUNTBLANK(metadata!B254:F254)=COLUMNS(metadata!B254:F254)</f>
        <v>1</v>
      </c>
      <c r="O254" t="str">
        <v/>
      </c>
      <c r="Q254" t="b">
        <f ca="1">AND(IF(metadata!B254="",FALSE,TRUE),COUNTIF(metadata!B:B, metadata!B254) = 1,NOT(ISERROR(SUMPRODUCT(SEARCH(MID(metadata!B254,ROW(INDIRECT("1:"&amp;LEN(metadata!B254))), 1),"0123456789abcdefghijklmnopqrstuvwxyzABCDEFGHIJKLMNOPQRSTUVWXYZ.")))))</f>
        <v>0</v>
      </c>
      <c r="R254" t="b">
        <f>AND(IF(metadata!C254="",FALSE,TRUE),OR(EXACT(metadata!C254,"saline"),EXACT(metadata!C254,"non-saline")))</f>
        <v>0</v>
      </c>
      <c r="S254" t="b">
        <f>AND(IF(metadata!D254="",FALSE,TRUE),OR(EXACT(metadata!D254,"surface (non-saline)"),EXACT(metadata!D254,"aerosol (non-saline)"),EXACT(metadata!D254,"sediment (non-saline)"),EXACT(metadata!D254,"surface (saline)"),EXACT(metadata!D254,"aerosol (saline)"),EXACT(metadata!D254,"sediment (saline)")))</f>
        <v>0</v>
      </c>
      <c r="T254" t="b">
        <f>AND(IF(metadata!E254="",FALSE,TRUE),EXACT(metadata!E254,"built environment"))</f>
        <v>0</v>
      </c>
      <c r="U254" t="b">
        <f>OR(AND(IF(metadata!F254="",FALSE,TRUE),EXACT(metadata!F254,"not applicable")),AND(IF(metadata!F254="",FALSE,TRUE),EXACT(metadata!F254,"anaerobic digester content")))</f>
        <v>0</v>
      </c>
    </row>
    <row r="255" spans="1:21" x14ac:dyDescent="0.2">
      <c r="A255" s="4" t="str">
        <f ca="1">IF(B255=" "," ",HYPERLINK(CONCATENATE("#metadata!",ADDRESS(INDEX($L$2:$L$1001,MATCH(ROWS($J$2:J255),$J$2:$J$1001,0),0),1)),INDEX($O$2:$O$1001,MATCH(ROWS($J$2:J255),$J$2:$J$1001,0),0)))</f>
        <v xml:space="preserve"> </v>
      </c>
      <c r="B255" s="3" t="str">
        <f ca="1">IF(OR(INDEX($K$2:$K$1001,MATCH(ROWS($J$2:J255),$J$2:$J$1001,0),1)&gt;=100000,INDEX($Q$1005:$U$1005,1,MATCH(COLUMNS($Q$1006:Q1006),$Q$1006:$U$1006,0))&gt;=100000), " ",IF(INDEX($Q$2:$U$1001,MATCH(ROWS($J$2:J255),$J$2:$J$1001,0),MATCH(COLUMNS($Q$1006:Q1006),$Q$1006:$U$1006,0)), HYPERLINK("#",""), HYPERLINK(CONCATENATE("#metadata!", ADDRESS(INDEX($L$2:$L$1001,MATCH(ROWS($J$2:J255),$J$2:$J$1001,0),0), INDEX($Q$1004:$U$1004,1,MATCH(COLUMNS($Q$1006:Q1006),$Q$1006:$U$1006,0)))),"Fix")))</f>
        <v xml:space="preserve"> </v>
      </c>
      <c r="C255" s="3" t="str">
        <f ca="1">IF(OR(INDEX($K$2:$K$1001,MATCH(ROWS($J$2:J255),$J$2:$J$1001,0),1)&gt;=100000,INDEX($Q$1005:$U$1005,1,MATCH(COLUMNS($Q$1006:R1006),$Q$1006:$U$1006,0))&gt;=100000), " ",IF(INDEX($Q$2:$U$1001,MATCH(ROWS($J$2:J255),$J$2:$J$1001,0),MATCH(COLUMNS($Q$1006:R1006),$Q$1006:$U$1006,0)), HYPERLINK("#",""), HYPERLINK(CONCATENATE("#metadata!", ADDRESS(INDEX($L$2:$L$1001,MATCH(ROWS($J$2:J255),$J$2:$J$1001,0),0), INDEX($Q$1004:$U$1004,1,MATCH(COLUMNS($Q$1006:R1006),$Q$1006:$U$1006,0)))),"Fix")))</f>
        <v xml:space="preserve"> </v>
      </c>
      <c r="D255" s="3" t="str">
        <f ca="1">IF(OR(INDEX($K$2:$K$1001,MATCH(ROWS($J$2:J255),$J$2:$J$1001,0),1)&gt;=100000,INDEX($Q$1005:$U$1005,1,MATCH(COLUMNS($Q$1006:S1006),$Q$1006:$U$1006,0))&gt;=100000), " ",IF(INDEX($Q$2:$U$1001,MATCH(ROWS($J$2:J255),$J$2:$J$1001,0),MATCH(COLUMNS($Q$1006:S1006),$Q$1006:$U$1006,0)), HYPERLINK("#",""), HYPERLINK(CONCATENATE("#metadata!", ADDRESS(INDEX($L$2:$L$1001,MATCH(ROWS($J$2:J255),$J$2:$J$1001,0),0), INDEX($Q$1004:$U$1004,1,MATCH(COLUMNS($Q$1006:S1006),$Q$1006:$U$1006,0)))),"Fix")))</f>
        <v xml:space="preserve"> </v>
      </c>
      <c r="E255" s="3" t="str">
        <f ca="1">IF(OR(INDEX($K$2:$K$1001,MATCH(ROWS($J$2:J255),$J$2:$J$1001,0),1)&gt;=100000,INDEX($Q$1005:$U$1005,1,MATCH(COLUMNS($Q$1006:T1006),$Q$1006:$U$1006,0))&gt;=100000), " ",IF(INDEX($Q$2:$U$1001,MATCH(ROWS($J$2:J255),$J$2:$J$1001,0),MATCH(COLUMNS($Q$1006:T1006),$Q$1006:$U$1006,0)), HYPERLINK("#",""), HYPERLINK(CONCATENATE("#metadata!", ADDRESS(INDEX($L$2:$L$1001,MATCH(ROWS($J$2:J255),$J$2:$J$1001,0),0), INDEX($Q$1004:$U$1004,1,MATCH(COLUMNS($Q$1006:T1006),$Q$1006:$U$1006,0)))),"Fix")))</f>
        <v xml:space="preserve"> </v>
      </c>
      <c r="F255" s="3" t="str">
        <f ca="1">IF(OR(INDEX($K$2:$K$1001,MATCH(ROWS($J$2:J255),$J$2:$J$1001,0),1)&gt;=100000,INDEX($Q$1005:$U$1005,1,MATCH(COLUMNS($Q$1006:U1006),$Q$1006:$U$1006,0))&gt;=100000), " ",IF(INDEX($Q$2:$U$1001,MATCH(ROWS($J$2:J255),$J$2:$J$1001,0),MATCH(COLUMNS($Q$1006:U1006),$Q$1006:$U$1006,0)), HYPERLINK("#",""), HYPERLINK(CONCATENATE("#metadata!", ADDRESS(INDEX($L$2:$L$1001,MATCH(ROWS($J$2:J255),$J$2:$J$1001,0),0), INDEX($Q$1004:$U$1004,1,MATCH(COLUMNS($Q$1006:U1006),$Q$1006:$U$1006,0)))),"Fix")))</f>
        <v xml:space="preserve"> </v>
      </c>
      <c r="J255">
        <v>254</v>
      </c>
      <c r="K255">
        <v>100255</v>
      </c>
      <c r="L255">
        <v>255</v>
      </c>
      <c r="M255" t="b">
        <f t="shared" si="3"/>
        <v>1</v>
      </c>
      <c r="N255" t="b">
        <f>COUNTBLANK(metadata!B255:F255)=COLUMNS(metadata!B255:F255)</f>
        <v>1</v>
      </c>
      <c r="O255" t="str">
        <v/>
      </c>
      <c r="Q255" t="b">
        <f ca="1">AND(IF(metadata!B255="",FALSE,TRUE),COUNTIF(metadata!B:B, metadata!B255) = 1,NOT(ISERROR(SUMPRODUCT(SEARCH(MID(metadata!B255,ROW(INDIRECT("1:"&amp;LEN(metadata!B255))), 1),"0123456789abcdefghijklmnopqrstuvwxyzABCDEFGHIJKLMNOPQRSTUVWXYZ.")))))</f>
        <v>0</v>
      </c>
      <c r="R255" t="b">
        <f>AND(IF(metadata!C255="",FALSE,TRUE),OR(EXACT(metadata!C255,"saline"),EXACT(metadata!C255,"non-saline")))</f>
        <v>0</v>
      </c>
      <c r="S255" t="b">
        <f>AND(IF(metadata!D255="",FALSE,TRUE),OR(EXACT(metadata!D255,"surface (non-saline)"),EXACT(metadata!D255,"aerosol (non-saline)"),EXACT(metadata!D255,"sediment (non-saline)"),EXACT(metadata!D255,"surface (saline)"),EXACT(metadata!D255,"aerosol (saline)"),EXACT(metadata!D255,"sediment (saline)")))</f>
        <v>0</v>
      </c>
      <c r="T255" t="b">
        <f>AND(IF(metadata!E255="",FALSE,TRUE),EXACT(metadata!E255,"built environment"))</f>
        <v>0</v>
      </c>
      <c r="U255" t="b">
        <f>OR(AND(IF(metadata!F255="",FALSE,TRUE),EXACT(metadata!F255,"not applicable")),AND(IF(metadata!F255="",FALSE,TRUE),EXACT(metadata!F255,"anaerobic digester content")))</f>
        <v>0</v>
      </c>
    </row>
    <row r="256" spans="1:21" x14ac:dyDescent="0.2">
      <c r="A256" s="4" t="str">
        <f ca="1">IF(B256=" "," ",HYPERLINK(CONCATENATE("#metadata!",ADDRESS(INDEX($L$2:$L$1001,MATCH(ROWS($J$2:J256),$J$2:$J$1001,0),0),1)),INDEX($O$2:$O$1001,MATCH(ROWS($J$2:J256),$J$2:$J$1001,0),0)))</f>
        <v xml:space="preserve"> </v>
      </c>
      <c r="B256" s="3" t="str">
        <f ca="1">IF(OR(INDEX($K$2:$K$1001,MATCH(ROWS($J$2:J256),$J$2:$J$1001,0),1)&gt;=100000,INDEX($Q$1005:$U$1005,1,MATCH(COLUMNS($Q$1006:Q1006),$Q$1006:$U$1006,0))&gt;=100000), " ",IF(INDEX($Q$2:$U$1001,MATCH(ROWS($J$2:J256),$J$2:$J$1001,0),MATCH(COLUMNS($Q$1006:Q1006),$Q$1006:$U$1006,0)), HYPERLINK("#",""), HYPERLINK(CONCATENATE("#metadata!", ADDRESS(INDEX($L$2:$L$1001,MATCH(ROWS($J$2:J256),$J$2:$J$1001,0),0), INDEX($Q$1004:$U$1004,1,MATCH(COLUMNS($Q$1006:Q1006),$Q$1006:$U$1006,0)))),"Fix")))</f>
        <v xml:space="preserve"> </v>
      </c>
      <c r="C256" s="3" t="str">
        <f ca="1">IF(OR(INDEX($K$2:$K$1001,MATCH(ROWS($J$2:J256),$J$2:$J$1001,0),1)&gt;=100000,INDEX($Q$1005:$U$1005,1,MATCH(COLUMNS($Q$1006:R1006),$Q$1006:$U$1006,0))&gt;=100000), " ",IF(INDEX($Q$2:$U$1001,MATCH(ROWS($J$2:J256),$J$2:$J$1001,0),MATCH(COLUMNS($Q$1006:R1006),$Q$1006:$U$1006,0)), HYPERLINK("#",""), HYPERLINK(CONCATENATE("#metadata!", ADDRESS(INDEX($L$2:$L$1001,MATCH(ROWS($J$2:J256),$J$2:$J$1001,0),0), INDEX($Q$1004:$U$1004,1,MATCH(COLUMNS($Q$1006:R1006),$Q$1006:$U$1006,0)))),"Fix")))</f>
        <v xml:space="preserve"> </v>
      </c>
      <c r="D256" s="3" t="str">
        <f ca="1">IF(OR(INDEX($K$2:$K$1001,MATCH(ROWS($J$2:J256),$J$2:$J$1001,0),1)&gt;=100000,INDEX($Q$1005:$U$1005,1,MATCH(COLUMNS($Q$1006:S1006),$Q$1006:$U$1006,0))&gt;=100000), " ",IF(INDEX($Q$2:$U$1001,MATCH(ROWS($J$2:J256),$J$2:$J$1001,0),MATCH(COLUMNS($Q$1006:S1006),$Q$1006:$U$1006,0)), HYPERLINK("#",""), HYPERLINK(CONCATENATE("#metadata!", ADDRESS(INDEX($L$2:$L$1001,MATCH(ROWS($J$2:J256),$J$2:$J$1001,0),0), INDEX($Q$1004:$U$1004,1,MATCH(COLUMNS($Q$1006:S1006),$Q$1006:$U$1006,0)))),"Fix")))</f>
        <v xml:space="preserve"> </v>
      </c>
      <c r="E256" s="3" t="str">
        <f ca="1">IF(OR(INDEX($K$2:$K$1001,MATCH(ROWS($J$2:J256),$J$2:$J$1001,0),1)&gt;=100000,INDEX($Q$1005:$U$1005,1,MATCH(COLUMNS($Q$1006:T1006),$Q$1006:$U$1006,0))&gt;=100000), " ",IF(INDEX($Q$2:$U$1001,MATCH(ROWS($J$2:J256),$J$2:$J$1001,0),MATCH(COLUMNS($Q$1006:T1006),$Q$1006:$U$1006,0)), HYPERLINK("#",""), HYPERLINK(CONCATENATE("#metadata!", ADDRESS(INDEX($L$2:$L$1001,MATCH(ROWS($J$2:J256),$J$2:$J$1001,0),0), INDEX($Q$1004:$U$1004,1,MATCH(COLUMNS($Q$1006:T1006),$Q$1006:$U$1006,0)))),"Fix")))</f>
        <v xml:space="preserve"> </v>
      </c>
      <c r="F256" s="3" t="str">
        <f ca="1">IF(OR(INDEX($K$2:$K$1001,MATCH(ROWS($J$2:J256),$J$2:$J$1001,0),1)&gt;=100000,INDEX($Q$1005:$U$1005,1,MATCH(COLUMNS($Q$1006:U1006),$Q$1006:$U$1006,0))&gt;=100000), " ",IF(INDEX($Q$2:$U$1001,MATCH(ROWS($J$2:J256),$J$2:$J$1001,0),MATCH(COLUMNS($Q$1006:U1006),$Q$1006:$U$1006,0)), HYPERLINK("#",""), HYPERLINK(CONCATENATE("#metadata!", ADDRESS(INDEX($L$2:$L$1001,MATCH(ROWS($J$2:J256),$J$2:$J$1001,0),0), INDEX($Q$1004:$U$1004,1,MATCH(COLUMNS($Q$1006:U1006),$Q$1006:$U$1006,0)))),"Fix")))</f>
        <v xml:space="preserve"> </v>
      </c>
      <c r="J256">
        <v>255</v>
      </c>
      <c r="K256">
        <v>100256</v>
      </c>
      <c r="L256">
        <v>256</v>
      </c>
      <c r="M256" t="b">
        <f t="shared" si="3"/>
        <v>1</v>
      </c>
      <c r="N256" t="b">
        <f>COUNTBLANK(metadata!B256:F256)=COLUMNS(metadata!B256:F256)</f>
        <v>1</v>
      </c>
      <c r="O256" t="str">
        <v/>
      </c>
      <c r="Q256" t="b">
        <f ca="1">AND(IF(metadata!B256="",FALSE,TRUE),COUNTIF(metadata!B:B, metadata!B256) = 1,NOT(ISERROR(SUMPRODUCT(SEARCH(MID(metadata!B256,ROW(INDIRECT("1:"&amp;LEN(metadata!B256))), 1),"0123456789abcdefghijklmnopqrstuvwxyzABCDEFGHIJKLMNOPQRSTUVWXYZ.")))))</f>
        <v>0</v>
      </c>
      <c r="R256" t="b">
        <f>AND(IF(metadata!C256="",FALSE,TRUE),OR(EXACT(metadata!C256,"saline"),EXACT(metadata!C256,"non-saline")))</f>
        <v>0</v>
      </c>
      <c r="S256" t="b">
        <f>AND(IF(metadata!D256="",FALSE,TRUE),OR(EXACT(metadata!D256,"surface (non-saline)"),EXACT(metadata!D256,"aerosol (non-saline)"),EXACT(metadata!D256,"sediment (non-saline)"),EXACT(metadata!D256,"surface (saline)"),EXACT(metadata!D256,"aerosol (saline)"),EXACT(metadata!D256,"sediment (saline)")))</f>
        <v>0</v>
      </c>
      <c r="T256" t="b">
        <f>AND(IF(metadata!E256="",FALSE,TRUE),EXACT(metadata!E256,"built environment"))</f>
        <v>0</v>
      </c>
      <c r="U256" t="b">
        <f>OR(AND(IF(metadata!F256="",FALSE,TRUE),EXACT(metadata!F256,"not applicable")),AND(IF(metadata!F256="",FALSE,TRUE),EXACT(metadata!F256,"anaerobic digester content")))</f>
        <v>0</v>
      </c>
    </row>
    <row r="257" spans="1:21" x14ac:dyDescent="0.2">
      <c r="A257" s="4" t="str">
        <f ca="1">IF(B257=" "," ",HYPERLINK(CONCATENATE("#metadata!",ADDRESS(INDEX($L$2:$L$1001,MATCH(ROWS($J$2:J257),$J$2:$J$1001,0),0),1)),INDEX($O$2:$O$1001,MATCH(ROWS($J$2:J257),$J$2:$J$1001,0),0)))</f>
        <v xml:space="preserve"> </v>
      </c>
      <c r="B257" s="3" t="str">
        <f ca="1">IF(OR(INDEX($K$2:$K$1001,MATCH(ROWS($J$2:J257),$J$2:$J$1001,0),1)&gt;=100000,INDEX($Q$1005:$U$1005,1,MATCH(COLUMNS($Q$1006:Q1006),$Q$1006:$U$1006,0))&gt;=100000), " ",IF(INDEX($Q$2:$U$1001,MATCH(ROWS($J$2:J257),$J$2:$J$1001,0),MATCH(COLUMNS($Q$1006:Q1006),$Q$1006:$U$1006,0)), HYPERLINK("#",""), HYPERLINK(CONCATENATE("#metadata!", ADDRESS(INDEX($L$2:$L$1001,MATCH(ROWS($J$2:J257),$J$2:$J$1001,0),0), INDEX($Q$1004:$U$1004,1,MATCH(COLUMNS($Q$1006:Q1006),$Q$1006:$U$1006,0)))),"Fix")))</f>
        <v xml:space="preserve"> </v>
      </c>
      <c r="C257" s="3" t="str">
        <f ca="1">IF(OR(INDEX($K$2:$K$1001,MATCH(ROWS($J$2:J257),$J$2:$J$1001,0),1)&gt;=100000,INDEX($Q$1005:$U$1005,1,MATCH(COLUMNS($Q$1006:R1006),$Q$1006:$U$1006,0))&gt;=100000), " ",IF(INDEX($Q$2:$U$1001,MATCH(ROWS($J$2:J257),$J$2:$J$1001,0),MATCH(COLUMNS($Q$1006:R1006),$Q$1006:$U$1006,0)), HYPERLINK("#",""), HYPERLINK(CONCATENATE("#metadata!", ADDRESS(INDEX($L$2:$L$1001,MATCH(ROWS($J$2:J257),$J$2:$J$1001,0),0), INDEX($Q$1004:$U$1004,1,MATCH(COLUMNS($Q$1006:R1006),$Q$1006:$U$1006,0)))),"Fix")))</f>
        <v xml:space="preserve"> </v>
      </c>
      <c r="D257" s="3" t="str">
        <f ca="1">IF(OR(INDEX($K$2:$K$1001,MATCH(ROWS($J$2:J257),$J$2:$J$1001,0),1)&gt;=100000,INDEX($Q$1005:$U$1005,1,MATCH(COLUMNS($Q$1006:S1006),$Q$1006:$U$1006,0))&gt;=100000), " ",IF(INDEX($Q$2:$U$1001,MATCH(ROWS($J$2:J257),$J$2:$J$1001,0),MATCH(COLUMNS($Q$1006:S1006),$Q$1006:$U$1006,0)), HYPERLINK("#",""), HYPERLINK(CONCATENATE("#metadata!", ADDRESS(INDEX($L$2:$L$1001,MATCH(ROWS($J$2:J257),$J$2:$J$1001,0),0), INDEX($Q$1004:$U$1004,1,MATCH(COLUMNS($Q$1006:S1006),$Q$1006:$U$1006,0)))),"Fix")))</f>
        <v xml:space="preserve"> </v>
      </c>
      <c r="E257" s="3" t="str">
        <f ca="1">IF(OR(INDEX($K$2:$K$1001,MATCH(ROWS($J$2:J257),$J$2:$J$1001,0),1)&gt;=100000,INDEX($Q$1005:$U$1005,1,MATCH(COLUMNS($Q$1006:T1006),$Q$1006:$U$1006,0))&gt;=100000), " ",IF(INDEX($Q$2:$U$1001,MATCH(ROWS($J$2:J257),$J$2:$J$1001,0),MATCH(COLUMNS($Q$1006:T1006),$Q$1006:$U$1006,0)), HYPERLINK("#",""), HYPERLINK(CONCATENATE("#metadata!", ADDRESS(INDEX($L$2:$L$1001,MATCH(ROWS($J$2:J257),$J$2:$J$1001,0),0), INDEX($Q$1004:$U$1004,1,MATCH(COLUMNS($Q$1006:T1006),$Q$1006:$U$1006,0)))),"Fix")))</f>
        <v xml:space="preserve"> </v>
      </c>
      <c r="F257" s="3" t="str">
        <f ca="1">IF(OR(INDEX($K$2:$K$1001,MATCH(ROWS($J$2:J257),$J$2:$J$1001,0),1)&gt;=100000,INDEX($Q$1005:$U$1005,1,MATCH(COLUMNS($Q$1006:U1006),$Q$1006:$U$1006,0))&gt;=100000), " ",IF(INDEX($Q$2:$U$1001,MATCH(ROWS($J$2:J257),$J$2:$J$1001,0),MATCH(COLUMNS($Q$1006:U1006),$Q$1006:$U$1006,0)), HYPERLINK("#",""), HYPERLINK(CONCATENATE("#metadata!", ADDRESS(INDEX($L$2:$L$1001,MATCH(ROWS($J$2:J257),$J$2:$J$1001,0),0), INDEX($Q$1004:$U$1004,1,MATCH(COLUMNS($Q$1006:U1006),$Q$1006:$U$1006,0)))),"Fix")))</f>
        <v xml:space="preserve"> </v>
      </c>
      <c r="J257">
        <v>256</v>
      </c>
      <c r="K257">
        <v>100257</v>
      </c>
      <c r="L257">
        <v>257</v>
      </c>
      <c r="M257" t="b">
        <f t="shared" si="3"/>
        <v>1</v>
      </c>
      <c r="N257" t="b">
        <f>COUNTBLANK(metadata!B257:F257)=COLUMNS(metadata!B257:F257)</f>
        <v>1</v>
      </c>
      <c r="O257" t="str">
        <v/>
      </c>
      <c r="Q257" t="b">
        <f ca="1">AND(IF(metadata!B257="",FALSE,TRUE),COUNTIF(metadata!B:B, metadata!B257) = 1,NOT(ISERROR(SUMPRODUCT(SEARCH(MID(metadata!B257,ROW(INDIRECT("1:"&amp;LEN(metadata!B257))), 1),"0123456789abcdefghijklmnopqrstuvwxyzABCDEFGHIJKLMNOPQRSTUVWXYZ.")))))</f>
        <v>0</v>
      </c>
      <c r="R257" t="b">
        <f>AND(IF(metadata!C257="",FALSE,TRUE),OR(EXACT(metadata!C257,"saline"),EXACT(metadata!C257,"non-saline")))</f>
        <v>0</v>
      </c>
      <c r="S257" t="b">
        <f>AND(IF(metadata!D257="",FALSE,TRUE),OR(EXACT(metadata!D257,"surface (non-saline)"),EXACT(metadata!D257,"aerosol (non-saline)"),EXACT(metadata!D257,"sediment (non-saline)"),EXACT(metadata!D257,"surface (saline)"),EXACT(metadata!D257,"aerosol (saline)"),EXACT(metadata!D257,"sediment (saline)")))</f>
        <v>0</v>
      </c>
      <c r="T257" t="b">
        <f>AND(IF(metadata!E257="",FALSE,TRUE),EXACT(metadata!E257,"built environment"))</f>
        <v>0</v>
      </c>
      <c r="U257" t="b">
        <f>OR(AND(IF(metadata!F257="",FALSE,TRUE),EXACT(metadata!F257,"not applicable")),AND(IF(metadata!F257="",FALSE,TRUE),EXACT(metadata!F257,"anaerobic digester content")))</f>
        <v>0</v>
      </c>
    </row>
    <row r="258" spans="1:21" x14ac:dyDescent="0.2">
      <c r="A258" s="4" t="str">
        <f ca="1">IF(B258=" "," ",HYPERLINK(CONCATENATE("#metadata!",ADDRESS(INDEX($L$2:$L$1001,MATCH(ROWS($J$2:J258),$J$2:$J$1001,0),0),1)),INDEX($O$2:$O$1001,MATCH(ROWS($J$2:J258),$J$2:$J$1001,0),0)))</f>
        <v xml:space="preserve"> </v>
      </c>
      <c r="B258" s="3" t="str">
        <f ca="1">IF(OR(INDEX($K$2:$K$1001,MATCH(ROWS($J$2:J258),$J$2:$J$1001,0),1)&gt;=100000,INDEX($Q$1005:$U$1005,1,MATCH(COLUMNS($Q$1006:Q1006),$Q$1006:$U$1006,0))&gt;=100000), " ",IF(INDEX($Q$2:$U$1001,MATCH(ROWS($J$2:J258),$J$2:$J$1001,0),MATCH(COLUMNS($Q$1006:Q1006),$Q$1006:$U$1006,0)), HYPERLINK("#",""), HYPERLINK(CONCATENATE("#metadata!", ADDRESS(INDEX($L$2:$L$1001,MATCH(ROWS($J$2:J258),$J$2:$J$1001,0),0), INDEX($Q$1004:$U$1004,1,MATCH(COLUMNS($Q$1006:Q1006),$Q$1006:$U$1006,0)))),"Fix")))</f>
        <v xml:space="preserve"> </v>
      </c>
      <c r="C258" s="3" t="str">
        <f ca="1">IF(OR(INDEX($K$2:$K$1001,MATCH(ROWS($J$2:J258),$J$2:$J$1001,0),1)&gt;=100000,INDEX($Q$1005:$U$1005,1,MATCH(COLUMNS($Q$1006:R1006),$Q$1006:$U$1006,0))&gt;=100000), " ",IF(INDEX($Q$2:$U$1001,MATCH(ROWS($J$2:J258),$J$2:$J$1001,0),MATCH(COLUMNS($Q$1006:R1006),$Q$1006:$U$1006,0)), HYPERLINK("#",""), HYPERLINK(CONCATENATE("#metadata!", ADDRESS(INDEX($L$2:$L$1001,MATCH(ROWS($J$2:J258),$J$2:$J$1001,0),0), INDEX($Q$1004:$U$1004,1,MATCH(COLUMNS($Q$1006:R1006),$Q$1006:$U$1006,0)))),"Fix")))</f>
        <v xml:space="preserve"> </v>
      </c>
      <c r="D258" s="3" t="str">
        <f ca="1">IF(OR(INDEX($K$2:$K$1001,MATCH(ROWS($J$2:J258),$J$2:$J$1001,0),1)&gt;=100000,INDEX($Q$1005:$U$1005,1,MATCH(COLUMNS($Q$1006:S1006),$Q$1006:$U$1006,0))&gt;=100000), " ",IF(INDEX($Q$2:$U$1001,MATCH(ROWS($J$2:J258),$J$2:$J$1001,0),MATCH(COLUMNS($Q$1006:S1006),$Q$1006:$U$1006,0)), HYPERLINK("#",""), HYPERLINK(CONCATENATE("#metadata!", ADDRESS(INDEX($L$2:$L$1001,MATCH(ROWS($J$2:J258),$J$2:$J$1001,0),0), INDEX($Q$1004:$U$1004,1,MATCH(COLUMNS($Q$1006:S1006),$Q$1006:$U$1006,0)))),"Fix")))</f>
        <v xml:space="preserve"> </v>
      </c>
      <c r="E258" s="3" t="str">
        <f ca="1">IF(OR(INDEX($K$2:$K$1001,MATCH(ROWS($J$2:J258),$J$2:$J$1001,0),1)&gt;=100000,INDEX($Q$1005:$U$1005,1,MATCH(COLUMNS($Q$1006:T1006),$Q$1006:$U$1006,0))&gt;=100000), " ",IF(INDEX($Q$2:$U$1001,MATCH(ROWS($J$2:J258),$J$2:$J$1001,0),MATCH(COLUMNS($Q$1006:T1006),$Q$1006:$U$1006,0)), HYPERLINK("#",""), HYPERLINK(CONCATENATE("#metadata!", ADDRESS(INDEX($L$2:$L$1001,MATCH(ROWS($J$2:J258),$J$2:$J$1001,0),0), INDEX($Q$1004:$U$1004,1,MATCH(COLUMNS($Q$1006:T1006),$Q$1006:$U$1006,0)))),"Fix")))</f>
        <v xml:space="preserve"> </v>
      </c>
      <c r="F258" s="3" t="str">
        <f ca="1">IF(OR(INDEX($K$2:$K$1001,MATCH(ROWS($J$2:J258),$J$2:$J$1001,0),1)&gt;=100000,INDEX($Q$1005:$U$1005,1,MATCH(COLUMNS($Q$1006:U1006),$Q$1006:$U$1006,0))&gt;=100000), " ",IF(INDEX($Q$2:$U$1001,MATCH(ROWS($J$2:J258),$J$2:$J$1001,0),MATCH(COLUMNS($Q$1006:U1006),$Q$1006:$U$1006,0)), HYPERLINK("#",""), HYPERLINK(CONCATENATE("#metadata!", ADDRESS(INDEX($L$2:$L$1001,MATCH(ROWS($J$2:J258),$J$2:$J$1001,0),0), INDEX($Q$1004:$U$1004,1,MATCH(COLUMNS($Q$1006:U1006),$Q$1006:$U$1006,0)))),"Fix")))</f>
        <v xml:space="preserve"> </v>
      </c>
      <c r="J258">
        <v>257</v>
      </c>
      <c r="K258">
        <v>100258</v>
      </c>
      <c r="L258">
        <v>258</v>
      </c>
      <c r="M258" t="b">
        <f t="shared" ref="M258:M321" si="4">IF(N258,TRUE,AND(Q258:U258))</f>
        <v>1</v>
      </c>
      <c r="N258" t="b">
        <f>COUNTBLANK(metadata!B258:F258)=COLUMNS(metadata!B258:F258)</f>
        <v>1</v>
      </c>
      <c r="O258" t="str">
        <v/>
      </c>
      <c r="Q258" t="b">
        <f ca="1">AND(IF(metadata!B258="",FALSE,TRUE),COUNTIF(metadata!B:B, metadata!B258) = 1,NOT(ISERROR(SUMPRODUCT(SEARCH(MID(metadata!B258,ROW(INDIRECT("1:"&amp;LEN(metadata!B258))), 1),"0123456789abcdefghijklmnopqrstuvwxyzABCDEFGHIJKLMNOPQRSTUVWXYZ.")))))</f>
        <v>0</v>
      </c>
      <c r="R258" t="b">
        <f>AND(IF(metadata!C258="",FALSE,TRUE),OR(EXACT(metadata!C258,"saline"),EXACT(metadata!C258,"non-saline")))</f>
        <v>0</v>
      </c>
      <c r="S258" t="b">
        <f>AND(IF(metadata!D258="",FALSE,TRUE),OR(EXACT(metadata!D258,"surface (non-saline)"),EXACT(metadata!D258,"aerosol (non-saline)"),EXACT(metadata!D258,"sediment (non-saline)"),EXACT(metadata!D258,"surface (saline)"),EXACT(metadata!D258,"aerosol (saline)"),EXACT(metadata!D258,"sediment (saline)")))</f>
        <v>0</v>
      </c>
      <c r="T258" t="b">
        <f>AND(IF(metadata!E258="",FALSE,TRUE),EXACT(metadata!E258,"built environment"))</f>
        <v>0</v>
      </c>
      <c r="U258" t="b">
        <f>OR(AND(IF(metadata!F258="",FALSE,TRUE),EXACT(metadata!F258,"not applicable")),AND(IF(metadata!F258="",FALSE,TRUE),EXACT(metadata!F258,"anaerobic digester content")))</f>
        <v>0</v>
      </c>
    </row>
    <row r="259" spans="1:21" x14ac:dyDescent="0.2">
      <c r="A259" s="4" t="str">
        <f ca="1">IF(B259=" "," ",HYPERLINK(CONCATENATE("#metadata!",ADDRESS(INDEX($L$2:$L$1001,MATCH(ROWS($J$2:J259),$J$2:$J$1001,0),0),1)),INDEX($O$2:$O$1001,MATCH(ROWS($J$2:J259),$J$2:$J$1001,0),0)))</f>
        <v xml:space="preserve"> </v>
      </c>
      <c r="B259" s="3" t="str">
        <f ca="1">IF(OR(INDEX($K$2:$K$1001,MATCH(ROWS($J$2:J259),$J$2:$J$1001,0),1)&gt;=100000,INDEX($Q$1005:$U$1005,1,MATCH(COLUMNS($Q$1006:Q1006),$Q$1006:$U$1006,0))&gt;=100000), " ",IF(INDEX($Q$2:$U$1001,MATCH(ROWS($J$2:J259),$J$2:$J$1001,0),MATCH(COLUMNS($Q$1006:Q1006),$Q$1006:$U$1006,0)), HYPERLINK("#",""), HYPERLINK(CONCATENATE("#metadata!", ADDRESS(INDEX($L$2:$L$1001,MATCH(ROWS($J$2:J259),$J$2:$J$1001,0),0), INDEX($Q$1004:$U$1004,1,MATCH(COLUMNS($Q$1006:Q1006),$Q$1006:$U$1006,0)))),"Fix")))</f>
        <v xml:space="preserve"> </v>
      </c>
      <c r="C259" s="3" t="str">
        <f ca="1">IF(OR(INDEX($K$2:$K$1001,MATCH(ROWS($J$2:J259),$J$2:$J$1001,0),1)&gt;=100000,INDEX($Q$1005:$U$1005,1,MATCH(COLUMNS($Q$1006:R1006),$Q$1006:$U$1006,0))&gt;=100000), " ",IF(INDEX($Q$2:$U$1001,MATCH(ROWS($J$2:J259),$J$2:$J$1001,0),MATCH(COLUMNS($Q$1006:R1006),$Q$1006:$U$1006,0)), HYPERLINK("#",""), HYPERLINK(CONCATENATE("#metadata!", ADDRESS(INDEX($L$2:$L$1001,MATCH(ROWS($J$2:J259),$J$2:$J$1001,0),0), INDEX($Q$1004:$U$1004,1,MATCH(COLUMNS($Q$1006:R1006),$Q$1006:$U$1006,0)))),"Fix")))</f>
        <v xml:space="preserve"> </v>
      </c>
      <c r="D259" s="3" t="str">
        <f ca="1">IF(OR(INDEX($K$2:$K$1001,MATCH(ROWS($J$2:J259),$J$2:$J$1001,0),1)&gt;=100000,INDEX($Q$1005:$U$1005,1,MATCH(COLUMNS($Q$1006:S1006),$Q$1006:$U$1006,0))&gt;=100000), " ",IF(INDEX($Q$2:$U$1001,MATCH(ROWS($J$2:J259),$J$2:$J$1001,0),MATCH(COLUMNS($Q$1006:S1006),$Q$1006:$U$1006,0)), HYPERLINK("#",""), HYPERLINK(CONCATENATE("#metadata!", ADDRESS(INDEX($L$2:$L$1001,MATCH(ROWS($J$2:J259),$J$2:$J$1001,0),0), INDEX($Q$1004:$U$1004,1,MATCH(COLUMNS($Q$1006:S1006),$Q$1006:$U$1006,0)))),"Fix")))</f>
        <v xml:space="preserve"> </v>
      </c>
      <c r="E259" s="3" t="str">
        <f ca="1">IF(OR(INDEX($K$2:$K$1001,MATCH(ROWS($J$2:J259),$J$2:$J$1001,0),1)&gt;=100000,INDEX($Q$1005:$U$1005,1,MATCH(COLUMNS($Q$1006:T1006),$Q$1006:$U$1006,0))&gt;=100000), " ",IF(INDEX($Q$2:$U$1001,MATCH(ROWS($J$2:J259),$J$2:$J$1001,0),MATCH(COLUMNS($Q$1006:T1006),$Q$1006:$U$1006,0)), HYPERLINK("#",""), HYPERLINK(CONCATENATE("#metadata!", ADDRESS(INDEX($L$2:$L$1001,MATCH(ROWS($J$2:J259),$J$2:$J$1001,0),0), INDEX($Q$1004:$U$1004,1,MATCH(COLUMNS($Q$1006:T1006),$Q$1006:$U$1006,0)))),"Fix")))</f>
        <v xml:space="preserve"> </v>
      </c>
      <c r="F259" s="3" t="str">
        <f ca="1">IF(OR(INDEX($K$2:$K$1001,MATCH(ROWS($J$2:J259),$J$2:$J$1001,0),1)&gt;=100000,INDEX($Q$1005:$U$1005,1,MATCH(COLUMNS($Q$1006:U1006),$Q$1006:$U$1006,0))&gt;=100000), " ",IF(INDEX($Q$2:$U$1001,MATCH(ROWS($J$2:J259),$J$2:$J$1001,0),MATCH(COLUMNS($Q$1006:U1006),$Q$1006:$U$1006,0)), HYPERLINK("#",""), HYPERLINK(CONCATENATE("#metadata!", ADDRESS(INDEX($L$2:$L$1001,MATCH(ROWS($J$2:J259),$J$2:$J$1001,0),0), INDEX($Q$1004:$U$1004,1,MATCH(COLUMNS($Q$1006:U1006),$Q$1006:$U$1006,0)))),"Fix")))</f>
        <v xml:space="preserve"> </v>
      </c>
      <c r="J259">
        <v>258</v>
      </c>
      <c r="K259">
        <v>100259</v>
      </c>
      <c r="L259">
        <v>259</v>
      </c>
      <c r="M259" t="b">
        <f t="shared" si="4"/>
        <v>1</v>
      </c>
      <c r="N259" t="b">
        <f>COUNTBLANK(metadata!B259:F259)=COLUMNS(metadata!B259:F259)</f>
        <v>1</v>
      </c>
      <c r="O259" t="str">
        <v/>
      </c>
      <c r="Q259" t="b">
        <f ca="1">AND(IF(metadata!B259="",FALSE,TRUE),COUNTIF(metadata!B:B, metadata!B259) = 1,NOT(ISERROR(SUMPRODUCT(SEARCH(MID(metadata!B259,ROW(INDIRECT("1:"&amp;LEN(metadata!B259))), 1),"0123456789abcdefghijklmnopqrstuvwxyzABCDEFGHIJKLMNOPQRSTUVWXYZ.")))))</f>
        <v>0</v>
      </c>
      <c r="R259" t="b">
        <f>AND(IF(metadata!C259="",FALSE,TRUE),OR(EXACT(metadata!C259,"saline"),EXACT(metadata!C259,"non-saline")))</f>
        <v>0</v>
      </c>
      <c r="S259" t="b">
        <f>AND(IF(metadata!D259="",FALSE,TRUE),OR(EXACT(metadata!D259,"surface (non-saline)"),EXACT(metadata!D259,"aerosol (non-saline)"),EXACT(metadata!D259,"sediment (non-saline)"),EXACT(metadata!D259,"surface (saline)"),EXACT(metadata!D259,"aerosol (saline)"),EXACT(metadata!D259,"sediment (saline)")))</f>
        <v>0</v>
      </c>
      <c r="T259" t="b">
        <f>AND(IF(metadata!E259="",FALSE,TRUE),EXACT(metadata!E259,"built environment"))</f>
        <v>0</v>
      </c>
      <c r="U259" t="b">
        <f>OR(AND(IF(metadata!F259="",FALSE,TRUE),EXACT(metadata!F259,"not applicable")),AND(IF(metadata!F259="",FALSE,TRUE),EXACT(metadata!F259,"anaerobic digester content")))</f>
        <v>0</v>
      </c>
    </row>
    <row r="260" spans="1:21" x14ac:dyDescent="0.2">
      <c r="A260" s="4" t="str">
        <f ca="1">IF(B260=" "," ",HYPERLINK(CONCATENATE("#metadata!",ADDRESS(INDEX($L$2:$L$1001,MATCH(ROWS($J$2:J260),$J$2:$J$1001,0),0),1)),INDEX($O$2:$O$1001,MATCH(ROWS($J$2:J260),$J$2:$J$1001,0),0)))</f>
        <v xml:space="preserve"> </v>
      </c>
      <c r="B260" s="3" t="str">
        <f ca="1">IF(OR(INDEX($K$2:$K$1001,MATCH(ROWS($J$2:J260),$J$2:$J$1001,0),1)&gt;=100000,INDEX($Q$1005:$U$1005,1,MATCH(COLUMNS($Q$1006:Q1006),$Q$1006:$U$1006,0))&gt;=100000), " ",IF(INDEX($Q$2:$U$1001,MATCH(ROWS($J$2:J260),$J$2:$J$1001,0),MATCH(COLUMNS($Q$1006:Q1006),$Q$1006:$U$1006,0)), HYPERLINK("#",""), HYPERLINK(CONCATENATE("#metadata!", ADDRESS(INDEX($L$2:$L$1001,MATCH(ROWS($J$2:J260),$J$2:$J$1001,0),0), INDEX($Q$1004:$U$1004,1,MATCH(COLUMNS($Q$1006:Q1006),$Q$1006:$U$1006,0)))),"Fix")))</f>
        <v xml:space="preserve"> </v>
      </c>
      <c r="C260" s="3" t="str">
        <f ca="1">IF(OR(INDEX($K$2:$K$1001,MATCH(ROWS($J$2:J260),$J$2:$J$1001,0),1)&gt;=100000,INDEX($Q$1005:$U$1005,1,MATCH(COLUMNS($Q$1006:R1006),$Q$1006:$U$1006,0))&gt;=100000), " ",IF(INDEX($Q$2:$U$1001,MATCH(ROWS($J$2:J260),$J$2:$J$1001,0),MATCH(COLUMNS($Q$1006:R1006),$Q$1006:$U$1006,0)), HYPERLINK("#",""), HYPERLINK(CONCATENATE("#metadata!", ADDRESS(INDEX($L$2:$L$1001,MATCH(ROWS($J$2:J260),$J$2:$J$1001,0),0), INDEX($Q$1004:$U$1004,1,MATCH(COLUMNS($Q$1006:R1006),$Q$1006:$U$1006,0)))),"Fix")))</f>
        <v xml:space="preserve"> </v>
      </c>
      <c r="D260" s="3" t="str">
        <f ca="1">IF(OR(INDEX($K$2:$K$1001,MATCH(ROWS($J$2:J260),$J$2:$J$1001,0),1)&gt;=100000,INDEX($Q$1005:$U$1005,1,MATCH(COLUMNS($Q$1006:S1006),$Q$1006:$U$1006,0))&gt;=100000), " ",IF(INDEX($Q$2:$U$1001,MATCH(ROWS($J$2:J260),$J$2:$J$1001,0),MATCH(COLUMNS($Q$1006:S1006),$Q$1006:$U$1006,0)), HYPERLINK("#",""), HYPERLINK(CONCATENATE("#metadata!", ADDRESS(INDEX($L$2:$L$1001,MATCH(ROWS($J$2:J260),$J$2:$J$1001,0),0), INDEX($Q$1004:$U$1004,1,MATCH(COLUMNS($Q$1006:S1006),$Q$1006:$U$1006,0)))),"Fix")))</f>
        <v xml:space="preserve"> </v>
      </c>
      <c r="E260" s="3" t="str">
        <f ca="1">IF(OR(INDEX($K$2:$K$1001,MATCH(ROWS($J$2:J260),$J$2:$J$1001,0),1)&gt;=100000,INDEX($Q$1005:$U$1005,1,MATCH(COLUMNS($Q$1006:T1006),$Q$1006:$U$1006,0))&gt;=100000), " ",IF(INDEX($Q$2:$U$1001,MATCH(ROWS($J$2:J260),$J$2:$J$1001,0),MATCH(COLUMNS($Q$1006:T1006),$Q$1006:$U$1006,0)), HYPERLINK("#",""), HYPERLINK(CONCATENATE("#metadata!", ADDRESS(INDEX($L$2:$L$1001,MATCH(ROWS($J$2:J260),$J$2:$J$1001,0),0), INDEX($Q$1004:$U$1004,1,MATCH(COLUMNS($Q$1006:T1006),$Q$1006:$U$1006,0)))),"Fix")))</f>
        <v xml:space="preserve"> </v>
      </c>
      <c r="F260" s="3" t="str">
        <f ca="1">IF(OR(INDEX($K$2:$K$1001,MATCH(ROWS($J$2:J260),$J$2:$J$1001,0),1)&gt;=100000,INDEX($Q$1005:$U$1005,1,MATCH(COLUMNS($Q$1006:U1006),$Q$1006:$U$1006,0))&gt;=100000), " ",IF(INDEX($Q$2:$U$1001,MATCH(ROWS($J$2:J260),$J$2:$J$1001,0),MATCH(COLUMNS($Q$1006:U1006),$Q$1006:$U$1006,0)), HYPERLINK("#",""), HYPERLINK(CONCATENATE("#metadata!", ADDRESS(INDEX($L$2:$L$1001,MATCH(ROWS($J$2:J260),$J$2:$J$1001,0),0), INDEX($Q$1004:$U$1004,1,MATCH(COLUMNS($Q$1006:U1006),$Q$1006:$U$1006,0)))),"Fix")))</f>
        <v xml:space="preserve"> </v>
      </c>
      <c r="J260">
        <v>259</v>
      </c>
      <c r="K260">
        <v>100260</v>
      </c>
      <c r="L260">
        <v>260</v>
      </c>
      <c r="M260" t="b">
        <f t="shared" si="4"/>
        <v>1</v>
      </c>
      <c r="N260" t="b">
        <f>COUNTBLANK(metadata!B260:F260)=COLUMNS(metadata!B260:F260)</f>
        <v>1</v>
      </c>
      <c r="O260" t="str">
        <v/>
      </c>
      <c r="Q260" t="b">
        <f ca="1">AND(IF(metadata!B260="",FALSE,TRUE),COUNTIF(metadata!B:B, metadata!B260) = 1,NOT(ISERROR(SUMPRODUCT(SEARCH(MID(metadata!B260,ROW(INDIRECT("1:"&amp;LEN(metadata!B260))), 1),"0123456789abcdefghijklmnopqrstuvwxyzABCDEFGHIJKLMNOPQRSTUVWXYZ.")))))</f>
        <v>0</v>
      </c>
      <c r="R260" t="b">
        <f>AND(IF(metadata!C260="",FALSE,TRUE),OR(EXACT(metadata!C260,"saline"),EXACT(metadata!C260,"non-saline")))</f>
        <v>0</v>
      </c>
      <c r="S260" t="b">
        <f>AND(IF(metadata!D260="",FALSE,TRUE),OR(EXACT(metadata!D260,"surface (non-saline)"),EXACT(metadata!D260,"aerosol (non-saline)"),EXACT(metadata!D260,"sediment (non-saline)"),EXACT(metadata!D260,"surface (saline)"),EXACT(metadata!D260,"aerosol (saline)"),EXACT(metadata!D260,"sediment (saline)")))</f>
        <v>0</v>
      </c>
      <c r="T260" t="b">
        <f>AND(IF(metadata!E260="",FALSE,TRUE),EXACT(metadata!E260,"built environment"))</f>
        <v>0</v>
      </c>
      <c r="U260" t="b">
        <f>OR(AND(IF(metadata!F260="",FALSE,TRUE),EXACT(metadata!F260,"not applicable")),AND(IF(metadata!F260="",FALSE,TRUE),EXACT(metadata!F260,"anaerobic digester content")))</f>
        <v>0</v>
      </c>
    </row>
    <row r="261" spans="1:21" x14ac:dyDescent="0.2">
      <c r="A261" s="4" t="str">
        <f ca="1">IF(B261=" "," ",HYPERLINK(CONCATENATE("#metadata!",ADDRESS(INDEX($L$2:$L$1001,MATCH(ROWS($J$2:J261),$J$2:$J$1001,0),0),1)),INDEX($O$2:$O$1001,MATCH(ROWS($J$2:J261),$J$2:$J$1001,0),0)))</f>
        <v xml:space="preserve"> </v>
      </c>
      <c r="B261" s="3" t="str">
        <f ca="1">IF(OR(INDEX($K$2:$K$1001,MATCH(ROWS($J$2:J261),$J$2:$J$1001,0),1)&gt;=100000,INDEX($Q$1005:$U$1005,1,MATCH(COLUMNS($Q$1006:Q1006),$Q$1006:$U$1006,0))&gt;=100000), " ",IF(INDEX($Q$2:$U$1001,MATCH(ROWS($J$2:J261),$J$2:$J$1001,0),MATCH(COLUMNS($Q$1006:Q1006),$Q$1006:$U$1006,0)), HYPERLINK("#",""), HYPERLINK(CONCATENATE("#metadata!", ADDRESS(INDEX($L$2:$L$1001,MATCH(ROWS($J$2:J261),$J$2:$J$1001,0),0), INDEX($Q$1004:$U$1004,1,MATCH(COLUMNS($Q$1006:Q1006),$Q$1006:$U$1006,0)))),"Fix")))</f>
        <v xml:space="preserve"> </v>
      </c>
      <c r="C261" s="3" t="str">
        <f ca="1">IF(OR(INDEX($K$2:$K$1001,MATCH(ROWS($J$2:J261),$J$2:$J$1001,0),1)&gt;=100000,INDEX($Q$1005:$U$1005,1,MATCH(COLUMNS($Q$1006:R1006),$Q$1006:$U$1006,0))&gt;=100000), " ",IF(INDEX($Q$2:$U$1001,MATCH(ROWS($J$2:J261),$J$2:$J$1001,0),MATCH(COLUMNS($Q$1006:R1006),$Q$1006:$U$1006,0)), HYPERLINK("#",""), HYPERLINK(CONCATENATE("#metadata!", ADDRESS(INDEX($L$2:$L$1001,MATCH(ROWS($J$2:J261),$J$2:$J$1001,0),0), INDEX($Q$1004:$U$1004,1,MATCH(COLUMNS($Q$1006:R1006),$Q$1006:$U$1006,0)))),"Fix")))</f>
        <v xml:space="preserve"> </v>
      </c>
      <c r="D261" s="3" t="str">
        <f ca="1">IF(OR(INDEX($K$2:$K$1001,MATCH(ROWS($J$2:J261),$J$2:$J$1001,0),1)&gt;=100000,INDEX($Q$1005:$U$1005,1,MATCH(COLUMNS($Q$1006:S1006),$Q$1006:$U$1006,0))&gt;=100000), " ",IF(INDEX($Q$2:$U$1001,MATCH(ROWS($J$2:J261),$J$2:$J$1001,0),MATCH(COLUMNS($Q$1006:S1006),$Q$1006:$U$1006,0)), HYPERLINK("#",""), HYPERLINK(CONCATENATE("#metadata!", ADDRESS(INDEX($L$2:$L$1001,MATCH(ROWS($J$2:J261),$J$2:$J$1001,0),0), INDEX($Q$1004:$U$1004,1,MATCH(COLUMNS($Q$1006:S1006),$Q$1006:$U$1006,0)))),"Fix")))</f>
        <v xml:space="preserve"> </v>
      </c>
      <c r="E261" s="3" t="str">
        <f ca="1">IF(OR(INDEX($K$2:$K$1001,MATCH(ROWS($J$2:J261),$J$2:$J$1001,0),1)&gt;=100000,INDEX($Q$1005:$U$1005,1,MATCH(COLUMNS($Q$1006:T1006),$Q$1006:$U$1006,0))&gt;=100000), " ",IF(INDEX($Q$2:$U$1001,MATCH(ROWS($J$2:J261),$J$2:$J$1001,0),MATCH(COLUMNS($Q$1006:T1006),$Q$1006:$U$1006,0)), HYPERLINK("#",""), HYPERLINK(CONCATENATE("#metadata!", ADDRESS(INDEX($L$2:$L$1001,MATCH(ROWS($J$2:J261),$J$2:$J$1001,0),0), INDEX($Q$1004:$U$1004,1,MATCH(COLUMNS($Q$1006:T1006),$Q$1006:$U$1006,0)))),"Fix")))</f>
        <v xml:space="preserve"> </v>
      </c>
      <c r="F261" s="3" t="str">
        <f ca="1">IF(OR(INDEX($K$2:$K$1001,MATCH(ROWS($J$2:J261),$J$2:$J$1001,0),1)&gt;=100000,INDEX($Q$1005:$U$1005,1,MATCH(COLUMNS($Q$1006:U1006),$Q$1006:$U$1006,0))&gt;=100000), " ",IF(INDEX($Q$2:$U$1001,MATCH(ROWS($J$2:J261),$J$2:$J$1001,0),MATCH(COLUMNS($Q$1006:U1006),$Q$1006:$U$1006,0)), HYPERLINK("#",""), HYPERLINK(CONCATENATE("#metadata!", ADDRESS(INDEX($L$2:$L$1001,MATCH(ROWS($J$2:J261),$J$2:$J$1001,0),0), INDEX($Q$1004:$U$1004,1,MATCH(COLUMNS($Q$1006:U1006),$Q$1006:$U$1006,0)))),"Fix")))</f>
        <v xml:space="preserve"> </v>
      </c>
      <c r="J261">
        <v>260</v>
      </c>
      <c r="K261">
        <v>100261</v>
      </c>
      <c r="L261">
        <v>261</v>
      </c>
      <c r="M261" t="b">
        <f t="shared" si="4"/>
        <v>1</v>
      </c>
      <c r="N261" t="b">
        <f>COUNTBLANK(metadata!B261:F261)=COLUMNS(metadata!B261:F261)</f>
        <v>1</v>
      </c>
      <c r="O261" t="str">
        <v/>
      </c>
      <c r="Q261" t="b">
        <f ca="1">AND(IF(metadata!B261="",FALSE,TRUE),COUNTIF(metadata!B:B, metadata!B261) = 1,NOT(ISERROR(SUMPRODUCT(SEARCH(MID(metadata!B261,ROW(INDIRECT("1:"&amp;LEN(metadata!B261))), 1),"0123456789abcdefghijklmnopqrstuvwxyzABCDEFGHIJKLMNOPQRSTUVWXYZ.")))))</f>
        <v>0</v>
      </c>
      <c r="R261" t="b">
        <f>AND(IF(metadata!C261="",FALSE,TRUE),OR(EXACT(metadata!C261,"saline"),EXACT(metadata!C261,"non-saline")))</f>
        <v>0</v>
      </c>
      <c r="S261" t="b">
        <f>AND(IF(metadata!D261="",FALSE,TRUE),OR(EXACT(metadata!D261,"surface (non-saline)"),EXACT(metadata!D261,"aerosol (non-saline)"),EXACT(metadata!D261,"sediment (non-saline)"),EXACT(metadata!D261,"surface (saline)"),EXACT(metadata!D261,"aerosol (saline)"),EXACT(metadata!D261,"sediment (saline)")))</f>
        <v>0</v>
      </c>
      <c r="T261" t="b">
        <f>AND(IF(metadata!E261="",FALSE,TRUE),EXACT(metadata!E261,"built environment"))</f>
        <v>0</v>
      </c>
      <c r="U261" t="b">
        <f>OR(AND(IF(metadata!F261="",FALSE,TRUE),EXACT(metadata!F261,"not applicable")),AND(IF(metadata!F261="",FALSE,TRUE),EXACT(metadata!F261,"anaerobic digester content")))</f>
        <v>0</v>
      </c>
    </row>
    <row r="262" spans="1:21" x14ac:dyDescent="0.2">
      <c r="A262" s="4" t="str">
        <f ca="1">IF(B262=" "," ",HYPERLINK(CONCATENATE("#metadata!",ADDRESS(INDEX($L$2:$L$1001,MATCH(ROWS($J$2:J262),$J$2:$J$1001,0),0),1)),INDEX($O$2:$O$1001,MATCH(ROWS($J$2:J262),$J$2:$J$1001,0),0)))</f>
        <v xml:space="preserve"> </v>
      </c>
      <c r="B262" s="3" t="str">
        <f ca="1">IF(OR(INDEX($K$2:$K$1001,MATCH(ROWS($J$2:J262),$J$2:$J$1001,0),1)&gt;=100000,INDEX($Q$1005:$U$1005,1,MATCH(COLUMNS($Q$1006:Q1006),$Q$1006:$U$1006,0))&gt;=100000), " ",IF(INDEX($Q$2:$U$1001,MATCH(ROWS($J$2:J262),$J$2:$J$1001,0),MATCH(COLUMNS($Q$1006:Q1006),$Q$1006:$U$1006,0)), HYPERLINK("#",""), HYPERLINK(CONCATENATE("#metadata!", ADDRESS(INDEX($L$2:$L$1001,MATCH(ROWS($J$2:J262),$J$2:$J$1001,0),0), INDEX($Q$1004:$U$1004,1,MATCH(COLUMNS($Q$1006:Q1006),$Q$1006:$U$1006,0)))),"Fix")))</f>
        <v xml:space="preserve"> </v>
      </c>
      <c r="C262" s="3" t="str">
        <f ca="1">IF(OR(INDEX($K$2:$K$1001,MATCH(ROWS($J$2:J262),$J$2:$J$1001,0),1)&gt;=100000,INDEX($Q$1005:$U$1005,1,MATCH(COLUMNS($Q$1006:R1006),$Q$1006:$U$1006,0))&gt;=100000), " ",IF(INDEX($Q$2:$U$1001,MATCH(ROWS($J$2:J262),$J$2:$J$1001,0),MATCH(COLUMNS($Q$1006:R1006),$Q$1006:$U$1006,0)), HYPERLINK("#",""), HYPERLINK(CONCATENATE("#metadata!", ADDRESS(INDEX($L$2:$L$1001,MATCH(ROWS($J$2:J262),$J$2:$J$1001,0),0), INDEX($Q$1004:$U$1004,1,MATCH(COLUMNS($Q$1006:R1006),$Q$1006:$U$1006,0)))),"Fix")))</f>
        <v xml:space="preserve"> </v>
      </c>
      <c r="D262" s="3" t="str">
        <f ca="1">IF(OR(INDEX($K$2:$K$1001,MATCH(ROWS($J$2:J262),$J$2:$J$1001,0),1)&gt;=100000,INDEX($Q$1005:$U$1005,1,MATCH(COLUMNS($Q$1006:S1006),$Q$1006:$U$1006,0))&gt;=100000), " ",IF(INDEX($Q$2:$U$1001,MATCH(ROWS($J$2:J262),$J$2:$J$1001,0),MATCH(COLUMNS($Q$1006:S1006),$Q$1006:$U$1006,0)), HYPERLINK("#",""), HYPERLINK(CONCATENATE("#metadata!", ADDRESS(INDEX($L$2:$L$1001,MATCH(ROWS($J$2:J262),$J$2:$J$1001,0),0), INDEX($Q$1004:$U$1004,1,MATCH(COLUMNS($Q$1006:S1006),$Q$1006:$U$1006,0)))),"Fix")))</f>
        <v xml:space="preserve"> </v>
      </c>
      <c r="E262" s="3" t="str">
        <f ca="1">IF(OR(INDEX($K$2:$K$1001,MATCH(ROWS($J$2:J262),$J$2:$J$1001,0),1)&gt;=100000,INDEX($Q$1005:$U$1005,1,MATCH(COLUMNS($Q$1006:T1006),$Q$1006:$U$1006,0))&gt;=100000), " ",IF(INDEX($Q$2:$U$1001,MATCH(ROWS($J$2:J262),$J$2:$J$1001,0),MATCH(COLUMNS($Q$1006:T1006),$Q$1006:$U$1006,0)), HYPERLINK("#",""), HYPERLINK(CONCATENATE("#metadata!", ADDRESS(INDEX($L$2:$L$1001,MATCH(ROWS($J$2:J262),$J$2:$J$1001,0),0), INDEX($Q$1004:$U$1004,1,MATCH(COLUMNS($Q$1006:T1006),$Q$1006:$U$1006,0)))),"Fix")))</f>
        <v xml:space="preserve"> </v>
      </c>
      <c r="F262" s="3" t="str">
        <f ca="1">IF(OR(INDEX($K$2:$K$1001,MATCH(ROWS($J$2:J262),$J$2:$J$1001,0),1)&gt;=100000,INDEX($Q$1005:$U$1005,1,MATCH(COLUMNS($Q$1006:U1006),$Q$1006:$U$1006,0))&gt;=100000), " ",IF(INDEX($Q$2:$U$1001,MATCH(ROWS($J$2:J262),$J$2:$J$1001,0),MATCH(COLUMNS($Q$1006:U1006),$Q$1006:$U$1006,0)), HYPERLINK("#",""), HYPERLINK(CONCATENATE("#metadata!", ADDRESS(INDEX($L$2:$L$1001,MATCH(ROWS($J$2:J262),$J$2:$J$1001,0),0), INDEX($Q$1004:$U$1004,1,MATCH(COLUMNS($Q$1006:U1006),$Q$1006:$U$1006,0)))),"Fix")))</f>
        <v xml:space="preserve"> </v>
      </c>
      <c r="J262">
        <v>261</v>
      </c>
      <c r="K262">
        <v>100262</v>
      </c>
      <c r="L262">
        <v>262</v>
      </c>
      <c r="M262" t="b">
        <f t="shared" si="4"/>
        <v>1</v>
      </c>
      <c r="N262" t="b">
        <f>COUNTBLANK(metadata!B262:F262)=COLUMNS(metadata!B262:F262)</f>
        <v>1</v>
      </c>
      <c r="O262" t="str">
        <v/>
      </c>
      <c r="Q262" t="b">
        <f ca="1">AND(IF(metadata!B262="",FALSE,TRUE),COUNTIF(metadata!B:B, metadata!B262) = 1,NOT(ISERROR(SUMPRODUCT(SEARCH(MID(metadata!B262,ROW(INDIRECT("1:"&amp;LEN(metadata!B262))), 1),"0123456789abcdefghijklmnopqrstuvwxyzABCDEFGHIJKLMNOPQRSTUVWXYZ.")))))</f>
        <v>0</v>
      </c>
      <c r="R262" t="b">
        <f>AND(IF(metadata!C262="",FALSE,TRUE),OR(EXACT(metadata!C262,"saline"),EXACT(metadata!C262,"non-saline")))</f>
        <v>0</v>
      </c>
      <c r="S262" t="b">
        <f>AND(IF(metadata!D262="",FALSE,TRUE),OR(EXACT(metadata!D262,"surface (non-saline)"),EXACT(metadata!D262,"aerosol (non-saline)"),EXACT(metadata!D262,"sediment (non-saline)"),EXACT(metadata!D262,"surface (saline)"),EXACT(metadata!D262,"aerosol (saline)"),EXACT(metadata!D262,"sediment (saline)")))</f>
        <v>0</v>
      </c>
      <c r="T262" t="b">
        <f>AND(IF(metadata!E262="",FALSE,TRUE),EXACT(metadata!E262,"built environment"))</f>
        <v>0</v>
      </c>
      <c r="U262" t="b">
        <f>OR(AND(IF(metadata!F262="",FALSE,TRUE),EXACT(metadata!F262,"not applicable")),AND(IF(metadata!F262="",FALSE,TRUE),EXACT(metadata!F262,"anaerobic digester content")))</f>
        <v>0</v>
      </c>
    </row>
    <row r="263" spans="1:21" x14ac:dyDescent="0.2">
      <c r="A263" s="4" t="str">
        <f ca="1">IF(B263=" "," ",HYPERLINK(CONCATENATE("#metadata!",ADDRESS(INDEX($L$2:$L$1001,MATCH(ROWS($J$2:J263),$J$2:$J$1001,0),0),1)),INDEX($O$2:$O$1001,MATCH(ROWS($J$2:J263),$J$2:$J$1001,0),0)))</f>
        <v xml:space="preserve"> </v>
      </c>
      <c r="B263" s="3" t="str">
        <f ca="1">IF(OR(INDEX($K$2:$K$1001,MATCH(ROWS($J$2:J263),$J$2:$J$1001,0),1)&gt;=100000,INDEX($Q$1005:$U$1005,1,MATCH(COLUMNS($Q$1006:Q1006),$Q$1006:$U$1006,0))&gt;=100000), " ",IF(INDEX($Q$2:$U$1001,MATCH(ROWS($J$2:J263),$J$2:$J$1001,0),MATCH(COLUMNS($Q$1006:Q1006),$Q$1006:$U$1006,0)), HYPERLINK("#",""), HYPERLINK(CONCATENATE("#metadata!", ADDRESS(INDEX($L$2:$L$1001,MATCH(ROWS($J$2:J263),$J$2:$J$1001,0),0), INDEX($Q$1004:$U$1004,1,MATCH(COLUMNS($Q$1006:Q1006),$Q$1006:$U$1006,0)))),"Fix")))</f>
        <v xml:space="preserve"> </v>
      </c>
      <c r="C263" s="3" t="str">
        <f ca="1">IF(OR(INDEX($K$2:$K$1001,MATCH(ROWS($J$2:J263),$J$2:$J$1001,0),1)&gt;=100000,INDEX($Q$1005:$U$1005,1,MATCH(COLUMNS($Q$1006:R1006),$Q$1006:$U$1006,0))&gt;=100000), " ",IF(INDEX($Q$2:$U$1001,MATCH(ROWS($J$2:J263),$J$2:$J$1001,0),MATCH(COLUMNS($Q$1006:R1006),$Q$1006:$U$1006,0)), HYPERLINK("#",""), HYPERLINK(CONCATENATE("#metadata!", ADDRESS(INDEX($L$2:$L$1001,MATCH(ROWS($J$2:J263),$J$2:$J$1001,0),0), INDEX($Q$1004:$U$1004,1,MATCH(COLUMNS($Q$1006:R1006),$Q$1006:$U$1006,0)))),"Fix")))</f>
        <v xml:space="preserve"> </v>
      </c>
      <c r="D263" s="3" t="str">
        <f ca="1">IF(OR(INDEX($K$2:$K$1001,MATCH(ROWS($J$2:J263),$J$2:$J$1001,0),1)&gt;=100000,INDEX($Q$1005:$U$1005,1,MATCH(COLUMNS($Q$1006:S1006),$Q$1006:$U$1006,0))&gt;=100000), " ",IF(INDEX($Q$2:$U$1001,MATCH(ROWS($J$2:J263),$J$2:$J$1001,0),MATCH(COLUMNS($Q$1006:S1006),$Q$1006:$U$1006,0)), HYPERLINK("#",""), HYPERLINK(CONCATENATE("#metadata!", ADDRESS(INDEX($L$2:$L$1001,MATCH(ROWS($J$2:J263),$J$2:$J$1001,0),0), INDEX($Q$1004:$U$1004,1,MATCH(COLUMNS($Q$1006:S1006),$Q$1006:$U$1006,0)))),"Fix")))</f>
        <v xml:space="preserve"> </v>
      </c>
      <c r="E263" s="3" t="str">
        <f ca="1">IF(OR(INDEX($K$2:$K$1001,MATCH(ROWS($J$2:J263),$J$2:$J$1001,0),1)&gt;=100000,INDEX($Q$1005:$U$1005,1,MATCH(COLUMNS($Q$1006:T1006),$Q$1006:$U$1006,0))&gt;=100000), " ",IF(INDEX($Q$2:$U$1001,MATCH(ROWS($J$2:J263),$J$2:$J$1001,0),MATCH(COLUMNS($Q$1006:T1006),$Q$1006:$U$1006,0)), HYPERLINK("#",""), HYPERLINK(CONCATENATE("#metadata!", ADDRESS(INDEX($L$2:$L$1001,MATCH(ROWS($J$2:J263),$J$2:$J$1001,0),0), INDEX($Q$1004:$U$1004,1,MATCH(COLUMNS($Q$1006:T1006),$Q$1006:$U$1006,0)))),"Fix")))</f>
        <v xml:space="preserve"> </v>
      </c>
      <c r="F263" s="3" t="str">
        <f ca="1">IF(OR(INDEX($K$2:$K$1001,MATCH(ROWS($J$2:J263),$J$2:$J$1001,0),1)&gt;=100000,INDEX($Q$1005:$U$1005,1,MATCH(COLUMNS($Q$1006:U1006),$Q$1006:$U$1006,0))&gt;=100000), " ",IF(INDEX($Q$2:$U$1001,MATCH(ROWS($J$2:J263),$J$2:$J$1001,0),MATCH(COLUMNS($Q$1006:U1006),$Q$1006:$U$1006,0)), HYPERLINK("#",""), HYPERLINK(CONCATENATE("#metadata!", ADDRESS(INDEX($L$2:$L$1001,MATCH(ROWS($J$2:J263),$J$2:$J$1001,0),0), INDEX($Q$1004:$U$1004,1,MATCH(COLUMNS($Q$1006:U1006),$Q$1006:$U$1006,0)))),"Fix")))</f>
        <v xml:space="preserve"> </v>
      </c>
      <c r="J263">
        <v>262</v>
      </c>
      <c r="K263">
        <v>100263</v>
      </c>
      <c r="L263">
        <v>263</v>
      </c>
      <c r="M263" t="b">
        <f t="shared" si="4"/>
        <v>1</v>
      </c>
      <c r="N263" t="b">
        <f>COUNTBLANK(metadata!B263:F263)=COLUMNS(metadata!B263:F263)</f>
        <v>1</v>
      </c>
      <c r="O263" t="str">
        <v/>
      </c>
      <c r="Q263" t="b">
        <f ca="1">AND(IF(metadata!B263="",FALSE,TRUE),COUNTIF(metadata!B:B, metadata!B263) = 1,NOT(ISERROR(SUMPRODUCT(SEARCH(MID(metadata!B263,ROW(INDIRECT("1:"&amp;LEN(metadata!B263))), 1),"0123456789abcdefghijklmnopqrstuvwxyzABCDEFGHIJKLMNOPQRSTUVWXYZ.")))))</f>
        <v>0</v>
      </c>
      <c r="R263" t="b">
        <f>AND(IF(metadata!C263="",FALSE,TRUE),OR(EXACT(metadata!C263,"saline"),EXACT(metadata!C263,"non-saline")))</f>
        <v>0</v>
      </c>
      <c r="S263" t="b">
        <f>AND(IF(metadata!D263="",FALSE,TRUE),OR(EXACT(metadata!D263,"surface (non-saline)"),EXACT(metadata!D263,"aerosol (non-saline)"),EXACT(metadata!D263,"sediment (non-saline)"),EXACT(metadata!D263,"surface (saline)"),EXACT(metadata!D263,"aerosol (saline)"),EXACT(metadata!D263,"sediment (saline)")))</f>
        <v>0</v>
      </c>
      <c r="T263" t="b">
        <f>AND(IF(metadata!E263="",FALSE,TRUE),EXACT(metadata!E263,"built environment"))</f>
        <v>0</v>
      </c>
      <c r="U263" t="b">
        <f>OR(AND(IF(metadata!F263="",FALSE,TRUE),EXACT(metadata!F263,"not applicable")),AND(IF(metadata!F263="",FALSE,TRUE),EXACT(metadata!F263,"anaerobic digester content")))</f>
        <v>0</v>
      </c>
    </row>
    <row r="264" spans="1:21" x14ac:dyDescent="0.2">
      <c r="A264" s="4" t="str">
        <f ca="1">IF(B264=" "," ",HYPERLINK(CONCATENATE("#metadata!",ADDRESS(INDEX($L$2:$L$1001,MATCH(ROWS($J$2:J264),$J$2:$J$1001,0),0),1)),INDEX($O$2:$O$1001,MATCH(ROWS($J$2:J264),$J$2:$J$1001,0),0)))</f>
        <v xml:space="preserve"> </v>
      </c>
      <c r="B264" s="3" t="str">
        <f ca="1">IF(OR(INDEX($K$2:$K$1001,MATCH(ROWS($J$2:J264),$J$2:$J$1001,0),1)&gt;=100000,INDEX($Q$1005:$U$1005,1,MATCH(COLUMNS($Q$1006:Q1006),$Q$1006:$U$1006,0))&gt;=100000), " ",IF(INDEX($Q$2:$U$1001,MATCH(ROWS($J$2:J264),$J$2:$J$1001,0),MATCH(COLUMNS($Q$1006:Q1006),$Q$1006:$U$1006,0)), HYPERLINK("#",""), HYPERLINK(CONCATENATE("#metadata!", ADDRESS(INDEX($L$2:$L$1001,MATCH(ROWS($J$2:J264),$J$2:$J$1001,0),0), INDEX($Q$1004:$U$1004,1,MATCH(COLUMNS($Q$1006:Q1006),$Q$1006:$U$1006,0)))),"Fix")))</f>
        <v xml:space="preserve"> </v>
      </c>
      <c r="C264" s="3" t="str">
        <f ca="1">IF(OR(INDEX($K$2:$K$1001,MATCH(ROWS($J$2:J264),$J$2:$J$1001,0),1)&gt;=100000,INDEX($Q$1005:$U$1005,1,MATCH(COLUMNS($Q$1006:R1006),$Q$1006:$U$1006,0))&gt;=100000), " ",IF(INDEX($Q$2:$U$1001,MATCH(ROWS($J$2:J264),$J$2:$J$1001,0),MATCH(COLUMNS($Q$1006:R1006),$Q$1006:$U$1006,0)), HYPERLINK("#",""), HYPERLINK(CONCATENATE("#metadata!", ADDRESS(INDEX($L$2:$L$1001,MATCH(ROWS($J$2:J264),$J$2:$J$1001,0),0), INDEX($Q$1004:$U$1004,1,MATCH(COLUMNS($Q$1006:R1006),$Q$1006:$U$1006,0)))),"Fix")))</f>
        <v xml:space="preserve"> </v>
      </c>
      <c r="D264" s="3" t="str">
        <f ca="1">IF(OR(INDEX($K$2:$K$1001,MATCH(ROWS($J$2:J264),$J$2:$J$1001,0),1)&gt;=100000,INDEX($Q$1005:$U$1005,1,MATCH(COLUMNS($Q$1006:S1006),$Q$1006:$U$1006,0))&gt;=100000), " ",IF(INDEX($Q$2:$U$1001,MATCH(ROWS($J$2:J264),$J$2:$J$1001,0),MATCH(COLUMNS($Q$1006:S1006),$Q$1006:$U$1006,0)), HYPERLINK("#",""), HYPERLINK(CONCATENATE("#metadata!", ADDRESS(INDEX($L$2:$L$1001,MATCH(ROWS($J$2:J264),$J$2:$J$1001,0),0), INDEX($Q$1004:$U$1004,1,MATCH(COLUMNS($Q$1006:S1006),$Q$1006:$U$1006,0)))),"Fix")))</f>
        <v xml:space="preserve"> </v>
      </c>
      <c r="E264" s="3" t="str">
        <f ca="1">IF(OR(INDEX($K$2:$K$1001,MATCH(ROWS($J$2:J264),$J$2:$J$1001,0),1)&gt;=100000,INDEX($Q$1005:$U$1005,1,MATCH(COLUMNS($Q$1006:T1006),$Q$1006:$U$1006,0))&gt;=100000), " ",IF(INDEX($Q$2:$U$1001,MATCH(ROWS($J$2:J264),$J$2:$J$1001,0),MATCH(COLUMNS($Q$1006:T1006),$Q$1006:$U$1006,0)), HYPERLINK("#",""), HYPERLINK(CONCATENATE("#metadata!", ADDRESS(INDEX($L$2:$L$1001,MATCH(ROWS($J$2:J264),$J$2:$J$1001,0),0), INDEX($Q$1004:$U$1004,1,MATCH(COLUMNS($Q$1006:T1006),$Q$1006:$U$1006,0)))),"Fix")))</f>
        <v xml:space="preserve"> </v>
      </c>
      <c r="F264" s="3" t="str">
        <f ca="1">IF(OR(INDEX($K$2:$K$1001,MATCH(ROWS($J$2:J264),$J$2:$J$1001,0),1)&gt;=100000,INDEX($Q$1005:$U$1005,1,MATCH(COLUMNS($Q$1006:U1006),$Q$1006:$U$1006,0))&gt;=100000), " ",IF(INDEX($Q$2:$U$1001,MATCH(ROWS($J$2:J264),$J$2:$J$1001,0),MATCH(COLUMNS($Q$1006:U1006),$Q$1006:$U$1006,0)), HYPERLINK("#",""), HYPERLINK(CONCATENATE("#metadata!", ADDRESS(INDEX($L$2:$L$1001,MATCH(ROWS($J$2:J264),$J$2:$J$1001,0),0), INDEX($Q$1004:$U$1004,1,MATCH(COLUMNS($Q$1006:U1006),$Q$1006:$U$1006,0)))),"Fix")))</f>
        <v xml:space="preserve"> </v>
      </c>
      <c r="J264">
        <v>263</v>
      </c>
      <c r="K264">
        <v>100264</v>
      </c>
      <c r="L264">
        <v>264</v>
      </c>
      <c r="M264" t="b">
        <f t="shared" si="4"/>
        <v>1</v>
      </c>
      <c r="N264" t="b">
        <f>COUNTBLANK(metadata!B264:F264)=COLUMNS(metadata!B264:F264)</f>
        <v>1</v>
      </c>
      <c r="O264" t="str">
        <v/>
      </c>
      <c r="Q264" t="b">
        <f ca="1">AND(IF(metadata!B264="",FALSE,TRUE),COUNTIF(metadata!B:B, metadata!B264) = 1,NOT(ISERROR(SUMPRODUCT(SEARCH(MID(metadata!B264,ROW(INDIRECT("1:"&amp;LEN(metadata!B264))), 1),"0123456789abcdefghijklmnopqrstuvwxyzABCDEFGHIJKLMNOPQRSTUVWXYZ.")))))</f>
        <v>0</v>
      </c>
      <c r="R264" t="b">
        <f>AND(IF(metadata!C264="",FALSE,TRUE),OR(EXACT(metadata!C264,"saline"),EXACT(metadata!C264,"non-saline")))</f>
        <v>0</v>
      </c>
      <c r="S264" t="b">
        <f>AND(IF(metadata!D264="",FALSE,TRUE),OR(EXACT(metadata!D264,"surface (non-saline)"),EXACT(metadata!D264,"aerosol (non-saline)"),EXACT(metadata!D264,"sediment (non-saline)"),EXACT(metadata!D264,"surface (saline)"),EXACT(metadata!D264,"aerosol (saline)"),EXACT(metadata!D264,"sediment (saline)")))</f>
        <v>0</v>
      </c>
      <c r="T264" t="b">
        <f>AND(IF(metadata!E264="",FALSE,TRUE),EXACT(metadata!E264,"built environment"))</f>
        <v>0</v>
      </c>
      <c r="U264" t="b">
        <f>OR(AND(IF(metadata!F264="",FALSE,TRUE),EXACT(metadata!F264,"not applicable")),AND(IF(metadata!F264="",FALSE,TRUE),EXACT(metadata!F264,"anaerobic digester content")))</f>
        <v>0</v>
      </c>
    </row>
    <row r="265" spans="1:21" x14ac:dyDescent="0.2">
      <c r="A265" s="4" t="str">
        <f ca="1">IF(B265=" "," ",HYPERLINK(CONCATENATE("#metadata!",ADDRESS(INDEX($L$2:$L$1001,MATCH(ROWS($J$2:J265),$J$2:$J$1001,0),0),1)),INDEX($O$2:$O$1001,MATCH(ROWS($J$2:J265),$J$2:$J$1001,0),0)))</f>
        <v xml:space="preserve"> </v>
      </c>
      <c r="B265" s="3" t="str">
        <f ca="1">IF(OR(INDEX($K$2:$K$1001,MATCH(ROWS($J$2:J265),$J$2:$J$1001,0),1)&gt;=100000,INDEX($Q$1005:$U$1005,1,MATCH(COLUMNS($Q$1006:Q1006),$Q$1006:$U$1006,0))&gt;=100000), " ",IF(INDEX($Q$2:$U$1001,MATCH(ROWS($J$2:J265),$J$2:$J$1001,0),MATCH(COLUMNS($Q$1006:Q1006),$Q$1006:$U$1006,0)), HYPERLINK("#",""), HYPERLINK(CONCATENATE("#metadata!", ADDRESS(INDEX($L$2:$L$1001,MATCH(ROWS($J$2:J265),$J$2:$J$1001,0),0), INDEX($Q$1004:$U$1004,1,MATCH(COLUMNS($Q$1006:Q1006),$Q$1006:$U$1006,0)))),"Fix")))</f>
        <v xml:space="preserve"> </v>
      </c>
      <c r="C265" s="3" t="str">
        <f ca="1">IF(OR(INDEX($K$2:$K$1001,MATCH(ROWS($J$2:J265),$J$2:$J$1001,0),1)&gt;=100000,INDEX($Q$1005:$U$1005,1,MATCH(COLUMNS($Q$1006:R1006),$Q$1006:$U$1006,0))&gt;=100000), " ",IF(INDEX($Q$2:$U$1001,MATCH(ROWS($J$2:J265),$J$2:$J$1001,0),MATCH(COLUMNS($Q$1006:R1006),$Q$1006:$U$1006,0)), HYPERLINK("#",""), HYPERLINK(CONCATENATE("#metadata!", ADDRESS(INDEX($L$2:$L$1001,MATCH(ROWS($J$2:J265),$J$2:$J$1001,0),0), INDEX($Q$1004:$U$1004,1,MATCH(COLUMNS($Q$1006:R1006),$Q$1006:$U$1006,0)))),"Fix")))</f>
        <v xml:space="preserve"> </v>
      </c>
      <c r="D265" s="3" t="str">
        <f ca="1">IF(OR(INDEX($K$2:$K$1001,MATCH(ROWS($J$2:J265),$J$2:$J$1001,0),1)&gt;=100000,INDEX($Q$1005:$U$1005,1,MATCH(COLUMNS($Q$1006:S1006),$Q$1006:$U$1006,0))&gt;=100000), " ",IF(INDEX($Q$2:$U$1001,MATCH(ROWS($J$2:J265),$J$2:$J$1001,0),MATCH(COLUMNS($Q$1006:S1006),$Q$1006:$U$1006,0)), HYPERLINK("#",""), HYPERLINK(CONCATENATE("#metadata!", ADDRESS(INDEX($L$2:$L$1001,MATCH(ROWS($J$2:J265),$J$2:$J$1001,0),0), INDEX($Q$1004:$U$1004,1,MATCH(COLUMNS($Q$1006:S1006),$Q$1006:$U$1006,0)))),"Fix")))</f>
        <v xml:space="preserve"> </v>
      </c>
      <c r="E265" s="3" t="str">
        <f ca="1">IF(OR(INDEX($K$2:$K$1001,MATCH(ROWS($J$2:J265),$J$2:$J$1001,0),1)&gt;=100000,INDEX($Q$1005:$U$1005,1,MATCH(COLUMNS($Q$1006:T1006),$Q$1006:$U$1006,0))&gt;=100000), " ",IF(INDEX($Q$2:$U$1001,MATCH(ROWS($J$2:J265),$J$2:$J$1001,0),MATCH(COLUMNS($Q$1006:T1006),$Q$1006:$U$1006,0)), HYPERLINK("#",""), HYPERLINK(CONCATENATE("#metadata!", ADDRESS(INDEX($L$2:$L$1001,MATCH(ROWS($J$2:J265),$J$2:$J$1001,0),0), INDEX($Q$1004:$U$1004,1,MATCH(COLUMNS($Q$1006:T1006),$Q$1006:$U$1006,0)))),"Fix")))</f>
        <v xml:space="preserve"> </v>
      </c>
      <c r="F265" s="3" t="str">
        <f ca="1">IF(OR(INDEX($K$2:$K$1001,MATCH(ROWS($J$2:J265),$J$2:$J$1001,0),1)&gt;=100000,INDEX($Q$1005:$U$1005,1,MATCH(COLUMNS($Q$1006:U1006),$Q$1006:$U$1006,0))&gt;=100000), " ",IF(INDEX($Q$2:$U$1001,MATCH(ROWS($J$2:J265),$J$2:$J$1001,0),MATCH(COLUMNS($Q$1006:U1006),$Q$1006:$U$1006,0)), HYPERLINK("#",""), HYPERLINK(CONCATENATE("#metadata!", ADDRESS(INDEX($L$2:$L$1001,MATCH(ROWS($J$2:J265),$J$2:$J$1001,0),0), INDEX($Q$1004:$U$1004,1,MATCH(COLUMNS($Q$1006:U1006),$Q$1006:$U$1006,0)))),"Fix")))</f>
        <v xml:space="preserve"> </v>
      </c>
      <c r="J265">
        <v>264</v>
      </c>
      <c r="K265">
        <v>100265</v>
      </c>
      <c r="L265">
        <v>265</v>
      </c>
      <c r="M265" t="b">
        <f t="shared" si="4"/>
        <v>1</v>
      </c>
      <c r="N265" t="b">
        <f>COUNTBLANK(metadata!B265:F265)=COLUMNS(metadata!B265:F265)</f>
        <v>1</v>
      </c>
      <c r="O265" t="str">
        <v/>
      </c>
      <c r="Q265" t="b">
        <f ca="1">AND(IF(metadata!B265="",FALSE,TRUE),COUNTIF(metadata!B:B, metadata!B265) = 1,NOT(ISERROR(SUMPRODUCT(SEARCH(MID(metadata!B265,ROW(INDIRECT("1:"&amp;LEN(metadata!B265))), 1),"0123456789abcdefghijklmnopqrstuvwxyzABCDEFGHIJKLMNOPQRSTUVWXYZ.")))))</f>
        <v>0</v>
      </c>
      <c r="R265" t="b">
        <f>AND(IF(metadata!C265="",FALSE,TRUE),OR(EXACT(metadata!C265,"saline"),EXACT(metadata!C265,"non-saline")))</f>
        <v>0</v>
      </c>
      <c r="S265" t="b">
        <f>AND(IF(metadata!D265="",FALSE,TRUE),OR(EXACT(metadata!D265,"surface (non-saline)"),EXACT(metadata!D265,"aerosol (non-saline)"),EXACT(metadata!D265,"sediment (non-saline)"),EXACT(metadata!D265,"surface (saline)"),EXACT(metadata!D265,"aerosol (saline)"),EXACT(metadata!D265,"sediment (saline)")))</f>
        <v>0</v>
      </c>
      <c r="T265" t="b">
        <f>AND(IF(metadata!E265="",FALSE,TRUE),EXACT(metadata!E265,"built environment"))</f>
        <v>0</v>
      </c>
      <c r="U265" t="b">
        <f>OR(AND(IF(metadata!F265="",FALSE,TRUE),EXACT(metadata!F265,"not applicable")),AND(IF(metadata!F265="",FALSE,TRUE),EXACT(metadata!F265,"anaerobic digester content")))</f>
        <v>0</v>
      </c>
    </row>
    <row r="266" spans="1:21" x14ac:dyDescent="0.2">
      <c r="A266" s="4" t="str">
        <f ca="1">IF(B266=" "," ",HYPERLINK(CONCATENATE("#metadata!",ADDRESS(INDEX($L$2:$L$1001,MATCH(ROWS($J$2:J266),$J$2:$J$1001,0),0),1)),INDEX($O$2:$O$1001,MATCH(ROWS($J$2:J266),$J$2:$J$1001,0),0)))</f>
        <v xml:space="preserve"> </v>
      </c>
      <c r="B266" s="3" t="str">
        <f ca="1">IF(OR(INDEX($K$2:$K$1001,MATCH(ROWS($J$2:J266),$J$2:$J$1001,0),1)&gt;=100000,INDEX($Q$1005:$U$1005,1,MATCH(COLUMNS($Q$1006:Q1006),$Q$1006:$U$1006,0))&gt;=100000), " ",IF(INDEX($Q$2:$U$1001,MATCH(ROWS($J$2:J266),$J$2:$J$1001,0),MATCH(COLUMNS($Q$1006:Q1006),$Q$1006:$U$1006,0)), HYPERLINK("#",""), HYPERLINK(CONCATENATE("#metadata!", ADDRESS(INDEX($L$2:$L$1001,MATCH(ROWS($J$2:J266),$J$2:$J$1001,0),0), INDEX($Q$1004:$U$1004,1,MATCH(COLUMNS($Q$1006:Q1006),$Q$1006:$U$1006,0)))),"Fix")))</f>
        <v xml:space="preserve"> </v>
      </c>
      <c r="C266" s="3" t="str">
        <f ca="1">IF(OR(INDEX($K$2:$K$1001,MATCH(ROWS($J$2:J266),$J$2:$J$1001,0),1)&gt;=100000,INDEX($Q$1005:$U$1005,1,MATCH(COLUMNS($Q$1006:R1006),$Q$1006:$U$1006,0))&gt;=100000), " ",IF(INDEX($Q$2:$U$1001,MATCH(ROWS($J$2:J266),$J$2:$J$1001,0),MATCH(COLUMNS($Q$1006:R1006),$Q$1006:$U$1006,0)), HYPERLINK("#",""), HYPERLINK(CONCATENATE("#metadata!", ADDRESS(INDEX($L$2:$L$1001,MATCH(ROWS($J$2:J266),$J$2:$J$1001,0),0), INDEX($Q$1004:$U$1004,1,MATCH(COLUMNS($Q$1006:R1006),$Q$1006:$U$1006,0)))),"Fix")))</f>
        <v xml:space="preserve"> </v>
      </c>
      <c r="D266" s="3" t="str">
        <f ca="1">IF(OR(INDEX($K$2:$K$1001,MATCH(ROWS($J$2:J266),$J$2:$J$1001,0),1)&gt;=100000,INDEX($Q$1005:$U$1005,1,MATCH(COLUMNS($Q$1006:S1006),$Q$1006:$U$1006,0))&gt;=100000), " ",IF(INDEX($Q$2:$U$1001,MATCH(ROWS($J$2:J266),$J$2:$J$1001,0),MATCH(COLUMNS($Q$1006:S1006),$Q$1006:$U$1006,0)), HYPERLINK("#",""), HYPERLINK(CONCATENATE("#metadata!", ADDRESS(INDEX($L$2:$L$1001,MATCH(ROWS($J$2:J266),$J$2:$J$1001,0),0), INDEX($Q$1004:$U$1004,1,MATCH(COLUMNS($Q$1006:S1006),$Q$1006:$U$1006,0)))),"Fix")))</f>
        <v xml:space="preserve"> </v>
      </c>
      <c r="E266" s="3" t="str">
        <f ca="1">IF(OR(INDEX($K$2:$K$1001,MATCH(ROWS($J$2:J266),$J$2:$J$1001,0),1)&gt;=100000,INDEX($Q$1005:$U$1005,1,MATCH(COLUMNS($Q$1006:T1006),$Q$1006:$U$1006,0))&gt;=100000), " ",IF(INDEX($Q$2:$U$1001,MATCH(ROWS($J$2:J266),$J$2:$J$1001,0),MATCH(COLUMNS($Q$1006:T1006),$Q$1006:$U$1006,0)), HYPERLINK("#",""), HYPERLINK(CONCATENATE("#metadata!", ADDRESS(INDEX($L$2:$L$1001,MATCH(ROWS($J$2:J266),$J$2:$J$1001,0),0), INDEX($Q$1004:$U$1004,1,MATCH(COLUMNS($Q$1006:T1006),$Q$1006:$U$1006,0)))),"Fix")))</f>
        <v xml:space="preserve"> </v>
      </c>
      <c r="F266" s="3" t="str">
        <f ca="1">IF(OR(INDEX($K$2:$K$1001,MATCH(ROWS($J$2:J266),$J$2:$J$1001,0),1)&gt;=100000,INDEX($Q$1005:$U$1005,1,MATCH(COLUMNS($Q$1006:U1006),$Q$1006:$U$1006,0))&gt;=100000), " ",IF(INDEX($Q$2:$U$1001,MATCH(ROWS($J$2:J266),$J$2:$J$1001,0),MATCH(COLUMNS($Q$1006:U1006),$Q$1006:$U$1006,0)), HYPERLINK("#",""), HYPERLINK(CONCATENATE("#metadata!", ADDRESS(INDEX($L$2:$L$1001,MATCH(ROWS($J$2:J266),$J$2:$J$1001,0),0), INDEX($Q$1004:$U$1004,1,MATCH(COLUMNS($Q$1006:U1006),$Q$1006:$U$1006,0)))),"Fix")))</f>
        <v xml:space="preserve"> </v>
      </c>
      <c r="J266">
        <v>265</v>
      </c>
      <c r="K266">
        <v>100266</v>
      </c>
      <c r="L266">
        <v>266</v>
      </c>
      <c r="M266" t="b">
        <f t="shared" si="4"/>
        <v>1</v>
      </c>
      <c r="N266" t="b">
        <f>COUNTBLANK(metadata!B266:F266)=COLUMNS(metadata!B266:F266)</f>
        <v>1</v>
      </c>
      <c r="O266" t="str">
        <v/>
      </c>
      <c r="Q266" t="b">
        <f ca="1">AND(IF(metadata!B266="",FALSE,TRUE),COUNTIF(metadata!B:B, metadata!B266) = 1,NOT(ISERROR(SUMPRODUCT(SEARCH(MID(metadata!B266,ROW(INDIRECT("1:"&amp;LEN(metadata!B266))), 1),"0123456789abcdefghijklmnopqrstuvwxyzABCDEFGHIJKLMNOPQRSTUVWXYZ.")))))</f>
        <v>0</v>
      </c>
      <c r="R266" t="b">
        <f>AND(IF(metadata!C266="",FALSE,TRUE),OR(EXACT(metadata!C266,"saline"),EXACT(metadata!C266,"non-saline")))</f>
        <v>0</v>
      </c>
      <c r="S266" t="b">
        <f>AND(IF(metadata!D266="",FALSE,TRUE),OR(EXACT(metadata!D266,"surface (non-saline)"),EXACT(metadata!D266,"aerosol (non-saline)"),EXACT(metadata!D266,"sediment (non-saline)"),EXACT(metadata!D266,"surface (saline)"),EXACT(metadata!D266,"aerosol (saline)"),EXACT(metadata!D266,"sediment (saline)")))</f>
        <v>0</v>
      </c>
      <c r="T266" t="b">
        <f>AND(IF(metadata!E266="",FALSE,TRUE),EXACT(metadata!E266,"built environment"))</f>
        <v>0</v>
      </c>
      <c r="U266" t="b">
        <f>OR(AND(IF(metadata!F266="",FALSE,TRUE),EXACT(metadata!F266,"not applicable")),AND(IF(metadata!F266="",FALSE,TRUE),EXACT(metadata!F266,"anaerobic digester content")))</f>
        <v>0</v>
      </c>
    </row>
    <row r="267" spans="1:21" x14ac:dyDescent="0.2">
      <c r="A267" s="4" t="str">
        <f ca="1">IF(B267=" "," ",HYPERLINK(CONCATENATE("#metadata!",ADDRESS(INDEX($L$2:$L$1001,MATCH(ROWS($J$2:J267),$J$2:$J$1001,0),0),1)),INDEX($O$2:$O$1001,MATCH(ROWS($J$2:J267),$J$2:$J$1001,0),0)))</f>
        <v xml:space="preserve"> </v>
      </c>
      <c r="B267" s="3" t="str">
        <f ca="1">IF(OR(INDEX($K$2:$K$1001,MATCH(ROWS($J$2:J267),$J$2:$J$1001,0),1)&gt;=100000,INDEX($Q$1005:$U$1005,1,MATCH(COLUMNS($Q$1006:Q1006),$Q$1006:$U$1006,0))&gt;=100000), " ",IF(INDEX($Q$2:$U$1001,MATCH(ROWS($J$2:J267),$J$2:$J$1001,0),MATCH(COLUMNS($Q$1006:Q1006),$Q$1006:$U$1006,0)), HYPERLINK("#",""), HYPERLINK(CONCATENATE("#metadata!", ADDRESS(INDEX($L$2:$L$1001,MATCH(ROWS($J$2:J267),$J$2:$J$1001,0),0), INDEX($Q$1004:$U$1004,1,MATCH(COLUMNS($Q$1006:Q1006),$Q$1006:$U$1006,0)))),"Fix")))</f>
        <v xml:space="preserve"> </v>
      </c>
      <c r="C267" s="3" t="str">
        <f ca="1">IF(OR(INDEX($K$2:$K$1001,MATCH(ROWS($J$2:J267),$J$2:$J$1001,0),1)&gt;=100000,INDEX($Q$1005:$U$1005,1,MATCH(COLUMNS($Q$1006:R1006),$Q$1006:$U$1006,0))&gt;=100000), " ",IF(INDEX($Q$2:$U$1001,MATCH(ROWS($J$2:J267),$J$2:$J$1001,0),MATCH(COLUMNS($Q$1006:R1006),$Q$1006:$U$1006,0)), HYPERLINK("#",""), HYPERLINK(CONCATENATE("#metadata!", ADDRESS(INDEX($L$2:$L$1001,MATCH(ROWS($J$2:J267),$J$2:$J$1001,0),0), INDEX($Q$1004:$U$1004,1,MATCH(COLUMNS($Q$1006:R1006),$Q$1006:$U$1006,0)))),"Fix")))</f>
        <v xml:space="preserve"> </v>
      </c>
      <c r="D267" s="3" t="str">
        <f ca="1">IF(OR(INDEX($K$2:$K$1001,MATCH(ROWS($J$2:J267),$J$2:$J$1001,0),1)&gt;=100000,INDEX($Q$1005:$U$1005,1,MATCH(COLUMNS($Q$1006:S1006),$Q$1006:$U$1006,0))&gt;=100000), " ",IF(INDEX($Q$2:$U$1001,MATCH(ROWS($J$2:J267),$J$2:$J$1001,0),MATCH(COLUMNS($Q$1006:S1006),$Q$1006:$U$1006,0)), HYPERLINK("#",""), HYPERLINK(CONCATENATE("#metadata!", ADDRESS(INDEX($L$2:$L$1001,MATCH(ROWS($J$2:J267),$J$2:$J$1001,0),0), INDEX($Q$1004:$U$1004,1,MATCH(COLUMNS($Q$1006:S1006),$Q$1006:$U$1006,0)))),"Fix")))</f>
        <v xml:space="preserve"> </v>
      </c>
      <c r="E267" s="3" t="str">
        <f ca="1">IF(OR(INDEX($K$2:$K$1001,MATCH(ROWS($J$2:J267),$J$2:$J$1001,0),1)&gt;=100000,INDEX($Q$1005:$U$1005,1,MATCH(COLUMNS($Q$1006:T1006),$Q$1006:$U$1006,0))&gt;=100000), " ",IF(INDEX($Q$2:$U$1001,MATCH(ROWS($J$2:J267),$J$2:$J$1001,0),MATCH(COLUMNS($Q$1006:T1006),$Q$1006:$U$1006,0)), HYPERLINK("#",""), HYPERLINK(CONCATENATE("#metadata!", ADDRESS(INDEX($L$2:$L$1001,MATCH(ROWS($J$2:J267),$J$2:$J$1001,0),0), INDEX($Q$1004:$U$1004,1,MATCH(COLUMNS($Q$1006:T1006),$Q$1006:$U$1006,0)))),"Fix")))</f>
        <v xml:space="preserve"> </v>
      </c>
      <c r="F267" s="3" t="str">
        <f ca="1">IF(OR(INDEX($K$2:$K$1001,MATCH(ROWS($J$2:J267),$J$2:$J$1001,0),1)&gt;=100000,INDEX($Q$1005:$U$1005,1,MATCH(COLUMNS($Q$1006:U1006),$Q$1006:$U$1006,0))&gt;=100000), " ",IF(INDEX($Q$2:$U$1001,MATCH(ROWS($J$2:J267),$J$2:$J$1001,0),MATCH(COLUMNS($Q$1006:U1006),$Q$1006:$U$1006,0)), HYPERLINK("#",""), HYPERLINK(CONCATENATE("#metadata!", ADDRESS(INDEX($L$2:$L$1001,MATCH(ROWS($J$2:J267),$J$2:$J$1001,0),0), INDEX($Q$1004:$U$1004,1,MATCH(COLUMNS($Q$1006:U1006),$Q$1006:$U$1006,0)))),"Fix")))</f>
        <v xml:space="preserve"> </v>
      </c>
      <c r="J267">
        <v>266</v>
      </c>
      <c r="K267">
        <v>100267</v>
      </c>
      <c r="L267">
        <v>267</v>
      </c>
      <c r="M267" t="b">
        <f t="shared" si="4"/>
        <v>1</v>
      </c>
      <c r="N267" t="b">
        <f>COUNTBLANK(metadata!B267:F267)=COLUMNS(metadata!B267:F267)</f>
        <v>1</v>
      </c>
      <c r="O267" t="str">
        <v/>
      </c>
      <c r="Q267" t="b">
        <f ca="1">AND(IF(metadata!B267="",FALSE,TRUE),COUNTIF(metadata!B:B, metadata!B267) = 1,NOT(ISERROR(SUMPRODUCT(SEARCH(MID(metadata!B267,ROW(INDIRECT("1:"&amp;LEN(metadata!B267))), 1),"0123456789abcdefghijklmnopqrstuvwxyzABCDEFGHIJKLMNOPQRSTUVWXYZ.")))))</f>
        <v>0</v>
      </c>
      <c r="R267" t="b">
        <f>AND(IF(metadata!C267="",FALSE,TRUE),OR(EXACT(metadata!C267,"saline"),EXACT(metadata!C267,"non-saline")))</f>
        <v>0</v>
      </c>
      <c r="S267" t="b">
        <f>AND(IF(metadata!D267="",FALSE,TRUE),OR(EXACT(metadata!D267,"surface (non-saline)"),EXACT(metadata!D267,"aerosol (non-saline)"),EXACT(metadata!D267,"sediment (non-saline)"),EXACT(metadata!D267,"surface (saline)"),EXACT(metadata!D267,"aerosol (saline)"),EXACT(metadata!D267,"sediment (saline)")))</f>
        <v>0</v>
      </c>
      <c r="T267" t="b">
        <f>AND(IF(metadata!E267="",FALSE,TRUE),EXACT(metadata!E267,"built environment"))</f>
        <v>0</v>
      </c>
      <c r="U267" t="b">
        <f>OR(AND(IF(metadata!F267="",FALSE,TRUE),EXACT(metadata!F267,"not applicable")),AND(IF(metadata!F267="",FALSE,TRUE),EXACT(metadata!F267,"anaerobic digester content")))</f>
        <v>0</v>
      </c>
    </row>
    <row r="268" spans="1:21" x14ac:dyDescent="0.2">
      <c r="A268" s="4" t="str">
        <f ca="1">IF(B268=" "," ",HYPERLINK(CONCATENATE("#metadata!",ADDRESS(INDEX($L$2:$L$1001,MATCH(ROWS($J$2:J268),$J$2:$J$1001,0),0),1)),INDEX($O$2:$O$1001,MATCH(ROWS($J$2:J268),$J$2:$J$1001,0),0)))</f>
        <v xml:space="preserve"> </v>
      </c>
      <c r="B268" s="3" t="str">
        <f ca="1">IF(OR(INDEX($K$2:$K$1001,MATCH(ROWS($J$2:J268),$J$2:$J$1001,0),1)&gt;=100000,INDEX($Q$1005:$U$1005,1,MATCH(COLUMNS($Q$1006:Q1006),$Q$1006:$U$1006,0))&gt;=100000), " ",IF(INDEX($Q$2:$U$1001,MATCH(ROWS($J$2:J268),$J$2:$J$1001,0),MATCH(COLUMNS($Q$1006:Q1006),$Q$1006:$U$1006,0)), HYPERLINK("#",""), HYPERLINK(CONCATENATE("#metadata!", ADDRESS(INDEX($L$2:$L$1001,MATCH(ROWS($J$2:J268),$J$2:$J$1001,0),0), INDEX($Q$1004:$U$1004,1,MATCH(COLUMNS($Q$1006:Q1006),$Q$1006:$U$1006,0)))),"Fix")))</f>
        <v xml:space="preserve"> </v>
      </c>
      <c r="C268" s="3" t="str">
        <f ca="1">IF(OR(INDEX($K$2:$K$1001,MATCH(ROWS($J$2:J268),$J$2:$J$1001,0),1)&gt;=100000,INDEX($Q$1005:$U$1005,1,MATCH(COLUMNS($Q$1006:R1006),$Q$1006:$U$1006,0))&gt;=100000), " ",IF(INDEX($Q$2:$U$1001,MATCH(ROWS($J$2:J268),$J$2:$J$1001,0),MATCH(COLUMNS($Q$1006:R1006),$Q$1006:$U$1006,0)), HYPERLINK("#",""), HYPERLINK(CONCATENATE("#metadata!", ADDRESS(INDEX($L$2:$L$1001,MATCH(ROWS($J$2:J268),$J$2:$J$1001,0),0), INDEX($Q$1004:$U$1004,1,MATCH(COLUMNS($Q$1006:R1006),$Q$1006:$U$1006,0)))),"Fix")))</f>
        <v xml:space="preserve"> </v>
      </c>
      <c r="D268" s="3" t="str">
        <f ca="1">IF(OR(INDEX($K$2:$K$1001,MATCH(ROWS($J$2:J268),$J$2:$J$1001,0),1)&gt;=100000,INDEX($Q$1005:$U$1005,1,MATCH(COLUMNS($Q$1006:S1006),$Q$1006:$U$1006,0))&gt;=100000), " ",IF(INDEX($Q$2:$U$1001,MATCH(ROWS($J$2:J268),$J$2:$J$1001,0),MATCH(COLUMNS($Q$1006:S1006),$Q$1006:$U$1006,0)), HYPERLINK("#",""), HYPERLINK(CONCATENATE("#metadata!", ADDRESS(INDEX($L$2:$L$1001,MATCH(ROWS($J$2:J268),$J$2:$J$1001,0),0), INDEX($Q$1004:$U$1004,1,MATCH(COLUMNS($Q$1006:S1006),$Q$1006:$U$1006,0)))),"Fix")))</f>
        <v xml:space="preserve"> </v>
      </c>
      <c r="E268" s="3" t="str">
        <f ca="1">IF(OR(INDEX($K$2:$K$1001,MATCH(ROWS($J$2:J268),$J$2:$J$1001,0),1)&gt;=100000,INDEX($Q$1005:$U$1005,1,MATCH(COLUMNS($Q$1006:T1006),$Q$1006:$U$1006,0))&gt;=100000), " ",IF(INDEX($Q$2:$U$1001,MATCH(ROWS($J$2:J268),$J$2:$J$1001,0),MATCH(COLUMNS($Q$1006:T1006),$Q$1006:$U$1006,0)), HYPERLINK("#",""), HYPERLINK(CONCATENATE("#metadata!", ADDRESS(INDEX($L$2:$L$1001,MATCH(ROWS($J$2:J268),$J$2:$J$1001,0),0), INDEX($Q$1004:$U$1004,1,MATCH(COLUMNS($Q$1006:T1006),$Q$1006:$U$1006,0)))),"Fix")))</f>
        <v xml:space="preserve"> </v>
      </c>
      <c r="F268" s="3" t="str">
        <f ca="1">IF(OR(INDEX($K$2:$K$1001,MATCH(ROWS($J$2:J268),$J$2:$J$1001,0),1)&gt;=100000,INDEX($Q$1005:$U$1005,1,MATCH(COLUMNS($Q$1006:U1006),$Q$1006:$U$1006,0))&gt;=100000), " ",IF(INDEX($Q$2:$U$1001,MATCH(ROWS($J$2:J268),$J$2:$J$1001,0),MATCH(COLUMNS($Q$1006:U1006),$Q$1006:$U$1006,0)), HYPERLINK("#",""), HYPERLINK(CONCATENATE("#metadata!", ADDRESS(INDEX($L$2:$L$1001,MATCH(ROWS($J$2:J268),$J$2:$J$1001,0),0), INDEX($Q$1004:$U$1004,1,MATCH(COLUMNS($Q$1006:U1006),$Q$1006:$U$1006,0)))),"Fix")))</f>
        <v xml:space="preserve"> </v>
      </c>
      <c r="J268">
        <v>267</v>
      </c>
      <c r="K268">
        <v>100268</v>
      </c>
      <c r="L268">
        <v>268</v>
      </c>
      <c r="M268" t="b">
        <f t="shared" si="4"/>
        <v>1</v>
      </c>
      <c r="N268" t="b">
        <f>COUNTBLANK(metadata!B268:F268)=COLUMNS(metadata!B268:F268)</f>
        <v>1</v>
      </c>
      <c r="O268" t="str">
        <v/>
      </c>
      <c r="Q268" t="b">
        <f ca="1">AND(IF(metadata!B268="",FALSE,TRUE),COUNTIF(metadata!B:B, metadata!B268) = 1,NOT(ISERROR(SUMPRODUCT(SEARCH(MID(metadata!B268,ROW(INDIRECT("1:"&amp;LEN(metadata!B268))), 1),"0123456789abcdefghijklmnopqrstuvwxyzABCDEFGHIJKLMNOPQRSTUVWXYZ.")))))</f>
        <v>0</v>
      </c>
      <c r="R268" t="b">
        <f>AND(IF(metadata!C268="",FALSE,TRUE),OR(EXACT(metadata!C268,"saline"),EXACT(metadata!C268,"non-saline")))</f>
        <v>0</v>
      </c>
      <c r="S268" t="b">
        <f>AND(IF(metadata!D268="",FALSE,TRUE),OR(EXACT(metadata!D268,"surface (non-saline)"),EXACT(metadata!D268,"aerosol (non-saline)"),EXACT(metadata!D268,"sediment (non-saline)"),EXACT(metadata!D268,"surface (saline)"),EXACT(metadata!D268,"aerosol (saline)"),EXACT(metadata!D268,"sediment (saline)")))</f>
        <v>0</v>
      </c>
      <c r="T268" t="b">
        <f>AND(IF(metadata!E268="",FALSE,TRUE),EXACT(metadata!E268,"built environment"))</f>
        <v>0</v>
      </c>
      <c r="U268" t="b">
        <f>OR(AND(IF(metadata!F268="",FALSE,TRUE),EXACT(metadata!F268,"not applicable")),AND(IF(metadata!F268="",FALSE,TRUE),EXACT(metadata!F268,"anaerobic digester content")))</f>
        <v>0</v>
      </c>
    </row>
    <row r="269" spans="1:21" x14ac:dyDescent="0.2">
      <c r="A269" s="4" t="str">
        <f ca="1">IF(B269=" "," ",HYPERLINK(CONCATENATE("#metadata!",ADDRESS(INDEX($L$2:$L$1001,MATCH(ROWS($J$2:J269),$J$2:$J$1001,0),0),1)),INDEX($O$2:$O$1001,MATCH(ROWS($J$2:J269),$J$2:$J$1001,0),0)))</f>
        <v xml:space="preserve"> </v>
      </c>
      <c r="B269" s="3" t="str">
        <f ca="1">IF(OR(INDEX($K$2:$K$1001,MATCH(ROWS($J$2:J269),$J$2:$J$1001,0),1)&gt;=100000,INDEX($Q$1005:$U$1005,1,MATCH(COLUMNS($Q$1006:Q1006),$Q$1006:$U$1006,0))&gt;=100000), " ",IF(INDEX($Q$2:$U$1001,MATCH(ROWS($J$2:J269),$J$2:$J$1001,0),MATCH(COLUMNS($Q$1006:Q1006),$Q$1006:$U$1006,0)), HYPERLINK("#",""), HYPERLINK(CONCATENATE("#metadata!", ADDRESS(INDEX($L$2:$L$1001,MATCH(ROWS($J$2:J269),$J$2:$J$1001,0),0), INDEX($Q$1004:$U$1004,1,MATCH(COLUMNS($Q$1006:Q1006),$Q$1006:$U$1006,0)))),"Fix")))</f>
        <v xml:space="preserve"> </v>
      </c>
      <c r="C269" s="3" t="str">
        <f ca="1">IF(OR(INDEX($K$2:$K$1001,MATCH(ROWS($J$2:J269),$J$2:$J$1001,0),1)&gt;=100000,INDEX($Q$1005:$U$1005,1,MATCH(COLUMNS($Q$1006:R1006),$Q$1006:$U$1006,0))&gt;=100000), " ",IF(INDEX($Q$2:$U$1001,MATCH(ROWS($J$2:J269),$J$2:$J$1001,0),MATCH(COLUMNS($Q$1006:R1006),$Q$1006:$U$1006,0)), HYPERLINK("#",""), HYPERLINK(CONCATENATE("#metadata!", ADDRESS(INDEX($L$2:$L$1001,MATCH(ROWS($J$2:J269),$J$2:$J$1001,0),0), INDEX($Q$1004:$U$1004,1,MATCH(COLUMNS($Q$1006:R1006),$Q$1006:$U$1006,0)))),"Fix")))</f>
        <v xml:space="preserve"> </v>
      </c>
      <c r="D269" s="3" t="str">
        <f ca="1">IF(OR(INDEX($K$2:$K$1001,MATCH(ROWS($J$2:J269),$J$2:$J$1001,0),1)&gt;=100000,INDEX($Q$1005:$U$1005,1,MATCH(COLUMNS($Q$1006:S1006),$Q$1006:$U$1006,0))&gt;=100000), " ",IF(INDEX($Q$2:$U$1001,MATCH(ROWS($J$2:J269),$J$2:$J$1001,0),MATCH(COLUMNS($Q$1006:S1006),$Q$1006:$U$1006,0)), HYPERLINK("#",""), HYPERLINK(CONCATENATE("#metadata!", ADDRESS(INDEX($L$2:$L$1001,MATCH(ROWS($J$2:J269),$J$2:$J$1001,0),0), INDEX($Q$1004:$U$1004,1,MATCH(COLUMNS($Q$1006:S1006),$Q$1006:$U$1006,0)))),"Fix")))</f>
        <v xml:space="preserve"> </v>
      </c>
      <c r="E269" s="3" t="str">
        <f ca="1">IF(OR(INDEX($K$2:$K$1001,MATCH(ROWS($J$2:J269),$J$2:$J$1001,0),1)&gt;=100000,INDEX($Q$1005:$U$1005,1,MATCH(COLUMNS($Q$1006:T1006),$Q$1006:$U$1006,0))&gt;=100000), " ",IF(INDEX($Q$2:$U$1001,MATCH(ROWS($J$2:J269),$J$2:$J$1001,0),MATCH(COLUMNS($Q$1006:T1006),$Q$1006:$U$1006,0)), HYPERLINK("#",""), HYPERLINK(CONCATENATE("#metadata!", ADDRESS(INDEX($L$2:$L$1001,MATCH(ROWS($J$2:J269),$J$2:$J$1001,0),0), INDEX($Q$1004:$U$1004,1,MATCH(COLUMNS($Q$1006:T1006),$Q$1006:$U$1006,0)))),"Fix")))</f>
        <v xml:space="preserve"> </v>
      </c>
      <c r="F269" s="3" t="str">
        <f ca="1">IF(OR(INDEX($K$2:$K$1001,MATCH(ROWS($J$2:J269),$J$2:$J$1001,0),1)&gt;=100000,INDEX($Q$1005:$U$1005,1,MATCH(COLUMNS($Q$1006:U1006),$Q$1006:$U$1006,0))&gt;=100000), " ",IF(INDEX($Q$2:$U$1001,MATCH(ROWS($J$2:J269),$J$2:$J$1001,0),MATCH(COLUMNS($Q$1006:U1006),$Q$1006:$U$1006,0)), HYPERLINK("#",""), HYPERLINK(CONCATENATE("#metadata!", ADDRESS(INDEX($L$2:$L$1001,MATCH(ROWS($J$2:J269),$J$2:$J$1001,0),0), INDEX($Q$1004:$U$1004,1,MATCH(COLUMNS($Q$1006:U1006),$Q$1006:$U$1006,0)))),"Fix")))</f>
        <v xml:space="preserve"> </v>
      </c>
      <c r="J269">
        <v>268</v>
      </c>
      <c r="K269">
        <v>100269</v>
      </c>
      <c r="L269">
        <v>269</v>
      </c>
      <c r="M269" t="b">
        <f t="shared" si="4"/>
        <v>1</v>
      </c>
      <c r="N269" t="b">
        <f>COUNTBLANK(metadata!B269:F269)=COLUMNS(metadata!B269:F269)</f>
        <v>1</v>
      </c>
      <c r="O269" t="str">
        <v/>
      </c>
      <c r="Q269" t="b">
        <f ca="1">AND(IF(metadata!B269="",FALSE,TRUE),COUNTIF(metadata!B:B, metadata!B269) = 1,NOT(ISERROR(SUMPRODUCT(SEARCH(MID(metadata!B269,ROW(INDIRECT("1:"&amp;LEN(metadata!B269))), 1),"0123456789abcdefghijklmnopqrstuvwxyzABCDEFGHIJKLMNOPQRSTUVWXYZ.")))))</f>
        <v>0</v>
      </c>
      <c r="R269" t="b">
        <f>AND(IF(metadata!C269="",FALSE,TRUE),OR(EXACT(metadata!C269,"saline"),EXACT(metadata!C269,"non-saline")))</f>
        <v>0</v>
      </c>
      <c r="S269" t="b">
        <f>AND(IF(metadata!D269="",FALSE,TRUE),OR(EXACT(metadata!D269,"surface (non-saline)"),EXACT(metadata!D269,"aerosol (non-saline)"),EXACT(metadata!D269,"sediment (non-saline)"),EXACT(metadata!D269,"surface (saline)"),EXACT(metadata!D269,"aerosol (saline)"),EXACT(metadata!D269,"sediment (saline)")))</f>
        <v>0</v>
      </c>
      <c r="T269" t="b">
        <f>AND(IF(metadata!E269="",FALSE,TRUE),EXACT(metadata!E269,"built environment"))</f>
        <v>0</v>
      </c>
      <c r="U269" t="b">
        <f>OR(AND(IF(metadata!F269="",FALSE,TRUE),EXACT(metadata!F269,"not applicable")),AND(IF(metadata!F269="",FALSE,TRUE),EXACT(metadata!F269,"anaerobic digester content")))</f>
        <v>0</v>
      </c>
    </row>
    <row r="270" spans="1:21" x14ac:dyDescent="0.2">
      <c r="A270" s="4" t="str">
        <f ca="1">IF(B270=" "," ",HYPERLINK(CONCATENATE("#metadata!",ADDRESS(INDEX($L$2:$L$1001,MATCH(ROWS($J$2:J270),$J$2:$J$1001,0),0),1)),INDEX($O$2:$O$1001,MATCH(ROWS($J$2:J270),$J$2:$J$1001,0),0)))</f>
        <v xml:space="preserve"> </v>
      </c>
      <c r="B270" s="3" t="str">
        <f ca="1">IF(OR(INDEX($K$2:$K$1001,MATCH(ROWS($J$2:J270),$J$2:$J$1001,0),1)&gt;=100000,INDEX($Q$1005:$U$1005,1,MATCH(COLUMNS($Q$1006:Q1006),$Q$1006:$U$1006,0))&gt;=100000), " ",IF(INDEX($Q$2:$U$1001,MATCH(ROWS($J$2:J270),$J$2:$J$1001,0),MATCH(COLUMNS($Q$1006:Q1006),$Q$1006:$U$1006,0)), HYPERLINK("#",""), HYPERLINK(CONCATENATE("#metadata!", ADDRESS(INDEX($L$2:$L$1001,MATCH(ROWS($J$2:J270),$J$2:$J$1001,0),0), INDEX($Q$1004:$U$1004,1,MATCH(COLUMNS($Q$1006:Q1006),$Q$1006:$U$1006,0)))),"Fix")))</f>
        <v xml:space="preserve"> </v>
      </c>
      <c r="C270" s="3" t="str">
        <f ca="1">IF(OR(INDEX($K$2:$K$1001,MATCH(ROWS($J$2:J270),$J$2:$J$1001,0),1)&gt;=100000,INDEX($Q$1005:$U$1005,1,MATCH(COLUMNS($Q$1006:R1006),$Q$1006:$U$1006,0))&gt;=100000), " ",IF(INDEX($Q$2:$U$1001,MATCH(ROWS($J$2:J270),$J$2:$J$1001,0),MATCH(COLUMNS($Q$1006:R1006),$Q$1006:$U$1006,0)), HYPERLINK("#",""), HYPERLINK(CONCATENATE("#metadata!", ADDRESS(INDEX($L$2:$L$1001,MATCH(ROWS($J$2:J270),$J$2:$J$1001,0),0), INDEX($Q$1004:$U$1004,1,MATCH(COLUMNS($Q$1006:R1006),$Q$1006:$U$1006,0)))),"Fix")))</f>
        <v xml:space="preserve"> </v>
      </c>
      <c r="D270" s="3" t="str">
        <f ca="1">IF(OR(INDEX($K$2:$K$1001,MATCH(ROWS($J$2:J270),$J$2:$J$1001,0),1)&gt;=100000,INDEX($Q$1005:$U$1005,1,MATCH(COLUMNS($Q$1006:S1006),$Q$1006:$U$1006,0))&gt;=100000), " ",IF(INDEX($Q$2:$U$1001,MATCH(ROWS($J$2:J270),$J$2:$J$1001,0),MATCH(COLUMNS($Q$1006:S1006),$Q$1006:$U$1006,0)), HYPERLINK("#",""), HYPERLINK(CONCATENATE("#metadata!", ADDRESS(INDEX($L$2:$L$1001,MATCH(ROWS($J$2:J270),$J$2:$J$1001,0),0), INDEX($Q$1004:$U$1004,1,MATCH(COLUMNS($Q$1006:S1006),$Q$1006:$U$1006,0)))),"Fix")))</f>
        <v xml:space="preserve"> </v>
      </c>
      <c r="E270" s="3" t="str">
        <f ca="1">IF(OR(INDEX($K$2:$K$1001,MATCH(ROWS($J$2:J270),$J$2:$J$1001,0),1)&gt;=100000,INDEX($Q$1005:$U$1005,1,MATCH(COLUMNS($Q$1006:T1006),$Q$1006:$U$1006,0))&gt;=100000), " ",IF(INDEX($Q$2:$U$1001,MATCH(ROWS($J$2:J270),$J$2:$J$1001,0),MATCH(COLUMNS($Q$1006:T1006),$Q$1006:$U$1006,0)), HYPERLINK("#",""), HYPERLINK(CONCATENATE("#metadata!", ADDRESS(INDEX($L$2:$L$1001,MATCH(ROWS($J$2:J270),$J$2:$J$1001,0),0), INDEX($Q$1004:$U$1004,1,MATCH(COLUMNS($Q$1006:T1006),$Q$1006:$U$1006,0)))),"Fix")))</f>
        <v xml:space="preserve"> </v>
      </c>
      <c r="F270" s="3" t="str">
        <f ca="1">IF(OR(INDEX($K$2:$K$1001,MATCH(ROWS($J$2:J270),$J$2:$J$1001,0),1)&gt;=100000,INDEX($Q$1005:$U$1005,1,MATCH(COLUMNS($Q$1006:U1006),$Q$1006:$U$1006,0))&gt;=100000), " ",IF(INDEX($Q$2:$U$1001,MATCH(ROWS($J$2:J270),$J$2:$J$1001,0),MATCH(COLUMNS($Q$1006:U1006),$Q$1006:$U$1006,0)), HYPERLINK("#",""), HYPERLINK(CONCATENATE("#metadata!", ADDRESS(INDEX($L$2:$L$1001,MATCH(ROWS($J$2:J270),$J$2:$J$1001,0),0), INDEX($Q$1004:$U$1004,1,MATCH(COLUMNS($Q$1006:U1006),$Q$1006:$U$1006,0)))),"Fix")))</f>
        <v xml:space="preserve"> </v>
      </c>
      <c r="J270">
        <v>269</v>
      </c>
      <c r="K270">
        <v>100270</v>
      </c>
      <c r="L270">
        <v>270</v>
      </c>
      <c r="M270" t="b">
        <f t="shared" si="4"/>
        <v>1</v>
      </c>
      <c r="N270" t="b">
        <f>COUNTBLANK(metadata!B270:F270)=COLUMNS(metadata!B270:F270)</f>
        <v>1</v>
      </c>
      <c r="O270" t="str">
        <v/>
      </c>
      <c r="Q270" t="b">
        <f ca="1">AND(IF(metadata!B270="",FALSE,TRUE),COUNTIF(metadata!B:B, metadata!B270) = 1,NOT(ISERROR(SUMPRODUCT(SEARCH(MID(metadata!B270,ROW(INDIRECT("1:"&amp;LEN(metadata!B270))), 1),"0123456789abcdefghijklmnopqrstuvwxyzABCDEFGHIJKLMNOPQRSTUVWXYZ.")))))</f>
        <v>0</v>
      </c>
      <c r="R270" t="b">
        <f>AND(IF(metadata!C270="",FALSE,TRUE),OR(EXACT(metadata!C270,"saline"),EXACT(metadata!C270,"non-saline")))</f>
        <v>0</v>
      </c>
      <c r="S270" t="b">
        <f>AND(IF(metadata!D270="",FALSE,TRUE),OR(EXACT(metadata!D270,"surface (non-saline)"),EXACT(metadata!D270,"aerosol (non-saline)"),EXACT(metadata!D270,"sediment (non-saline)"),EXACT(metadata!D270,"surface (saline)"),EXACT(metadata!D270,"aerosol (saline)"),EXACT(metadata!D270,"sediment (saline)")))</f>
        <v>0</v>
      </c>
      <c r="T270" t="b">
        <f>AND(IF(metadata!E270="",FALSE,TRUE),EXACT(metadata!E270,"built environment"))</f>
        <v>0</v>
      </c>
      <c r="U270" t="b">
        <f>OR(AND(IF(metadata!F270="",FALSE,TRUE),EXACT(metadata!F270,"not applicable")),AND(IF(metadata!F270="",FALSE,TRUE),EXACT(metadata!F270,"anaerobic digester content")))</f>
        <v>0</v>
      </c>
    </row>
    <row r="271" spans="1:21" x14ac:dyDescent="0.2">
      <c r="A271" s="4" t="str">
        <f ca="1">IF(B271=" "," ",HYPERLINK(CONCATENATE("#metadata!",ADDRESS(INDEX($L$2:$L$1001,MATCH(ROWS($J$2:J271),$J$2:$J$1001,0),0),1)),INDEX($O$2:$O$1001,MATCH(ROWS($J$2:J271),$J$2:$J$1001,0),0)))</f>
        <v xml:space="preserve"> </v>
      </c>
      <c r="B271" s="3" t="str">
        <f ca="1">IF(OR(INDEX($K$2:$K$1001,MATCH(ROWS($J$2:J271),$J$2:$J$1001,0),1)&gt;=100000,INDEX($Q$1005:$U$1005,1,MATCH(COLUMNS($Q$1006:Q1006),$Q$1006:$U$1006,0))&gt;=100000), " ",IF(INDEX($Q$2:$U$1001,MATCH(ROWS($J$2:J271),$J$2:$J$1001,0),MATCH(COLUMNS($Q$1006:Q1006),$Q$1006:$U$1006,0)), HYPERLINK("#",""), HYPERLINK(CONCATENATE("#metadata!", ADDRESS(INDEX($L$2:$L$1001,MATCH(ROWS($J$2:J271),$J$2:$J$1001,0),0), INDEX($Q$1004:$U$1004,1,MATCH(COLUMNS($Q$1006:Q1006),$Q$1006:$U$1006,0)))),"Fix")))</f>
        <v xml:space="preserve"> </v>
      </c>
      <c r="C271" s="3" t="str">
        <f ca="1">IF(OR(INDEX($K$2:$K$1001,MATCH(ROWS($J$2:J271),$J$2:$J$1001,0),1)&gt;=100000,INDEX($Q$1005:$U$1005,1,MATCH(COLUMNS($Q$1006:R1006),$Q$1006:$U$1006,0))&gt;=100000), " ",IF(INDEX($Q$2:$U$1001,MATCH(ROWS($J$2:J271),$J$2:$J$1001,0),MATCH(COLUMNS($Q$1006:R1006),$Q$1006:$U$1006,0)), HYPERLINK("#",""), HYPERLINK(CONCATENATE("#metadata!", ADDRESS(INDEX($L$2:$L$1001,MATCH(ROWS($J$2:J271),$J$2:$J$1001,0),0), INDEX($Q$1004:$U$1004,1,MATCH(COLUMNS($Q$1006:R1006),$Q$1006:$U$1006,0)))),"Fix")))</f>
        <v xml:space="preserve"> </v>
      </c>
      <c r="D271" s="3" t="str">
        <f ca="1">IF(OR(INDEX($K$2:$K$1001,MATCH(ROWS($J$2:J271),$J$2:$J$1001,0),1)&gt;=100000,INDEX($Q$1005:$U$1005,1,MATCH(COLUMNS($Q$1006:S1006),$Q$1006:$U$1006,0))&gt;=100000), " ",IF(INDEX($Q$2:$U$1001,MATCH(ROWS($J$2:J271),$J$2:$J$1001,0),MATCH(COLUMNS($Q$1006:S1006),$Q$1006:$U$1006,0)), HYPERLINK("#",""), HYPERLINK(CONCATENATE("#metadata!", ADDRESS(INDEX($L$2:$L$1001,MATCH(ROWS($J$2:J271),$J$2:$J$1001,0),0), INDEX($Q$1004:$U$1004,1,MATCH(COLUMNS($Q$1006:S1006),$Q$1006:$U$1006,0)))),"Fix")))</f>
        <v xml:space="preserve"> </v>
      </c>
      <c r="E271" s="3" t="str">
        <f ca="1">IF(OR(INDEX($K$2:$K$1001,MATCH(ROWS($J$2:J271),$J$2:$J$1001,0),1)&gt;=100000,INDEX($Q$1005:$U$1005,1,MATCH(COLUMNS($Q$1006:T1006),$Q$1006:$U$1006,0))&gt;=100000), " ",IF(INDEX($Q$2:$U$1001,MATCH(ROWS($J$2:J271),$J$2:$J$1001,0),MATCH(COLUMNS($Q$1006:T1006),$Q$1006:$U$1006,0)), HYPERLINK("#",""), HYPERLINK(CONCATENATE("#metadata!", ADDRESS(INDEX($L$2:$L$1001,MATCH(ROWS($J$2:J271),$J$2:$J$1001,0),0), INDEX($Q$1004:$U$1004,1,MATCH(COLUMNS($Q$1006:T1006),$Q$1006:$U$1006,0)))),"Fix")))</f>
        <v xml:space="preserve"> </v>
      </c>
      <c r="F271" s="3" t="str">
        <f ca="1">IF(OR(INDEX($K$2:$K$1001,MATCH(ROWS($J$2:J271),$J$2:$J$1001,0),1)&gt;=100000,INDEX($Q$1005:$U$1005,1,MATCH(COLUMNS($Q$1006:U1006),$Q$1006:$U$1006,0))&gt;=100000), " ",IF(INDEX($Q$2:$U$1001,MATCH(ROWS($J$2:J271),$J$2:$J$1001,0),MATCH(COLUMNS($Q$1006:U1006),$Q$1006:$U$1006,0)), HYPERLINK("#",""), HYPERLINK(CONCATENATE("#metadata!", ADDRESS(INDEX($L$2:$L$1001,MATCH(ROWS($J$2:J271),$J$2:$J$1001,0),0), INDEX($Q$1004:$U$1004,1,MATCH(COLUMNS($Q$1006:U1006),$Q$1006:$U$1006,0)))),"Fix")))</f>
        <v xml:space="preserve"> </v>
      </c>
      <c r="J271">
        <v>270</v>
      </c>
      <c r="K271">
        <v>100271</v>
      </c>
      <c r="L271">
        <v>271</v>
      </c>
      <c r="M271" t="b">
        <f t="shared" si="4"/>
        <v>1</v>
      </c>
      <c r="N271" t="b">
        <f>COUNTBLANK(metadata!B271:F271)=COLUMNS(metadata!B271:F271)</f>
        <v>1</v>
      </c>
      <c r="O271" t="str">
        <v/>
      </c>
      <c r="Q271" t="b">
        <f ca="1">AND(IF(metadata!B271="",FALSE,TRUE),COUNTIF(metadata!B:B, metadata!B271) = 1,NOT(ISERROR(SUMPRODUCT(SEARCH(MID(metadata!B271,ROW(INDIRECT("1:"&amp;LEN(metadata!B271))), 1),"0123456789abcdefghijklmnopqrstuvwxyzABCDEFGHIJKLMNOPQRSTUVWXYZ.")))))</f>
        <v>0</v>
      </c>
      <c r="R271" t="b">
        <f>AND(IF(metadata!C271="",FALSE,TRUE),OR(EXACT(metadata!C271,"saline"),EXACT(metadata!C271,"non-saline")))</f>
        <v>0</v>
      </c>
      <c r="S271" t="b">
        <f>AND(IF(metadata!D271="",FALSE,TRUE),OR(EXACT(metadata!D271,"surface (non-saline)"),EXACT(metadata!D271,"aerosol (non-saline)"),EXACT(metadata!D271,"sediment (non-saline)"),EXACT(metadata!D271,"surface (saline)"),EXACT(metadata!D271,"aerosol (saline)"),EXACT(metadata!D271,"sediment (saline)")))</f>
        <v>0</v>
      </c>
      <c r="T271" t="b">
        <f>AND(IF(metadata!E271="",FALSE,TRUE),EXACT(metadata!E271,"built environment"))</f>
        <v>0</v>
      </c>
      <c r="U271" t="b">
        <f>OR(AND(IF(metadata!F271="",FALSE,TRUE),EXACT(metadata!F271,"not applicable")),AND(IF(metadata!F271="",FALSE,TRUE),EXACT(metadata!F271,"anaerobic digester content")))</f>
        <v>0</v>
      </c>
    </row>
    <row r="272" spans="1:21" x14ac:dyDescent="0.2">
      <c r="A272" s="4" t="str">
        <f ca="1">IF(B272=" "," ",HYPERLINK(CONCATENATE("#metadata!",ADDRESS(INDEX($L$2:$L$1001,MATCH(ROWS($J$2:J272),$J$2:$J$1001,0),0),1)),INDEX($O$2:$O$1001,MATCH(ROWS($J$2:J272),$J$2:$J$1001,0),0)))</f>
        <v xml:space="preserve"> </v>
      </c>
      <c r="B272" s="3" t="str">
        <f ca="1">IF(OR(INDEX($K$2:$K$1001,MATCH(ROWS($J$2:J272),$J$2:$J$1001,0),1)&gt;=100000,INDEX($Q$1005:$U$1005,1,MATCH(COLUMNS($Q$1006:Q1006),$Q$1006:$U$1006,0))&gt;=100000), " ",IF(INDEX($Q$2:$U$1001,MATCH(ROWS($J$2:J272),$J$2:$J$1001,0),MATCH(COLUMNS($Q$1006:Q1006),$Q$1006:$U$1006,0)), HYPERLINK("#",""), HYPERLINK(CONCATENATE("#metadata!", ADDRESS(INDEX($L$2:$L$1001,MATCH(ROWS($J$2:J272),$J$2:$J$1001,0),0), INDEX($Q$1004:$U$1004,1,MATCH(COLUMNS($Q$1006:Q1006),$Q$1006:$U$1006,0)))),"Fix")))</f>
        <v xml:space="preserve"> </v>
      </c>
      <c r="C272" s="3" t="str">
        <f ca="1">IF(OR(INDEX($K$2:$K$1001,MATCH(ROWS($J$2:J272),$J$2:$J$1001,0),1)&gt;=100000,INDEX($Q$1005:$U$1005,1,MATCH(COLUMNS($Q$1006:R1006),$Q$1006:$U$1006,0))&gt;=100000), " ",IF(INDEX($Q$2:$U$1001,MATCH(ROWS($J$2:J272),$J$2:$J$1001,0),MATCH(COLUMNS($Q$1006:R1006),$Q$1006:$U$1006,0)), HYPERLINK("#",""), HYPERLINK(CONCATENATE("#metadata!", ADDRESS(INDEX($L$2:$L$1001,MATCH(ROWS($J$2:J272),$J$2:$J$1001,0),0), INDEX($Q$1004:$U$1004,1,MATCH(COLUMNS($Q$1006:R1006),$Q$1006:$U$1006,0)))),"Fix")))</f>
        <v xml:space="preserve"> </v>
      </c>
      <c r="D272" s="3" t="str">
        <f ca="1">IF(OR(INDEX($K$2:$K$1001,MATCH(ROWS($J$2:J272),$J$2:$J$1001,0),1)&gt;=100000,INDEX($Q$1005:$U$1005,1,MATCH(COLUMNS($Q$1006:S1006),$Q$1006:$U$1006,0))&gt;=100000), " ",IF(INDEX($Q$2:$U$1001,MATCH(ROWS($J$2:J272),$J$2:$J$1001,0),MATCH(COLUMNS($Q$1006:S1006),$Q$1006:$U$1006,0)), HYPERLINK("#",""), HYPERLINK(CONCATENATE("#metadata!", ADDRESS(INDEX($L$2:$L$1001,MATCH(ROWS($J$2:J272),$J$2:$J$1001,0),0), INDEX($Q$1004:$U$1004,1,MATCH(COLUMNS($Q$1006:S1006),$Q$1006:$U$1006,0)))),"Fix")))</f>
        <v xml:space="preserve"> </v>
      </c>
      <c r="E272" s="3" t="str">
        <f ca="1">IF(OR(INDEX($K$2:$K$1001,MATCH(ROWS($J$2:J272),$J$2:$J$1001,0),1)&gt;=100000,INDEX($Q$1005:$U$1005,1,MATCH(COLUMNS($Q$1006:T1006),$Q$1006:$U$1006,0))&gt;=100000), " ",IF(INDEX($Q$2:$U$1001,MATCH(ROWS($J$2:J272),$J$2:$J$1001,0),MATCH(COLUMNS($Q$1006:T1006),$Q$1006:$U$1006,0)), HYPERLINK("#",""), HYPERLINK(CONCATENATE("#metadata!", ADDRESS(INDEX($L$2:$L$1001,MATCH(ROWS($J$2:J272),$J$2:$J$1001,0),0), INDEX($Q$1004:$U$1004,1,MATCH(COLUMNS($Q$1006:T1006),$Q$1006:$U$1006,0)))),"Fix")))</f>
        <v xml:space="preserve"> </v>
      </c>
      <c r="F272" s="3" t="str">
        <f ca="1">IF(OR(INDEX($K$2:$K$1001,MATCH(ROWS($J$2:J272),$J$2:$J$1001,0),1)&gt;=100000,INDEX($Q$1005:$U$1005,1,MATCH(COLUMNS($Q$1006:U1006),$Q$1006:$U$1006,0))&gt;=100000), " ",IF(INDEX($Q$2:$U$1001,MATCH(ROWS($J$2:J272),$J$2:$J$1001,0),MATCH(COLUMNS($Q$1006:U1006),$Q$1006:$U$1006,0)), HYPERLINK("#",""), HYPERLINK(CONCATENATE("#metadata!", ADDRESS(INDEX($L$2:$L$1001,MATCH(ROWS($J$2:J272),$J$2:$J$1001,0),0), INDEX($Q$1004:$U$1004,1,MATCH(COLUMNS($Q$1006:U1006),$Q$1006:$U$1006,0)))),"Fix")))</f>
        <v xml:space="preserve"> </v>
      </c>
      <c r="J272">
        <v>271</v>
      </c>
      <c r="K272">
        <v>100272</v>
      </c>
      <c r="L272">
        <v>272</v>
      </c>
      <c r="M272" t="b">
        <f t="shared" si="4"/>
        <v>1</v>
      </c>
      <c r="N272" t="b">
        <f>COUNTBLANK(metadata!B272:F272)=COLUMNS(metadata!B272:F272)</f>
        <v>1</v>
      </c>
      <c r="O272" t="str">
        <v/>
      </c>
      <c r="Q272" t="b">
        <f ca="1">AND(IF(metadata!B272="",FALSE,TRUE),COUNTIF(metadata!B:B, metadata!B272) = 1,NOT(ISERROR(SUMPRODUCT(SEARCH(MID(metadata!B272,ROW(INDIRECT("1:"&amp;LEN(metadata!B272))), 1),"0123456789abcdefghijklmnopqrstuvwxyzABCDEFGHIJKLMNOPQRSTUVWXYZ.")))))</f>
        <v>0</v>
      </c>
      <c r="R272" t="b">
        <f>AND(IF(metadata!C272="",FALSE,TRUE),OR(EXACT(metadata!C272,"saline"),EXACT(metadata!C272,"non-saline")))</f>
        <v>0</v>
      </c>
      <c r="S272" t="b">
        <f>AND(IF(metadata!D272="",FALSE,TRUE),OR(EXACT(metadata!D272,"surface (non-saline)"),EXACT(metadata!D272,"aerosol (non-saline)"),EXACT(metadata!D272,"sediment (non-saline)"),EXACT(metadata!D272,"surface (saline)"),EXACT(metadata!D272,"aerosol (saline)"),EXACT(metadata!D272,"sediment (saline)")))</f>
        <v>0</v>
      </c>
      <c r="T272" t="b">
        <f>AND(IF(metadata!E272="",FALSE,TRUE),EXACT(metadata!E272,"built environment"))</f>
        <v>0</v>
      </c>
      <c r="U272" t="b">
        <f>OR(AND(IF(metadata!F272="",FALSE,TRUE),EXACT(metadata!F272,"not applicable")),AND(IF(metadata!F272="",FALSE,TRUE),EXACT(metadata!F272,"anaerobic digester content")))</f>
        <v>0</v>
      </c>
    </row>
    <row r="273" spans="1:21" x14ac:dyDescent="0.2">
      <c r="A273" s="4" t="str">
        <f ca="1">IF(B273=" "," ",HYPERLINK(CONCATENATE("#metadata!",ADDRESS(INDEX($L$2:$L$1001,MATCH(ROWS($J$2:J273),$J$2:$J$1001,0),0),1)),INDEX($O$2:$O$1001,MATCH(ROWS($J$2:J273),$J$2:$J$1001,0),0)))</f>
        <v xml:space="preserve"> </v>
      </c>
      <c r="B273" s="3" t="str">
        <f ca="1">IF(OR(INDEX($K$2:$K$1001,MATCH(ROWS($J$2:J273),$J$2:$J$1001,0),1)&gt;=100000,INDEX($Q$1005:$U$1005,1,MATCH(COLUMNS($Q$1006:Q1006),$Q$1006:$U$1006,0))&gt;=100000), " ",IF(INDEX($Q$2:$U$1001,MATCH(ROWS($J$2:J273),$J$2:$J$1001,0),MATCH(COLUMNS($Q$1006:Q1006),$Q$1006:$U$1006,0)), HYPERLINK("#",""), HYPERLINK(CONCATENATE("#metadata!", ADDRESS(INDEX($L$2:$L$1001,MATCH(ROWS($J$2:J273),$J$2:$J$1001,0),0), INDEX($Q$1004:$U$1004,1,MATCH(COLUMNS($Q$1006:Q1006),$Q$1006:$U$1006,0)))),"Fix")))</f>
        <v xml:space="preserve"> </v>
      </c>
      <c r="C273" s="3" t="str">
        <f ca="1">IF(OR(INDEX($K$2:$K$1001,MATCH(ROWS($J$2:J273),$J$2:$J$1001,0),1)&gt;=100000,INDEX($Q$1005:$U$1005,1,MATCH(COLUMNS($Q$1006:R1006),$Q$1006:$U$1006,0))&gt;=100000), " ",IF(INDEX($Q$2:$U$1001,MATCH(ROWS($J$2:J273),$J$2:$J$1001,0),MATCH(COLUMNS($Q$1006:R1006),$Q$1006:$U$1006,0)), HYPERLINK("#",""), HYPERLINK(CONCATENATE("#metadata!", ADDRESS(INDEX($L$2:$L$1001,MATCH(ROWS($J$2:J273),$J$2:$J$1001,0),0), INDEX($Q$1004:$U$1004,1,MATCH(COLUMNS($Q$1006:R1006),$Q$1006:$U$1006,0)))),"Fix")))</f>
        <v xml:space="preserve"> </v>
      </c>
      <c r="D273" s="3" t="str">
        <f ca="1">IF(OR(INDEX($K$2:$K$1001,MATCH(ROWS($J$2:J273),$J$2:$J$1001,0),1)&gt;=100000,INDEX($Q$1005:$U$1005,1,MATCH(COLUMNS($Q$1006:S1006),$Q$1006:$U$1006,0))&gt;=100000), " ",IF(INDEX($Q$2:$U$1001,MATCH(ROWS($J$2:J273),$J$2:$J$1001,0),MATCH(COLUMNS($Q$1006:S1006),$Q$1006:$U$1006,0)), HYPERLINK("#",""), HYPERLINK(CONCATENATE("#metadata!", ADDRESS(INDEX($L$2:$L$1001,MATCH(ROWS($J$2:J273),$J$2:$J$1001,0),0), INDEX($Q$1004:$U$1004,1,MATCH(COLUMNS($Q$1006:S1006),$Q$1006:$U$1006,0)))),"Fix")))</f>
        <v xml:space="preserve"> </v>
      </c>
      <c r="E273" s="3" t="str">
        <f ca="1">IF(OR(INDEX($K$2:$K$1001,MATCH(ROWS($J$2:J273),$J$2:$J$1001,0),1)&gt;=100000,INDEX($Q$1005:$U$1005,1,MATCH(COLUMNS($Q$1006:T1006),$Q$1006:$U$1006,0))&gt;=100000), " ",IF(INDEX($Q$2:$U$1001,MATCH(ROWS($J$2:J273),$J$2:$J$1001,0),MATCH(COLUMNS($Q$1006:T1006),$Q$1006:$U$1006,0)), HYPERLINK("#",""), HYPERLINK(CONCATENATE("#metadata!", ADDRESS(INDEX($L$2:$L$1001,MATCH(ROWS($J$2:J273),$J$2:$J$1001,0),0), INDEX($Q$1004:$U$1004,1,MATCH(COLUMNS($Q$1006:T1006),$Q$1006:$U$1006,0)))),"Fix")))</f>
        <v xml:space="preserve"> </v>
      </c>
      <c r="F273" s="3" t="str">
        <f ca="1">IF(OR(INDEX($K$2:$K$1001,MATCH(ROWS($J$2:J273),$J$2:$J$1001,0),1)&gt;=100000,INDEX($Q$1005:$U$1005,1,MATCH(COLUMNS($Q$1006:U1006),$Q$1006:$U$1006,0))&gt;=100000), " ",IF(INDEX($Q$2:$U$1001,MATCH(ROWS($J$2:J273),$J$2:$J$1001,0),MATCH(COLUMNS($Q$1006:U1006),$Q$1006:$U$1006,0)), HYPERLINK("#",""), HYPERLINK(CONCATENATE("#metadata!", ADDRESS(INDEX($L$2:$L$1001,MATCH(ROWS($J$2:J273),$J$2:$J$1001,0),0), INDEX($Q$1004:$U$1004,1,MATCH(COLUMNS($Q$1006:U1006),$Q$1006:$U$1006,0)))),"Fix")))</f>
        <v xml:space="preserve"> </v>
      </c>
      <c r="J273">
        <v>272</v>
      </c>
      <c r="K273">
        <v>100273</v>
      </c>
      <c r="L273">
        <v>273</v>
      </c>
      <c r="M273" t="b">
        <f t="shared" si="4"/>
        <v>1</v>
      </c>
      <c r="N273" t="b">
        <f>COUNTBLANK(metadata!B273:F273)=COLUMNS(metadata!B273:F273)</f>
        <v>1</v>
      </c>
      <c r="O273" t="str">
        <v/>
      </c>
      <c r="Q273" t="b">
        <f ca="1">AND(IF(metadata!B273="",FALSE,TRUE),COUNTIF(metadata!B:B, metadata!B273) = 1,NOT(ISERROR(SUMPRODUCT(SEARCH(MID(metadata!B273,ROW(INDIRECT("1:"&amp;LEN(metadata!B273))), 1),"0123456789abcdefghijklmnopqrstuvwxyzABCDEFGHIJKLMNOPQRSTUVWXYZ.")))))</f>
        <v>0</v>
      </c>
      <c r="R273" t="b">
        <f>AND(IF(metadata!C273="",FALSE,TRUE),OR(EXACT(metadata!C273,"saline"),EXACT(metadata!C273,"non-saline")))</f>
        <v>0</v>
      </c>
      <c r="S273" t="b">
        <f>AND(IF(metadata!D273="",FALSE,TRUE),OR(EXACT(metadata!D273,"surface (non-saline)"),EXACT(metadata!D273,"aerosol (non-saline)"),EXACT(metadata!D273,"sediment (non-saline)"),EXACT(metadata!D273,"surface (saline)"),EXACT(metadata!D273,"aerosol (saline)"),EXACT(metadata!D273,"sediment (saline)")))</f>
        <v>0</v>
      </c>
      <c r="T273" t="b">
        <f>AND(IF(metadata!E273="",FALSE,TRUE),EXACT(metadata!E273,"built environment"))</f>
        <v>0</v>
      </c>
      <c r="U273" t="b">
        <f>OR(AND(IF(metadata!F273="",FALSE,TRUE),EXACT(metadata!F273,"not applicable")),AND(IF(metadata!F273="",FALSE,TRUE),EXACT(metadata!F273,"anaerobic digester content")))</f>
        <v>0</v>
      </c>
    </row>
    <row r="274" spans="1:21" x14ac:dyDescent="0.2">
      <c r="A274" s="4" t="str">
        <f ca="1">IF(B274=" "," ",HYPERLINK(CONCATENATE("#metadata!",ADDRESS(INDEX($L$2:$L$1001,MATCH(ROWS($J$2:J274),$J$2:$J$1001,0),0),1)),INDEX($O$2:$O$1001,MATCH(ROWS($J$2:J274),$J$2:$J$1001,0),0)))</f>
        <v xml:space="preserve"> </v>
      </c>
      <c r="B274" s="3" t="str">
        <f ca="1">IF(OR(INDEX($K$2:$K$1001,MATCH(ROWS($J$2:J274),$J$2:$J$1001,0),1)&gt;=100000,INDEX($Q$1005:$U$1005,1,MATCH(COLUMNS($Q$1006:Q1006),$Q$1006:$U$1006,0))&gt;=100000), " ",IF(INDEX($Q$2:$U$1001,MATCH(ROWS($J$2:J274),$J$2:$J$1001,0),MATCH(COLUMNS($Q$1006:Q1006),$Q$1006:$U$1006,0)), HYPERLINK("#",""), HYPERLINK(CONCATENATE("#metadata!", ADDRESS(INDEX($L$2:$L$1001,MATCH(ROWS($J$2:J274),$J$2:$J$1001,0),0), INDEX($Q$1004:$U$1004,1,MATCH(COLUMNS($Q$1006:Q1006),$Q$1006:$U$1006,0)))),"Fix")))</f>
        <v xml:space="preserve"> </v>
      </c>
      <c r="C274" s="3" t="str">
        <f ca="1">IF(OR(INDEX($K$2:$K$1001,MATCH(ROWS($J$2:J274),$J$2:$J$1001,0),1)&gt;=100000,INDEX($Q$1005:$U$1005,1,MATCH(COLUMNS($Q$1006:R1006),$Q$1006:$U$1006,0))&gt;=100000), " ",IF(INDEX($Q$2:$U$1001,MATCH(ROWS($J$2:J274),$J$2:$J$1001,0),MATCH(COLUMNS($Q$1006:R1006),$Q$1006:$U$1006,0)), HYPERLINK("#",""), HYPERLINK(CONCATENATE("#metadata!", ADDRESS(INDEX($L$2:$L$1001,MATCH(ROWS($J$2:J274),$J$2:$J$1001,0),0), INDEX($Q$1004:$U$1004,1,MATCH(COLUMNS($Q$1006:R1006),$Q$1006:$U$1006,0)))),"Fix")))</f>
        <v xml:space="preserve"> </v>
      </c>
      <c r="D274" s="3" t="str">
        <f ca="1">IF(OR(INDEX($K$2:$K$1001,MATCH(ROWS($J$2:J274),$J$2:$J$1001,0),1)&gt;=100000,INDEX($Q$1005:$U$1005,1,MATCH(COLUMNS($Q$1006:S1006),$Q$1006:$U$1006,0))&gt;=100000), " ",IF(INDEX($Q$2:$U$1001,MATCH(ROWS($J$2:J274),$J$2:$J$1001,0),MATCH(COLUMNS($Q$1006:S1006),$Q$1006:$U$1006,0)), HYPERLINK("#",""), HYPERLINK(CONCATENATE("#metadata!", ADDRESS(INDEX($L$2:$L$1001,MATCH(ROWS($J$2:J274),$J$2:$J$1001,0),0), INDEX($Q$1004:$U$1004,1,MATCH(COLUMNS($Q$1006:S1006),$Q$1006:$U$1006,0)))),"Fix")))</f>
        <v xml:space="preserve"> </v>
      </c>
      <c r="E274" s="3" t="str">
        <f ca="1">IF(OR(INDEX($K$2:$K$1001,MATCH(ROWS($J$2:J274),$J$2:$J$1001,0),1)&gt;=100000,INDEX($Q$1005:$U$1005,1,MATCH(COLUMNS($Q$1006:T1006),$Q$1006:$U$1006,0))&gt;=100000), " ",IF(INDEX($Q$2:$U$1001,MATCH(ROWS($J$2:J274),$J$2:$J$1001,0),MATCH(COLUMNS($Q$1006:T1006),$Q$1006:$U$1006,0)), HYPERLINK("#",""), HYPERLINK(CONCATENATE("#metadata!", ADDRESS(INDEX($L$2:$L$1001,MATCH(ROWS($J$2:J274),$J$2:$J$1001,0),0), INDEX($Q$1004:$U$1004,1,MATCH(COLUMNS($Q$1006:T1006),$Q$1006:$U$1006,0)))),"Fix")))</f>
        <v xml:space="preserve"> </v>
      </c>
      <c r="F274" s="3" t="str">
        <f ca="1">IF(OR(INDEX($K$2:$K$1001,MATCH(ROWS($J$2:J274),$J$2:$J$1001,0),1)&gt;=100000,INDEX($Q$1005:$U$1005,1,MATCH(COLUMNS($Q$1006:U1006),$Q$1006:$U$1006,0))&gt;=100000), " ",IF(INDEX($Q$2:$U$1001,MATCH(ROWS($J$2:J274),$J$2:$J$1001,0),MATCH(COLUMNS($Q$1006:U1006),$Q$1006:$U$1006,0)), HYPERLINK("#",""), HYPERLINK(CONCATENATE("#metadata!", ADDRESS(INDEX($L$2:$L$1001,MATCH(ROWS($J$2:J274),$J$2:$J$1001,0),0), INDEX($Q$1004:$U$1004,1,MATCH(COLUMNS($Q$1006:U1006),$Q$1006:$U$1006,0)))),"Fix")))</f>
        <v xml:space="preserve"> </v>
      </c>
      <c r="J274">
        <v>273</v>
      </c>
      <c r="K274">
        <v>100274</v>
      </c>
      <c r="L274">
        <v>274</v>
      </c>
      <c r="M274" t="b">
        <f t="shared" si="4"/>
        <v>1</v>
      </c>
      <c r="N274" t="b">
        <f>COUNTBLANK(metadata!B274:F274)=COLUMNS(metadata!B274:F274)</f>
        <v>1</v>
      </c>
      <c r="O274" t="str">
        <v/>
      </c>
      <c r="Q274" t="b">
        <f ca="1">AND(IF(metadata!B274="",FALSE,TRUE),COUNTIF(metadata!B:B, metadata!B274) = 1,NOT(ISERROR(SUMPRODUCT(SEARCH(MID(metadata!B274,ROW(INDIRECT("1:"&amp;LEN(metadata!B274))), 1),"0123456789abcdefghijklmnopqrstuvwxyzABCDEFGHIJKLMNOPQRSTUVWXYZ.")))))</f>
        <v>0</v>
      </c>
      <c r="R274" t="b">
        <f>AND(IF(metadata!C274="",FALSE,TRUE),OR(EXACT(metadata!C274,"saline"),EXACT(metadata!C274,"non-saline")))</f>
        <v>0</v>
      </c>
      <c r="S274" t="b">
        <f>AND(IF(metadata!D274="",FALSE,TRUE),OR(EXACT(metadata!D274,"surface (non-saline)"),EXACT(metadata!D274,"aerosol (non-saline)"),EXACT(metadata!D274,"sediment (non-saline)"),EXACT(metadata!D274,"surface (saline)"),EXACT(metadata!D274,"aerosol (saline)"),EXACT(metadata!D274,"sediment (saline)")))</f>
        <v>0</v>
      </c>
      <c r="T274" t="b">
        <f>AND(IF(metadata!E274="",FALSE,TRUE),EXACT(metadata!E274,"built environment"))</f>
        <v>0</v>
      </c>
      <c r="U274" t="b">
        <f>OR(AND(IF(metadata!F274="",FALSE,TRUE),EXACT(metadata!F274,"not applicable")),AND(IF(metadata!F274="",FALSE,TRUE),EXACT(metadata!F274,"anaerobic digester content")))</f>
        <v>0</v>
      </c>
    </row>
    <row r="275" spans="1:21" x14ac:dyDescent="0.2">
      <c r="A275" s="4" t="str">
        <f ca="1">IF(B275=" "," ",HYPERLINK(CONCATENATE("#metadata!",ADDRESS(INDEX($L$2:$L$1001,MATCH(ROWS($J$2:J275),$J$2:$J$1001,0),0),1)),INDEX($O$2:$O$1001,MATCH(ROWS($J$2:J275),$J$2:$J$1001,0),0)))</f>
        <v xml:space="preserve"> </v>
      </c>
      <c r="B275" s="3" t="str">
        <f ca="1">IF(OR(INDEX($K$2:$K$1001,MATCH(ROWS($J$2:J275),$J$2:$J$1001,0),1)&gt;=100000,INDEX($Q$1005:$U$1005,1,MATCH(COLUMNS($Q$1006:Q1006),$Q$1006:$U$1006,0))&gt;=100000), " ",IF(INDEX($Q$2:$U$1001,MATCH(ROWS($J$2:J275),$J$2:$J$1001,0),MATCH(COLUMNS($Q$1006:Q1006),$Q$1006:$U$1006,0)), HYPERLINK("#",""), HYPERLINK(CONCATENATE("#metadata!", ADDRESS(INDEX($L$2:$L$1001,MATCH(ROWS($J$2:J275),$J$2:$J$1001,0),0), INDEX($Q$1004:$U$1004,1,MATCH(COLUMNS($Q$1006:Q1006),$Q$1006:$U$1006,0)))),"Fix")))</f>
        <v xml:space="preserve"> </v>
      </c>
      <c r="C275" s="3" t="str">
        <f ca="1">IF(OR(INDEX($K$2:$K$1001,MATCH(ROWS($J$2:J275),$J$2:$J$1001,0),1)&gt;=100000,INDEX($Q$1005:$U$1005,1,MATCH(COLUMNS($Q$1006:R1006),$Q$1006:$U$1006,0))&gt;=100000), " ",IF(INDEX($Q$2:$U$1001,MATCH(ROWS($J$2:J275),$J$2:$J$1001,0),MATCH(COLUMNS($Q$1006:R1006),$Q$1006:$U$1006,0)), HYPERLINK("#",""), HYPERLINK(CONCATENATE("#metadata!", ADDRESS(INDEX($L$2:$L$1001,MATCH(ROWS($J$2:J275),$J$2:$J$1001,0),0), INDEX($Q$1004:$U$1004,1,MATCH(COLUMNS($Q$1006:R1006),$Q$1006:$U$1006,0)))),"Fix")))</f>
        <v xml:space="preserve"> </v>
      </c>
      <c r="D275" s="3" t="str">
        <f ca="1">IF(OR(INDEX($K$2:$K$1001,MATCH(ROWS($J$2:J275),$J$2:$J$1001,0),1)&gt;=100000,INDEX($Q$1005:$U$1005,1,MATCH(COLUMNS($Q$1006:S1006),$Q$1006:$U$1006,0))&gt;=100000), " ",IF(INDEX($Q$2:$U$1001,MATCH(ROWS($J$2:J275),$J$2:$J$1001,0),MATCH(COLUMNS($Q$1006:S1006),$Q$1006:$U$1006,0)), HYPERLINK("#",""), HYPERLINK(CONCATENATE("#metadata!", ADDRESS(INDEX($L$2:$L$1001,MATCH(ROWS($J$2:J275),$J$2:$J$1001,0),0), INDEX($Q$1004:$U$1004,1,MATCH(COLUMNS($Q$1006:S1006),$Q$1006:$U$1006,0)))),"Fix")))</f>
        <v xml:space="preserve"> </v>
      </c>
      <c r="E275" s="3" t="str">
        <f ca="1">IF(OR(INDEX($K$2:$K$1001,MATCH(ROWS($J$2:J275),$J$2:$J$1001,0),1)&gt;=100000,INDEX($Q$1005:$U$1005,1,MATCH(COLUMNS($Q$1006:T1006),$Q$1006:$U$1006,0))&gt;=100000), " ",IF(INDEX($Q$2:$U$1001,MATCH(ROWS($J$2:J275),$J$2:$J$1001,0),MATCH(COLUMNS($Q$1006:T1006),$Q$1006:$U$1006,0)), HYPERLINK("#",""), HYPERLINK(CONCATENATE("#metadata!", ADDRESS(INDEX($L$2:$L$1001,MATCH(ROWS($J$2:J275),$J$2:$J$1001,0),0), INDEX($Q$1004:$U$1004,1,MATCH(COLUMNS($Q$1006:T1006),$Q$1006:$U$1006,0)))),"Fix")))</f>
        <v xml:space="preserve"> </v>
      </c>
      <c r="F275" s="3" t="str">
        <f ca="1">IF(OR(INDEX($K$2:$K$1001,MATCH(ROWS($J$2:J275),$J$2:$J$1001,0),1)&gt;=100000,INDEX($Q$1005:$U$1005,1,MATCH(COLUMNS($Q$1006:U1006),$Q$1006:$U$1006,0))&gt;=100000), " ",IF(INDEX($Q$2:$U$1001,MATCH(ROWS($J$2:J275),$J$2:$J$1001,0),MATCH(COLUMNS($Q$1006:U1006),$Q$1006:$U$1006,0)), HYPERLINK("#",""), HYPERLINK(CONCATENATE("#metadata!", ADDRESS(INDEX($L$2:$L$1001,MATCH(ROWS($J$2:J275),$J$2:$J$1001,0),0), INDEX($Q$1004:$U$1004,1,MATCH(COLUMNS($Q$1006:U1006),$Q$1006:$U$1006,0)))),"Fix")))</f>
        <v xml:space="preserve"> </v>
      </c>
      <c r="J275">
        <v>274</v>
      </c>
      <c r="K275">
        <v>100275</v>
      </c>
      <c r="L275">
        <v>275</v>
      </c>
      <c r="M275" t="b">
        <f t="shared" si="4"/>
        <v>1</v>
      </c>
      <c r="N275" t="b">
        <f>COUNTBLANK(metadata!B275:F275)=COLUMNS(metadata!B275:F275)</f>
        <v>1</v>
      </c>
      <c r="O275" t="str">
        <v/>
      </c>
      <c r="Q275" t="b">
        <f ca="1">AND(IF(metadata!B275="",FALSE,TRUE),COUNTIF(metadata!B:B, metadata!B275) = 1,NOT(ISERROR(SUMPRODUCT(SEARCH(MID(metadata!B275,ROW(INDIRECT("1:"&amp;LEN(metadata!B275))), 1),"0123456789abcdefghijklmnopqrstuvwxyzABCDEFGHIJKLMNOPQRSTUVWXYZ.")))))</f>
        <v>0</v>
      </c>
      <c r="R275" t="b">
        <f>AND(IF(metadata!C275="",FALSE,TRUE),OR(EXACT(metadata!C275,"saline"),EXACT(metadata!C275,"non-saline")))</f>
        <v>0</v>
      </c>
      <c r="S275" t="b">
        <f>AND(IF(metadata!D275="",FALSE,TRUE),OR(EXACT(metadata!D275,"surface (non-saline)"),EXACT(metadata!D275,"aerosol (non-saline)"),EXACT(metadata!D275,"sediment (non-saline)"),EXACT(metadata!D275,"surface (saline)"),EXACT(metadata!D275,"aerosol (saline)"),EXACT(metadata!D275,"sediment (saline)")))</f>
        <v>0</v>
      </c>
      <c r="T275" t="b">
        <f>AND(IF(metadata!E275="",FALSE,TRUE),EXACT(metadata!E275,"built environment"))</f>
        <v>0</v>
      </c>
      <c r="U275" t="b">
        <f>OR(AND(IF(metadata!F275="",FALSE,TRUE),EXACT(metadata!F275,"not applicable")),AND(IF(metadata!F275="",FALSE,TRUE),EXACT(metadata!F275,"anaerobic digester content")))</f>
        <v>0</v>
      </c>
    </row>
    <row r="276" spans="1:21" x14ac:dyDescent="0.2">
      <c r="A276" s="4" t="str">
        <f ca="1">IF(B276=" "," ",HYPERLINK(CONCATENATE("#metadata!",ADDRESS(INDEX($L$2:$L$1001,MATCH(ROWS($J$2:J276),$J$2:$J$1001,0),0),1)),INDEX($O$2:$O$1001,MATCH(ROWS($J$2:J276),$J$2:$J$1001,0),0)))</f>
        <v xml:space="preserve"> </v>
      </c>
      <c r="B276" s="3" t="str">
        <f ca="1">IF(OR(INDEX($K$2:$K$1001,MATCH(ROWS($J$2:J276),$J$2:$J$1001,0),1)&gt;=100000,INDEX($Q$1005:$U$1005,1,MATCH(COLUMNS($Q$1006:Q1006),$Q$1006:$U$1006,0))&gt;=100000), " ",IF(INDEX($Q$2:$U$1001,MATCH(ROWS($J$2:J276),$J$2:$J$1001,0),MATCH(COLUMNS($Q$1006:Q1006),$Q$1006:$U$1006,0)), HYPERLINK("#",""), HYPERLINK(CONCATENATE("#metadata!", ADDRESS(INDEX($L$2:$L$1001,MATCH(ROWS($J$2:J276),$J$2:$J$1001,0),0), INDEX($Q$1004:$U$1004,1,MATCH(COLUMNS($Q$1006:Q1006),$Q$1006:$U$1006,0)))),"Fix")))</f>
        <v xml:space="preserve"> </v>
      </c>
      <c r="C276" s="3" t="str">
        <f ca="1">IF(OR(INDEX($K$2:$K$1001,MATCH(ROWS($J$2:J276),$J$2:$J$1001,0),1)&gt;=100000,INDEX($Q$1005:$U$1005,1,MATCH(COLUMNS($Q$1006:R1006),$Q$1006:$U$1006,0))&gt;=100000), " ",IF(INDEX($Q$2:$U$1001,MATCH(ROWS($J$2:J276),$J$2:$J$1001,0),MATCH(COLUMNS($Q$1006:R1006),$Q$1006:$U$1006,0)), HYPERLINK("#",""), HYPERLINK(CONCATENATE("#metadata!", ADDRESS(INDEX($L$2:$L$1001,MATCH(ROWS($J$2:J276),$J$2:$J$1001,0),0), INDEX($Q$1004:$U$1004,1,MATCH(COLUMNS($Q$1006:R1006),$Q$1006:$U$1006,0)))),"Fix")))</f>
        <v xml:space="preserve"> </v>
      </c>
      <c r="D276" s="3" t="str">
        <f ca="1">IF(OR(INDEX($K$2:$K$1001,MATCH(ROWS($J$2:J276),$J$2:$J$1001,0),1)&gt;=100000,INDEX($Q$1005:$U$1005,1,MATCH(COLUMNS($Q$1006:S1006),$Q$1006:$U$1006,0))&gt;=100000), " ",IF(INDEX($Q$2:$U$1001,MATCH(ROWS($J$2:J276),$J$2:$J$1001,0),MATCH(COLUMNS($Q$1006:S1006),$Q$1006:$U$1006,0)), HYPERLINK("#",""), HYPERLINK(CONCATENATE("#metadata!", ADDRESS(INDEX($L$2:$L$1001,MATCH(ROWS($J$2:J276),$J$2:$J$1001,0),0), INDEX($Q$1004:$U$1004,1,MATCH(COLUMNS($Q$1006:S1006),$Q$1006:$U$1006,0)))),"Fix")))</f>
        <v xml:space="preserve"> </v>
      </c>
      <c r="E276" s="3" t="str">
        <f ca="1">IF(OR(INDEX($K$2:$K$1001,MATCH(ROWS($J$2:J276),$J$2:$J$1001,0),1)&gt;=100000,INDEX($Q$1005:$U$1005,1,MATCH(COLUMNS($Q$1006:T1006),$Q$1006:$U$1006,0))&gt;=100000), " ",IF(INDEX($Q$2:$U$1001,MATCH(ROWS($J$2:J276),$J$2:$J$1001,0),MATCH(COLUMNS($Q$1006:T1006),$Q$1006:$U$1006,0)), HYPERLINK("#",""), HYPERLINK(CONCATENATE("#metadata!", ADDRESS(INDEX($L$2:$L$1001,MATCH(ROWS($J$2:J276),$J$2:$J$1001,0),0), INDEX($Q$1004:$U$1004,1,MATCH(COLUMNS($Q$1006:T1006),$Q$1006:$U$1006,0)))),"Fix")))</f>
        <v xml:space="preserve"> </v>
      </c>
      <c r="F276" s="3" t="str">
        <f ca="1">IF(OR(INDEX($K$2:$K$1001,MATCH(ROWS($J$2:J276),$J$2:$J$1001,0),1)&gt;=100000,INDEX($Q$1005:$U$1005,1,MATCH(COLUMNS($Q$1006:U1006),$Q$1006:$U$1006,0))&gt;=100000), " ",IF(INDEX($Q$2:$U$1001,MATCH(ROWS($J$2:J276),$J$2:$J$1001,0),MATCH(COLUMNS($Q$1006:U1006),$Q$1006:$U$1006,0)), HYPERLINK("#",""), HYPERLINK(CONCATENATE("#metadata!", ADDRESS(INDEX($L$2:$L$1001,MATCH(ROWS($J$2:J276),$J$2:$J$1001,0),0), INDEX($Q$1004:$U$1004,1,MATCH(COLUMNS($Q$1006:U1006),$Q$1006:$U$1006,0)))),"Fix")))</f>
        <v xml:space="preserve"> </v>
      </c>
      <c r="J276">
        <v>275</v>
      </c>
      <c r="K276">
        <v>100276</v>
      </c>
      <c r="L276">
        <v>276</v>
      </c>
      <c r="M276" t="b">
        <f t="shared" si="4"/>
        <v>1</v>
      </c>
      <c r="N276" t="b">
        <f>COUNTBLANK(metadata!B276:F276)=COLUMNS(metadata!B276:F276)</f>
        <v>1</v>
      </c>
      <c r="O276" t="str">
        <v/>
      </c>
      <c r="Q276" t="b">
        <f ca="1">AND(IF(metadata!B276="",FALSE,TRUE),COUNTIF(metadata!B:B, metadata!B276) = 1,NOT(ISERROR(SUMPRODUCT(SEARCH(MID(metadata!B276,ROW(INDIRECT("1:"&amp;LEN(metadata!B276))), 1),"0123456789abcdefghijklmnopqrstuvwxyzABCDEFGHIJKLMNOPQRSTUVWXYZ.")))))</f>
        <v>0</v>
      </c>
      <c r="R276" t="b">
        <f>AND(IF(metadata!C276="",FALSE,TRUE),OR(EXACT(metadata!C276,"saline"),EXACT(metadata!C276,"non-saline")))</f>
        <v>0</v>
      </c>
      <c r="S276" t="b">
        <f>AND(IF(metadata!D276="",FALSE,TRUE),OR(EXACT(metadata!D276,"surface (non-saline)"),EXACT(metadata!D276,"aerosol (non-saline)"),EXACT(metadata!D276,"sediment (non-saline)"),EXACT(metadata!D276,"surface (saline)"),EXACT(metadata!D276,"aerosol (saline)"),EXACT(metadata!D276,"sediment (saline)")))</f>
        <v>0</v>
      </c>
      <c r="T276" t="b">
        <f>AND(IF(metadata!E276="",FALSE,TRUE),EXACT(metadata!E276,"built environment"))</f>
        <v>0</v>
      </c>
      <c r="U276" t="b">
        <f>OR(AND(IF(metadata!F276="",FALSE,TRUE),EXACT(metadata!F276,"not applicable")),AND(IF(metadata!F276="",FALSE,TRUE),EXACT(metadata!F276,"anaerobic digester content")))</f>
        <v>0</v>
      </c>
    </row>
    <row r="277" spans="1:21" x14ac:dyDescent="0.2">
      <c r="A277" s="4" t="str">
        <f ca="1">IF(B277=" "," ",HYPERLINK(CONCATENATE("#metadata!",ADDRESS(INDEX($L$2:$L$1001,MATCH(ROWS($J$2:J277),$J$2:$J$1001,0),0),1)),INDEX($O$2:$O$1001,MATCH(ROWS($J$2:J277),$J$2:$J$1001,0),0)))</f>
        <v xml:space="preserve"> </v>
      </c>
      <c r="B277" s="3" t="str">
        <f ca="1">IF(OR(INDEX($K$2:$K$1001,MATCH(ROWS($J$2:J277),$J$2:$J$1001,0),1)&gt;=100000,INDEX($Q$1005:$U$1005,1,MATCH(COLUMNS($Q$1006:Q1006),$Q$1006:$U$1006,0))&gt;=100000), " ",IF(INDEX($Q$2:$U$1001,MATCH(ROWS($J$2:J277),$J$2:$J$1001,0),MATCH(COLUMNS($Q$1006:Q1006),$Q$1006:$U$1006,0)), HYPERLINK("#",""), HYPERLINK(CONCATENATE("#metadata!", ADDRESS(INDEX($L$2:$L$1001,MATCH(ROWS($J$2:J277),$J$2:$J$1001,0),0), INDEX($Q$1004:$U$1004,1,MATCH(COLUMNS($Q$1006:Q1006),$Q$1006:$U$1006,0)))),"Fix")))</f>
        <v xml:space="preserve"> </v>
      </c>
      <c r="C277" s="3" t="str">
        <f ca="1">IF(OR(INDEX($K$2:$K$1001,MATCH(ROWS($J$2:J277),$J$2:$J$1001,0),1)&gt;=100000,INDEX($Q$1005:$U$1005,1,MATCH(COLUMNS($Q$1006:R1006),$Q$1006:$U$1006,0))&gt;=100000), " ",IF(INDEX($Q$2:$U$1001,MATCH(ROWS($J$2:J277),$J$2:$J$1001,0),MATCH(COLUMNS($Q$1006:R1006),$Q$1006:$U$1006,0)), HYPERLINK("#",""), HYPERLINK(CONCATENATE("#metadata!", ADDRESS(INDEX($L$2:$L$1001,MATCH(ROWS($J$2:J277),$J$2:$J$1001,0),0), INDEX($Q$1004:$U$1004,1,MATCH(COLUMNS($Q$1006:R1006),$Q$1006:$U$1006,0)))),"Fix")))</f>
        <v xml:space="preserve"> </v>
      </c>
      <c r="D277" s="3" t="str">
        <f ca="1">IF(OR(INDEX($K$2:$K$1001,MATCH(ROWS($J$2:J277),$J$2:$J$1001,0),1)&gt;=100000,INDEX($Q$1005:$U$1005,1,MATCH(COLUMNS($Q$1006:S1006),$Q$1006:$U$1006,0))&gt;=100000), " ",IF(INDEX($Q$2:$U$1001,MATCH(ROWS($J$2:J277),$J$2:$J$1001,0),MATCH(COLUMNS($Q$1006:S1006),$Q$1006:$U$1006,0)), HYPERLINK("#",""), HYPERLINK(CONCATENATE("#metadata!", ADDRESS(INDEX($L$2:$L$1001,MATCH(ROWS($J$2:J277),$J$2:$J$1001,0),0), INDEX($Q$1004:$U$1004,1,MATCH(COLUMNS($Q$1006:S1006),$Q$1006:$U$1006,0)))),"Fix")))</f>
        <v xml:space="preserve"> </v>
      </c>
      <c r="E277" s="3" t="str">
        <f ca="1">IF(OR(INDEX($K$2:$K$1001,MATCH(ROWS($J$2:J277),$J$2:$J$1001,0),1)&gt;=100000,INDEX($Q$1005:$U$1005,1,MATCH(COLUMNS($Q$1006:T1006),$Q$1006:$U$1006,0))&gt;=100000), " ",IF(INDEX($Q$2:$U$1001,MATCH(ROWS($J$2:J277),$J$2:$J$1001,0),MATCH(COLUMNS($Q$1006:T1006),$Q$1006:$U$1006,0)), HYPERLINK("#",""), HYPERLINK(CONCATENATE("#metadata!", ADDRESS(INDEX($L$2:$L$1001,MATCH(ROWS($J$2:J277),$J$2:$J$1001,0),0), INDEX($Q$1004:$U$1004,1,MATCH(COLUMNS($Q$1006:T1006),$Q$1006:$U$1006,0)))),"Fix")))</f>
        <v xml:space="preserve"> </v>
      </c>
      <c r="F277" s="3" t="str">
        <f ca="1">IF(OR(INDEX($K$2:$K$1001,MATCH(ROWS($J$2:J277),$J$2:$J$1001,0),1)&gt;=100000,INDEX($Q$1005:$U$1005,1,MATCH(COLUMNS($Q$1006:U1006),$Q$1006:$U$1006,0))&gt;=100000), " ",IF(INDEX($Q$2:$U$1001,MATCH(ROWS($J$2:J277),$J$2:$J$1001,0),MATCH(COLUMNS($Q$1006:U1006),$Q$1006:$U$1006,0)), HYPERLINK("#",""), HYPERLINK(CONCATENATE("#metadata!", ADDRESS(INDEX($L$2:$L$1001,MATCH(ROWS($J$2:J277),$J$2:$J$1001,0),0), INDEX($Q$1004:$U$1004,1,MATCH(COLUMNS($Q$1006:U1006),$Q$1006:$U$1006,0)))),"Fix")))</f>
        <v xml:space="preserve"> </v>
      </c>
      <c r="J277">
        <v>276</v>
      </c>
      <c r="K277">
        <v>100277</v>
      </c>
      <c r="L277">
        <v>277</v>
      </c>
      <c r="M277" t="b">
        <f t="shared" si="4"/>
        <v>1</v>
      </c>
      <c r="N277" t="b">
        <f>COUNTBLANK(metadata!B277:F277)=COLUMNS(metadata!B277:F277)</f>
        <v>1</v>
      </c>
      <c r="O277" t="str">
        <v/>
      </c>
      <c r="Q277" t="b">
        <f ca="1">AND(IF(metadata!B277="",FALSE,TRUE),COUNTIF(metadata!B:B, metadata!B277) = 1,NOT(ISERROR(SUMPRODUCT(SEARCH(MID(metadata!B277,ROW(INDIRECT("1:"&amp;LEN(metadata!B277))), 1),"0123456789abcdefghijklmnopqrstuvwxyzABCDEFGHIJKLMNOPQRSTUVWXYZ.")))))</f>
        <v>0</v>
      </c>
      <c r="R277" t="b">
        <f>AND(IF(metadata!C277="",FALSE,TRUE),OR(EXACT(metadata!C277,"saline"),EXACT(metadata!C277,"non-saline")))</f>
        <v>0</v>
      </c>
      <c r="S277" t="b">
        <f>AND(IF(metadata!D277="",FALSE,TRUE),OR(EXACT(metadata!D277,"surface (non-saline)"),EXACT(metadata!D277,"aerosol (non-saline)"),EXACT(metadata!D277,"sediment (non-saline)"),EXACT(metadata!D277,"surface (saline)"),EXACT(metadata!D277,"aerosol (saline)"),EXACT(metadata!D277,"sediment (saline)")))</f>
        <v>0</v>
      </c>
      <c r="T277" t="b">
        <f>AND(IF(metadata!E277="",FALSE,TRUE),EXACT(metadata!E277,"built environment"))</f>
        <v>0</v>
      </c>
      <c r="U277" t="b">
        <f>OR(AND(IF(metadata!F277="",FALSE,TRUE),EXACT(metadata!F277,"not applicable")),AND(IF(metadata!F277="",FALSE,TRUE),EXACT(metadata!F277,"anaerobic digester content")))</f>
        <v>0</v>
      </c>
    </row>
    <row r="278" spans="1:21" x14ac:dyDescent="0.2">
      <c r="A278" s="4" t="str">
        <f ca="1">IF(B278=" "," ",HYPERLINK(CONCATENATE("#metadata!",ADDRESS(INDEX($L$2:$L$1001,MATCH(ROWS($J$2:J278),$J$2:$J$1001,0),0),1)),INDEX($O$2:$O$1001,MATCH(ROWS($J$2:J278),$J$2:$J$1001,0),0)))</f>
        <v xml:space="preserve"> </v>
      </c>
      <c r="B278" s="3" t="str">
        <f ca="1">IF(OR(INDEX($K$2:$K$1001,MATCH(ROWS($J$2:J278),$J$2:$J$1001,0),1)&gt;=100000,INDEX($Q$1005:$U$1005,1,MATCH(COLUMNS($Q$1006:Q1006),$Q$1006:$U$1006,0))&gt;=100000), " ",IF(INDEX($Q$2:$U$1001,MATCH(ROWS($J$2:J278),$J$2:$J$1001,0),MATCH(COLUMNS($Q$1006:Q1006),$Q$1006:$U$1006,0)), HYPERLINK("#",""), HYPERLINK(CONCATENATE("#metadata!", ADDRESS(INDEX($L$2:$L$1001,MATCH(ROWS($J$2:J278),$J$2:$J$1001,0),0), INDEX($Q$1004:$U$1004,1,MATCH(COLUMNS($Q$1006:Q1006),$Q$1006:$U$1006,0)))),"Fix")))</f>
        <v xml:space="preserve"> </v>
      </c>
      <c r="C278" s="3" t="str">
        <f ca="1">IF(OR(INDEX($K$2:$K$1001,MATCH(ROWS($J$2:J278),$J$2:$J$1001,0),1)&gt;=100000,INDEX($Q$1005:$U$1005,1,MATCH(COLUMNS($Q$1006:R1006),$Q$1006:$U$1006,0))&gt;=100000), " ",IF(INDEX($Q$2:$U$1001,MATCH(ROWS($J$2:J278),$J$2:$J$1001,0),MATCH(COLUMNS($Q$1006:R1006),$Q$1006:$U$1006,0)), HYPERLINK("#",""), HYPERLINK(CONCATENATE("#metadata!", ADDRESS(INDEX($L$2:$L$1001,MATCH(ROWS($J$2:J278),$J$2:$J$1001,0),0), INDEX($Q$1004:$U$1004,1,MATCH(COLUMNS($Q$1006:R1006),$Q$1006:$U$1006,0)))),"Fix")))</f>
        <v xml:space="preserve"> </v>
      </c>
      <c r="D278" s="3" t="str">
        <f ca="1">IF(OR(INDEX($K$2:$K$1001,MATCH(ROWS($J$2:J278),$J$2:$J$1001,0),1)&gt;=100000,INDEX($Q$1005:$U$1005,1,MATCH(COLUMNS($Q$1006:S1006),$Q$1006:$U$1006,0))&gt;=100000), " ",IF(INDEX($Q$2:$U$1001,MATCH(ROWS($J$2:J278),$J$2:$J$1001,0),MATCH(COLUMNS($Q$1006:S1006),$Q$1006:$U$1006,0)), HYPERLINK("#",""), HYPERLINK(CONCATENATE("#metadata!", ADDRESS(INDEX($L$2:$L$1001,MATCH(ROWS($J$2:J278),$J$2:$J$1001,0),0), INDEX($Q$1004:$U$1004,1,MATCH(COLUMNS($Q$1006:S1006),$Q$1006:$U$1006,0)))),"Fix")))</f>
        <v xml:space="preserve"> </v>
      </c>
      <c r="E278" s="3" t="str">
        <f ca="1">IF(OR(INDEX($K$2:$K$1001,MATCH(ROWS($J$2:J278),$J$2:$J$1001,0),1)&gt;=100000,INDEX($Q$1005:$U$1005,1,MATCH(COLUMNS($Q$1006:T1006),$Q$1006:$U$1006,0))&gt;=100000), " ",IF(INDEX($Q$2:$U$1001,MATCH(ROWS($J$2:J278),$J$2:$J$1001,0),MATCH(COLUMNS($Q$1006:T1006),$Q$1006:$U$1006,0)), HYPERLINK("#",""), HYPERLINK(CONCATENATE("#metadata!", ADDRESS(INDEX($L$2:$L$1001,MATCH(ROWS($J$2:J278),$J$2:$J$1001,0),0), INDEX($Q$1004:$U$1004,1,MATCH(COLUMNS($Q$1006:T1006),$Q$1006:$U$1006,0)))),"Fix")))</f>
        <v xml:space="preserve"> </v>
      </c>
      <c r="F278" s="3" t="str">
        <f ca="1">IF(OR(INDEX($K$2:$K$1001,MATCH(ROWS($J$2:J278),$J$2:$J$1001,0),1)&gt;=100000,INDEX($Q$1005:$U$1005,1,MATCH(COLUMNS($Q$1006:U1006),$Q$1006:$U$1006,0))&gt;=100000), " ",IF(INDEX($Q$2:$U$1001,MATCH(ROWS($J$2:J278),$J$2:$J$1001,0),MATCH(COLUMNS($Q$1006:U1006),$Q$1006:$U$1006,0)), HYPERLINK("#",""), HYPERLINK(CONCATENATE("#metadata!", ADDRESS(INDEX($L$2:$L$1001,MATCH(ROWS($J$2:J278),$J$2:$J$1001,0),0), INDEX($Q$1004:$U$1004,1,MATCH(COLUMNS($Q$1006:U1006),$Q$1006:$U$1006,0)))),"Fix")))</f>
        <v xml:space="preserve"> </v>
      </c>
      <c r="J278">
        <v>277</v>
      </c>
      <c r="K278">
        <v>100278</v>
      </c>
      <c r="L278">
        <v>278</v>
      </c>
      <c r="M278" t="b">
        <f t="shared" si="4"/>
        <v>1</v>
      </c>
      <c r="N278" t="b">
        <f>COUNTBLANK(metadata!B278:F278)=COLUMNS(metadata!B278:F278)</f>
        <v>1</v>
      </c>
      <c r="O278" t="str">
        <v/>
      </c>
      <c r="Q278" t="b">
        <f ca="1">AND(IF(metadata!B278="",FALSE,TRUE),COUNTIF(metadata!B:B, metadata!B278) = 1,NOT(ISERROR(SUMPRODUCT(SEARCH(MID(metadata!B278,ROW(INDIRECT("1:"&amp;LEN(metadata!B278))), 1),"0123456789abcdefghijklmnopqrstuvwxyzABCDEFGHIJKLMNOPQRSTUVWXYZ.")))))</f>
        <v>0</v>
      </c>
      <c r="R278" t="b">
        <f>AND(IF(metadata!C278="",FALSE,TRUE),OR(EXACT(metadata!C278,"saline"),EXACT(metadata!C278,"non-saline")))</f>
        <v>0</v>
      </c>
      <c r="S278" t="b">
        <f>AND(IF(metadata!D278="",FALSE,TRUE),OR(EXACT(metadata!D278,"surface (non-saline)"),EXACT(metadata!D278,"aerosol (non-saline)"),EXACT(metadata!D278,"sediment (non-saline)"),EXACT(metadata!D278,"surface (saline)"),EXACT(metadata!D278,"aerosol (saline)"),EXACT(metadata!D278,"sediment (saline)")))</f>
        <v>0</v>
      </c>
      <c r="T278" t="b">
        <f>AND(IF(metadata!E278="",FALSE,TRUE),EXACT(metadata!E278,"built environment"))</f>
        <v>0</v>
      </c>
      <c r="U278" t="b">
        <f>OR(AND(IF(metadata!F278="",FALSE,TRUE),EXACT(metadata!F278,"not applicable")),AND(IF(metadata!F278="",FALSE,TRUE),EXACT(metadata!F278,"anaerobic digester content")))</f>
        <v>0</v>
      </c>
    </row>
    <row r="279" spans="1:21" x14ac:dyDescent="0.2">
      <c r="A279" s="4" t="str">
        <f ca="1">IF(B279=" "," ",HYPERLINK(CONCATENATE("#metadata!",ADDRESS(INDEX($L$2:$L$1001,MATCH(ROWS($J$2:J279),$J$2:$J$1001,0),0),1)),INDEX($O$2:$O$1001,MATCH(ROWS($J$2:J279),$J$2:$J$1001,0),0)))</f>
        <v xml:space="preserve"> </v>
      </c>
      <c r="B279" s="3" t="str">
        <f ca="1">IF(OR(INDEX($K$2:$K$1001,MATCH(ROWS($J$2:J279),$J$2:$J$1001,0),1)&gt;=100000,INDEX($Q$1005:$U$1005,1,MATCH(COLUMNS($Q$1006:Q1006),$Q$1006:$U$1006,0))&gt;=100000), " ",IF(INDEX($Q$2:$U$1001,MATCH(ROWS($J$2:J279),$J$2:$J$1001,0),MATCH(COLUMNS($Q$1006:Q1006),$Q$1006:$U$1006,0)), HYPERLINK("#",""), HYPERLINK(CONCATENATE("#metadata!", ADDRESS(INDEX($L$2:$L$1001,MATCH(ROWS($J$2:J279),$J$2:$J$1001,0),0), INDEX($Q$1004:$U$1004,1,MATCH(COLUMNS($Q$1006:Q1006),$Q$1006:$U$1006,0)))),"Fix")))</f>
        <v xml:space="preserve"> </v>
      </c>
      <c r="C279" s="3" t="str">
        <f ca="1">IF(OR(INDEX($K$2:$K$1001,MATCH(ROWS($J$2:J279),$J$2:$J$1001,0),1)&gt;=100000,INDEX($Q$1005:$U$1005,1,MATCH(COLUMNS($Q$1006:R1006),$Q$1006:$U$1006,0))&gt;=100000), " ",IF(INDEX($Q$2:$U$1001,MATCH(ROWS($J$2:J279),$J$2:$J$1001,0),MATCH(COLUMNS($Q$1006:R1006),$Q$1006:$U$1006,0)), HYPERLINK("#",""), HYPERLINK(CONCATENATE("#metadata!", ADDRESS(INDEX($L$2:$L$1001,MATCH(ROWS($J$2:J279),$J$2:$J$1001,0),0), INDEX($Q$1004:$U$1004,1,MATCH(COLUMNS($Q$1006:R1006),$Q$1006:$U$1006,0)))),"Fix")))</f>
        <v xml:space="preserve"> </v>
      </c>
      <c r="D279" s="3" t="str">
        <f ca="1">IF(OR(INDEX($K$2:$K$1001,MATCH(ROWS($J$2:J279),$J$2:$J$1001,0),1)&gt;=100000,INDEX($Q$1005:$U$1005,1,MATCH(COLUMNS($Q$1006:S1006),$Q$1006:$U$1006,0))&gt;=100000), " ",IF(INDEX($Q$2:$U$1001,MATCH(ROWS($J$2:J279),$J$2:$J$1001,0),MATCH(COLUMNS($Q$1006:S1006),$Q$1006:$U$1006,0)), HYPERLINK("#",""), HYPERLINK(CONCATENATE("#metadata!", ADDRESS(INDEX($L$2:$L$1001,MATCH(ROWS($J$2:J279),$J$2:$J$1001,0),0), INDEX($Q$1004:$U$1004,1,MATCH(COLUMNS($Q$1006:S1006),$Q$1006:$U$1006,0)))),"Fix")))</f>
        <v xml:space="preserve"> </v>
      </c>
      <c r="E279" s="3" t="str">
        <f ca="1">IF(OR(INDEX($K$2:$K$1001,MATCH(ROWS($J$2:J279),$J$2:$J$1001,0),1)&gt;=100000,INDEX($Q$1005:$U$1005,1,MATCH(COLUMNS($Q$1006:T1006),$Q$1006:$U$1006,0))&gt;=100000), " ",IF(INDEX($Q$2:$U$1001,MATCH(ROWS($J$2:J279),$J$2:$J$1001,0),MATCH(COLUMNS($Q$1006:T1006),$Q$1006:$U$1006,0)), HYPERLINK("#",""), HYPERLINK(CONCATENATE("#metadata!", ADDRESS(INDEX($L$2:$L$1001,MATCH(ROWS($J$2:J279),$J$2:$J$1001,0),0), INDEX($Q$1004:$U$1004,1,MATCH(COLUMNS($Q$1006:T1006),$Q$1006:$U$1006,0)))),"Fix")))</f>
        <v xml:space="preserve"> </v>
      </c>
      <c r="F279" s="3" t="str">
        <f ca="1">IF(OR(INDEX($K$2:$K$1001,MATCH(ROWS($J$2:J279),$J$2:$J$1001,0),1)&gt;=100000,INDEX($Q$1005:$U$1005,1,MATCH(COLUMNS($Q$1006:U1006),$Q$1006:$U$1006,0))&gt;=100000), " ",IF(INDEX($Q$2:$U$1001,MATCH(ROWS($J$2:J279),$J$2:$J$1001,0),MATCH(COLUMNS($Q$1006:U1006),$Q$1006:$U$1006,0)), HYPERLINK("#",""), HYPERLINK(CONCATENATE("#metadata!", ADDRESS(INDEX($L$2:$L$1001,MATCH(ROWS($J$2:J279),$J$2:$J$1001,0),0), INDEX($Q$1004:$U$1004,1,MATCH(COLUMNS($Q$1006:U1006),$Q$1006:$U$1006,0)))),"Fix")))</f>
        <v xml:space="preserve"> </v>
      </c>
      <c r="J279">
        <v>278</v>
      </c>
      <c r="K279">
        <v>100279</v>
      </c>
      <c r="L279">
        <v>279</v>
      </c>
      <c r="M279" t="b">
        <f t="shared" si="4"/>
        <v>1</v>
      </c>
      <c r="N279" t="b">
        <f>COUNTBLANK(metadata!B279:F279)=COLUMNS(metadata!B279:F279)</f>
        <v>1</v>
      </c>
      <c r="O279" t="str">
        <v/>
      </c>
      <c r="Q279" t="b">
        <f ca="1">AND(IF(metadata!B279="",FALSE,TRUE),COUNTIF(metadata!B:B, metadata!B279) = 1,NOT(ISERROR(SUMPRODUCT(SEARCH(MID(metadata!B279,ROW(INDIRECT("1:"&amp;LEN(metadata!B279))), 1),"0123456789abcdefghijklmnopqrstuvwxyzABCDEFGHIJKLMNOPQRSTUVWXYZ.")))))</f>
        <v>0</v>
      </c>
      <c r="R279" t="b">
        <f>AND(IF(metadata!C279="",FALSE,TRUE),OR(EXACT(metadata!C279,"saline"),EXACT(metadata!C279,"non-saline")))</f>
        <v>0</v>
      </c>
      <c r="S279" t="b">
        <f>AND(IF(metadata!D279="",FALSE,TRUE),OR(EXACT(metadata!D279,"surface (non-saline)"),EXACT(metadata!D279,"aerosol (non-saline)"),EXACT(metadata!D279,"sediment (non-saline)"),EXACT(metadata!D279,"surface (saline)"),EXACT(metadata!D279,"aerosol (saline)"),EXACT(metadata!D279,"sediment (saline)")))</f>
        <v>0</v>
      </c>
      <c r="T279" t="b">
        <f>AND(IF(metadata!E279="",FALSE,TRUE),EXACT(metadata!E279,"built environment"))</f>
        <v>0</v>
      </c>
      <c r="U279" t="b">
        <f>OR(AND(IF(metadata!F279="",FALSE,TRUE),EXACT(metadata!F279,"not applicable")),AND(IF(metadata!F279="",FALSE,TRUE),EXACT(metadata!F279,"anaerobic digester content")))</f>
        <v>0</v>
      </c>
    </row>
    <row r="280" spans="1:21" x14ac:dyDescent="0.2">
      <c r="A280" s="4" t="str">
        <f ca="1">IF(B280=" "," ",HYPERLINK(CONCATENATE("#metadata!",ADDRESS(INDEX($L$2:$L$1001,MATCH(ROWS($J$2:J280),$J$2:$J$1001,0),0),1)),INDEX($O$2:$O$1001,MATCH(ROWS($J$2:J280),$J$2:$J$1001,0),0)))</f>
        <v xml:space="preserve"> </v>
      </c>
      <c r="B280" s="3" t="str">
        <f ca="1">IF(OR(INDEX($K$2:$K$1001,MATCH(ROWS($J$2:J280),$J$2:$J$1001,0),1)&gt;=100000,INDEX($Q$1005:$U$1005,1,MATCH(COLUMNS($Q$1006:Q1006),$Q$1006:$U$1006,0))&gt;=100000), " ",IF(INDEX($Q$2:$U$1001,MATCH(ROWS($J$2:J280),$J$2:$J$1001,0),MATCH(COLUMNS($Q$1006:Q1006),$Q$1006:$U$1006,0)), HYPERLINK("#",""), HYPERLINK(CONCATENATE("#metadata!", ADDRESS(INDEX($L$2:$L$1001,MATCH(ROWS($J$2:J280),$J$2:$J$1001,0),0), INDEX($Q$1004:$U$1004,1,MATCH(COLUMNS($Q$1006:Q1006),$Q$1006:$U$1006,0)))),"Fix")))</f>
        <v xml:space="preserve"> </v>
      </c>
      <c r="C280" s="3" t="str">
        <f ca="1">IF(OR(INDEX($K$2:$K$1001,MATCH(ROWS($J$2:J280),$J$2:$J$1001,0),1)&gt;=100000,INDEX($Q$1005:$U$1005,1,MATCH(COLUMNS($Q$1006:R1006),$Q$1006:$U$1006,0))&gt;=100000), " ",IF(INDEX($Q$2:$U$1001,MATCH(ROWS($J$2:J280),$J$2:$J$1001,0),MATCH(COLUMNS($Q$1006:R1006),$Q$1006:$U$1006,0)), HYPERLINK("#",""), HYPERLINK(CONCATENATE("#metadata!", ADDRESS(INDEX($L$2:$L$1001,MATCH(ROWS($J$2:J280),$J$2:$J$1001,0),0), INDEX($Q$1004:$U$1004,1,MATCH(COLUMNS($Q$1006:R1006),$Q$1006:$U$1006,0)))),"Fix")))</f>
        <v xml:space="preserve"> </v>
      </c>
      <c r="D280" s="3" t="str">
        <f ca="1">IF(OR(INDEX($K$2:$K$1001,MATCH(ROWS($J$2:J280),$J$2:$J$1001,0),1)&gt;=100000,INDEX($Q$1005:$U$1005,1,MATCH(COLUMNS($Q$1006:S1006),$Q$1006:$U$1006,0))&gt;=100000), " ",IF(INDEX($Q$2:$U$1001,MATCH(ROWS($J$2:J280),$J$2:$J$1001,0),MATCH(COLUMNS($Q$1006:S1006),$Q$1006:$U$1006,0)), HYPERLINK("#",""), HYPERLINK(CONCATENATE("#metadata!", ADDRESS(INDEX($L$2:$L$1001,MATCH(ROWS($J$2:J280),$J$2:$J$1001,0),0), INDEX($Q$1004:$U$1004,1,MATCH(COLUMNS($Q$1006:S1006),$Q$1006:$U$1006,0)))),"Fix")))</f>
        <v xml:space="preserve"> </v>
      </c>
      <c r="E280" s="3" t="str">
        <f ca="1">IF(OR(INDEX($K$2:$K$1001,MATCH(ROWS($J$2:J280),$J$2:$J$1001,0),1)&gt;=100000,INDEX($Q$1005:$U$1005,1,MATCH(COLUMNS($Q$1006:T1006),$Q$1006:$U$1006,0))&gt;=100000), " ",IF(INDEX($Q$2:$U$1001,MATCH(ROWS($J$2:J280),$J$2:$J$1001,0),MATCH(COLUMNS($Q$1006:T1006),$Q$1006:$U$1006,0)), HYPERLINK("#",""), HYPERLINK(CONCATENATE("#metadata!", ADDRESS(INDEX($L$2:$L$1001,MATCH(ROWS($J$2:J280),$J$2:$J$1001,0),0), INDEX($Q$1004:$U$1004,1,MATCH(COLUMNS($Q$1006:T1006),$Q$1006:$U$1006,0)))),"Fix")))</f>
        <v xml:space="preserve"> </v>
      </c>
      <c r="F280" s="3" t="str">
        <f ca="1">IF(OR(INDEX($K$2:$K$1001,MATCH(ROWS($J$2:J280),$J$2:$J$1001,0),1)&gt;=100000,INDEX($Q$1005:$U$1005,1,MATCH(COLUMNS($Q$1006:U1006),$Q$1006:$U$1006,0))&gt;=100000), " ",IF(INDEX($Q$2:$U$1001,MATCH(ROWS($J$2:J280),$J$2:$J$1001,0),MATCH(COLUMNS($Q$1006:U1006),$Q$1006:$U$1006,0)), HYPERLINK("#",""), HYPERLINK(CONCATENATE("#metadata!", ADDRESS(INDEX($L$2:$L$1001,MATCH(ROWS($J$2:J280),$J$2:$J$1001,0),0), INDEX($Q$1004:$U$1004,1,MATCH(COLUMNS($Q$1006:U1006),$Q$1006:$U$1006,0)))),"Fix")))</f>
        <v xml:space="preserve"> </v>
      </c>
      <c r="J280">
        <v>279</v>
      </c>
      <c r="K280">
        <v>100280</v>
      </c>
      <c r="L280">
        <v>280</v>
      </c>
      <c r="M280" t="b">
        <f t="shared" si="4"/>
        <v>1</v>
      </c>
      <c r="N280" t="b">
        <f>COUNTBLANK(metadata!B280:F280)=COLUMNS(metadata!B280:F280)</f>
        <v>1</v>
      </c>
      <c r="O280" t="str">
        <v/>
      </c>
      <c r="Q280" t="b">
        <f ca="1">AND(IF(metadata!B280="",FALSE,TRUE),COUNTIF(metadata!B:B, metadata!B280) = 1,NOT(ISERROR(SUMPRODUCT(SEARCH(MID(metadata!B280,ROW(INDIRECT("1:"&amp;LEN(metadata!B280))), 1),"0123456789abcdefghijklmnopqrstuvwxyzABCDEFGHIJKLMNOPQRSTUVWXYZ.")))))</f>
        <v>0</v>
      </c>
      <c r="R280" t="b">
        <f>AND(IF(metadata!C280="",FALSE,TRUE),OR(EXACT(metadata!C280,"saline"),EXACT(metadata!C280,"non-saline")))</f>
        <v>0</v>
      </c>
      <c r="S280" t="b">
        <f>AND(IF(metadata!D280="",FALSE,TRUE),OR(EXACT(metadata!D280,"surface (non-saline)"),EXACT(metadata!D280,"aerosol (non-saline)"),EXACT(metadata!D280,"sediment (non-saline)"),EXACT(metadata!D280,"surface (saline)"),EXACT(metadata!D280,"aerosol (saline)"),EXACT(metadata!D280,"sediment (saline)")))</f>
        <v>0</v>
      </c>
      <c r="T280" t="b">
        <f>AND(IF(metadata!E280="",FALSE,TRUE),EXACT(metadata!E280,"built environment"))</f>
        <v>0</v>
      </c>
      <c r="U280" t="b">
        <f>OR(AND(IF(metadata!F280="",FALSE,TRUE),EXACT(metadata!F280,"not applicable")),AND(IF(metadata!F280="",FALSE,TRUE),EXACT(metadata!F280,"anaerobic digester content")))</f>
        <v>0</v>
      </c>
    </row>
    <row r="281" spans="1:21" x14ac:dyDescent="0.2">
      <c r="A281" s="4" t="str">
        <f ca="1">IF(B281=" "," ",HYPERLINK(CONCATENATE("#metadata!",ADDRESS(INDEX($L$2:$L$1001,MATCH(ROWS($J$2:J281),$J$2:$J$1001,0),0),1)),INDEX($O$2:$O$1001,MATCH(ROWS($J$2:J281),$J$2:$J$1001,0),0)))</f>
        <v xml:space="preserve"> </v>
      </c>
      <c r="B281" s="3" t="str">
        <f ca="1">IF(OR(INDEX($K$2:$K$1001,MATCH(ROWS($J$2:J281),$J$2:$J$1001,0),1)&gt;=100000,INDEX($Q$1005:$U$1005,1,MATCH(COLUMNS($Q$1006:Q1006),$Q$1006:$U$1006,0))&gt;=100000), " ",IF(INDEX($Q$2:$U$1001,MATCH(ROWS($J$2:J281),$J$2:$J$1001,0),MATCH(COLUMNS($Q$1006:Q1006),$Q$1006:$U$1006,0)), HYPERLINK("#",""), HYPERLINK(CONCATENATE("#metadata!", ADDRESS(INDEX($L$2:$L$1001,MATCH(ROWS($J$2:J281),$J$2:$J$1001,0),0), INDEX($Q$1004:$U$1004,1,MATCH(COLUMNS($Q$1006:Q1006),$Q$1006:$U$1006,0)))),"Fix")))</f>
        <v xml:space="preserve"> </v>
      </c>
      <c r="C281" s="3" t="str">
        <f ca="1">IF(OR(INDEX($K$2:$K$1001,MATCH(ROWS($J$2:J281),$J$2:$J$1001,0),1)&gt;=100000,INDEX($Q$1005:$U$1005,1,MATCH(COLUMNS($Q$1006:R1006),$Q$1006:$U$1006,0))&gt;=100000), " ",IF(INDEX($Q$2:$U$1001,MATCH(ROWS($J$2:J281),$J$2:$J$1001,0),MATCH(COLUMNS($Q$1006:R1006),$Q$1006:$U$1006,0)), HYPERLINK("#",""), HYPERLINK(CONCATENATE("#metadata!", ADDRESS(INDEX($L$2:$L$1001,MATCH(ROWS($J$2:J281),$J$2:$J$1001,0),0), INDEX($Q$1004:$U$1004,1,MATCH(COLUMNS($Q$1006:R1006),$Q$1006:$U$1006,0)))),"Fix")))</f>
        <v xml:space="preserve"> </v>
      </c>
      <c r="D281" s="3" t="str">
        <f ca="1">IF(OR(INDEX($K$2:$K$1001,MATCH(ROWS($J$2:J281),$J$2:$J$1001,0),1)&gt;=100000,INDEX($Q$1005:$U$1005,1,MATCH(COLUMNS($Q$1006:S1006),$Q$1006:$U$1006,0))&gt;=100000), " ",IF(INDEX($Q$2:$U$1001,MATCH(ROWS($J$2:J281),$J$2:$J$1001,0),MATCH(COLUMNS($Q$1006:S1006),$Q$1006:$U$1006,0)), HYPERLINK("#",""), HYPERLINK(CONCATENATE("#metadata!", ADDRESS(INDEX($L$2:$L$1001,MATCH(ROWS($J$2:J281),$J$2:$J$1001,0),0), INDEX($Q$1004:$U$1004,1,MATCH(COLUMNS($Q$1006:S1006),$Q$1006:$U$1006,0)))),"Fix")))</f>
        <v xml:space="preserve"> </v>
      </c>
      <c r="E281" s="3" t="str">
        <f ca="1">IF(OR(INDEX($K$2:$K$1001,MATCH(ROWS($J$2:J281),$J$2:$J$1001,0),1)&gt;=100000,INDEX($Q$1005:$U$1005,1,MATCH(COLUMNS($Q$1006:T1006),$Q$1006:$U$1006,0))&gt;=100000), " ",IF(INDEX($Q$2:$U$1001,MATCH(ROWS($J$2:J281),$J$2:$J$1001,0),MATCH(COLUMNS($Q$1006:T1006),$Q$1006:$U$1006,0)), HYPERLINK("#",""), HYPERLINK(CONCATENATE("#metadata!", ADDRESS(INDEX($L$2:$L$1001,MATCH(ROWS($J$2:J281),$J$2:$J$1001,0),0), INDEX($Q$1004:$U$1004,1,MATCH(COLUMNS($Q$1006:T1006),$Q$1006:$U$1006,0)))),"Fix")))</f>
        <v xml:space="preserve"> </v>
      </c>
      <c r="F281" s="3" t="str">
        <f ca="1">IF(OR(INDEX($K$2:$K$1001,MATCH(ROWS($J$2:J281),$J$2:$J$1001,0),1)&gt;=100000,INDEX($Q$1005:$U$1005,1,MATCH(COLUMNS($Q$1006:U1006),$Q$1006:$U$1006,0))&gt;=100000), " ",IF(INDEX($Q$2:$U$1001,MATCH(ROWS($J$2:J281),$J$2:$J$1001,0),MATCH(COLUMNS($Q$1006:U1006),$Q$1006:$U$1006,0)), HYPERLINK("#",""), HYPERLINK(CONCATENATE("#metadata!", ADDRESS(INDEX($L$2:$L$1001,MATCH(ROWS($J$2:J281),$J$2:$J$1001,0),0), INDEX($Q$1004:$U$1004,1,MATCH(COLUMNS($Q$1006:U1006),$Q$1006:$U$1006,0)))),"Fix")))</f>
        <v xml:space="preserve"> </v>
      </c>
      <c r="J281">
        <v>280</v>
      </c>
      <c r="K281">
        <v>100281</v>
      </c>
      <c r="L281">
        <v>281</v>
      </c>
      <c r="M281" t="b">
        <f t="shared" si="4"/>
        <v>1</v>
      </c>
      <c r="N281" t="b">
        <f>COUNTBLANK(metadata!B281:F281)=COLUMNS(metadata!B281:F281)</f>
        <v>1</v>
      </c>
      <c r="O281" t="str">
        <v/>
      </c>
      <c r="Q281" t="b">
        <f ca="1">AND(IF(metadata!B281="",FALSE,TRUE),COUNTIF(metadata!B:B, metadata!B281) = 1,NOT(ISERROR(SUMPRODUCT(SEARCH(MID(metadata!B281,ROW(INDIRECT("1:"&amp;LEN(metadata!B281))), 1),"0123456789abcdefghijklmnopqrstuvwxyzABCDEFGHIJKLMNOPQRSTUVWXYZ.")))))</f>
        <v>0</v>
      </c>
      <c r="R281" t="b">
        <f>AND(IF(metadata!C281="",FALSE,TRUE),OR(EXACT(metadata!C281,"saline"),EXACT(metadata!C281,"non-saline")))</f>
        <v>0</v>
      </c>
      <c r="S281" t="b">
        <f>AND(IF(metadata!D281="",FALSE,TRUE),OR(EXACT(metadata!D281,"surface (non-saline)"),EXACT(metadata!D281,"aerosol (non-saline)"),EXACT(metadata!D281,"sediment (non-saline)"),EXACT(metadata!D281,"surface (saline)"),EXACT(metadata!D281,"aerosol (saline)"),EXACT(metadata!D281,"sediment (saline)")))</f>
        <v>0</v>
      </c>
      <c r="T281" t="b">
        <f>AND(IF(metadata!E281="",FALSE,TRUE),EXACT(metadata!E281,"built environment"))</f>
        <v>0</v>
      </c>
      <c r="U281" t="b">
        <f>OR(AND(IF(metadata!F281="",FALSE,TRUE),EXACT(metadata!F281,"not applicable")),AND(IF(metadata!F281="",FALSE,TRUE),EXACT(metadata!F281,"anaerobic digester content")))</f>
        <v>0</v>
      </c>
    </row>
    <row r="282" spans="1:21" x14ac:dyDescent="0.2">
      <c r="A282" s="4" t="str">
        <f ca="1">IF(B282=" "," ",HYPERLINK(CONCATENATE("#metadata!",ADDRESS(INDEX($L$2:$L$1001,MATCH(ROWS($J$2:J282),$J$2:$J$1001,0),0),1)),INDEX($O$2:$O$1001,MATCH(ROWS($J$2:J282),$J$2:$J$1001,0),0)))</f>
        <v xml:space="preserve"> </v>
      </c>
      <c r="B282" s="3" t="str">
        <f ca="1">IF(OR(INDEX($K$2:$K$1001,MATCH(ROWS($J$2:J282),$J$2:$J$1001,0),1)&gt;=100000,INDEX($Q$1005:$U$1005,1,MATCH(COLUMNS($Q$1006:Q1006),$Q$1006:$U$1006,0))&gt;=100000), " ",IF(INDEX($Q$2:$U$1001,MATCH(ROWS($J$2:J282),$J$2:$J$1001,0),MATCH(COLUMNS($Q$1006:Q1006),$Q$1006:$U$1006,0)), HYPERLINK("#",""), HYPERLINK(CONCATENATE("#metadata!", ADDRESS(INDEX($L$2:$L$1001,MATCH(ROWS($J$2:J282),$J$2:$J$1001,0),0), INDEX($Q$1004:$U$1004,1,MATCH(COLUMNS($Q$1006:Q1006),$Q$1006:$U$1006,0)))),"Fix")))</f>
        <v xml:space="preserve"> </v>
      </c>
      <c r="C282" s="3" t="str">
        <f ca="1">IF(OR(INDEX($K$2:$K$1001,MATCH(ROWS($J$2:J282),$J$2:$J$1001,0),1)&gt;=100000,INDEX($Q$1005:$U$1005,1,MATCH(COLUMNS($Q$1006:R1006),$Q$1006:$U$1006,0))&gt;=100000), " ",IF(INDEX($Q$2:$U$1001,MATCH(ROWS($J$2:J282),$J$2:$J$1001,0),MATCH(COLUMNS($Q$1006:R1006),$Q$1006:$U$1006,0)), HYPERLINK("#",""), HYPERLINK(CONCATENATE("#metadata!", ADDRESS(INDEX($L$2:$L$1001,MATCH(ROWS($J$2:J282),$J$2:$J$1001,0),0), INDEX($Q$1004:$U$1004,1,MATCH(COLUMNS($Q$1006:R1006),$Q$1006:$U$1006,0)))),"Fix")))</f>
        <v xml:space="preserve"> </v>
      </c>
      <c r="D282" s="3" t="str">
        <f ca="1">IF(OR(INDEX($K$2:$K$1001,MATCH(ROWS($J$2:J282),$J$2:$J$1001,0),1)&gt;=100000,INDEX($Q$1005:$U$1005,1,MATCH(COLUMNS($Q$1006:S1006),$Q$1006:$U$1006,0))&gt;=100000), " ",IF(INDEX($Q$2:$U$1001,MATCH(ROWS($J$2:J282),$J$2:$J$1001,0),MATCH(COLUMNS($Q$1006:S1006),$Q$1006:$U$1006,0)), HYPERLINK("#",""), HYPERLINK(CONCATENATE("#metadata!", ADDRESS(INDEX($L$2:$L$1001,MATCH(ROWS($J$2:J282),$J$2:$J$1001,0),0), INDEX($Q$1004:$U$1004,1,MATCH(COLUMNS($Q$1006:S1006),$Q$1006:$U$1006,0)))),"Fix")))</f>
        <v xml:space="preserve"> </v>
      </c>
      <c r="E282" s="3" t="str">
        <f ca="1">IF(OR(INDEX($K$2:$K$1001,MATCH(ROWS($J$2:J282),$J$2:$J$1001,0),1)&gt;=100000,INDEX($Q$1005:$U$1005,1,MATCH(COLUMNS($Q$1006:T1006),$Q$1006:$U$1006,0))&gt;=100000), " ",IF(INDEX($Q$2:$U$1001,MATCH(ROWS($J$2:J282),$J$2:$J$1001,0),MATCH(COLUMNS($Q$1006:T1006),$Q$1006:$U$1006,0)), HYPERLINK("#",""), HYPERLINK(CONCATENATE("#metadata!", ADDRESS(INDEX($L$2:$L$1001,MATCH(ROWS($J$2:J282),$J$2:$J$1001,0),0), INDEX($Q$1004:$U$1004,1,MATCH(COLUMNS($Q$1006:T1006),$Q$1006:$U$1006,0)))),"Fix")))</f>
        <v xml:space="preserve"> </v>
      </c>
      <c r="F282" s="3" t="str">
        <f ca="1">IF(OR(INDEX($K$2:$K$1001,MATCH(ROWS($J$2:J282),$J$2:$J$1001,0),1)&gt;=100000,INDEX($Q$1005:$U$1005,1,MATCH(COLUMNS($Q$1006:U1006),$Q$1006:$U$1006,0))&gt;=100000), " ",IF(INDEX($Q$2:$U$1001,MATCH(ROWS($J$2:J282),$J$2:$J$1001,0),MATCH(COLUMNS($Q$1006:U1006),$Q$1006:$U$1006,0)), HYPERLINK("#",""), HYPERLINK(CONCATENATE("#metadata!", ADDRESS(INDEX($L$2:$L$1001,MATCH(ROWS($J$2:J282),$J$2:$J$1001,0),0), INDEX($Q$1004:$U$1004,1,MATCH(COLUMNS($Q$1006:U1006),$Q$1006:$U$1006,0)))),"Fix")))</f>
        <v xml:space="preserve"> </v>
      </c>
      <c r="J282">
        <v>281</v>
      </c>
      <c r="K282">
        <v>100282</v>
      </c>
      <c r="L282">
        <v>282</v>
      </c>
      <c r="M282" t="b">
        <f t="shared" si="4"/>
        <v>1</v>
      </c>
      <c r="N282" t="b">
        <f>COUNTBLANK(metadata!B282:F282)=COLUMNS(metadata!B282:F282)</f>
        <v>1</v>
      </c>
      <c r="O282" t="str">
        <v/>
      </c>
      <c r="Q282" t="b">
        <f ca="1">AND(IF(metadata!B282="",FALSE,TRUE),COUNTIF(metadata!B:B, metadata!B282) = 1,NOT(ISERROR(SUMPRODUCT(SEARCH(MID(metadata!B282,ROW(INDIRECT("1:"&amp;LEN(metadata!B282))), 1),"0123456789abcdefghijklmnopqrstuvwxyzABCDEFGHIJKLMNOPQRSTUVWXYZ.")))))</f>
        <v>0</v>
      </c>
      <c r="R282" t="b">
        <f>AND(IF(metadata!C282="",FALSE,TRUE),OR(EXACT(metadata!C282,"saline"),EXACT(metadata!C282,"non-saline")))</f>
        <v>0</v>
      </c>
      <c r="S282" t="b">
        <f>AND(IF(metadata!D282="",FALSE,TRUE),OR(EXACT(metadata!D282,"surface (non-saline)"),EXACT(metadata!D282,"aerosol (non-saline)"),EXACT(metadata!D282,"sediment (non-saline)"),EXACT(metadata!D282,"surface (saline)"),EXACT(metadata!D282,"aerosol (saline)"),EXACT(metadata!D282,"sediment (saline)")))</f>
        <v>0</v>
      </c>
      <c r="T282" t="b">
        <f>AND(IF(metadata!E282="",FALSE,TRUE),EXACT(metadata!E282,"built environment"))</f>
        <v>0</v>
      </c>
      <c r="U282" t="b">
        <f>OR(AND(IF(metadata!F282="",FALSE,TRUE),EXACT(metadata!F282,"not applicable")),AND(IF(metadata!F282="",FALSE,TRUE),EXACT(metadata!F282,"anaerobic digester content")))</f>
        <v>0</v>
      </c>
    </row>
    <row r="283" spans="1:21" x14ac:dyDescent="0.2">
      <c r="A283" s="4" t="str">
        <f ca="1">IF(B283=" "," ",HYPERLINK(CONCATENATE("#metadata!",ADDRESS(INDEX($L$2:$L$1001,MATCH(ROWS($J$2:J283),$J$2:$J$1001,0),0),1)),INDEX($O$2:$O$1001,MATCH(ROWS($J$2:J283),$J$2:$J$1001,0),0)))</f>
        <v xml:space="preserve"> </v>
      </c>
      <c r="B283" s="3" t="str">
        <f ca="1">IF(OR(INDEX($K$2:$K$1001,MATCH(ROWS($J$2:J283),$J$2:$J$1001,0),1)&gt;=100000,INDEX($Q$1005:$U$1005,1,MATCH(COLUMNS($Q$1006:Q1006),$Q$1006:$U$1006,0))&gt;=100000), " ",IF(INDEX($Q$2:$U$1001,MATCH(ROWS($J$2:J283),$J$2:$J$1001,0),MATCH(COLUMNS($Q$1006:Q1006),$Q$1006:$U$1006,0)), HYPERLINK("#",""), HYPERLINK(CONCATENATE("#metadata!", ADDRESS(INDEX($L$2:$L$1001,MATCH(ROWS($J$2:J283),$J$2:$J$1001,0),0), INDEX($Q$1004:$U$1004,1,MATCH(COLUMNS($Q$1006:Q1006),$Q$1006:$U$1006,0)))),"Fix")))</f>
        <v xml:space="preserve"> </v>
      </c>
      <c r="C283" s="3" t="str">
        <f ca="1">IF(OR(INDEX($K$2:$K$1001,MATCH(ROWS($J$2:J283),$J$2:$J$1001,0),1)&gt;=100000,INDEX($Q$1005:$U$1005,1,MATCH(COLUMNS($Q$1006:R1006),$Q$1006:$U$1006,0))&gt;=100000), " ",IF(INDEX($Q$2:$U$1001,MATCH(ROWS($J$2:J283),$J$2:$J$1001,0),MATCH(COLUMNS($Q$1006:R1006),$Q$1006:$U$1006,0)), HYPERLINK("#",""), HYPERLINK(CONCATENATE("#metadata!", ADDRESS(INDEX($L$2:$L$1001,MATCH(ROWS($J$2:J283),$J$2:$J$1001,0),0), INDEX($Q$1004:$U$1004,1,MATCH(COLUMNS($Q$1006:R1006),$Q$1006:$U$1006,0)))),"Fix")))</f>
        <v xml:space="preserve"> </v>
      </c>
      <c r="D283" s="3" t="str">
        <f ca="1">IF(OR(INDEX($K$2:$K$1001,MATCH(ROWS($J$2:J283),$J$2:$J$1001,0),1)&gt;=100000,INDEX($Q$1005:$U$1005,1,MATCH(COLUMNS($Q$1006:S1006),$Q$1006:$U$1006,0))&gt;=100000), " ",IF(INDEX($Q$2:$U$1001,MATCH(ROWS($J$2:J283),$J$2:$J$1001,0),MATCH(COLUMNS($Q$1006:S1006),$Q$1006:$U$1006,0)), HYPERLINK("#",""), HYPERLINK(CONCATENATE("#metadata!", ADDRESS(INDEX($L$2:$L$1001,MATCH(ROWS($J$2:J283),$J$2:$J$1001,0),0), INDEX($Q$1004:$U$1004,1,MATCH(COLUMNS($Q$1006:S1006),$Q$1006:$U$1006,0)))),"Fix")))</f>
        <v xml:space="preserve"> </v>
      </c>
      <c r="E283" s="3" t="str">
        <f ca="1">IF(OR(INDEX($K$2:$K$1001,MATCH(ROWS($J$2:J283),$J$2:$J$1001,0),1)&gt;=100000,INDEX($Q$1005:$U$1005,1,MATCH(COLUMNS($Q$1006:T1006),$Q$1006:$U$1006,0))&gt;=100000), " ",IF(INDEX($Q$2:$U$1001,MATCH(ROWS($J$2:J283),$J$2:$J$1001,0),MATCH(COLUMNS($Q$1006:T1006),$Q$1006:$U$1006,0)), HYPERLINK("#",""), HYPERLINK(CONCATENATE("#metadata!", ADDRESS(INDEX($L$2:$L$1001,MATCH(ROWS($J$2:J283),$J$2:$J$1001,0),0), INDEX($Q$1004:$U$1004,1,MATCH(COLUMNS($Q$1006:T1006),$Q$1006:$U$1006,0)))),"Fix")))</f>
        <v xml:space="preserve"> </v>
      </c>
      <c r="F283" s="3" t="str">
        <f ca="1">IF(OR(INDEX($K$2:$K$1001,MATCH(ROWS($J$2:J283),$J$2:$J$1001,0),1)&gt;=100000,INDEX($Q$1005:$U$1005,1,MATCH(COLUMNS($Q$1006:U1006),$Q$1006:$U$1006,0))&gt;=100000), " ",IF(INDEX($Q$2:$U$1001,MATCH(ROWS($J$2:J283),$J$2:$J$1001,0),MATCH(COLUMNS($Q$1006:U1006),$Q$1006:$U$1006,0)), HYPERLINK("#",""), HYPERLINK(CONCATENATE("#metadata!", ADDRESS(INDEX($L$2:$L$1001,MATCH(ROWS($J$2:J283),$J$2:$J$1001,0),0), INDEX($Q$1004:$U$1004,1,MATCH(COLUMNS($Q$1006:U1006),$Q$1006:$U$1006,0)))),"Fix")))</f>
        <v xml:space="preserve"> </v>
      </c>
      <c r="J283">
        <v>282</v>
      </c>
      <c r="K283">
        <v>100283</v>
      </c>
      <c r="L283">
        <v>283</v>
      </c>
      <c r="M283" t="b">
        <f t="shared" si="4"/>
        <v>1</v>
      </c>
      <c r="N283" t="b">
        <f>COUNTBLANK(metadata!B283:F283)=COLUMNS(metadata!B283:F283)</f>
        <v>1</v>
      </c>
      <c r="O283" t="str">
        <v/>
      </c>
      <c r="Q283" t="b">
        <f ca="1">AND(IF(metadata!B283="",FALSE,TRUE),COUNTIF(metadata!B:B, metadata!B283) = 1,NOT(ISERROR(SUMPRODUCT(SEARCH(MID(metadata!B283,ROW(INDIRECT("1:"&amp;LEN(metadata!B283))), 1),"0123456789abcdefghijklmnopqrstuvwxyzABCDEFGHIJKLMNOPQRSTUVWXYZ.")))))</f>
        <v>0</v>
      </c>
      <c r="R283" t="b">
        <f>AND(IF(metadata!C283="",FALSE,TRUE),OR(EXACT(metadata!C283,"saline"),EXACT(metadata!C283,"non-saline")))</f>
        <v>0</v>
      </c>
      <c r="S283" t="b">
        <f>AND(IF(metadata!D283="",FALSE,TRUE),OR(EXACT(metadata!D283,"surface (non-saline)"),EXACT(metadata!D283,"aerosol (non-saline)"),EXACT(metadata!D283,"sediment (non-saline)"),EXACT(metadata!D283,"surface (saline)"),EXACT(metadata!D283,"aerosol (saline)"),EXACT(metadata!D283,"sediment (saline)")))</f>
        <v>0</v>
      </c>
      <c r="T283" t="b">
        <f>AND(IF(metadata!E283="",FALSE,TRUE),EXACT(metadata!E283,"built environment"))</f>
        <v>0</v>
      </c>
      <c r="U283" t="b">
        <f>OR(AND(IF(metadata!F283="",FALSE,TRUE),EXACT(metadata!F283,"not applicable")),AND(IF(metadata!F283="",FALSE,TRUE),EXACT(metadata!F283,"anaerobic digester content")))</f>
        <v>0</v>
      </c>
    </row>
    <row r="284" spans="1:21" x14ac:dyDescent="0.2">
      <c r="A284" s="4" t="str">
        <f ca="1">IF(B284=" "," ",HYPERLINK(CONCATENATE("#metadata!",ADDRESS(INDEX($L$2:$L$1001,MATCH(ROWS($J$2:J284),$J$2:$J$1001,0),0),1)),INDEX($O$2:$O$1001,MATCH(ROWS($J$2:J284),$J$2:$J$1001,0),0)))</f>
        <v xml:space="preserve"> </v>
      </c>
      <c r="B284" s="3" t="str">
        <f ca="1">IF(OR(INDEX($K$2:$K$1001,MATCH(ROWS($J$2:J284),$J$2:$J$1001,0),1)&gt;=100000,INDEX($Q$1005:$U$1005,1,MATCH(COLUMNS($Q$1006:Q1006),$Q$1006:$U$1006,0))&gt;=100000), " ",IF(INDEX($Q$2:$U$1001,MATCH(ROWS($J$2:J284),$J$2:$J$1001,0),MATCH(COLUMNS($Q$1006:Q1006),$Q$1006:$U$1006,0)), HYPERLINK("#",""), HYPERLINK(CONCATENATE("#metadata!", ADDRESS(INDEX($L$2:$L$1001,MATCH(ROWS($J$2:J284),$J$2:$J$1001,0),0), INDEX($Q$1004:$U$1004,1,MATCH(COLUMNS($Q$1006:Q1006),$Q$1006:$U$1006,0)))),"Fix")))</f>
        <v xml:space="preserve"> </v>
      </c>
      <c r="C284" s="3" t="str">
        <f ca="1">IF(OR(INDEX($K$2:$K$1001,MATCH(ROWS($J$2:J284),$J$2:$J$1001,0),1)&gt;=100000,INDEX($Q$1005:$U$1005,1,MATCH(COLUMNS($Q$1006:R1006),$Q$1006:$U$1006,0))&gt;=100000), " ",IF(INDEX($Q$2:$U$1001,MATCH(ROWS($J$2:J284),$J$2:$J$1001,0),MATCH(COLUMNS($Q$1006:R1006),$Q$1006:$U$1006,0)), HYPERLINK("#",""), HYPERLINK(CONCATENATE("#metadata!", ADDRESS(INDEX($L$2:$L$1001,MATCH(ROWS($J$2:J284),$J$2:$J$1001,0),0), INDEX($Q$1004:$U$1004,1,MATCH(COLUMNS($Q$1006:R1006),$Q$1006:$U$1006,0)))),"Fix")))</f>
        <v xml:space="preserve"> </v>
      </c>
      <c r="D284" s="3" t="str">
        <f ca="1">IF(OR(INDEX($K$2:$K$1001,MATCH(ROWS($J$2:J284),$J$2:$J$1001,0),1)&gt;=100000,INDEX($Q$1005:$U$1005,1,MATCH(COLUMNS($Q$1006:S1006),$Q$1006:$U$1006,0))&gt;=100000), " ",IF(INDEX($Q$2:$U$1001,MATCH(ROWS($J$2:J284),$J$2:$J$1001,0),MATCH(COLUMNS($Q$1006:S1006),$Q$1006:$U$1006,0)), HYPERLINK("#",""), HYPERLINK(CONCATENATE("#metadata!", ADDRESS(INDEX($L$2:$L$1001,MATCH(ROWS($J$2:J284),$J$2:$J$1001,0),0), INDEX($Q$1004:$U$1004,1,MATCH(COLUMNS($Q$1006:S1006),$Q$1006:$U$1006,0)))),"Fix")))</f>
        <v xml:space="preserve"> </v>
      </c>
      <c r="E284" s="3" t="str">
        <f ca="1">IF(OR(INDEX($K$2:$K$1001,MATCH(ROWS($J$2:J284),$J$2:$J$1001,0),1)&gt;=100000,INDEX($Q$1005:$U$1005,1,MATCH(COLUMNS($Q$1006:T1006),$Q$1006:$U$1006,0))&gt;=100000), " ",IF(INDEX($Q$2:$U$1001,MATCH(ROWS($J$2:J284),$J$2:$J$1001,0),MATCH(COLUMNS($Q$1006:T1006),$Q$1006:$U$1006,0)), HYPERLINK("#",""), HYPERLINK(CONCATENATE("#metadata!", ADDRESS(INDEX($L$2:$L$1001,MATCH(ROWS($J$2:J284),$J$2:$J$1001,0),0), INDEX($Q$1004:$U$1004,1,MATCH(COLUMNS($Q$1006:T1006),$Q$1006:$U$1006,0)))),"Fix")))</f>
        <v xml:space="preserve"> </v>
      </c>
      <c r="F284" s="3" t="str">
        <f ca="1">IF(OR(INDEX($K$2:$K$1001,MATCH(ROWS($J$2:J284),$J$2:$J$1001,0),1)&gt;=100000,INDEX($Q$1005:$U$1005,1,MATCH(COLUMNS($Q$1006:U1006),$Q$1006:$U$1006,0))&gt;=100000), " ",IF(INDEX($Q$2:$U$1001,MATCH(ROWS($J$2:J284),$J$2:$J$1001,0),MATCH(COLUMNS($Q$1006:U1006),$Q$1006:$U$1006,0)), HYPERLINK("#",""), HYPERLINK(CONCATENATE("#metadata!", ADDRESS(INDEX($L$2:$L$1001,MATCH(ROWS($J$2:J284),$J$2:$J$1001,0),0), INDEX($Q$1004:$U$1004,1,MATCH(COLUMNS($Q$1006:U1006),$Q$1006:$U$1006,0)))),"Fix")))</f>
        <v xml:space="preserve"> </v>
      </c>
      <c r="J284">
        <v>283</v>
      </c>
      <c r="K284">
        <v>100284</v>
      </c>
      <c r="L284">
        <v>284</v>
      </c>
      <c r="M284" t="b">
        <f t="shared" si="4"/>
        <v>1</v>
      </c>
      <c r="N284" t="b">
        <f>COUNTBLANK(metadata!B284:F284)=COLUMNS(metadata!B284:F284)</f>
        <v>1</v>
      </c>
      <c r="O284" t="str">
        <v/>
      </c>
      <c r="Q284" t="b">
        <f ca="1">AND(IF(metadata!B284="",FALSE,TRUE),COUNTIF(metadata!B:B, metadata!B284) = 1,NOT(ISERROR(SUMPRODUCT(SEARCH(MID(metadata!B284,ROW(INDIRECT("1:"&amp;LEN(metadata!B284))), 1),"0123456789abcdefghijklmnopqrstuvwxyzABCDEFGHIJKLMNOPQRSTUVWXYZ.")))))</f>
        <v>0</v>
      </c>
      <c r="R284" t="b">
        <f>AND(IF(metadata!C284="",FALSE,TRUE),OR(EXACT(metadata!C284,"saline"),EXACT(metadata!C284,"non-saline")))</f>
        <v>0</v>
      </c>
      <c r="S284" t="b">
        <f>AND(IF(metadata!D284="",FALSE,TRUE),OR(EXACT(metadata!D284,"surface (non-saline)"),EXACT(metadata!D284,"aerosol (non-saline)"),EXACT(metadata!D284,"sediment (non-saline)"),EXACT(metadata!D284,"surface (saline)"),EXACT(metadata!D284,"aerosol (saline)"),EXACT(metadata!D284,"sediment (saline)")))</f>
        <v>0</v>
      </c>
      <c r="T284" t="b">
        <f>AND(IF(metadata!E284="",FALSE,TRUE),EXACT(metadata!E284,"built environment"))</f>
        <v>0</v>
      </c>
      <c r="U284" t="b">
        <f>OR(AND(IF(metadata!F284="",FALSE,TRUE),EXACT(metadata!F284,"not applicable")),AND(IF(metadata!F284="",FALSE,TRUE),EXACT(metadata!F284,"anaerobic digester content")))</f>
        <v>0</v>
      </c>
    </row>
    <row r="285" spans="1:21" x14ac:dyDescent="0.2">
      <c r="A285" s="4" t="str">
        <f ca="1">IF(B285=" "," ",HYPERLINK(CONCATENATE("#metadata!",ADDRESS(INDEX($L$2:$L$1001,MATCH(ROWS($J$2:J285),$J$2:$J$1001,0),0),1)),INDEX($O$2:$O$1001,MATCH(ROWS($J$2:J285),$J$2:$J$1001,0),0)))</f>
        <v xml:space="preserve"> </v>
      </c>
      <c r="B285" s="3" t="str">
        <f ca="1">IF(OR(INDEX($K$2:$K$1001,MATCH(ROWS($J$2:J285),$J$2:$J$1001,0),1)&gt;=100000,INDEX($Q$1005:$U$1005,1,MATCH(COLUMNS($Q$1006:Q1006),$Q$1006:$U$1006,0))&gt;=100000), " ",IF(INDEX($Q$2:$U$1001,MATCH(ROWS($J$2:J285),$J$2:$J$1001,0),MATCH(COLUMNS($Q$1006:Q1006),$Q$1006:$U$1006,0)), HYPERLINK("#",""), HYPERLINK(CONCATENATE("#metadata!", ADDRESS(INDEX($L$2:$L$1001,MATCH(ROWS($J$2:J285),$J$2:$J$1001,0),0), INDEX($Q$1004:$U$1004,1,MATCH(COLUMNS($Q$1006:Q1006),$Q$1006:$U$1006,0)))),"Fix")))</f>
        <v xml:space="preserve"> </v>
      </c>
      <c r="C285" s="3" t="str">
        <f ca="1">IF(OR(INDEX($K$2:$K$1001,MATCH(ROWS($J$2:J285),$J$2:$J$1001,0),1)&gt;=100000,INDEX($Q$1005:$U$1005,1,MATCH(COLUMNS($Q$1006:R1006),$Q$1006:$U$1006,0))&gt;=100000), " ",IF(INDEX($Q$2:$U$1001,MATCH(ROWS($J$2:J285),$J$2:$J$1001,0),MATCH(COLUMNS($Q$1006:R1006),$Q$1006:$U$1006,0)), HYPERLINK("#",""), HYPERLINK(CONCATENATE("#metadata!", ADDRESS(INDEX($L$2:$L$1001,MATCH(ROWS($J$2:J285),$J$2:$J$1001,0),0), INDEX($Q$1004:$U$1004,1,MATCH(COLUMNS($Q$1006:R1006),$Q$1006:$U$1006,0)))),"Fix")))</f>
        <v xml:space="preserve"> </v>
      </c>
      <c r="D285" s="3" t="str">
        <f ca="1">IF(OR(INDEX($K$2:$K$1001,MATCH(ROWS($J$2:J285),$J$2:$J$1001,0),1)&gt;=100000,INDEX($Q$1005:$U$1005,1,MATCH(COLUMNS($Q$1006:S1006),$Q$1006:$U$1006,0))&gt;=100000), " ",IF(INDEX($Q$2:$U$1001,MATCH(ROWS($J$2:J285),$J$2:$J$1001,0),MATCH(COLUMNS($Q$1006:S1006),$Q$1006:$U$1006,0)), HYPERLINK("#",""), HYPERLINK(CONCATENATE("#metadata!", ADDRESS(INDEX($L$2:$L$1001,MATCH(ROWS($J$2:J285),$J$2:$J$1001,0),0), INDEX($Q$1004:$U$1004,1,MATCH(COLUMNS($Q$1006:S1006),$Q$1006:$U$1006,0)))),"Fix")))</f>
        <v xml:space="preserve"> </v>
      </c>
      <c r="E285" s="3" t="str">
        <f ca="1">IF(OR(INDEX($K$2:$K$1001,MATCH(ROWS($J$2:J285),$J$2:$J$1001,0),1)&gt;=100000,INDEX($Q$1005:$U$1005,1,MATCH(COLUMNS($Q$1006:T1006),$Q$1006:$U$1006,0))&gt;=100000), " ",IF(INDEX($Q$2:$U$1001,MATCH(ROWS($J$2:J285),$J$2:$J$1001,0),MATCH(COLUMNS($Q$1006:T1006),$Q$1006:$U$1006,0)), HYPERLINK("#",""), HYPERLINK(CONCATENATE("#metadata!", ADDRESS(INDEX($L$2:$L$1001,MATCH(ROWS($J$2:J285),$J$2:$J$1001,0),0), INDEX($Q$1004:$U$1004,1,MATCH(COLUMNS($Q$1006:T1006),$Q$1006:$U$1006,0)))),"Fix")))</f>
        <v xml:space="preserve"> </v>
      </c>
      <c r="F285" s="3" t="str">
        <f ca="1">IF(OR(INDEX($K$2:$K$1001,MATCH(ROWS($J$2:J285),$J$2:$J$1001,0),1)&gt;=100000,INDEX($Q$1005:$U$1005,1,MATCH(COLUMNS($Q$1006:U1006),$Q$1006:$U$1006,0))&gt;=100000), " ",IF(INDEX($Q$2:$U$1001,MATCH(ROWS($J$2:J285),$J$2:$J$1001,0),MATCH(COLUMNS($Q$1006:U1006),$Q$1006:$U$1006,0)), HYPERLINK("#",""), HYPERLINK(CONCATENATE("#metadata!", ADDRESS(INDEX($L$2:$L$1001,MATCH(ROWS($J$2:J285),$J$2:$J$1001,0),0), INDEX($Q$1004:$U$1004,1,MATCH(COLUMNS($Q$1006:U1006),$Q$1006:$U$1006,0)))),"Fix")))</f>
        <v xml:space="preserve"> </v>
      </c>
      <c r="J285">
        <v>284</v>
      </c>
      <c r="K285">
        <v>100285</v>
      </c>
      <c r="L285">
        <v>285</v>
      </c>
      <c r="M285" t="b">
        <f t="shared" si="4"/>
        <v>1</v>
      </c>
      <c r="N285" t="b">
        <f>COUNTBLANK(metadata!B285:F285)=COLUMNS(metadata!B285:F285)</f>
        <v>1</v>
      </c>
      <c r="O285" t="str">
        <v/>
      </c>
      <c r="Q285" t="b">
        <f ca="1">AND(IF(metadata!B285="",FALSE,TRUE),COUNTIF(metadata!B:B, metadata!B285) = 1,NOT(ISERROR(SUMPRODUCT(SEARCH(MID(metadata!B285,ROW(INDIRECT("1:"&amp;LEN(metadata!B285))), 1),"0123456789abcdefghijklmnopqrstuvwxyzABCDEFGHIJKLMNOPQRSTUVWXYZ.")))))</f>
        <v>0</v>
      </c>
      <c r="R285" t="b">
        <f>AND(IF(metadata!C285="",FALSE,TRUE),OR(EXACT(metadata!C285,"saline"),EXACT(metadata!C285,"non-saline")))</f>
        <v>0</v>
      </c>
      <c r="S285" t="b">
        <f>AND(IF(metadata!D285="",FALSE,TRUE),OR(EXACT(metadata!D285,"surface (non-saline)"),EXACT(metadata!D285,"aerosol (non-saline)"),EXACT(metadata!D285,"sediment (non-saline)"),EXACT(metadata!D285,"surface (saline)"),EXACT(metadata!D285,"aerosol (saline)"),EXACT(metadata!D285,"sediment (saline)")))</f>
        <v>0</v>
      </c>
      <c r="T285" t="b">
        <f>AND(IF(metadata!E285="",FALSE,TRUE),EXACT(metadata!E285,"built environment"))</f>
        <v>0</v>
      </c>
      <c r="U285" t="b">
        <f>OR(AND(IF(metadata!F285="",FALSE,TRUE),EXACT(metadata!F285,"not applicable")),AND(IF(metadata!F285="",FALSE,TRUE),EXACT(metadata!F285,"anaerobic digester content")))</f>
        <v>0</v>
      </c>
    </row>
    <row r="286" spans="1:21" x14ac:dyDescent="0.2">
      <c r="A286" s="4" t="str">
        <f ca="1">IF(B286=" "," ",HYPERLINK(CONCATENATE("#metadata!",ADDRESS(INDEX($L$2:$L$1001,MATCH(ROWS($J$2:J286),$J$2:$J$1001,0),0),1)),INDEX($O$2:$O$1001,MATCH(ROWS($J$2:J286),$J$2:$J$1001,0),0)))</f>
        <v xml:space="preserve"> </v>
      </c>
      <c r="B286" s="3" t="str">
        <f ca="1">IF(OR(INDEX($K$2:$K$1001,MATCH(ROWS($J$2:J286),$J$2:$J$1001,0),1)&gt;=100000,INDEX($Q$1005:$U$1005,1,MATCH(COLUMNS($Q$1006:Q1006),$Q$1006:$U$1006,0))&gt;=100000), " ",IF(INDEX($Q$2:$U$1001,MATCH(ROWS($J$2:J286),$J$2:$J$1001,0),MATCH(COLUMNS($Q$1006:Q1006),$Q$1006:$U$1006,0)), HYPERLINK("#",""), HYPERLINK(CONCATENATE("#metadata!", ADDRESS(INDEX($L$2:$L$1001,MATCH(ROWS($J$2:J286),$J$2:$J$1001,0),0), INDEX($Q$1004:$U$1004,1,MATCH(COLUMNS($Q$1006:Q1006),$Q$1006:$U$1006,0)))),"Fix")))</f>
        <v xml:space="preserve"> </v>
      </c>
      <c r="C286" s="3" t="str">
        <f ca="1">IF(OR(INDEX($K$2:$K$1001,MATCH(ROWS($J$2:J286),$J$2:$J$1001,0),1)&gt;=100000,INDEX($Q$1005:$U$1005,1,MATCH(COLUMNS($Q$1006:R1006),$Q$1006:$U$1006,0))&gt;=100000), " ",IF(INDEX($Q$2:$U$1001,MATCH(ROWS($J$2:J286),$J$2:$J$1001,0),MATCH(COLUMNS($Q$1006:R1006),$Q$1006:$U$1006,0)), HYPERLINK("#",""), HYPERLINK(CONCATENATE("#metadata!", ADDRESS(INDEX($L$2:$L$1001,MATCH(ROWS($J$2:J286),$J$2:$J$1001,0),0), INDEX($Q$1004:$U$1004,1,MATCH(COLUMNS($Q$1006:R1006),$Q$1006:$U$1006,0)))),"Fix")))</f>
        <v xml:space="preserve"> </v>
      </c>
      <c r="D286" s="3" t="str">
        <f ca="1">IF(OR(INDEX($K$2:$K$1001,MATCH(ROWS($J$2:J286),$J$2:$J$1001,0),1)&gt;=100000,INDEX($Q$1005:$U$1005,1,MATCH(COLUMNS($Q$1006:S1006),$Q$1006:$U$1006,0))&gt;=100000), " ",IF(INDEX($Q$2:$U$1001,MATCH(ROWS($J$2:J286),$J$2:$J$1001,0),MATCH(COLUMNS($Q$1006:S1006),$Q$1006:$U$1006,0)), HYPERLINK("#",""), HYPERLINK(CONCATENATE("#metadata!", ADDRESS(INDEX($L$2:$L$1001,MATCH(ROWS($J$2:J286),$J$2:$J$1001,0),0), INDEX($Q$1004:$U$1004,1,MATCH(COLUMNS($Q$1006:S1006),$Q$1006:$U$1006,0)))),"Fix")))</f>
        <v xml:space="preserve"> </v>
      </c>
      <c r="E286" s="3" t="str">
        <f ca="1">IF(OR(INDEX($K$2:$K$1001,MATCH(ROWS($J$2:J286),$J$2:$J$1001,0),1)&gt;=100000,INDEX($Q$1005:$U$1005,1,MATCH(COLUMNS($Q$1006:T1006),$Q$1006:$U$1006,0))&gt;=100000), " ",IF(INDEX($Q$2:$U$1001,MATCH(ROWS($J$2:J286),$J$2:$J$1001,0),MATCH(COLUMNS($Q$1006:T1006),$Q$1006:$U$1006,0)), HYPERLINK("#",""), HYPERLINK(CONCATENATE("#metadata!", ADDRESS(INDEX($L$2:$L$1001,MATCH(ROWS($J$2:J286),$J$2:$J$1001,0),0), INDEX($Q$1004:$U$1004,1,MATCH(COLUMNS($Q$1006:T1006),$Q$1006:$U$1006,0)))),"Fix")))</f>
        <v xml:space="preserve"> </v>
      </c>
      <c r="F286" s="3" t="str">
        <f ca="1">IF(OR(INDEX($K$2:$K$1001,MATCH(ROWS($J$2:J286),$J$2:$J$1001,0),1)&gt;=100000,INDEX($Q$1005:$U$1005,1,MATCH(COLUMNS($Q$1006:U1006),$Q$1006:$U$1006,0))&gt;=100000), " ",IF(INDEX($Q$2:$U$1001,MATCH(ROWS($J$2:J286),$J$2:$J$1001,0),MATCH(COLUMNS($Q$1006:U1006),$Q$1006:$U$1006,0)), HYPERLINK("#",""), HYPERLINK(CONCATENATE("#metadata!", ADDRESS(INDEX($L$2:$L$1001,MATCH(ROWS($J$2:J286),$J$2:$J$1001,0),0), INDEX($Q$1004:$U$1004,1,MATCH(COLUMNS($Q$1006:U1006),$Q$1006:$U$1006,0)))),"Fix")))</f>
        <v xml:space="preserve"> </v>
      </c>
      <c r="J286">
        <v>285</v>
      </c>
      <c r="K286">
        <v>100286</v>
      </c>
      <c r="L286">
        <v>286</v>
      </c>
      <c r="M286" t="b">
        <f t="shared" si="4"/>
        <v>1</v>
      </c>
      <c r="N286" t="b">
        <f>COUNTBLANK(metadata!B286:F286)=COLUMNS(metadata!B286:F286)</f>
        <v>1</v>
      </c>
      <c r="O286" t="str">
        <v/>
      </c>
      <c r="Q286" t="b">
        <f ca="1">AND(IF(metadata!B286="",FALSE,TRUE),COUNTIF(metadata!B:B, metadata!B286) = 1,NOT(ISERROR(SUMPRODUCT(SEARCH(MID(metadata!B286,ROW(INDIRECT("1:"&amp;LEN(metadata!B286))), 1),"0123456789abcdefghijklmnopqrstuvwxyzABCDEFGHIJKLMNOPQRSTUVWXYZ.")))))</f>
        <v>0</v>
      </c>
      <c r="R286" t="b">
        <f>AND(IF(metadata!C286="",FALSE,TRUE),OR(EXACT(metadata!C286,"saline"),EXACT(metadata!C286,"non-saline")))</f>
        <v>0</v>
      </c>
      <c r="S286" t="b">
        <f>AND(IF(metadata!D286="",FALSE,TRUE),OR(EXACT(metadata!D286,"surface (non-saline)"),EXACT(metadata!D286,"aerosol (non-saline)"),EXACT(metadata!D286,"sediment (non-saline)"),EXACT(metadata!D286,"surface (saline)"),EXACT(metadata!D286,"aerosol (saline)"),EXACT(metadata!D286,"sediment (saline)")))</f>
        <v>0</v>
      </c>
      <c r="T286" t="b">
        <f>AND(IF(metadata!E286="",FALSE,TRUE),EXACT(metadata!E286,"built environment"))</f>
        <v>0</v>
      </c>
      <c r="U286" t="b">
        <f>OR(AND(IF(metadata!F286="",FALSE,TRUE),EXACT(metadata!F286,"not applicable")),AND(IF(metadata!F286="",FALSE,TRUE),EXACT(metadata!F286,"anaerobic digester content")))</f>
        <v>0</v>
      </c>
    </row>
    <row r="287" spans="1:21" x14ac:dyDescent="0.2">
      <c r="A287" s="4" t="str">
        <f ca="1">IF(B287=" "," ",HYPERLINK(CONCATENATE("#metadata!",ADDRESS(INDEX($L$2:$L$1001,MATCH(ROWS($J$2:J287),$J$2:$J$1001,0),0),1)),INDEX($O$2:$O$1001,MATCH(ROWS($J$2:J287),$J$2:$J$1001,0),0)))</f>
        <v xml:space="preserve"> </v>
      </c>
      <c r="B287" s="3" t="str">
        <f ca="1">IF(OR(INDEX($K$2:$K$1001,MATCH(ROWS($J$2:J287),$J$2:$J$1001,0),1)&gt;=100000,INDEX($Q$1005:$U$1005,1,MATCH(COLUMNS($Q$1006:Q1006),$Q$1006:$U$1006,0))&gt;=100000), " ",IF(INDEX($Q$2:$U$1001,MATCH(ROWS($J$2:J287),$J$2:$J$1001,0),MATCH(COLUMNS($Q$1006:Q1006),$Q$1006:$U$1006,0)), HYPERLINK("#",""), HYPERLINK(CONCATENATE("#metadata!", ADDRESS(INDEX($L$2:$L$1001,MATCH(ROWS($J$2:J287),$J$2:$J$1001,0),0), INDEX($Q$1004:$U$1004,1,MATCH(COLUMNS($Q$1006:Q1006),$Q$1006:$U$1006,0)))),"Fix")))</f>
        <v xml:space="preserve"> </v>
      </c>
      <c r="C287" s="3" t="str">
        <f ca="1">IF(OR(INDEX($K$2:$K$1001,MATCH(ROWS($J$2:J287),$J$2:$J$1001,0),1)&gt;=100000,INDEX($Q$1005:$U$1005,1,MATCH(COLUMNS($Q$1006:R1006),$Q$1006:$U$1006,0))&gt;=100000), " ",IF(INDEX($Q$2:$U$1001,MATCH(ROWS($J$2:J287),$J$2:$J$1001,0),MATCH(COLUMNS($Q$1006:R1006),$Q$1006:$U$1006,0)), HYPERLINK("#",""), HYPERLINK(CONCATENATE("#metadata!", ADDRESS(INDEX($L$2:$L$1001,MATCH(ROWS($J$2:J287),$J$2:$J$1001,0),0), INDEX($Q$1004:$U$1004,1,MATCH(COLUMNS($Q$1006:R1006),$Q$1006:$U$1006,0)))),"Fix")))</f>
        <v xml:space="preserve"> </v>
      </c>
      <c r="D287" s="3" t="str">
        <f ca="1">IF(OR(INDEX($K$2:$K$1001,MATCH(ROWS($J$2:J287),$J$2:$J$1001,0),1)&gt;=100000,INDEX($Q$1005:$U$1005,1,MATCH(COLUMNS($Q$1006:S1006),$Q$1006:$U$1006,0))&gt;=100000), " ",IF(INDEX($Q$2:$U$1001,MATCH(ROWS($J$2:J287),$J$2:$J$1001,0),MATCH(COLUMNS($Q$1006:S1006),$Q$1006:$U$1006,0)), HYPERLINK("#",""), HYPERLINK(CONCATENATE("#metadata!", ADDRESS(INDEX($L$2:$L$1001,MATCH(ROWS($J$2:J287),$J$2:$J$1001,0),0), INDEX($Q$1004:$U$1004,1,MATCH(COLUMNS($Q$1006:S1006),$Q$1006:$U$1006,0)))),"Fix")))</f>
        <v xml:space="preserve"> </v>
      </c>
      <c r="E287" s="3" t="str">
        <f ca="1">IF(OR(INDEX($K$2:$K$1001,MATCH(ROWS($J$2:J287),$J$2:$J$1001,0),1)&gt;=100000,INDEX($Q$1005:$U$1005,1,MATCH(COLUMNS($Q$1006:T1006),$Q$1006:$U$1006,0))&gt;=100000), " ",IF(INDEX($Q$2:$U$1001,MATCH(ROWS($J$2:J287),$J$2:$J$1001,0),MATCH(COLUMNS($Q$1006:T1006),$Q$1006:$U$1006,0)), HYPERLINK("#",""), HYPERLINK(CONCATENATE("#metadata!", ADDRESS(INDEX($L$2:$L$1001,MATCH(ROWS($J$2:J287),$J$2:$J$1001,0),0), INDEX($Q$1004:$U$1004,1,MATCH(COLUMNS($Q$1006:T1006),$Q$1006:$U$1006,0)))),"Fix")))</f>
        <v xml:space="preserve"> </v>
      </c>
      <c r="F287" s="3" t="str">
        <f ca="1">IF(OR(INDEX($K$2:$K$1001,MATCH(ROWS($J$2:J287),$J$2:$J$1001,0),1)&gt;=100000,INDEX($Q$1005:$U$1005,1,MATCH(COLUMNS($Q$1006:U1006),$Q$1006:$U$1006,0))&gt;=100000), " ",IF(INDEX($Q$2:$U$1001,MATCH(ROWS($J$2:J287),$J$2:$J$1001,0),MATCH(COLUMNS($Q$1006:U1006),$Q$1006:$U$1006,0)), HYPERLINK("#",""), HYPERLINK(CONCATENATE("#metadata!", ADDRESS(INDEX($L$2:$L$1001,MATCH(ROWS($J$2:J287),$J$2:$J$1001,0),0), INDEX($Q$1004:$U$1004,1,MATCH(COLUMNS($Q$1006:U1006),$Q$1006:$U$1006,0)))),"Fix")))</f>
        <v xml:space="preserve"> </v>
      </c>
      <c r="J287">
        <v>286</v>
      </c>
      <c r="K287">
        <v>100287</v>
      </c>
      <c r="L287">
        <v>287</v>
      </c>
      <c r="M287" t="b">
        <f t="shared" si="4"/>
        <v>1</v>
      </c>
      <c r="N287" t="b">
        <f>COUNTBLANK(metadata!B287:F287)=COLUMNS(metadata!B287:F287)</f>
        <v>1</v>
      </c>
      <c r="O287" t="str">
        <v/>
      </c>
      <c r="Q287" t="b">
        <f ca="1">AND(IF(metadata!B287="",FALSE,TRUE),COUNTIF(metadata!B:B, metadata!B287) = 1,NOT(ISERROR(SUMPRODUCT(SEARCH(MID(metadata!B287,ROW(INDIRECT("1:"&amp;LEN(metadata!B287))), 1),"0123456789abcdefghijklmnopqrstuvwxyzABCDEFGHIJKLMNOPQRSTUVWXYZ.")))))</f>
        <v>0</v>
      </c>
      <c r="R287" t="b">
        <f>AND(IF(metadata!C287="",FALSE,TRUE),OR(EXACT(metadata!C287,"saline"),EXACT(metadata!C287,"non-saline")))</f>
        <v>0</v>
      </c>
      <c r="S287" t="b">
        <f>AND(IF(metadata!D287="",FALSE,TRUE),OR(EXACT(metadata!D287,"surface (non-saline)"),EXACT(metadata!D287,"aerosol (non-saline)"),EXACT(metadata!D287,"sediment (non-saline)"),EXACT(metadata!D287,"surface (saline)"),EXACT(metadata!D287,"aerosol (saline)"),EXACT(metadata!D287,"sediment (saline)")))</f>
        <v>0</v>
      </c>
      <c r="T287" t="b">
        <f>AND(IF(metadata!E287="",FALSE,TRUE),EXACT(metadata!E287,"built environment"))</f>
        <v>0</v>
      </c>
      <c r="U287" t="b">
        <f>OR(AND(IF(metadata!F287="",FALSE,TRUE),EXACT(metadata!F287,"not applicable")),AND(IF(metadata!F287="",FALSE,TRUE),EXACT(metadata!F287,"anaerobic digester content")))</f>
        <v>0</v>
      </c>
    </row>
    <row r="288" spans="1:21" x14ac:dyDescent="0.2">
      <c r="A288" s="4" t="str">
        <f ca="1">IF(B288=" "," ",HYPERLINK(CONCATENATE("#metadata!",ADDRESS(INDEX($L$2:$L$1001,MATCH(ROWS($J$2:J288),$J$2:$J$1001,0),0),1)),INDEX($O$2:$O$1001,MATCH(ROWS($J$2:J288),$J$2:$J$1001,0),0)))</f>
        <v xml:space="preserve"> </v>
      </c>
      <c r="B288" s="3" t="str">
        <f ca="1">IF(OR(INDEX($K$2:$K$1001,MATCH(ROWS($J$2:J288),$J$2:$J$1001,0),1)&gt;=100000,INDEX($Q$1005:$U$1005,1,MATCH(COLUMNS($Q$1006:Q1006),$Q$1006:$U$1006,0))&gt;=100000), " ",IF(INDEX($Q$2:$U$1001,MATCH(ROWS($J$2:J288),$J$2:$J$1001,0),MATCH(COLUMNS($Q$1006:Q1006),$Q$1006:$U$1006,0)), HYPERLINK("#",""), HYPERLINK(CONCATENATE("#metadata!", ADDRESS(INDEX($L$2:$L$1001,MATCH(ROWS($J$2:J288),$J$2:$J$1001,0),0), INDEX($Q$1004:$U$1004,1,MATCH(COLUMNS($Q$1006:Q1006),$Q$1006:$U$1006,0)))),"Fix")))</f>
        <v xml:space="preserve"> </v>
      </c>
      <c r="C288" s="3" t="str">
        <f ca="1">IF(OR(INDEX($K$2:$K$1001,MATCH(ROWS($J$2:J288),$J$2:$J$1001,0),1)&gt;=100000,INDEX($Q$1005:$U$1005,1,MATCH(COLUMNS($Q$1006:R1006),$Q$1006:$U$1006,0))&gt;=100000), " ",IF(INDEX($Q$2:$U$1001,MATCH(ROWS($J$2:J288),$J$2:$J$1001,0),MATCH(COLUMNS($Q$1006:R1006),$Q$1006:$U$1006,0)), HYPERLINK("#",""), HYPERLINK(CONCATENATE("#metadata!", ADDRESS(INDEX($L$2:$L$1001,MATCH(ROWS($J$2:J288),$J$2:$J$1001,0),0), INDEX($Q$1004:$U$1004,1,MATCH(COLUMNS($Q$1006:R1006),$Q$1006:$U$1006,0)))),"Fix")))</f>
        <v xml:space="preserve"> </v>
      </c>
      <c r="D288" s="3" t="str">
        <f ca="1">IF(OR(INDEX($K$2:$K$1001,MATCH(ROWS($J$2:J288),$J$2:$J$1001,0),1)&gt;=100000,INDEX($Q$1005:$U$1005,1,MATCH(COLUMNS($Q$1006:S1006),$Q$1006:$U$1006,0))&gt;=100000), " ",IF(INDEX($Q$2:$U$1001,MATCH(ROWS($J$2:J288),$J$2:$J$1001,0),MATCH(COLUMNS($Q$1006:S1006),$Q$1006:$U$1006,0)), HYPERLINK("#",""), HYPERLINK(CONCATENATE("#metadata!", ADDRESS(INDEX($L$2:$L$1001,MATCH(ROWS($J$2:J288),$J$2:$J$1001,0),0), INDEX($Q$1004:$U$1004,1,MATCH(COLUMNS($Q$1006:S1006),$Q$1006:$U$1006,0)))),"Fix")))</f>
        <v xml:space="preserve"> </v>
      </c>
      <c r="E288" s="3" t="str">
        <f ca="1">IF(OR(INDEX($K$2:$K$1001,MATCH(ROWS($J$2:J288),$J$2:$J$1001,0),1)&gt;=100000,INDEX($Q$1005:$U$1005,1,MATCH(COLUMNS($Q$1006:T1006),$Q$1006:$U$1006,0))&gt;=100000), " ",IF(INDEX($Q$2:$U$1001,MATCH(ROWS($J$2:J288),$J$2:$J$1001,0),MATCH(COLUMNS($Q$1006:T1006),$Q$1006:$U$1006,0)), HYPERLINK("#",""), HYPERLINK(CONCATENATE("#metadata!", ADDRESS(INDEX($L$2:$L$1001,MATCH(ROWS($J$2:J288),$J$2:$J$1001,0),0), INDEX($Q$1004:$U$1004,1,MATCH(COLUMNS($Q$1006:T1006),$Q$1006:$U$1006,0)))),"Fix")))</f>
        <v xml:space="preserve"> </v>
      </c>
      <c r="F288" s="3" t="str">
        <f ca="1">IF(OR(INDEX($K$2:$K$1001,MATCH(ROWS($J$2:J288),$J$2:$J$1001,0),1)&gt;=100000,INDEX($Q$1005:$U$1005,1,MATCH(COLUMNS($Q$1006:U1006),$Q$1006:$U$1006,0))&gt;=100000), " ",IF(INDEX($Q$2:$U$1001,MATCH(ROWS($J$2:J288),$J$2:$J$1001,0),MATCH(COLUMNS($Q$1006:U1006),$Q$1006:$U$1006,0)), HYPERLINK("#",""), HYPERLINK(CONCATENATE("#metadata!", ADDRESS(INDEX($L$2:$L$1001,MATCH(ROWS($J$2:J288),$J$2:$J$1001,0),0), INDEX($Q$1004:$U$1004,1,MATCH(COLUMNS($Q$1006:U1006),$Q$1006:$U$1006,0)))),"Fix")))</f>
        <v xml:space="preserve"> </v>
      </c>
      <c r="J288">
        <v>287</v>
      </c>
      <c r="K288">
        <v>100288</v>
      </c>
      <c r="L288">
        <v>288</v>
      </c>
      <c r="M288" t="b">
        <f t="shared" si="4"/>
        <v>1</v>
      </c>
      <c r="N288" t="b">
        <f>COUNTBLANK(metadata!B288:F288)=COLUMNS(metadata!B288:F288)</f>
        <v>1</v>
      </c>
      <c r="O288" t="str">
        <v/>
      </c>
      <c r="Q288" t="b">
        <f ca="1">AND(IF(metadata!B288="",FALSE,TRUE),COUNTIF(metadata!B:B, metadata!B288) = 1,NOT(ISERROR(SUMPRODUCT(SEARCH(MID(metadata!B288,ROW(INDIRECT("1:"&amp;LEN(metadata!B288))), 1),"0123456789abcdefghijklmnopqrstuvwxyzABCDEFGHIJKLMNOPQRSTUVWXYZ.")))))</f>
        <v>0</v>
      </c>
      <c r="R288" t="b">
        <f>AND(IF(metadata!C288="",FALSE,TRUE),OR(EXACT(metadata!C288,"saline"),EXACT(metadata!C288,"non-saline")))</f>
        <v>0</v>
      </c>
      <c r="S288" t="b">
        <f>AND(IF(metadata!D288="",FALSE,TRUE),OR(EXACT(metadata!D288,"surface (non-saline)"),EXACT(metadata!D288,"aerosol (non-saline)"),EXACT(metadata!D288,"sediment (non-saline)"),EXACT(metadata!D288,"surface (saline)"),EXACT(metadata!D288,"aerosol (saline)"),EXACT(metadata!D288,"sediment (saline)")))</f>
        <v>0</v>
      </c>
      <c r="T288" t="b">
        <f>AND(IF(metadata!E288="",FALSE,TRUE),EXACT(metadata!E288,"built environment"))</f>
        <v>0</v>
      </c>
      <c r="U288" t="b">
        <f>OR(AND(IF(metadata!F288="",FALSE,TRUE),EXACT(metadata!F288,"not applicable")),AND(IF(metadata!F288="",FALSE,TRUE),EXACT(metadata!F288,"anaerobic digester content")))</f>
        <v>0</v>
      </c>
    </row>
    <row r="289" spans="1:21" x14ac:dyDescent="0.2">
      <c r="A289" s="4" t="str">
        <f ca="1">IF(B289=" "," ",HYPERLINK(CONCATENATE("#metadata!",ADDRESS(INDEX($L$2:$L$1001,MATCH(ROWS($J$2:J289),$J$2:$J$1001,0),0),1)),INDEX($O$2:$O$1001,MATCH(ROWS($J$2:J289),$J$2:$J$1001,0),0)))</f>
        <v xml:space="preserve"> </v>
      </c>
      <c r="B289" s="3" t="str">
        <f ca="1">IF(OR(INDEX($K$2:$K$1001,MATCH(ROWS($J$2:J289),$J$2:$J$1001,0),1)&gt;=100000,INDEX($Q$1005:$U$1005,1,MATCH(COLUMNS($Q$1006:Q1006),$Q$1006:$U$1006,0))&gt;=100000), " ",IF(INDEX($Q$2:$U$1001,MATCH(ROWS($J$2:J289),$J$2:$J$1001,0),MATCH(COLUMNS($Q$1006:Q1006),$Q$1006:$U$1006,0)), HYPERLINK("#",""), HYPERLINK(CONCATENATE("#metadata!", ADDRESS(INDEX($L$2:$L$1001,MATCH(ROWS($J$2:J289),$J$2:$J$1001,0),0), INDEX($Q$1004:$U$1004,1,MATCH(COLUMNS($Q$1006:Q1006),$Q$1006:$U$1006,0)))),"Fix")))</f>
        <v xml:space="preserve"> </v>
      </c>
      <c r="C289" s="3" t="str">
        <f ca="1">IF(OR(INDEX($K$2:$K$1001,MATCH(ROWS($J$2:J289),$J$2:$J$1001,0),1)&gt;=100000,INDEX($Q$1005:$U$1005,1,MATCH(COLUMNS($Q$1006:R1006),$Q$1006:$U$1006,0))&gt;=100000), " ",IF(INDEX($Q$2:$U$1001,MATCH(ROWS($J$2:J289),$J$2:$J$1001,0),MATCH(COLUMNS($Q$1006:R1006),$Q$1006:$U$1006,0)), HYPERLINK("#",""), HYPERLINK(CONCATENATE("#metadata!", ADDRESS(INDEX($L$2:$L$1001,MATCH(ROWS($J$2:J289),$J$2:$J$1001,0),0), INDEX($Q$1004:$U$1004,1,MATCH(COLUMNS($Q$1006:R1006),$Q$1006:$U$1006,0)))),"Fix")))</f>
        <v xml:space="preserve"> </v>
      </c>
      <c r="D289" s="3" t="str">
        <f ca="1">IF(OR(INDEX($K$2:$K$1001,MATCH(ROWS($J$2:J289),$J$2:$J$1001,0),1)&gt;=100000,INDEX($Q$1005:$U$1005,1,MATCH(COLUMNS($Q$1006:S1006),$Q$1006:$U$1006,0))&gt;=100000), " ",IF(INDEX($Q$2:$U$1001,MATCH(ROWS($J$2:J289),$J$2:$J$1001,0),MATCH(COLUMNS($Q$1006:S1006),$Q$1006:$U$1006,0)), HYPERLINK("#",""), HYPERLINK(CONCATENATE("#metadata!", ADDRESS(INDEX($L$2:$L$1001,MATCH(ROWS($J$2:J289),$J$2:$J$1001,0),0), INDEX($Q$1004:$U$1004,1,MATCH(COLUMNS($Q$1006:S1006),$Q$1006:$U$1006,0)))),"Fix")))</f>
        <v xml:space="preserve"> </v>
      </c>
      <c r="E289" s="3" t="str">
        <f ca="1">IF(OR(INDEX($K$2:$K$1001,MATCH(ROWS($J$2:J289),$J$2:$J$1001,0),1)&gt;=100000,INDEX($Q$1005:$U$1005,1,MATCH(COLUMNS($Q$1006:T1006),$Q$1006:$U$1006,0))&gt;=100000), " ",IF(INDEX($Q$2:$U$1001,MATCH(ROWS($J$2:J289),$J$2:$J$1001,0),MATCH(COLUMNS($Q$1006:T1006),$Q$1006:$U$1006,0)), HYPERLINK("#",""), HYPERLINK(CONCATENATE("#metadata!", ADDRESS(INDEX($L$2:$L$1001,MATCH(ROWS($J$2:J289),$J$2:$J$1001,0),0), INDEX($Q$1004:$U$1004,1,MATCH(COLUMNS($Q$1006:T1006),$Q$1006:$U$1006,0)))),"Fix")))</f>
        <v xml:space="preserve"> </v>
      </c>
      <c r="F289" s="3" t="str">
        <f ca="1">IF(OR(INDEX($K$2:$K$1001,MATCH(ROWS($J$2:J289),$J$2:$J$1001,0),1)&gt;=100000,INDEX($Q$1005:$U$1005,1,MATCH(COLUMNS($Q$1006:U1006),$Q$1006:$U$1006,0))&gt;=100000), " ",IF(INDEX($Q$2:$U$1001,MATCH(ROWS($J$2:J289),$J$2:$J$1001,0),MATCH(COLUMNS($Q$1006:U1006),$Q$1006:$U$1006,0)), HYPERLINK("#",""), HYPERLINK(CONCATENATE("#metadata!", ADDRESS(INDEX($L$2:$L$1001,MATCH(ROWS($J$2:J289),$J$2:$J$1001,0),0), INDEX($Q$1004:$U$1004,1,MATCH(COLUMNS($Q$1006:U1006),$Q$1006:$U$1006,0)))),"Fix")))</f>
        <v xml:space="preserve"> </v>
      </c>
      <c r="J289">
        <v>288</v>
      </c>
      <c r="K289">
        <v>100289</v>
      </c>
      <c r="L289">
        <v>289</v>
      </c>
      <c r="M289" t="b">
        <f t="shared" si="4"/>
        <v>1</v>
      </c>
      <c r="N289" t="b">
        <f>COUNTBLANK(metadata!B289:F289)=COLUMNS(metadata!B289:F289)</f>
        <v>1</v>
      </c>
      <c r="O289" t="str">
        <v/>
      </c>
      <c r="Q289" t="b">
        <f ca="1">AND(IF(metadata!B289="",FALSE,TRUE),COUNTIF(metadata!B:B, metadata!B289) = 1,NOT(ISERROR(SUMPRODUCT(SEARCH(MID(metadata!B289,ROW(INDIRECT("1:"&amp;LEN(metadata!B289))), 1),"0123456789abcdefghijklmnopqrstuvwxyzABCDEFGHIJKLMNOPQRSTUVWXYZ.")))))</f>
        <v>0</v>
      </c>
      <c r="R289" t="b">
        <f>AND(IF(metadata!C289="",FALSE,TRUE),OR(EXACT(metadata!C289,"saline"),EXACT(metadata!C289,"non-saline")))</f>
        <v>0</v>
      </c>
      <c r="S289" t="b">
        <f>AND(IF(metadata!D289="",FALSE,TRUE),OR(EXACT(metadata!D289,"surface (non-saline)"),EXACT(metadata!D289,"aerosol (non-saline)"),EXACT(metadata!D289,"sediment (non-saline)"),EXACT(metadata!D289,"surface (saline)"),EXACT(metadata!D289,"aerosol (saline)"),EXACT(metadata!D289,"sediment (saline)")))</f>
        <v>0</v>
      </c>
      <c r="T289" t="b">
        <f>AND(IF(metadata!E289="",FALSE,TRUE),EXACT(metadata!E289,"built environment"))</f>
        <v>0</v>
      </c>
      <c r="U289" t="b">
        <f>OR(AND(IF(metadata!F289="",FALSE,TRUE),EXACT(metadata!F289,"not applicable")),AND(IF(metadata!F289="",FALSE,TRUE),EXACT(metadata!F289,"anaerobic digester content")))</f>
        <v>0</v>
      </c>
    </row>
    <row r="290" spans="1:21" x14ac:dyDescent="0.2">
      <c r="A290" s="4" t="str">
        <f ca="1">IF(B290=" "," ",HYPERLINK(CONCATENATE("#metadata!",ADDRESS(INDEX($L$2:$L$1001,MATCH(ROWS($J$2:J290),$J$2:$J$1001,0),0),1)),INDEX($O$2:$O$1001,MATCH(ROWS($J$2:J290),$J$2:$J$1001,0),0)))</f>
        <v xml:space="preserve"> </v>
      </c>
      <c r="B290" s="3" t="str">
        <f ca="1">IF(OR(INDEX($K$2:$K$1001,MATCH(ROWS($J$2:J290),$J$2:$J$1001,0),1)&gt;=100000,INDEX($Q$1005:$U$1005,1,MATCH(COLUMNS($Q$1006:Q1006),$Q$1006:$U$1006,0))&gt;=100000), " ",IF(INDEX($Q$2:$U$1001,MATCH(ROWS($J$2:J290),$J$2:$J$1001,0),MATCH(COLUMNS($Q$1006:Q1006),$Q$1006:$U$1006,0)), HYPERLINK("#",""), HYPERLINK(CONCATENATE("#metadata!", ADDRESS(INDEX($L$2:$L$1001,MATCH(ROWS($J$2:J290),$J$2:$J$1001,0),0), INDEX($Q$1004:$U$1004,1,MATCH(COLUMNS($Q$1006:Q1006),$Q$1006:$U$1006,0)))),"Fix")))</f>
        <v xml:space="preserve"> </v>
      </c>
      <c r="C290" s="3" t="str">
        <f ca="1">IF(OR(INDEX($K$2:$K$1001,MATCH(ROWS($J$2:J290),$J$2:$J$1001,0),1)&gt;=100000,INDEX($Q$1005:$U$1005,1,MATCH(COLUMNS($Q$1006:R1006),$Q$1006:$U$1006,0))&gt;=100000), " ",IF(INDEX($Q$2:$U$1001,MATCH(ROWS($J$2:J290),$J$2:$J$1001,0),MATCH(COLUMNS($Q$1006:R1006),$Q$1006:$U$1006,0)), HYPERLINK("#",""), HYPERLINK(CONCATENATE("#metadata!", ADDRESS(INDEX($L$2:$L$1001,MATCH(ROWS($J$2:J290),$J$2:$J$1001,0),0), INDEX($Q$1004:$U$1004,1,MATCH(COLUMNS($Q$1006:R1006),$Q$1006:$U$1006,0)))),"Fix")))</f>
        <v xml:space="preserve"> </v>
      </c>
      <c r="D290" s="3" t="str">
        <f ca="1">IF(OR(INDEX($K$2:$K$1001,MATCH(ROWS($J$2:J290),$J$2:$J$1001,0),1)&gt;=100000,INDEX($Q$1005:$U$1005,1,MATCH(COLUMNS($Q$1006:S1006),$Q$1006:$U$1006,0))&gt;=100000), " ",IF(INDEX($Q$2:$U$1001,MATCH(ROWS($J$2:J290),$J$2:$J$1001,0),MATCH(COLUMNS($Q$1006:S1006),$Q$1006:$U$1006,0)), HYPERLINK("#",""), HYPERLINK(CONCATENATE("#metadata!", ADDRESS(INDEX($L$2:$L$1001,MATCH(ROWS($J$2:J290),$J$2:$J$1001,0),0), INDEX($Q$1004:$U$1004,1,MATCH(COLUMNS($Q$1006:S1006),$Q$1006:$U$1006,0)))),"Fix")))</f>
        <v xml:space="preserve"> </v>
      </c>
      <c r="E290" s="3" t="str">
        <f ca="1">IF(OR(INDEX($K$2:$K$1001,MATCH(ROWS($J$2:J290),$J$2:$J$1001,0),1)&gt;=100000,INDEX($Q$1005:$U$1005,1,MATCH(COLUMNS($Q$1006:T1006),$Q$1006:$U$1006,0))&gt;=100000), " ",IF(INDEX($Q$2:$U$1001,MATCH(ROWS($J$2:J290),$J$2:$J$1001,0),MATCH(COLUMNS($Q$1006:T1006),$Q$1006:$U$1006,0)), HYPERLINK("#",""), HYPERLINK(CONCATENATE("#metadata!", ADDRESS(INDEX($L$2:$L$1001,MATCH(ROWS($J$2:J290),$J$2:$J$1001,0),0), INDEX($Q$1004:$U$1004,1,MATCH(COLUMNS($Q$1006:T1006),$Q$1006:$U$1006,0)))),"Fix")))</f>
        <v xml:space="preserve"> </v>
      </c>
      <c r="F290" s="3" t="str">
        <f ca="1">IF(OR(INDEX($K$2:$K$1001,MATCH(ROWS($J$2:J290),$J$2:$J$1001,0),1)&gt;=100000,INDEX($Q$1005:$U$1005,1,MATCH(COLUMNS($Q$1006:U1006),$Q$1006:$U$1006,0))&gt;=100000), " ",IF(INDEX($Q$2:$U$1001,MATCH(ROWS($J$2:J290),$J$2:$J$1001,0),MATCH(COLUMNS($Q$1006:U1006),$Q$1006:$U$1006,0)), HYPERLINK("#",""), HYPERLINK(CONCATENATE("#metadata!", ADDRESS(INDEX($L$2:$L$1001,MATCH(ROWS($J$2:J290),$J$2:$J$1001,0),0), INDEX($Q$1004:$U$1004,1,MATCH(COLUMNS($Q$1006:U1006),$Q$1006:$U$1006,0)))),"Fix")))</f>
        <v xml:space="preserve"> </v>
      </c>
      <c r="J290">
        <v>289</v>
      </c>
      <c r="K290">
        <v>100290</v>
      </c>
      <c r="L290">
        <v>290</v>
      </c>
      <c r="M290" t="b">
        <f t="shared" si="4"/>
        <v>1</v>
      </c>
      <c r="N290" t="b">
        <f>COUNTBLANK(metadata!B290:F290)=COLUMNS(metadata!B290:F290)</f>
        <v>1</v>
      </c>
      <c r="O290" t="str">
        <v/>
      </c>
      <c r="Q290" t="b">
        <f ca="1">AND(IF(metadata!B290="",FALSE,TRUE),COUNTIF(metadata!B:B, metadata!B290) = 1,NOT(ISERROR(SUMPRODUCT(SEARCH(MID(metadata!B290,ROW(INDIRECT("1:"&amp;LEN(metadata!B290))), 1),"0123456789abcdefghijklmnopqrstuvwxyzABCDEFGHIJKLMNOPQRSTUVWXYZ.")))))</f>
        <v>0</v>
      </c>
      <c r="R290" t="b">
        <f>AND(IF(metadata!C290="",FALSE,TRUE),OR(EXACT(metadata!C290,"saline"),EXACT(metadata!C290,"non-saline")))</f>
        <v>0</v>
      </c>
      <c r="S290" t="b">
        <f>AND(IF(metadata!D290="",FALSE,TRUE),OR(EXACT(metadata!D290,"surface (non-saline)"),EXACT(metadata!D290,"aerosol (non-saline)"),EXACT(metadata!D290,"sediment (non-saline)"),EXACT(metadata!D290,"surface (saline)"),EXACT(metadata!D290,"aerosol (saline)"),EXACT(metadata!D290,"sediment (saline)")))</f>
        <v>0</v>
      </c>
      <c r="T290" t="b">
        <f>AND(IF(metadata!E290="",FALSE,TRUE),EXACT(metadata!E290,"built environment"))</f>
        <v>0</v>
      </c>
      <c r="U290" t="b">
        <f>OR(AND(IF(metadata!F290="",FALSE,TRUE),EXACT(metadata!F290,"not applicable")),AND(IF(metadata!F290="",FALSE,TRUE),EXACT(metadata!F290,"anaerobic digester content")))</f>
        <v>0</v>
      </c>
    </row>
    <row r="291" spans="1:21" x14ac:dyDescent="0.2">
      <c r="A291" s="4" t="str">
        <f ca="1">IF(B291=" "," ",HYPERLINK(CONCATENATE("#metadata!",ADDRESS(INDEX($L$2:$L$1001,MATCH(ROWS($J$2:J291),$J$2:$J$1001,0),0),1)),INDEX($O$2:$O$1001,MATCH(ROWS($J$2:J291),$J$2:$J$1001,0),0)))</f>
        <v xml:space="preserve"> </v>
      </c>
      <c r="B291" s="3" t="str">
        <f ca="1">IF(OR(INDEX($K$2:$K$1001,MATCH(ROWS($J$2:J291),$J$2:$J$1001,0),1)&gt;=100000,INDEX($Q$1005:$U$1005,1,MATCH(COLUMNS($Q$1006:Q1006),$Q$1006:$U$1006,0))&gt;=100000), " ",IF(INDEX($Q$2:$U$1001,MATCH(ROWS($J$2:J291),$J$2:$J$1001,0),MATCH(COLUMNS($Q$1006:Q1006),$Q$1006:$U$1006,0)), HYPERLINK("#",""), HYPERLINK(CONCATENATE("#metadata!", ADDRESS(INDEX($L$2:$L$1001,MATCH(ROWS($J$2:J291),$J$2:$J$1001,0),0), INDEX($Q$1004:$U$1004,1,MATCH(COLUMNS($Q$1006:Q1006),$Q$1006:$U$1006,0)))),"Fix")))</f>
        <v xml:space="preserve"> </v>
      </c>
      <c r="C291" s="3" t="str">
        <f ca="1">IF(OR(INDEX($K$2:$K$1001,MATCH(ROWS($J$2:J291),$J$2:$J$1001,0),1)&gt;=100000,INDEX($Q$1005:$U$1005,1,MATCH(COLUMNS($Q$1006:R1006),$Q$1006:$U$1006,0))&gt;=100000), " ",IF(INDEX($Q$2:$U$1001,MATCH(ROWS($J$2:J291),$J$2:$J$1001,0),MATCH(COLUMNS($Q$1006:R1006),$Q$1006:$U$1006,0)), HYPERLINK("#",""), HYPERLINK(CONCATENATE("#metadata!", ADDRESS(INDEX($L$2:$L$1001,MATCH(ROWS($J$2:J291),$J$2:$J$1001,0),0), INDEX($Q$1004:$U$1004,1,MATCH(COLUMNS($Q$1006:R1006),$Q$1006:$U$1006,0)))),"Fix")))</f>
        <v xml:space="preserve"> </v>
      </c>
      <c r="D291" s="3" t="str">
        <f ca="1">IF(OR(INDEX($K$2:$K$1001,MATCH(ROWS($J$2:J291),$J$2:$J$1001,0),1)&gt;=100000,INDEX($Q$1005:$U$1005,1,MATCH(COLUMNS($Q$1006:S1006),$Q$1006:$U$1006,0))&gt;=100000), " ",IF(INDEX($Q$2:$U$1001,MATCH(ROWS($J$2:J291),$J$2:$J$1001,0),MATCH(COLUMNS($Q$1006:S1006),$Q$1006:$U$1006,0)), HYPERLINK("#",""), HYPERLINK(CONCATENATE("#metadata!", ADDRESS(INDEX($L$2:$L$1001,MATCH(ROWS($J$2:J291),$J$2:$J$1001,0),0), INDEX($Q$1004:$U$1004,1,MATCH(COLUMNS($Q$1006:S1006),$Q$1006:$U$1006,0)))),"Fix")))</f>
        <v xml:space="preserve"> </v>
      </c>
      <c r="E291" s="3" t="str">
        <f ca="1">IF(OR(INDEX($K$2:$K$1001,MATCH(ROWS($J$2:J291),$J$2:$J$1001,0),1)&gt;=100000,INDEX($Q$1005:$U$1005,1,MATCH(COLUMNS($Q$1006:T1006),$Q$1006:$U$1006,0))&gt;=100000), " ",IF(INDEX($Q$2:$U$1001,MATCH(ROWS($J$2:J291),$J$2:$J$1001,0),MATCH(COLUMNS($Q$1006:T1006),$Q$1006:$U$1006,0)), HYPERLINK("#",""), HYPERLINK(CONCATENATE("#metadata!", ADDRESS(INDEX($L$2:$L$1001,MATCH(ROWS($J$2:J291),$J$2:$J$1001,0),0), INDEX($Q$1004:$U$1004,1,MATCH(COLUMNS($Q$1006:T1006),$Q$1006:$U$1006,0)))),"Fix")))</f>
        <v xml:space="preserve"> </v>
      </c>
      <c r="F291" s="3" t="str">
        <f ca="1">IF(OR(INDEX($K$2:$K$1001,MATCH(ROWS($J$2:J291),$J$2:$J$1001,0),1)&gt;=100000,INDEX($Q$1005:$U$1005,1,MATCH(COLUMNS($Q$1006:U1006),$Q$1006:$U$1006,0))&gt;=100000), " ",IF(INDEX($Q$2:$U$1001,MATCH(ROWS($J$2:J291),$J$2:$J$1001,0),MATCH(COLUMNS($Q$1006:U1006),$Q$1006:$U$1006,0)), HYPERLINK("#",""), HYPERLINK(CONCATENATE("#metadata!", ADDRESS(INDEX($L$2:$L$1001,MATCH(ROWS($J$2:J291),$J$2:$J$1001,0),0), INDEX($Q$1004:$U$1004,1,MATCH(COLUMNS($Q$1006:U1006),$Q$1006:$U$1006,0)))),"Fix")))</f>
        <v xml:space="preserve"> </v>
      </c>
      <c r="J291">
        <v>290</v>
      </c>
      <c r="K291">
        <v>100291</v>
      </c>
      <c r="L291">
        <v>291</v>
      </c>
      <c r="M291" t="b">
        <f t="shared" si="4"/>
        <v>1</v>
      </c>
      <c r="N291" t="b">
        <f>COUNTBLANK(metadata!B291:F291)=COLUMNS(metadata!B291:F291)</f>
        <v>1</v>
      </c>
      <c r="O291" t="str">
        <v/>
      </c>
      <c r="Q291" t="b">
        <f ca="1">AND(IF(metadata!B291="",FALSE,TRUE),COUNTIF(metadata!B:B, metadata!B291) = 1,NOT(ISERROR(SUMPRODUCT(SEARCH(MID(metadata!B291,ROW(INDIRECT("1:"&amp;LEN(metadata!B291))), 1),"0123456789abcdefghijklmnopqrstuvwxyzABCDEFGHIJKLMNOPQRSTUVWXYZ.")))))</f>
        <v>0</v>
      </c>
      <c r="R291" t="b">
        <f>AND(IF(metadata!C291="",FALSE,TRUE),OR(EXACT(metadata!C291,"saline"),EXACT(metadata!C291,"non-saline")))</f>
        <v>0</v>
      </c>
      <c r="S291" t="b">
        <f>AND(IF(metadata!D291="",FALSE,TRUE),OR(EXACT(metadata!D291,"surface (non-saline)"),EXACT(metadata!D291,"aerosol (non-saline)"),EXACT(metadata!D291,"sediment (non-saline)"),EXACT(metadata!D291,"surface (saline)"),EXACT(metadata!D291,"aerosol (saline)"),EXACT(metadata!D291,"sediment (saline)")))</f>
        <v>0</v>
      </c>
      <c r="T291" t="b">
        <f>AND(IF(metadata!E291="",FALSE,TRUE),EXACT(metadata!E291,"built environment"))</f>
        <v>0</v>
      </c>
      <c r="U291" t="b">
        <f>OR(AND(IF(metadata!F291="",FALSE,TRUE),EXACT(metadata!F291,"not applicable")),AND(IF(metadata!F291="",FALSE,TRUE),EXACT(metadata!F291,"anaerobic digester content")))</f>
        <v>0</v>
      </c>
    </row>
    <row r="292" spans="1:21" x14ac:dyDescent="0.2">
      <c r="A292" s="4" t="str">
        <f ca="1">IF(B292=" "," ",HYPERLINK(CONCATENATE("#metadata!",ADDRESS(INDEX($L$2:$L$1001,MATCH(ROWS($J$2:J292),$J$2:$J$1001,0),0),1)),INDEX($O$2:$O$1001,MATCH(ROWS($J$2:J292),$J$2:$J$1001,0),0)))</f>
        <v xml:space="preserve"> </v>
      </c>
      <c r="B292" s="3" t="str">
        <f ca="1">IF(OR(INDEX($K$2:$K$1001,MATCH(ROWS($J$2:J292),$J$2:$J$1001,0),1)&gt;=100000,INDEX($Q$1005:$U$1005,1,MATCH(COLUMNS($Q$1006:Q1006),$Q$1006:$U$1006,0))&gt;=100000), " ",IF(INDEX($Q$2:$U$1001,MATCH(ROWS($J$2:J292),$J$2:$J$1001,0),MATCH(COLUMNS($Q$1006:Q1006),$Q$1006:$U$1006,0)), HYPERLINK("#",""), HYPERLINK(CONCATENATE("#metadata!", ADDRESS(INDEX($L$2:$L$1001,MATCH(ROWS($J$2:J292),$J$2:$J$1001,0),0), INDEX($Q$1004:$U$1004,1,MATCH(COLUMNS($Q$1006:Q1006),$Q$1006:$U$1006,0)))),"Fix")))</f>
        <v xml:space="preserve"> </v>
      </c>
      <c r="C292" s="3" t="str">
        <f ca="1">IF(OR(INDEX($K$2:$K$1001,MATCH(ROWS($J$2:J292),$J$2:$J$1001,0),1)&gt;=100000,INDEX($Q$1005:$U$1005,1,MATCH(COLUMNS($Q$1006:R1006),$Q$1006:$U$1006,0))&gt;=100000), " ",IF(INDEX($Q$2:$U$1001,MATCH(ROWS($J$2:J292),$J$2:$J$1001,0),MATCH(COLUMNS($Q$1006:R1006),$Q$1006:$U$1006,0)), HYPERLINK("#",""), HYPERLINK(CONCATENATE("#metadata!", ADDRESS(INDEX($L$2:$L$1001,MATCH(ROWS($J$2:J292),$J$2:$J$1001,0),0), INDEX($Q$1004:$U$1004,1,MATCH(COLUMNS($Q$1006:R1006),$Q$1006:$U$1006,0)))),"Fix")))</f>
        <v xml:space="preserve"> </v>
      </c>
      <c r="D292" s="3" t="str">
        <f ca="1">IF(OR(INDEX($K$2:$K$1001,MATCH(ROWS($J$2:J292),$J$2:$J$1001,0),1)&gt;=100000,INDEX($Q$1005:$U$1005,1,MATCH(COLUMNS($Q$1006:S1006),$Q$1006:$U$1006,0))&gt;=100000), " ",IF(INDEX($Q$2:$U$1001,MATCH(ROWS($J$2:J292),$J$2:$J$1001,0),MATCH(COLUMNS($Q$1006:S1006),$Q$1006:$U$1006,0)), HYPERLINK("#",""), HYPERLINK(CONCATENATE("#metadata!", ADDRESS(INDEX($L$2:$L$1001,MATCH(ROWS($J$2:J292),$J$2:$J$1001,0),0), INDEX($Q$1004:$U$1004,1,MATCH(COLUMNS($Q$1006:S1006),$Q$1006:$U$1006,0)))),"Fix")))</f>
        <v xml:space="preserve"> </v>
      </c>
      <c r="E292" s="3" t="str">
        <f ca="1">IF(OR(INDEX($K$2:$K$1001,MATCH(ROWS($J$2:J292),$J$2:$J$1001,0),1)&gt;=100000,INDEX($Q$1005:$U$1005,1,MATCH(COLUMNS($Q$1006:T1006),$Q$1006:$U$1006,0))&gt;=100000), " ",IF(INDEX($Q$2:$U$1001,MATCH(ROWS($J$2:J292),$J$2:$J$1001,0),MATCH(COLUMNS($Q$1006:T1006),$Q$1006:$U$1006,0)), HYPERLINK("#",""), HYPERLINK(CONCATENATE("#metadata!", ADDRESS(INDEX($L$2:$L$1001,MATCH(ROWS($J$2:J292),$J$2:$J$1001,0),0), INDEX($Q$1004:$U$1004,1,MATCH(COLUMNS($Q$1006:T1006),$Q$1006:$U$1006,0)))),"Fix")))</f>
        <v xml:space="preserve"> </v>
      </c>
      <c r="F292" s="3" t="str">
        <f ca="1">IF(OR(INDEX($K$2:$K$1001,MATCH(ROWS($J$2:J292),$J$2:$J$1001,0),1)&gt;=100000,INDEX($Q$1005:$U$1005,1,MATCH(COLUMNS($Q$1006:U1006),$Q$1006:$U$1006,0))&gt;=100000), " ",IF(INDEX($Q$2:$U$1001,MATCH(ROWS($J$2:J292),$J$2:$J$1001,0),MATCH(COLUMNS($Q$1006:U1006),$Q$1006:$U$1006,0)), HYPERLINK("#",""), HYPERLINK(CONCATENATE("#metadata!", ADDRESS(INDEX($L$2:$L$1001,MATCH(ROWS($J$2:J292),$J$2:$J$1001,0),0), INDEX($Q$1004:$U$1004,1,MATCH(COLUMNS($Q$1006:U1006),$Q$1006:$U$1006,0)))),"Fix")))</f>
        <v xml:space="preserve"> </v>
      </c>
      <c r="J292">
        <v>291</v>
      </c>
      <c r="K292">
        <v>100292</v>
      </c>
      <c r="L292">
        <v>292</v>
      </c>
      <c r="M292" t="b">
        <f t="shared" si="4"/>
        <v>1</v>
      </c>
      <c r="N292" t="b">
        <f>COUNTBLANK(metadata!B292:F292)=COLUMNS(metadata!B292:F292)</f>
        <v>1</v>
      </c>
      <c r="O292" t="str">
        <v/>
      </c>
      <c r="Q292" t="b">
        <f ca="1">AND(IF(metadata!B292="",FALSE,TRUE),COUNTIF(metadata!B:B, metadata!B292) = 1,NOT(ISERROR(SUMPRODUCT(SEARCH(MID(metadata!B292,ROW(INDIRECT("1:"&amp;LEN(metadata!B292))), 1),"0123456789abcdefghijklmnopqrstuvwxyzABCDEFGHIJKLMNOPQRSTUVWXYZ.")))))</f>
        <v>0</v>
      </c>
      <c r="R292" t="b">
        <f>AND(IF(metadata!C292="",FALSE,TRUE),OR(EXACT(metadata!C292,"saline"),EXACT(metadata!C292,"non-saline")))</f>
        <v>0</v>
      </c>
      <c r="S292" t="b">
        <f>AND(IF(metadata!D292="",FALSE,TRUE),OR(EXACT(metadata!D292,"surface (non-saline)"),EXACT(metadata!D292,"aerosol (non-saline)"),EXACT(metadata!D292,"sediment (non-saline)"),EXACT(metadata!D292,"surface (saline)"),EXACT(metadata!D292,"aerosol (saline)"),EXACT(metadata!D292,"sediment (saline)")))</f>
        <v>0</v>
      </c>
      <c r="T292" t="b">
        <f>AND(IF(metadata!E292="",FALSE,TRUE),EXACT(metadata!E292,"built environment"))</f>
        <v>0</v>
      </c>
      <c r="U292" t="b">
        <f>OR(AND(IF(metadata!F292="",FALSE,TRUE),EXACT(metadata!F292,"not applicable")),AND(IF(metadata!F292="",FALSE,TRUE),EXACT(metadata!F292,"anaerobic digester content")))</f>
        <v>0</v>
      </c>
    </row>
    <row r="293" spans="1:21" x14ac:dyDescent="0.2">
      <c r="A293" s="4" t="str">
        <f ca="1">IF(B293=" "," ",HYPERLINK(CONCATENATE("#metadata!",ADDRESS(INDEX($L$2:$L$1001,MATCH(ROWS($J$2:J293),$J$2:$J$1001,0),0),1)),INDEX($O$2:$O$1001,MATCH(ROWS($J$2:J293),$J$2:$J$1001,0),0)))</f>
        <v xml:space="preserve"> </v>
      </c>
      <c r="B293" s="3" t="str">
        <f ca="1">IF(OR(INDEX($K$2:$K$1001,MATCH(ROWS($J$2:J293),$J$2:$J$1001,0),1)&gt;=100000,INDEX($Q$1005:$U$1005,1,MATCH(COLUMNS($Q$1006:Q1006),$Q$1006:$U$1006,0))&gt;=100000), " ",IF(INDEX($Q$2:$U$1001,MATCH(ROWS($J$2:J293),$J$2:$J$1001,0),MATCH(COLUMNS($Q$1006:Q1006),$Q$1006:$U$1006,0)), HYPERLINK("#",""), HYPERLINK(CONCATENATE("#metadata!", ADDRESS(INDEX($L$2:$L$1001,MATCH(ROWS($J$2:J293),$J$2:$J$1001,0),0), INDEX($Q$1004:$U$1004,1,MATCH(COLUMNS($Q$1006:Q1006),$Q$1006:$U$1006,0)))),"Fix")))</f>
        <v xml:space="preserve"> </v>
      </c>
      <c r="C293" s="3" t="str">
        <f ca="1">IF(OR(INDEX($K$2:$K$1001,MATCH(ROWS($J$2:J293),$J$2:$J$1001,0),1)&gt;=100000,INDEX($Q$1005:$U$1005,1,MATCH(COLUMNS($Q$1006:R1006),$Q$1006:$U$1006,0))&gt;=100000), " ",IF(INDEX($Q$2:$U$1001,MATCH(ROWS($J$2:J293),$J$2:$J$1001,0),MATCH(COLUMNS($Q$1006:R1006),$Q$1006:$U$1006,0)), HYPERLINK("#",""), HYPERLINK(CONCATENATE("#metadata!", ADDRESS(INDEX($L$2:$L$1001,MATCH(ROWS($J$2:J293),$J$2:$J$1001,0),0), INDEX($Q$1004:$U$1004,1,MATCH(COLUMNS($Q$1006:R1006),$Q$1006:$U$1006,0)))),"Fix")))</f>
        <v xml:space="preserve"> </v>
      </c>
      <c r="D293" s="3" t="str">
        <f ca="1">IF(OR(INDEX($K$2:$K$1001,MATCH(ROWS($J$2:J293),$J$2:$J$1001,0),1)&gt;=100000,INDEX($Q$1005:$U$1005,1,MATCH(COLUMNS($Q$1006:S1006),$Q$1006:$U$1006,0))&gt;=100000), " ",IF(INDEX($Q$2:$U$1001,MATCH(ROWS($J$2:J293),$J$2:$J$1001,0),MATCH(COLUMNS($Q$1006:S1006),$Q$1006:$U$1006,0)), HYPERLINK("#",""), HYPERLINK(CONCATENATE("#metadata!", ADDRESS(INDEX($L$2:$L$1001,MATCH(ROWS($J$2:J293),$J$2:$J$1001,0),0), INDEX($Q$1004:$U$1004,1,MATCH(COLUMNS($Q$1006:S1006),$Q$1006:$U$1006,0)))),"Fix")))</f>
        <v xml:space="preserve"> </v>
      </c>
      <c r="E293" s="3" t="str">
        <f ca="1">IF(OR(INDEX($K$2:$K$1001,MATCH(ROWS($J$2:J293),$J$2:$J$1001,0),1)&gt;=100000,INDEX($Q$1005:$U$1005,1,MATCH(COLUMNS($Q$1006:T1006),$Q$1006:$U$1006,0))&gt;=100000), " ",IF(INDEX($Q$2:$U$1001,MATCH(ROWS($J$2:J293),$J$2:$J$1001,0),MATCH(COLUMNS($Q$1006:T1006),$Q$1006:$U$1006,0)), HYPERLINK("#",""), HYPERLINK(CONCATENATE("#metadata!", ADDRESS(INDEX($L$2:$L$1001,MATCH(ROWS($J$2:J293),$J$2:$J$1001,0),0), INDEX($Q$1004:$U$1004,1,MATCH(COLUMNS($Q$1006:T1006),$Q$1006:$U$1006,0)))),"Fix")))</f>
        <v xml:space="preserve"> </v>
      </c>
      <c r="F293" s="3" t="str">
        <f ca="1">IF(OR(INDEX($K$2:$K$1001,MATCH(ROWS($J$2:J293),$J$2:$J$1001,0),1)&gt;=100000,INDEX($Q$1005:$U$1005,1,MATCH(COLUMNS($Q$1006:U1006),$Q$1006:$U$1006,0))&gt;=100000), " ",IF(INDEX($Q$2:$U$1001,MATCH(ROWS($J$2:J293),$J$2:$J$1001,0),MATCH(COLUMNS($Q$1006:U1006),$Q$1006:$U$1006,0)), HYPERLINK("#",""), HYPERLINK(CONCATENATE("#metadata!", ADDRESS(INDEX($L$2:$L$1001,MATCH(ROWS($J$2:J293),$J$2:$J$1001,0),0), INDEX($Q$1004:$U$1004,1,MATCH(COLUMNS($Q$1006:U1006),$Q$1006:$U$1006,0)))),"Fix")))</f>
        <v xml:space="preserve"> </v>
      </c>
      <c r="J293">
        <v>292</v>
      </c>
      <c r="K293">
        <v>100293</v>
      </c>
      <c r="L293">
        <v>293</v>
      </c>
      <c r="M293" t="b">
        <f t="shared" si="4"/>
        <v>1</v>
      </c>
      <c r="N293" t="b">
        <f>COUNTBLANK(metadata!B293:F293)=COLUMNS(metadata!B293:F293)</f>
        <v>1</v>
      </c>
      <c r="O293" t="str">
        <v/>
      </c>
      <c r="Q293" t="b">
        <f ca="1">AND(IF(metadata!B293="",FALSE,TRUE),COUNTIF(metadata!B:B, metadata!B293) = 1,NOT(ISERROR(SUMPRODUCT(SEARCH(MID(metadata!B293,ROW(INDIRECT("1:"&amp;LEN(metadata!B293))), 1),"0123456789abcdefghijklmnopqrstuvwxyzABCDEFGHIJKLMNOPQRSTUVWXYZ.")))))</f>
        <v>0</v>
      </c>
      <c r="R293" t="b">
        <f>AND(IF(metadata!C293="",FALSE,TRUE),OR(EXACT(metadata!C293,"saline"),EXACT(metadata!C293,"non-saline")))</f>
        <v>0</v>
      </c>
      <c r="S293" t="b">
        <f>AND(IF(metadata!D293="",FALSE,TRUE),OR(EXACT(metadata!D293,"surface (non-saline)"),EXACT(metadata!D293,"aerosol (non-saline)"),EXACT(metadata!D293,"sediment (non-saline)"),EXACT(metadata!D293,"surface (saline)"),EXACT(metadata!D293,"aerosol (saline)"),EXACT(metadata!D293,"sediment (saline)")))</f>
        <v>0</v>
      </c>
      <c r="T293" t="b">
        <f>AND(IF(metadata!E293="",FALSE,TRUE),EXACT(metadata!E293,"built environment"))</f>
        <v>0</v>
      </c>
      <c r="U293" t="b">
        <f>OR(AND(IF(metadata!F293="",FALSE,TRUE),EXACT(metadata!F293,"not applicable")),AND(IF(metadata!F293="",FALSE,TRUE),EXACT(metadata!F293,"anaerobic digester content")))</f>
        <v>0</v>
      </c>
    </row>
    <row r="294" spans="1:21" x14ac:dyDescent="0.2">
      <c r="A294" s="4" t="str">
        <f ca="1">IF(B294=" "," ",HYPERLINK(CONCATENATE("#metadata!",ADDRESS(INDEX($L$2:$L$1001,MATCH(ROWS($J$2:J294),$J$2:$J$1001,0),0),1)),INDEX($O$2:$O$1001,MATCH(ROWS($J$2:J294),$J$2:$J$1001,0),0)))</f>
        <v xml:space="preserve"> </v>
      </c>
      <c r="B294" s="3" t="str">
        <f ca="1">IF(OR(INDEX($K$2:$K$1001,MATCH(ROWS($J$2:J294),$J$2:$J$1001,0),1)&gt;=100000,INDEX($Q$1005:$U$1005,1,MATCH(COLUMNS($Q$1006:Q1006),$Q$1006:$U$1006,0))&gt;=100000), " ",IF(INDEX($Q$2:$U$1001,MATCH(ROWS($J$2:J294),$J$2:$J$1001,0),MATCH(COLUMNS($Q$1006:Q1006),$Q$1006:$U$1006,0)), HYPERLINK("#",""), HYPERLINK(CONCATENATE("#metadata!", ADDRESS(INDEX($L$2:$L$1001,MATCH(ROWS($J$2:J294),$J$2:$J$1001,0),0), INDEX($Q$1004:$U$1004,1,MATCH(COLUMNS($Q$1006:Q1006),$Q$1006:$U$1006,0)))),"Fix")))</f>
        <v xml:space="preserve"> </v>
      </c>
      <c r="C294" s="3" t="str">
        <f ca="1">IF(OR(INDEX($K$2:$K$1001,MATCH(ROWS($J$2:J294),$J$2:$J$1001,0),1)&gt;=100000,INDEX($Q$1005:$U$1005,1,MATCH(COLUMNS($Q$1006:R1006),$Q$1006:$U$1006,0))&gt;=100000), " ",IF(INDEX($Q$2:$U$1001,MATCH(ROWS($J$2:J294),$J$2:$J$1001,0),MATCH(COLUMNS($Q$1006:R1006),$Q$1006:$U$1006,0)), HYPERLINK("#",""), HYPERLINK(CONCATENATE("#metadata!", ADDRESS(INDEX($L$2:$L$1001,MATCH(ROWS($J$2:J294),$J$2:$J$1001,0),0), INDEX($Q$1004:$U$1004,1,MATCH(COLUMNS($Q$1006:R1006),$Q$1006:$U$1006,0)))),"Fix")))</f>
        <v xml:space="preserve"> </v>
      </c>
      <c r="D294" s="3" t="str">
        <f ca="1">IF(OR(INDEX($K$2:$K$1001,MATCH(ROWS($J$2:J294),$J$2:$J$1001,0),1)&gt;=100000,INDEX($Q$1005:$U$1005,1,MATCH(COLUMNS($Q$1006:S1006),$Q$1006:$U$1006,0))&gt;=100000), " ",IF(INDEX($Q$2:$U$1001,MATCH(ROWS($J$2:J294),$J$2:$J$1001,0),MATCH(COLUMNS($Q$1006:S1006),$Q$1006:$U$1006,0)), HYPERLINK("#",""), HYPERLINK(CONCATENATE("#metadata!", ADDRESS(INDEX($L$2:$L$1001,MATCH(ROWS($J$2:J294),$J$2:$J$1001,0),0), INDEX($Q$1004:$U$1004,1,MATCH(COLUMNS($Q$1006:S1006),$Q$1006:$U$1006,0)))),"Fix")))</f>
        <v xml:space="preserve"> </v>
      </c>
      <c r="E294" s="3" t="str">
        <f ca="1">IF(OR(INDEX($K$2:$K$1001,MATCH(ROWS($J$2:J294),$J$2:$J$1001,0),1)&gt;=100000,INDEX($Q$1005:$U$1005,1,MATCH(COLUMNS($Q$1006:T1006),$Q$1006:$U$1006,0))&gt;=100000), " ",IF(INDEX($Q$2:$U$1001,MATCH(ROWS($J$2:J294),$J$2:$J$1001,0),MATCH(COLUMNS($Q$1006:T1006),$Q$1006:$U$1006,0)), HYPERLINK("#",""), HYPERLINK(CONCATENATE("#metadata!", ADDRESS(INDEX($L$2:$L$1001,MATCH(ROWS($J$2:J294),$J$2:$J$1001,0),0), INDEX($Q$1004:$U$1004,1,MATCH(COLUMNS($Q$1006:T1006),$Q$1006:$U$1006,0)))),"Fix")))</f>
        <v xml:space="preserve"> </v>
      </c>
      <c r="F294" s="3" t="str">
        <f ca="1">IF(OR(INDEX($K$2:$K$1001,MATCH(ROWS($J$2:J294),$J$2:$J$1001,0),1)&gt;=100000,INDEX($Q$1005:$U$1005,1,MATCH(COLUMNS($Q$1006:U1006),$Q$1006:$U$1006,0))&gt;=100000), " ",IF(INDEX($Q$2:$U$1001,MATCH(ROWS($J$2:J294),$J$2:$J$1001,0),MATCH(COLUMNS($Q$1006:U1006),$Q$1006:$U$1006,0)), HYPERLINK("#",""), HYPERLINK(CONCATENATE("#metadata!", ADDRESS(INDEX($L$2:$L$1001,MATCH(ROWS($J$2:J294),$J$2:$J$1001,0),0), INDEX($Q$1004:$U$1004,1,MATCH(COLUMNS($Q$1006:U1006),$Q$1006:$U$1006,0)))),"Fix")))</f>
        <v xml:space="preserve"> </v>
      </c>
      <c r="J294">
        <v>293</v>
      </c>
      <c r="K294">
        <v>100294</v>
      </c>
      <c r="L294">
        <v>294</v>
      </c>
      <c r="M294" t="b">
        <f t="shared" si="4"/>
        <v>1</v>
      </c>
      <c r="N294" t="b">
        <f>COUNTBLANK(metadata!B294:F294)=COLUMNS(metadata!B294:F294)</f>
        <v>1</v>
      </c>
      <c r="O294" t="str">
        <v/>
      </c>
      <c r="Q294" t="b">
        <f ca="1">AND(IF(metadata!B294="",FALSE,TRUE),COUNTIF(metadata!B:B, metadata!B294) = 1,NOT(ISERROR(SUMPRODUCT(SEARCH(MID(metadata!B294,ROW(INDIRECT("1:"&amp;LEN(metadata!B294))), 1),"0123456789abcdefghijklmnopqrstuvwxyzABCDEFGHIJKLMNOPQRSTUVWXYZ.")))))</f>
        <v>0</v>
      </c>
      <c r="R294" t="b">
        <f>AND(IF(metadata!C294="",FALSE,TRUE),OR(EXACT(metadata!C294,"saline"),EXACT(metadata!C294,"non-saline")))</f>
        <v>0</v>
      </c>
      <c r="S294" t="b">
        <f>AND(IF(metadata!D294="",FALSE,TRUE),OR(EXACT(metadata!D294,"surface (non-saline)"),EXACT(metadata!D294,"aerosol (non-saline)"),EXACT(metadata!D294,"sediment (non-saline)"),EXACT(metadata!D294,"surface (saline)"),EXACT(metadata!D294,"aerosol (saline)"),EXACT(metadata!D294,"sediment (saline)")))</f>
        <v>0</v>
      </c>
      <c r="T294" t="b">
        <f>AND(IF(metadata!E294="",FALSE,TRUE),EXACT(metadata!E294,"built environment"))</f>
        <v>0</v>
      </c>
      <c r="U294" t="b">
        <f>OR(AND(IF(metadata!F294="",FALSE,TRUE),EXACT(metadata!F294,"not applicable")),AND(IF(metadata!F294="",FALSE,TRUE),EXACT(metadata!F294,"anaerobic digester content")))</f>
        <v>0</v>
      </c>
    </row>
    <row r="295" spans="1:21" x14ac:dyDescent="0.2">
      <c r="A295" s="4" t="str">
        <f ca="1">IF(B295=" "," ",HYPERLINK(CONCATENATE("#metadata!",ADDRESS(INDEX($L$2:$L$1001,MATCH(ROWS($J$2:J295),$J$2:$J$1001,0),0),1)),INDEX($O$2:$O$1001,MATCH(ROWS($J$2:J295),$J$2:$J$1001,0),0)))</f>
        <v xml:space="preserve"> </v>
      </c>
      <c r="B295" s="3" t="str">
        <f ca="1">IF(OR(INDEX($K$2:$K$1001,MATCH(ROWS($J$2:J295),$J$2:$J$1001,0),1)&gt;=100000,INDEX($Q$1005:$U$1005,1,MATCH(COLUMNS($Q$1006:Q1006),$Q$1006:$U$1006,0))&gt;=100000), " ",IF(INDEX($Q$2:$U$1001,MATCH(ROWS($J$2:J295),$J$2:$J$1001,0),MATCH(COLUMNS($Q$1006:Q1006),$Q$1006:$U$1006,0)), HYPERLINK("#",""), HYPERLINK(CONCATENATE("#metadata!", ADDRESS(INDEX($L$2:$L$1001,MATCH(ROWS($J$2:J295),$J$2:$J$1001,0),0), INDEX($Q$1004:$U$1004,1,MATCH(COLUMNS($Q$1006:Q1006),$Q$1006:$U$1006,0)))),"Fix")))</f>
        <v xml:space="preserve"> </v>
      </c>
      <c r="C295" s="3" t="str">
        <f ca="1">IF(OR(INDEX($K$2:$K$1001,MATCH(ROWS($J$2:J295),$J$2:$J$1001,0),1)&gt;=100000,INDEX($Q$1005:$U$1005,1,MATCH(COLUMNS($Q$1006:R1006),$Q$1006:$U$1006,0))&gt;=100000), " ",IF(INDEX($Q$2:$U$1001,MATCH(ROWS($J$2:J295),$J$2:$J$1001,0),MATCH(COLUMNS($Q$1006:R1006),$Q$1006:$U$1006,0)), HYPERLINK("#",""), HYPERLINK(CONCATENATE("#metadata!", ADDRESS(INDEX($L$2:$L$1001,MATCH(ROWS($J$2:J295),$J$2:$J$1001,0),0), INDEX($Q$1004:$U$1004,1,MATCH(COLUMNS($Q$1006:R1006),$Q$1006:$U$1006,0)))),"Fix")))</f>
        <v xml:space="preserve"> </v>
      </c>
      <c r="D295" s="3" t="str">
        <f ca="1">IF(OR(INDEX($K$2:$K$1001,MATCH(ROWS($J$2:J295),$J$2:$J$1001,0),1)&gt;=100000,INDEX($Q$1005:$U$1005,1,MATCH(COLUMNS($Q$1006:S1006),$Q$1006:$U$1006,0))&gt;=100000), " ",IF(INDEX($Q$2:$U$1001,MATCH(ROWS($J$2:J295),$J$2:$J$1001,0),MATCH(COLUMNS($Q$1006:S1006),$Q$1006:$U$1006,0)), HYPERLINK("#",""), HYPERLINK(CONCATENATE("#metadata!", ADDRESS(INDEX($L$2:$L$1001,MATCH(ROWS($J$2:J295),$J$2:$J$1001,0),0), INDEX($Q$1004:$U$1004,1,MATCH(COLUMNS($Q$1006:S1006),$Q$1006:$U$1006,0)))),"Fix")))</f>
        <v xml:space="preserve"> </v>
      </c>
      <c r="E295" s="3" t="str">
        <f ca="1">IF(OR(INDEX($K$2:$K$1001,MATCH(ROWS($J$2:J295),$J$2:$J$1001,0),1)&gt;=100000,INDEX($Q$1005:$U$1005,1,MATCH(COLUMNS($Q$1006:T1006),$Q$1006:$U$1006,0))&gt;=100000), " ",IF(INDEX($Q$2:$U$1001,MATCH(ROWS($J$2:J295),$J$2:$J$1001,0),MATCH(COLUMNS($Q$1006:T1006),$Q$1006:$U$1006,0)), HYPERLINK("#",""), HYPERLINK(CONCATENATE("#metadata!", ADDRESS(INDEX($L$2:$L$1001,MATCH(ROWS($J$2:J295),$J$2:$J$1001,0),0), INDEX($Q$1004:$U$1004,1,MATCH(COLUMNS($Q$1006:T1006),$Q$1006:$U$1006,0)))),"Fix")))</f>
        <v xml:space="preserve"> </v>
      </c>
      <c r="F295" s="3" t="str">
        <f ca="1">IF(OR(INDEX($K$2:$K$1001,MATCH(ROWS($J$2:J295),$J$2:$J$1001,0),1)&gt;=100000,INDEX($Q$1005:$U$1005,1,MATCH(COLUMNS($Q$1006:U1006),$Q$1006:$U$1006,0))&gt;=100000), " ",IF(INDEX($Q$2:$U$1001,MATCH(ROWS($J$2:J295),$J$2:$J$1001,0),MATCH(COLUMNS($Q$1006:U1006),$Q$1006:$U$1006,0)), HYPERLINK("#",""), HYPERLINK(CONCATENATE("#metadata!", ADDRESS(INDEX($L$2:$L$1001,MATCH(ROWS($J$2:J295),$J$2:$J$1001,0),0), INDEX($Q$1004:$U$1004,1,MATCH(COLUMNS($Q$1006:U1006),$Q$1006:$U$1006,0)))),"Fix")))</f>
        <v xml:space="preserve"> </v>
      </c>
      <c r="J295">
        <v>294</v>
      </c>
      <c r="K295">
        <v>100295</v>
      </c>
      <c r="L295">
        <v>295</v>
      </c>
      <c r="M295" t="b">
        <f t="shared" si="4"/>
        <v>1</v>
      </c>
      <c r="N295" t="b">
        <f>COUNTBLANK(metadata!B295:F295)=COLUMNS(metadata!B295:F295)</f>
        <v>1</v>
      </c>
      <c r="O295" t="str">
        <v/>
      </c>
      <c r="Q295" t="b">
        <f ca="1">AND(IF(metadata!B295="",FALSE,TRUE),COUNTIF(metadata!B:B, metadata!B295) = 1,NOT(ISERROR(SUMPRODUCT(SEARCH(MID(metadata!B295,ROW(INDIRECT("1:"&amp;LEN(metadata!B295))), 1),"0123456789abcdefghijklmnopqrstuvwxyzABCDEFGHIJKLMNOPQRSTUVWXYZ.")))))</f>
        <v>0</v>
      </c>
      <c r="R295" t="b">
        <f>AND(IF(metadata!C295="",FALSE,TRUE),OR(EXACT(metadata!C295,"saline"),EXACT(metadata!C295,"non-saline")))</f>
        <v>0</v>
      </c>
      <c r="S295" t="b">
        <f>AND(IF(metadata!D295="",FALSE,TRUE),OR(EXACT(metadata!D295,"surface (non-saline)"),EXACT(metadata!D295,"aerosol (non-saline)"),EXACT(metadata!D295,"sediment (non-saline)"),EXACT(metadata!D295,"surface (saline)"),EXACT(metadata!D295,"aerosol (saline)"),EXACT(metadata!D295,"sediment (saline)")))</f>
        <v>0</v>
      </c>
      <c r="T295" t="b">
        <f>AND(IF(metadata!E295="",FALSE,TRUE),EXACT(metadata!E295,"built environment"))</f>
        <v>0</v>
      </c>
      <c r="U295" t="b">
        <f>OR(AND(IF(metadata!F295="",FALSE,TRUE),EXACT(metadata!F295,"not applicable")),AND(IF(metadata!F295="",FALSE,TRUE),EXACT(metadata!F295,"anaerobic digester content")))</f>
        <v>0</v>
      </c>
    </row>
    <row r="296" spans="1:21" x14ac:dyDescent="0.2">
      <c r="A296" s="4" t="str">
        <f ca="1">IF(B296=" "," ",HYPERLINK(CONCATENATE("#metadata!",ADDRESS(INDEX($L$2:$L$1001,MATCH(ROWS($J$2:J296),$J$2:$J$1001,0),0),1)),INDEX($O$2:$O$1001,MATCH(ROWS($J$2:J296),$J$2:$J$1001,0),0)))</f>
        <v xml:space="preserve"> </v>
      </c>
      <c r="B296" s="3" t="str">
        <f ca="1">IF(OR(INDEX($K$2:$K$1001,MATCH(ROWS($J$2:J296),$J$2:$J$1001,0),1)&gt;=100000,INDEX($Q$1005:$U$1005,1,MATCH(COLUMNS($Q$1006:Q1006),$Q$1006:$U$1006,0))&gt;=100000), " ",IF(INDEX($Q$2:$U$1001,MATCH(ROWS($J$2:J296),$J$2:$J$1001,0),MATCH(COLUMNS($Q$1006:Q1006),$Q$1006:$U$1006,0)), HYPERLINK("#",""), HYPERLINK(CONCATENATE("#metadata!", ADDRESS(INDEX($L$2:$L$1001,MATCH(ROWS($J$2:J296),$J$2:$J$1001,0),0), INDEX($Q$1004:$U$1004,1,MATCH(COLUMNS($Q$1006:Q1006),$Q$1006:$U$1006,0)))),"Fix")))</f>
        <v xml:space="preserve"> </v>
      </c>
      <c r="C296" s="3" t="str">
        <f ca="1">IF(OR(INDEX($K$2:$K$1001,MATCH(ROWS($J$2:J296),$J$2:$J$1001,0),1)&gt;=100000,INDEX($Q$1005:$U$1005,1,MATCH(COLUMNS($Q$1006:R1006),$Q$1006:$U$1006,0))&gt;=100000), " ",IF(INDEX($Q$2:$U$1001,MATCH(ROWS($J$2:J296),$J$2:$J$1001,0),MATCH(COLUMNS($Q$1006:R1006),$Q$1006:$U$1006,0)), HYPERLINK("#",""), HYPERLINK(CONCATENATE("#metadata!", ADDRESS(INDEX($L$2:$L$1001,MATCH(ROWS($J$2:J296),$J$2:$J$1001,0),0), INDEX($Q$1004:$U$1004,1,MATCH(COLUMNS($Q$1006:R1006),$Q$1006:$U$1006,0)))),"Fix")))</f>
        <v xml:space="preserve"> </v>
      </c>
      <c r="D296" s="3" t="str">
        <f ca="1">IF(OR(INDEX($K$2:$K$1001,MATCH(ROWS($J$2:J296),$J$2:$J$1001,0),1)&gt;=100000,INDEX($Q$1005:$U$1005,1,MATCH(COLUMNS($Q$1006:S1006),$Q$1006:$U$1006,0))&gt;=100000), " ",IF(INDEX($Q$2:$U$1001,MATCH(ROWS($J$2:J296),$J$2:$J$1001,0),MATCH(COLUMNS($Q$1006:S1006),$Q$1006:$U$1006,0)), HYPERLINK("#",""), HYPERLINK(CONCATENATE("#metadata!", ADDRESS(INDEX($L$2:$L$1001,MATCH(ROWS($J$2:J296),$J$2:$J$1001,0),0), INDEX($Q$1004:$U$1004,1,MATCH(COLUMNS($Q$1006:S1006),$Q$1006:$U$1006,0)))),"Fix")))</f>
        <v xml:space="preserve"> </v>
      </c>
      <c r="E296" s="3" t="str">
        <f ca="1">IF(OR(INDEX($K$2:$K$1001,MATCH(ROWS($J$2:J296),$J$2:$J$1001,0),1)&gt;=100000,INDEX($Q$1005:$U$1005,1,MATCH(COLUMNS($Q$1006:T1006),$Q$1006:$U$1006,0))&gt;=100000), " ",IF(INDEX($Q$2:$U$1001,MATCH(ROWS($J$2:J296),$J$2:$J$1001,0),MATCH(COLUMNS($Q$1006:T1006),$Q$1006:$U$1006,0)), HYPERLINK("#",""), HYPERLINK(CONCATENATE("#metadata!", ADDRESS(INDEX($L$2:$L$1001,MATCH(ROWS($J$2:J296),$J$2:$J$1001,0),0), INDEX($Q$1004:$U$1004,1,MATCH(COLUMNS($Q$1006:T1006),$Q$1006:$U$1006,0)))),"Fix")))</f>
        <v xml:space="preserve"> </v>
      </c>
      <c r="F296" s="3" t="str">
        <f ca="1">IF(OR(INDEX($K$2:$K$1001,MATCH(ROWS($J$2:J296),$J$2:$J$1001,0),1)&gt;=100000,INDEX($Q$1005:$U$1005,1,MATCH(COLUMNS($Q$1006:U1006),$Q$1006:$U$1006,0))&gt;=100000), " ",IF(INDEX($Q$2:$U$1001,MATCH(ROWS($J$2:J296),$J$2:$J$1001,0),MATCH(COLUMNS($Q$1006:U1006),$Q$1006:$U$1006,0)), HYPERLINK("#",""), HYPERLINK(CONCATENATE("#metadata!", ADDRESS(INDEX($L$2:$L$1001,MATCH(ROWS($J$2:J296),$J$2:$J$1001,0),0), INDEX($Q$1004:$U$1004,1,MATCH(COLUMNS($Q$1006:U1006),$Q$1006:$U$1006,0)))),"Fix")))</f>
        <v xml:space="preserve"> </v>
      </c>
      <c r="J296">
        <v>295</v>
      </c>
      <c r="K296">
        <v>100296</v>
      </c>
      <c r="L296">
        <v>296</v>
      </c>
      <c r="M296" t="b">
        <f t="shared" si="4"/>
        <v>1</v>
      </c>
      <c r="N296" t="b">
        <f>COUNTBLANK(metadata!B296:F296)=COLUMNS(metadata!B296:F296)</f>
        <v>1</v>
      </c>
      <c r="O296" t="str">
        <v/>
      </c>
      <c r="Q296" t="b">
        <f ca="1">AND(IF(metadata!B296="",FALSE,TRUE),COUNTIF(metadata!B:B, metadata!B296) = 1,NOT(ISERROR(SUMPRODUCT(SEARCH(MID(metadata!B296,ROW(INDIRECT("1:"&amp;LEN(metadata!B296))), 1),"0123456789abcdefghijklmnopqrstuvwxyzABCDEFGHIJKLMNOPQRSTUVWXYZ.")))))</f>
        <v>0</v>
      </c>
      <c r="R296" t="b">
        <f>AND(IF(metadata!C296="",FALSE,TRUE),OR(EXACT(metadata!C296,"saline"),EXACT(metadata!C296,"non-saline")))</f>
        <v>0</v>
      </c>
      <c r="S296" t="b">
        <f>AND(IF(metadata!D296="",FALSE,TRUE),OR(EXACT(metadata!D296,"surface (non-saline)"),EXACT(metadata!D296,"aerosol (non-saline)"),EXACT(metadata!D296,"sediment (non-saline)"),EXACT(metadata!D296,"surface (saline)"),EXACT(metadata!D296,"aerosol (saline)"),EXACT(metadata!D296,"sediment (saline)")))</f>
        <v>0</v>
      </c>
      <c r="T296" t="b">
        <f>AND(IF(metadata!E296="",FALSE,TRUE),EXACT(metadata!E296,"built environment"))</f>
        <v>0</v>
      </c>
      <c r="U296" t="b">
        <f>OR(AND(IF(metadata!F296="",FALSE,TRUE),EXACT(metadata!F296,"not applicable")),AND(IF(metadata!F296="",FALSE,TRUE),EXACT(metadata!F296,"anaerobic digester content")))</f>
        <v>0</v>
      </c>
    </row>
    <row r="297" spans="1:21" x14ac:dyDescent="0.2">
      <c r="A297" s="4" t="str">
        <f ca="1">IF(B297=" "," ",HYPERLINK(CONCATENATE("#metadata!",ADDRESS(INDEX($L$2:$L$1001,MATCH(ROWS($J$2:J297),$J$2:$J$1001,0),0),1)),INDEX($O$2:$O$1001,MATCH(ROWS($J$2:J297),$J$2:$J$1001,0),0)))</f>
        <v xml:space="preserve"> </v>
      </c>
      <c r="B297" s="3" t="str">
        <f ca="1">IF(OR(INDEX($K$2:$K$1001,MATCH(ROWS($J$2:J297),$J$2:$J$1001,0),1)&gt;=100000,INDEX($Q$1005:$U$1005,1,MATCH(COLUMNS($Q$1006:Q1006),$Q$1006:$U$1006,0))&gt;=100000), " ",IF(INDEX($Q$2:$U$1001,MATCH(ROWS($J$2:J297),$J$2:$J$1001,0),MATCH(COLUMNS($Q$1006:Q1006),$Q$1006:$U$1006,0)), HYPERLINK("#",""), HYPERLINK(CONCATENATE("#metadata!", ADDRESS(INDEX($L$2:$L$1001,MATCH(ROWS($J$2:J297),$J$2:$J$1001,0),0), INDEX($Q$1004:$U$1004,1,MATCH(COLUMNS($Q$1006:Q1006),$Q$1006:$U$1006,0)))),"Fix")))</f>
        <v xml:space="preserve"> </v>
      </c>
      <c r="C297" s="3" t="str">
        <f ca="1">IF(OR(INDEX($K$2:$K$1001,MATCH(ROWS($J$2:J297),$J$2:$J$1001,0),1)&gt;=100000,INDEX($Q$1005:$U$1005,1,MATCH(COLUMNS($Q$1006:R1006),$Q$1006:$U$1006,0))&gt;=100000), " ",IF(INDEX($Q$2:$U$1001,MATCH(ROWS($J$2:J297),$J$2:$J$1001,0),MATCH(COLUMNS($Q$1006:R1006),$Q$1006:$U$1006,0)), HYPERLINK("#",""), HYPERLINK(CONCATENATE("#metadata!", ADDRESS(INDEX($L$2:$L$1001,MATCH(ROWS($J$2:J297),$J$2:$J$1001,0),0), INDEX($Q$1004:$U$1004,1,MATCH(COLUMNS($Q$1006:R1006),$Q$1006:$U$1006,0)))),"Fix")))</f>
        <v xml:space="preserve"> </v>
      </c>
      <c r="D297" s="3" t="str">
        <f ca="1">IF(OR(INDEX($K$2:$K$1001,MATCH(ROWS($J$2:J297),$J$2:$J$1001,0),1)&gt;=100000,INDEX($Q$1005:$U$1005,1,MATCH(COLUMNS($Q$1006:S1006),$Q$1006:$U$1006,0))&gt;=100000), " ",IF(INDEX($Q$2:$U$1001,MATCH(ROWS($J$2:J297),$J$2:$J$1001,0),MATCH(COLUMNS($Q$1006:S1006),$Q$1006:$U$1006,0)), HYPERLINK("#",""), HYPERLINK(CONCATENATE("#metadata!", ADDRESS(INDEX($L$2:$L$1001,MATCH(ROWS($J$2:J297),$J$2:$J$1001,0),0), INDEX($Q$1004:$U$1004,1,MATCH(COLUMNS($Q$1006:S1006),$Q$1006:$U$1006,0)))),"Fix")))</f>
        <v xml:space="preserve"> </v>
      </c>
      <c r="E297" s="3" t="str">
        <f ca="1">IF(OR(INDEX($K$2:$K$1001,MATCH(ROWS($J$2:J297),$J$2:$J$1001,0),1)&gt;=100000,INDEX($Q$1005:$U$1005,1,MATCH(COLUMNS($Q$1006:T1006),$Q$1006:$U$1006,0))&gt;=100000), " ",IF(INDEX($Q$2:$U$1001,MATCH(ROWS($J$2:J297),$J$2:$J$1001,0),MATCH(COLUMNS($Q$1006:T1006),$Q$1006:$U$1006,0)), HYPERLINK("#",""), HYPERLINK(CONCATENATE("#metadata!", ADDRESS(INDEX($L$2:$L$1001,MATCH(ROWS($J$2:J297),$J$2:$J$1001,0),0), INDEX($Q$1004:$U$1004,1,MATCH(COLUMNS($Q$1006:T1006),$Q$1006:$U$1006,0)))),"Fix")))</f>
        <v xml:space="preserve"> </v>
      </c>
      <c r="F297" s="3" t="str">
        <f ca="1">IF(OR(INDEX($K$2:$K$1001,MATCH(ROWS($J$2:J297),$J$2:$J$1001,0),1)&gt;=100000,INDEX($Q$1005:$U$1005,1,MATCH(COLUMNS($Q$1006:U1006),$Q$1006:$U$1006,0))&gt;=100000), " ",IF(INDEX($Q$2:$U$1001,MATCH(ROWS($J$2:J297),$J$2:$J$1001,0),MATCH(COLUMNS($Q$1006:U1006),$Q$1006:$U$1006,0)), HYPERLINK("#",""), HYPERLINK(CONCATENATE("#metadata!", ADDRESS(INDEX($L$2:$L$1001,MATCH(ROWS($J$2:J297),$J$2:$J$1001,0),0), INDEX($Q$1004:$U$1004,1,MATCH(COLUMNS($Q$1006:U1006),$Q$1006:$U$1006,0)))),"Fix")))</f>
        <v xml:space="preserve"> </v>
      </c>
      <c r="J297">
        <v>296</v>
      </c>
      <c r="K297">
        <v>100297</v>
      </c>
      <c r="L297">
        <v>297</v>
      </c>
      <c r="M297" t="b">
        <f t="shared" si="4"/>
        <v>1</v>
      </c>
      <c r="N297" t="b">
        <f>COUNTBLANK(metadata!B297:F297)=COLUMNS(metadata!B297:F297)</f>
        <v>1</v>
      </c>
      <c r="O297" t="str">
        <v/>
      </c>
      <c r="Q297" t="b">
        <f ca="1">AND(IF(metadata!B297="",FALSE,TRUE),COUNTIF(metadata!B:B, metadata!B297) = 1,NOT(ISERROR(SUMPRODUCT(SEARCH(MID(metadata!B297,ROW(INDIRECT("1:"&amp;LEN(metadata!B297))), 1),"0123456789abcdefghijklmnopqrstuvwxyzABCDEFGHIJKLMNOPQRSTUVWXYZ.")))))</f>
        <v>0</v>
      </c>
      <c r="R297" t="b">
        <f>AND(IF(metadata!C297="",FALSE,TRUE),OR(EXACT(metadata!C297,"saline"),EXACT(metadata!C297,"non-saline")))</f>
        <v>0</v>
      </c>
      <c r="S297" t="b">
        <f>AND(IF(metadata!D297="",FALSE,TRUE),OR(EXACT(metadata!D297,"surface (non-saline)"),EXACT(metadata!D297,"aerosol (non-saline)"),EXACT(metadata!D297,"sediment (non-saline)"),EXACT(metadata!D297,"surface (saline)"),EXACT(metadata!D297,"aerosol (saline)"),EXACT(metadata!D297,"sediment (saline)")))</f>
        <v>0</v>
      </c>
      <c r="T297" t="b">
        <f>AND(IF(metadata!E297="",FALSE,TRUE),EXACT(metadata!E297,"built environment"))</f>
        <v>0</v>
      </c>
      <c r="U297" t="b">
        <f>OR(AND(IF(metadata!F297="",FALSE,TRUE),EXACT(metadata!F297,"not applicable")),AND(IF(metadata!F297="",FALSE,TRUE),EXACT(metadata!F297,"anaerobic digester content")))</f>
        <v>0</v>
      </c>
    </row>
    <row r="298" spans="1:21" x14ac:dyDescent="0.2">
      <c r="A298" s="4" t="str">
        <f ca="1">IF(B298=" "," ",HYPERLINK(CONCATENATE("#metadata!",ADDRESS(INDEX($L$2:$L$1001,MATCH(ROWS($J$2:J298),$J$2:$J$1001,0),0),1)),INDEX($O$2:$O$1001,MATCH(ROWS($J$2:J298),$J$2:$J$1001,0),0)))</f>
        <v xml:space="preserve"> </v>
      </c>
      <c r="B298" s="3" t="str">
        <f ca="1">IF(OR(INDEX($K$2:$K$1001,MATCH(ROWS($J$2:J298),$J$2:$J$1001,0),1)&gt;=100000,INDEX($Q$1005:$U$1005,1,MATCH(COLUMNS($Q$1006:Q1006),$Q$1006:$U$1006,0))&gt;=100000), " ",IF(INDEX($Q$2:$U$1001,MATCH(ROWS($J$2:J298),$J$2:$J$1001,0),MATCH(COLUMNS($Q$1006:Q1006),$Q$1006:$U$1006,0)), HYPERLINK("#",""), HYPERLINK(CONCATENATE("#metadata!", ADDRESS(INDEX($L$2:$L$1001,MATCH(ROWS($J$2:J298),$J$2:$J$1001,0),0), INDEX($Q$1004:$U$1004,1,MATCH(COLUMNS($Q$1006:Q1006),$Q$1006:$U$1006,0)))),"Fix")))</f>
        <v xml:space="preserve"> </v>
      </c>
      <c r="C298" s="3" t="str">
        <f ca="1">IF(OR(INDEX($K$2:$K$1001,MATCH(ROWS($J$2:J298),$J$2:$J$1001,0),1)&gt;=100000,INDEX($Q$1005:$U$1005,1,MATCH(COLUMNS($Q$1006:R1006),$Q$1006:$U$1006,0))&gt;=100000), " ",IF(INDEX($Q$2:$U$1001,MATCH(ROWS($J$2:J298),$J$2:$J$1001,0),MATCH(COLUMNS($Q$1006:R1006),$Q$1006:$U$1006,0)), HYPERLINK("#",""), HYPERLINK(CONCATENATE("#metadata!", ADDRESS(INDEX($L$2:$L$1001,MATCH(ROWS($J$2:J298),$J$2:$J$1001,0),0), INDEX($Q$1004:$U$1004,1,MATCH(COLUMNS($Q$1006:R1006),$Q$1006:$U$1006,0)))),"Fix")))</f>
        <v xml:space="preserve"> </v>
      </c>
      <c r="D298" s="3" t="str">
        <f ca="1">IF(OR(INDEX($K$2:$K$1001,MATCH(ROWS($J$2:J298),$J$2:$J$1001,0),1)&gt;=100000,INDEX($Q$1005:$U$1005,1,MATCH(COLUMNS($Q$1006:S1006),$Q$1006:$U$1006,0))&gt;=100000), " ",IF(INDEX($Q$2:$U$1001,MATCH(ROWS($J$2:J298),$J$2:$J$1001,0),MATCH(COLUMNS($Q$1006:S1006),$Q$1006:$U$1006,0)), HYPERLINK("#",""), HYPERLINK(CONCATENATE("#metadata!", ADDRESS(INDEX($L$2:$L$1001,MATCH(ROWS($J$2:J298),$J$2:$J$1001,0),0), INDEX($Q$1004:$U$1004,1,MATCH(COLUMNS($Q$1006:S1006),$Q$1006:$U$1006,0)))),"Fix")))</f>
        <v xml:space="preserve"> </v>
      </c>
      <c r="E298" s="3" t="str">
        <f ca="1">IF(OR(INDEX($K$2:$K$1001,MATCH(ROWS($J$2:J298),$J$2:$J$1001,0),1)&gt;=100000,INDEX($Q$1005:$U$1005,1,MATCH(COLUMNS($Q$1006:T1006),$Q$1006:$U$1006,0))&gt;=100000), " ",IF(INDEX($Q$2:$U$1001,MATCH(ROWS($J$2:J298),$J$2:$J$1001,0),MATCH(COLUMNS($Q$1006:T1006),$Q$1006:$U$1006,0)), HYPERLINK("#",""), HYPERLINK(CONCATENATE("#metadata!", ADDRESS(INDEX($L$2:$L$1001,MATCH(ROWS($J$2:J298),$J$2:$J$1001,0),0), INDEX($Q$1004:$U$1004,1,MATCH(COLUMNS($Q$1006:T1006),$Q$1006:$U$1006,0)))),"Fix")))</f>
        <v xml:space="preserve"> </v>
      </c>
      <c r="F298" s="3" t="str">
        <f ca="1">IF(OR(INDEX($K$2:$K$1001,MATCH(ROWS($J$2:J298),$J$2:$J$1001,0),1)&gt;=100000,INDEX($Q$1005:$U$1005,1,MATCH(COLUMNS($Q$1006:U1006),$Q$1006:$U$1006,0))&gt;=100000), " ",IF(INDEX($Q$2:$U$1001,MATCH(ROWS($J$2:J298),$J$2:$J$1001,0),MATCH(COLUMNS($Q$1006:U1006),$Q$1006:$U$1006,0)), HYPERLINK("#",""), HYPERLINK(CONCATENATE("#metadata!", ADDRESS(INDEX($L$2:$L$1001,MATCH(ROWS($J$2:J298),$J$2:$J$1001,0),0), INDEX($Q$1004:$U$1004,1,MATCH(COLUMNS($Q$1006:U1006),$Q$1006:$U$1006,0)))),"Fix")))</f>
        <v xml:space="preserve"> </v>
      </c>
      <c r="J298">
        <v>297</v>
      </c>
      <c r="K298">
        <v>100298</v>
      </c>
      <c r="L298">
        <v>298</v>
      </c>
      <c r="M298" t="b">
        <f t="shared" si="4"/>
        <v>1</v>
      </c>
      <c r="N298" t="b">
        <f>COUNTBLANK(metadata!B298:F298)=COLUMNS(metadata!B298:F298)</f>
        <v>1</v>
      </c>
      <c r="O298" t="str">
        <v/>
      </c>
      <c r="Q298" t="b">
        <f ca="1">AND(IF(metadata!B298="",FALSE,TRUE),COUNTIF(metadata!B:B, metadata!B298) = 1,NOT(ISERROR(SUMPRODUCT(SEARCH(MID(metadata!B298,ROW(INDIRECT("1:"&amp;LEN(metadata!B298))), 1),"0123456789abcdefghijklmnopqrstuvwxyzABCDEFGHIJKLMNOPQRSTUVWXYZ.")))))</f>
        <v>0</v>
      </c>
      <c r="R298" t="b">
        <f>AND(IF(metadata!C298="",FALSE,TRUE),OR(EXACT(metadata!C298,"saline"),EXACT(metadata!C298,"non-saline")))</f>
        <v>0</v>
      </c>
      <c r="S298" t="b">
        <f>AND(IF(metadata!D298="",FALSE,TRUE),OR(EXACT(metadata!D298,"surface (non-saline)"),EXACT(metadata!D298,"aerosol (non-saline)"),EXACT(metadata!D298,"sediment (non-saline)"),EXACT(metadata!D298,"surface (saline)"),EXACT(metadata!D298,"aerosol (saline)"),EXACT(metadata!D298,"sediment (saline)")))</f>
        <v>0</v>
      </c>
      <c r="T298" t="b">
        <f>AND(IF(metadata!E298="",FALSE,TRUE),EXACT(metadata!E298,"built environment"))</f>
        <v>0</v>
      </c>
      <c r="U298" t="b">
        <f>OR(AND(IF(metadata!F298="",FALSE,TRUE),EXACT(metadata!F298,"not applicable")),AND(IF(metadata!F298="",FALSE,TRUE),EXACT(metadata!F298,"anaerobic digester content")))</f>
        <v>0</v>
      </c>
    </row>
    <row r="299" spans="1:21" x14ac:dyDescent="0.2">
      <c r="A299" s="4" t="str">
        <f ca="1">IF(B299=" "," ",HYPERLINK(CONCATENATE("#metadata!",ADDRESS(INDEX($L$2:$L$1001,MATCH(ROWS($J$2:J299),$J$2:$J$1001,0),0),1)),INDEX($O$2:$O$1001,MATCH(ROWS($J$2:J299),$J$2:$J$1001,0),0)))</f>
        <v xml:space="preserve"> </v>
      </c>
      <c r="B299" s="3" t="str">
        <f ca="1">IF(OR(INDEX($K$2:$K$1001,MATCH(ROWS($J$2:J299),$J$2:$J$1001,0),1)&gt;=100000,INDEX($Q$1005:$U$1005,1,MATCH(COLUMNS($Q$1006:Q1006),$Q$1006:$U$1006,0))&gt;=100000), " ",IF(INDEX($Q$2:$U$1001,MATCH(ROWS($J$2:J299),$J$2:$J$1001,0),MATCH(COLUMNS($Q$1006:Q1006),$Q$1006:$U$1006,0)), HYPERLINK("#",""), HYPERLINK(CONCATENATE("#metadata!", ADDRESS(INDEX($L$2:$L$1001,MATCH(ROWS($J$2:J299),$J$2:$J$1001,0),0), INDEX($Q$1004:$U$1004,1,MATCH(COLUMNS($Q$1006:Q1006),$Q$1006:$U$1006,0)))),"Fix")))</f>
        <v xml:space="preserve"> </v>
      </c>
      <c r="C299" s="3" t="str">
        <f ca="1">IF(OR(INDEX($K$2:$K$1001,MATCH(ROWS($J$2:J299),$J$2:$J$1001,0),1)&gt;=100000,INDEX($Q$1005:$U$1005,1,MATCH(COLUMNS($Q$1006:R1006),$Q$1006:$U$1006,0))&gt;=100000), " ",IF(INDEX($Q$2:$U$1001,MATCH(ROWS($J$2:J299),$J$2:$J$1001,0),MATCH(COLUMNS($Q$1006:R1006),$Q$1006:$U$1006,0)), HYPERLINK("#",""), HYPERLINK(CONCATENATE("#metadata!", ADDRESS(INDEX($L$2:$L$1001,MATCH(ROWS($J$2:J299),$J$2:$J$1001,0),0), INDEX($Q$1004:$U$1004,1,MATCH(COLUMNS($Q$1006:R1006),$Q$1006:$U$1006,0)))),"Fix")))</f>
        <v xml:space="preserve"> </v>
      </c>
      <c r="D299" s="3" t="str">
        <f ca="1">IF(OR(INDEX($K$2:$K$1001,MATCH(ROWS($J$2:J299),$J$2:$J$1001,0),1)&gt;=100000,INDEX($Q$1005:$U$1005,1,MATCH(COLUMNS($Q$1006:S1006),$Q$1006:$U$1006,0))&gt;=100000), " ",IF(INDEX($Q$2:$U$1001,MATCH(ROWS($J$2:J299),$J$2:$J$1001,0),MATCH(COLUMNS($Q$1006:S1006),$Q$1006:$U$1006,0)), HYPERLINK("#",""), HYPERLINK(CONCATENATE("#metadata!", ADDRESS(INDEX($L$2:$L$1001,MATCH(ROWS($J$2:J299),$J$2:$J$1001,0),0), INDEX($Q$1004:$U$1004,1,MATCH(COLUMNS($Q$1006:S1006),$Q$1006:$U$1006,0)))),"Fix")))</f>
        <v xml:space="preserve"> </v>
      </c>
      <c r="E299" s="3" t="str">
        <f ca="1">IF(OR(INDEX($K$2:$K$1001,MATCH(ROWS($J$2:J299),$J$2:$J$1001,0),1)&gt;=100000,INDEX($Q$1005:$U$1005,1,MATCH(COLUMNS($Q$1006:T1006),$Q$1006:$U$1006,0))&gt;=100000), " ",IF(INDEX($Q$2:$U$1001,MATCH(ROWS($J$2:J299),$J$2:$J$1001,0),MATCH(COLUMNS($Q$1006:T1006),$Q$1006:$U$1006,0)), HYPERLINK("#",""), HYPERLINK(CONCATENATE("#metadata!", ADDRESS(INDEX($L$2:$L$1001,MATCH(ROWS($J$2:J299),$J$2:$J$1001,0),0), INDEX($Q$1004:$U$1004,1,MATCH(COLUMNS($Q$1006:T1006),$Q$1006:$U$1006,0)))),"Fix")))</f>
        <v xml:space="preserve"> </v>
      </c>
      <c r="F299" s="3" t="str">
        <f ca="1">IF(OR(INDEX($K$2:$K$1001,MATCH(ROWS($J$2:J299),$J$2:$J$1001,0),1)&gt;=100000,INDEX($Q$1005:$U$1005,1,MATCH(COLUMNS($Q$1006:U1006),$Q$1006:$U$1006,0))&gt;=100000), " ",IF(INDEX($Q$2:$U$1001,MATCH(ROWS($J$2:J299),$J$2:$J$1001,0),MATCH(COLUMNS($Q$1006:U1006),$Q$1006:$U$1006,0)), HYPERLINK("#",""), HYPERLINK(CONCATENATE("#metadata!", ADDRESS(INDEX($L$2:$L$1001,MATCH(ROWS($J$2:J299),$J$2:$J$1001,0),0), INDEX($Q$1004:$U$1004,1,MATCH(COLUMNS($Q$1006:U1006),$Q$1006:$U$1006,0)))),"Fix")))</f>
        <v xml:space="preserve"> </v>
      </c>
      <c r="J299">
        <v>298</v>
      </c>
      <c r="K299">
        <v>100299</v>
      </c>
      <c r="L299">
        <v>299</v>
      </c>
      <c r="M299" t="b">
        <f t="shared" si="4"/>
        <v>1</v>
      </c>
      <c r="N299" t="b">
        <f>COUNTBLANK(metadata!B299:F299)=COLUMNS(metadata!B299:F299)</f>
        <v>1</v>
      </c>
      <c r="O299" t="str">
        <v/>
      </c>
      <c r="Q299" t="b">
        <f ca="1">AND(IF(metadata!B299="",FALSE,TRUE),COUNTIF(metadata!B:B, metadata!B299) = 1,NOT(ISERROR(SUMPRODUCT(SEARCH(MID(metadata!B299,ROW(INDIRECT("1:"&amp;LEN(metadata!B299))), 1),"0123456789abcdefghijklmnopqrstuvwxyzABCDEFGHIJKLMNOPQRSTUVWXYZ.")))))</f>
        <v>0</v>
      </c>
      <c r="R299" t="b">
        <f>AND(IF(metadata!C299="",FALSE,TRUE),OR(EXACT(metadata!C299,"saline"),EXACT(metadata!C299,"non-saline")))</f>
        <v>0</v>
      </c>
      <c r="S299" t="b">
        <f>AND(IF(metadata!D299="",FALSE,TRUE),OR(EXACT(metadata!D299,"surface (non-saline)"),EXACT(metadata!D299,"aerosol (non-saline)"),EXACT(metadata!D299,"sediment (non-saline)"),EXACT(metadata!D299,"surface (saline)"),EXACT(metadata!D299,"aerosol (saline)"),EXACT(metadata!D299,"sediment (saline)")))</f>
        <v>0</v>
      </c>
      <c r="T299" t="b">
        <f>AND(IF(metadata!E299="",FALSE,TRUE),EXACT(metadata!E299,"built environment"))</f>
        <v>0</v>
      </c>
      <c r="U299" t="b">
        <f>OR(AND(IF(metadata!F299="",FALSE,TRUE),EXACT(metadata!F299,"not applicable")),AND(IF(metadata!F299="",FALSE,TRUE),EXACT(metadata!F299,"anaerobic digester content")))</f>
        <v>0</v>
      </c>
    </row>
    <row r="300" spans="1:21" x14ac:dyDescent="0.2">
      <c r="A300" s="4" t="str">
        <f ca="1">IF(B300=" "," ",HYPERLINK(CONCATENATE("#metadata!",ADDRESS(INDEX($L$2:$L$1001,MATCH(ROWS($J$2:J300),$J$2:$J$1001,0),0),1)),INDEX($O$2:$O$1001,MATCH(ROWS($J$2:J300),$J$2:$J$1001,0),0)))</f>
        <v xml:space="preserve"> </v>
      </c>
      <c r="B300" s="3" t="str">
        <f ca="1">IF(OR(INDEX($K$2:$K$1001,MATCH(ROWS($J$2:J300),$J$2:$J$1001,0),1)&gt;=100000,INDEX($Q$1005:$U$1005,1,MATCH(COLUMNS($Q$1006:Q1006),$Q$1006:$U$1006,0))&gt;=100000), " ",IF(INDEX($Q$2:$U$1001,MATCH(ROWS($J$2:J300),$J$2:$J$1001,0),MATCH(COLUMNS($Q$1006:Q1006),$Q$1006:$U$1006,0)), HYPERLINK("#",""), HYPERLINK(CONCATENATE("#metadata!", ADDRESS(INDEX($L$2:$L$1001,MATCH(ROWS($J$2:J300),$J$2:$J$1001,0),0), INDEX($Q$1004:$U$1004,1,MATCH(COLUMNS($Q$1006:Q1006),$Q$1006:$U$1006,0)))),"Fix")))</f>
        <v xml:space="preserve"> </v>
      </c>
      <c r="C300" s="3" t="str">
        <f ca="1">IF(OR(INDEX($K$2:$K$1001,MATCH(ROWS($J$2:J300),$J$2:$J$1001,0),1)&gt;=100000,INDEX($Q$1005:$U$1005,1,MATCH(COLUMNS($Q$1006:R1006),$Q$1006:$U$1006,0))&gt;=100000), " ",IF(INDEX($Q$2:$U$1001,MATCH(ROWS($J$2:J300),$J$2:$J$1001,0),MATCH(COLUMNS($Q$1006:R1006),$Q$1006:$U$1006,0)), HYPERLINK("#",""), HYPERLINK(CONCATENATE("#metadata!", ADDRESS(INDEX($L$2:$L$1001,MATCH(ROWS($J$2:J300),$J$2:$J$1001,0),0), INDEX($Q$1004:$U$1004,1,MATCH(COLUMNS($Q$1006:R1006),$Q$1006:$U$1006,0)))),"Fix")))</f>
        <v xml:space="preserve"> </v>
      </c>
      <c r="D300" s="3" t="str">
        <f ca="1">IF(OR(INDEX($K$2:$K$1001,MATCH(ROWS($J$2:J300),$J$2:$J$1001,0),1)&gt;=100000,INDEX($Q$1005:$U$1005,1,MATCH(COLUMNS($Q$1006:S1006),$Q$1006:$U$1006,0))&gt;=100000), " ",IF(INDEX($Q$2:$U$1001,MATCH(ROWS($J$2:J300),$J$2:$J$1001,0),MATCH(COLUMNS($Q$1006:S1006),$Q$1006:$U$1006,0)), HYPERLINK("#",""), HYPERLINK(CONCATENATE("#metadata!", ADDRESS(INDEX($L$2:$L$1001,MATCH(ROWS($J$2:J300),$J$2:$J$1001,0),0), INDEX($Q$1004:$U$1004,1,MATCH(COLUMNS($Q$1006:S1006),$Q$1006:$U$1006,0)))),"Fix")))</f>
        <v xml:space="preserve"> </v>
      </c>
      <c r="E300" s="3" t="str">
        <f ca="1">IF(OR(INDEX($K$2:$K$1001,MATCH(ROWS($J$2:J300),$J$2:$J$1001,0),1)&gt;=100000,INDEX($Q$1005:$U$1005,1,MATCH(COLUMNS($Q$1006:T1006),$Q$1006:$U$1006,0))&gt;=100000), " ",IF(INDEX($Q$2:$U$1001,MATCH(ROWS($J$2:J300),$J$2:$J$1001,0),MATCH(COLUMNS($Q$1006:T1006),$Q$1006:$U$1006,0)), HYPERLINK("#",""), HYPERLINK(CONCATENATE("#metadata!", ADDRESS(INDEX($L$2:$L$1001,MATCH(ROWS($J$2:J300),$J$2:$J$1001,0),0), INDEX($Q$1004:$U$1004,1,MATCH(COLUMNS($Q$1006:T1006),$Q$1006:$U$1006,0)))),"Fix")))</f>
        <v xml:space="preserve"> </v>
      </c>
      <c r="F300" s="3" t="str">
        <f ca="1">IF(OR(INDEX($K$2:$K$1001,MATCH(ROWS($J$2:J300),$J$2:$J$1001,0),1)&gt;=100000,INDEX($Q$1005:$U$1005,1,MATCH(COLUMNS($Q$1006:U1006),$Q$1006:$U$1006,0))&gt;=100000), " ",IF(INDEX($Q$2:$U$1001,MATCH(ROWS($J$2:J300),$J$2:$J$1001,0),MATCH(COLUMNS($Q$1006:U1006),$Q$1006:$U$1006,0)), HYPERLINK("#",""), HYPERLINK(CONCATENATE("#metadata!", ADDRESS(INDEX($L$2:$L$1001,MATCH(ROWS($J$2:J300),$J$2:$J$1001,0),0), INDEX($Q$1004:$U$1004,1,MATCH(COLUMNS($Q$1006:U1006),$Q$1006:$U$1006,0)))),"Fix")))</f>
        <v xml:space="preserve"> </v>
      </c>
      <c r="J300">
        <v>299</v>
      </c>
      <c r="K300">
        <v>100300</v>
      </c>
      <c r="L300">
        <v>300</v>
      </c>
      <c r="M300" t="b">
        <f t="shared" si="4"/>
        <v>1</v>
      </c>
      <c r="N300" t="b">
        <f>COUNTBLANK(metadata!B300:F300)=COLUMNS(metadata!B300:F300)</f>
        <v>1</v>
      </c>
      <c r="O300" t="str">
        <v/>
      </c>
      <c r="Q300" t="b">
        <f ca="1">AND(IF(metadata!B300="",FALSE,TRUE),COUNTIF(metadata!B:B, metadata!B300) = 1,NOT(ISERROR(SUMPRODUCT(SEARCH(MID(metadata!B300,ROW(INDIRECT("1:"&amp;LEN(metadata!B300))), 1),"0123456789abcdefghijklmnopqrstuvwxyzABCDEFGHIJKLMNOPQRSTUVWXYZ.")))))</f>
        <v>0</v>
      </c>
      <c r="R300" t="b">
        <f>AND(IF(metadata!C300="",FALSE,TRUE),OR(EXACT(metadata!C300,"saline"),EXACT(metadata!C300,"non-saline")))</f>
        <v>0</v>
      </c>
      <c r="S300" t="b">
        <f>AND(IF(metadata!D300="",FALSE,TRUE),OR(EXACT(metadata!D300,"surface (non-saline)"),EXACT(metadata!D300,"aerosol (non-saline)"),EXACT(metadata!D300,"sediment (non-saline)"),EXACT(metadata!D300,"surface (saline)"),EXACT(metadata!D300,"aerosol (saline)"),EXACT(metadata!D300,"sediment (saline)")))</f>
        <v>0</v>
      </c>
      <c r="T300" t="b">
        <f>AND(IF(metadata!E300="",FALSE,TRUE),EXACT(metadata!E300,"built environment"))</f>
        <v>0</v>
      </c>
      <c r="U300" t="b">
        <f>OR(AND(IF(metadata!F300="",FALSE,TRUE),EXACT(metadata!F300,"not applicable")),AND(IF(metadata!F300="",FALSE,TRUE),EXACT(metadata!F300,"anaerobic digester content")))</f>
        <v>0</v>
      </c>
    </row>
    <row r="301" spans="1:21" x14ac:dyDescent="0.2">
      <c r="A301" s="4" t="str">
        <f ca="1">IF(B301=" "," ",HYPERLINK(CONCATENATE("#metadata!",ADDRESS(INDEX($L$2:$L$1001,MATCH(ROWS($J$2:J301),$J$2:$J$1001,0),0),1)),INDEX($O$2:$O$1001,MATCH(ROWS($J$2:J301),$J$2:$J$1001,0),0)))</f>
        <v xml:space="preserve"> </v>
      </c>
      <c r="B301" s="3" t="str">
        <f ca="1">IF(OR(INDEX($K$2:$K$1001,MATCH(ROWS($J$2:J301),$J$2:$J$1001,0),1)&gt;=100000,INDEX($Q$1005:$U$1005,1,MATCH(COLUMNS($Q$1006:Q1006),$Q$1006:$U$1006,0))&gt;=100000), " ",IF(INDEX($Q$2:$U$1001,MATCH(ROWS($J$2:J301),$J$2:$J$1001,0),MATCH(COLUMNS($Q$1006:Q1006),$Q$1006:$U$1006,0)), HYPERLINK("#",""), HYPERLINK(CONCATENATE("#metadata!", ADDRESS(INDEX($L$2:$L$1001,MATCH(ROWS($J$2:J301),$J$2:$J$1001,0),0), INDEX($Q$1004:$U$1004,1,MATCH(COLUMNS($Q$1006:Q1006),$Q$1006:$U$1006,0)))),"Fix")))</f>
        <v xml:space="preserve"> </v>
      </c>
      <c r="C301" s="3" t="str">
        <f ca="1">IF(OR(INDEX($K$2:$K$1001,MATCH(ROWS($J$2:J301),$J$2:$J$1001,0),1)&gt;=100000,INDEX($Q$1005:$U$1005,1,MATCH(COLUMNS($Q$1006:R1006),$Q$1006:$U$1006,0))&gt;=100000), " ",IF(INDEX($Q$2:$U$1001,MATCH(ROWS($J$2:J301),$J$2:$J$1001,0),MATCH(COLUMNS($Q$1006:R1006),$Q$1006:$U$1006,0)), HYPERLINK("#",""), HYPERLINK(CONCATENATE("#metadata!", ADDRESS(INDEX($L$2:$L$1001,MATCH(ROWS($J$2:J301),$J$2:$J$1001,0),0), INDEX($Q$1004:$U$1004,1,MATCH(COLUMNS($Q$1006:R1006),$Q$1006:$U$1006,0)))),"Fix")))</f>
        <v xml:space="preserve"> </v>
      </c>
      <c r="D301" s="3" t="str">
        <f ca="1">IF(OR(INDEX($K$2:$K$1001,MATCH(ROWS($J$2:J301),$J$2:$J$1001,0),1)&gt;=100000,INDEX($Q$1005:$U$1005,1,MATCH(COLUMNS($Q$1006:S1006),$Q$1006:$U$1006,0))&gt;=100000), " ",IF(INDEX($Q$2:$U$1001,MATCH(ROWS($J$2:J301),$J$2:$J$1001,0),MATCH(COLUMNS($Q$1006:S1006),$Q$1006:$U$1006,0)), HYPERLINK("#",""), HYPERLINK(CONCATENATE("#metadata!", ADDRESS(INDEX($L$2:$L$1001,MATCH(ROWS($J$2:J301),$J$2:$J$1001,0),0), INDEX($Q$1004:$U$1004,1,MATCH(COLUMNS($Q$1006:S1006),$Q$1006:$U$1006,0)))),"Fix")))</f>
        <v xml:space="preserve"> </v>
      </c>
      <c r="E301" s="3" t="str">
        <f ca="1">IF(OR(INDEX($K$2:$K$1001,MATCH(ROWS($J$2:J301),$J$2:$J$1001,0),1)&gt;=100000,INDEX($Q$1005:$U$1005,1,MATCH(COLUMNS($Q$1006:T1006),$Q$1006:$U$1006,0))&gt;=100000), " ",IF(INDEX($Q$2:$U$1001,MATCH(ROWS($J$2:J301),$J$2:$J$1001,0),MATCH(COLUMNS($Q$1006:T1006),$Q$1006:$U$1006,0)), HYPERLINK("#",""), HYPERLINK(CONCATENATE("#metadata!", ADDRESS(INDEX($L$2:$L$1001,MATCH(ROWS($J$2:J301),$J$2:$J$1001,0),0), INDEX($Q$1004:$U$1004,1,MATCH(COLUMNS($Q$1006:T1006),$Q$1006:$U$1006,0)))),"Fix")))</f>
        <v xml:space="preserve"> </v>
      </c>
      <c r="F301" s="3" t="str">
        <f ca="1">IF(OR(INDEX($K$2:$K$1001,MATCH(ROWS($J$2:J301),$J$2:$J$1001,0),1)&gt;=100000,INDEX($Q$1005:$U$1005,1,MATCH(COLUMNS($Q$1006:U1006),$Q$1006:$U$1006,0))&gt;=100000), " ",IF(INDEX($Q$2:$U$1001,MATCH(ROWS($J$2:J301),$J$2:$J$1001,0),MATCH(COLUMNS($Q$1006:U1006),$Q$1006:$U$1006,0)), HYPERLINK("#",""), HYPERLINK(CONCATENATE("#metadata!", ADDRESS(INDEX($L$2:$L$1001,MATCH(ROWS($J$2:J301),$J$2:$J$1001,0),0), INDEX($Q$1004:$U$1004,1,MATCH(COLUMNS($Q$1006:U1006),$Q$1006:$U$1006,0)))),"Fix")))</f>
        <v xml:space="preserve"> </v>
      </c>
      <c r="J301">
        <v>300</v>
      </c>
      <c r="K301">
        <v>100301</v>
      </c>
      <c r="L301">
        <v>301</v>
      </c>
      <c r="M301" t="b">
        <f t="shared" si="4"/>
        <v>1</v>
      </c>
      <c r="N301" t="b">
        <f>COUNTBLANK(metadata!B301:F301)=COLUMNS(metadata!B301:F301)</f>
        <v>1</v>
      </c>
      <c r="O301" t="str">
        <v/>
      </c>
      <c r="Q301" t="b">
        <f ca="1">AND(IF(metadata!B301="",FALSE,TRUE),COUNTIF(metadata!B:B, metadata!B301) = 1,NOT(ISERROR(SUMPRODUCT(SEARCH(MID(metadata!B301,ROW(INDIRECT("1:"&amp;LEN(metadata!B301))), 1),"0123456789abcdefghijklmnopqrstuvwxyzABCDEFGHIJKLMNOPQRSTUVWXYZ.")))))</f>
        <v>0</v>
      </c>
      <c r="R301" t="b">
        <f>AND(IF(metadata!C301="",FALSE,TRUE),OR(EXACT(metadata!C301,"saline"),EXACT(metadata!C301,"non-saline")))</f>
        <v>0</v>
      </c>
      <c r="S301" t="b">
        <f>AND(IF(metadata!D301="",FALSE,TRUE),OR(EXACT(metadata!D301,"surface (non-saline)"),EXACT(metadata!D301,"aerosol (non-saline)"),EXACT(metadata!D301,"sediment (non-saline)"),EXACT(metadata!D301,"surface (saline)"),EXACT(metadata!D301,"aerosol (saline)"),EXACT(metadata!D301,"sediment (saline)")))</f>
        <v>0</v>
      </c>
      <c r="T301" t="b">
        <f>AND(IF(metadata!E301="",FALSE,TRUE),EXACT(metadata!E301,"built environment"))</f>
        <v>0</v>
      </c>
      <c r="U301" t="b">
        <f>OR(AND(IF(metadata!F301="",FALSE,TRUE),EXACT(metadata!F301,"not applicable")),AND(IF(metadata!F301="",FALSE,TRUE),EXACT(metadata!F301,"anaerobic digester content")))</f>
        <v>0</v>
      </c>
    </row>
    <row r="302" spans="1:21" x14ac:dyDescent="0.2">
      <c r="A302" s="4" t="str">
        <f ca="1">IF(B302=" "," ",HYPERLINK(CONCATENATE("#metadata!",ADDRESS(INDEX($L$2:$L$1001,MATCH(ROWS($J$2:J302),$J$2:$J$1001,0),0),1)),INDEX($O$2:$O$1001,MATCH(ROWS($J$2:J302),$J$2:$J$1001,0),0)))</f>
        <v xml:space="preserve"> </v>
      </c>
      <c r="B302" s="3" t="str">
        <f ca="1">IF(OR(INDEX($K$2:$K$1001,MATCH(ROWS($J$2:J302),$J$2:$J$1001,0),1)&gt;=100000,INDEX($Q$1005:$U$1005,1,MATCH(COLUMNS($Q$1006:Q1006),$Q$1006:$U$1006,0))&gt;=100000), " ",IF(INDEX($Q$2:$U$1001,MATCH(ROWS($J$2:J302),$J$2:$J$1001,0),MATCH(COLUMNS($Q$1006:Q1006),$Q$1006:$U$1006,0)), HYPERLINK("#",""), HYPERLINK(CONCATENATE("#metadata!", ADDRESS(INDEX($L$2:$L$1001,MATCH(ROWS($J$2:J302),$J$2:$J$1001,0),0), INDEX($Q$1004:$U$1004,1,MATCH(COLUMNS($Q$1006:Q1006),$Q$1006:$U$1006,0)))),"Fix")))</f>
        <v xml:space="preserve"> </v>
      </c>
      <c r="C302" s="3" t="str">
        <f ca="1">IF(OR(INDEX($K$2:$K$1001,MATCH(ROWS($J$2:J302),$J$2:$J$1001,0),1)&gt;=100000,INDEX($Q$1005:$U$1005,1,MATCH(COLUMNS($Q$1006:R1006),$Q$1006:$U$1006,0))&gt;=100000), " ",IF(INDEX($Q$2:$U$1001,MATCH(ROWS($J$2:J302),$J$2:$J$1001,0),MATCH(COLUMNS($Q$1006:R1006),$Q$1006:$U$1006,0)), HYPERLINK("#",""), HYPERLINK(CONCATENATE("#metadata!", ADDRESS(INDEX($L$2:$L$1001,MATCH(ROWS($J$2:J302),$J$2:$J$1001,0),0), INDEX($Q$1004:$U$1004,1,MATCH(COLUMNS($Q$1006:R1006),$Q$1006:$U$1006,0)))),"Fix")))</f>
        <v xml:space="preserve"> </v>
      </c>
      <c r="D302" s="3" t="str">
        <f ca="1">IF(OR(INDEX($K$2:$K$1001,MATCH(ROWS($J$2:J302),$J$2:$J$1001,0),1)&gt;=100000,INDEX($Q$1005:$U$1005,1,MATCH(COLUMNS($Q$1006:S1006),$Q$1006:$U$1006,0))&gt;=100000), " ",IF(INDEX($Q$2:$U$1001,MATCH(ROWS($J$2:J302),$J$2:$J$1001,0),MATCH(COLUMNS($Q$1006:S1006),$Q$1006:$U$1006,0)), HYPERLINK("#",""), HYPERLINK(CONCATENATE("#metadata!", ADDRESS(INDEX($L$2:$L$1001,MATCH(ROWS($J$2:J302),$J$2:$J$1001,0),0), INDEX($Q$1004:$U$1004,1,MATCH(COLUMNS($Q$1006:S1006),$Q$1006:$U$1006,0)))),"Fix")))</f>
        <v xml:space="preserve"> </v>
      </c>
      <c r="E302" s="3" t="str">
        <f ca="1">IF(OR(INDEX($K$2:$K$1001,MATCH(ROWS($J$2:J302),$J$2:$J$1001,0),1)&gt;=100000,INDEX($Q$1005:$U$1005,1,MATCH(COLUMNS($Q$1006:T1006),$Q$1006:$U$1006,0))&gt;=100000), " ",IF(INDEX($Q$2:$U$1001,MATCH(ROWS($J$2:J302),$J$2:$J$1001,0),MATCH(COLUMNS($Q$1006:T1006),$Q$1006:$U$1006,0)), HYPERLINK("#",""), HYPERLINK(CONCATENATE("#metadata!", ADDRESS(INDEX($L$2:$L$1001,MATCH(ROWS($J$2:J302),$J$2:$J$1001,0),0), INDEX($Q$1004:$U$1004,1,MATCH(COLUMNS($Q$1006:T1006),$Q$1006:$U$1006,0)))),"Fix")))</f>
        <v xml:space="preserve"> </v>
      </c>
      <c r="F302" s="3" t="str">
        <f ca="1">IF(OR(INDEX($K$2:$K$1001,MATCH(ROWS($J$2:J302),$J$2:$J$1001,0),1)&gt;=100000,INDEX($Q$1005:$U$1005,1,MATCH(COLUMNS($Q$1006:U1006),$Q$1006:$U$1006,0))&gt;=100000), " ",IF(INDEX($Q$2:$U$1001,MATCH(ROWS($J$2:J302),$J$2:$J$1001,0),MATCH(COLUMNS($Q$1006:U1006),$Q$1006:$U$1006,0)), HYPERLINK("#",""), HYPERLINK(CONCATENATE("#metadata!", ADDRESS(INDEX($L$2:$L$1001,MATCH(ROWS($J$2:J302),$J$2:$J$1001,0),0), INDEX($Q$1004:$U$1004,1,MATCH(COLUMNS($Q$1006:U1006),$Q$1006:$U$1006,0)))),"Fix")))</f>
        <v xml:space="preserve"> </v>
      </c>
      <c r="J302">
        <v>301</v>
      </c>
      <c r="K302">
        <v>100302</v>
      </c>
      <c r="L302">
        <v>302</v>
      </c>
      <c r="M302" t="b">
        <f t="shared" si="4"/>
        <v>1</v>
      </c>
      <c r="N302" t="b">
        <f>COUNTBLANK(metadata!B302:F302)=COLUMNS(metadata!B302:F302)</f>
        <v>1</v>
      </c>
      <c r="O302" t="str">
        <v/>
      </c>
      <c r="Q302" t="b">
        <f ca="1">AND(IF(metadata!B302="",FALSE,TRUE),COUNTIF(metadata!B:B, metadata!B302) = 1,NOT(ISERROR(SUMPRODUCT(SEARCH(MID(metadata!B302,ROW(INDIRECT("1:"&amp;LEN(metadata!B302))), 1),"0123456789abcdefghijklmnopqrstuvwxyzABCDEFGHIJKLMNOPQRSTUVWXYZ.")))))</f>
        <v>0</v>
      </c>
      <c r="R302" t="b">
        <f>AND(IF(metadata!C302="",FALSE,TRUE),OR(EXACT(metadata!C302,"saline"),EXACT(metadata!C302,"non-saline")))</f>
        <v>0</v>
      </c>
      <c r="S302" t="b">
        <f>AND(IF(metadata!D302="",FALSE,TRUE),OR(EXACT(metadata!D302,"surface (non-saline)"),EXACT(metadata!D302,"aerosol (non-saline)"),EXACT(metadata!D302,"sediment (non-saline)"),EXACT(metadata!D302,"surface (saline)"),EXACT(metadata!D302,"aerosol (saline)"),EXACT(metadata!D302,"sediment (saline)")))</f>
        <v>0</v>
      </c>
      <c r="T302" t="b">
        <f>AND(IF(metadata!E302="",FALSE,TRUE),EXACT(metadata!E302,"built environment"))</f>
        <v>0</v>
      </c>
      <c r="U302" t="b">
        <f>OR(AND(IF(metadata!F302="",FALSE,TRUE),EXACT(metadata!F302,"not applicable")),AND(IF(metadata!F302="",FALSE,TRUE),EXACT(metadata!F302,"anaerobic digester content")))</f>
        <v>0</v>
      </c>
    </row>
    <row r="303" spans="1:21" x14ac:dyDescent="0.2">
      <c r="A303" s="4" t="str">
        <f ca="1">IF(B303=" "," ",HYPERLINK(CONCATENATE("#metadata!",ADDRESS(INDEX($L$2:$L$1001,MATCH(ROWS($J$2:J303),$J$2:$J$1001,0),0),1)),INDEX($O$2:$O$1001,MATCH(ROWS($J$2:J303),$J$2:$J$1001,0),0)))</f>
        <v xml:space="preserve"> </v>
      </c>
      <c r="B303" s="3" t="str">
        <f ca="1">IF(OR(INDEX($K$2:$K$1001,MATCH(ROWS($J$2:J303),$J$2:$J$1001,0),1)&gt;=100000,INDEX($Q$1005:$U$1005,1,MATCH(COLUMNS($Q$1006:Q1006),$Q$1006:$U$1006,0))&gt;=100000), " ",IF(INDEX($Q$2:$U$1001,MATCH(ROWS($J$2:J303),$J$2:$J$1001,0),MATCH(COLUMNS($Q$1006:Q1006),$Q$1006:$U$1006,0)), HYPERLINK("#",""), HYPERLINK(CONCATENATE("#metadata!", ADDRESS(INDEX($L$2:$L$1001,MATCH(ROWS($J$2:J303),$J$2:$J$1001,0),0), INDEX($Q$1004:$U$1004,1,MATCH(COLUMNS($Q$1006:Q1006),$Q$1006:$U$1006,0)))),"Fix")))</f>
        <v xml:space="preserve"> </v>
      </c>
      <c r="C303" s="3" t="str">
        <f ca="1">IF(OR(INDEX($K$2:$K$1001,MATCH(ROWS($J$2:J303),$J$2:$J$1001,0),1)&gt;=100000,INDEX($Q$1005:$U$1005,1,MATCH(COLUMNS($Q$1006:R1006),$Q$1006:$U$1006,0))&gt;=100000), " ",IF(INDEX($Q$2:$U$1001,MATCH(ROWS($J$2:J303),$J$2:$J$1001,0),MATCH(COLUMNS($Q$1006:R1006),$Q$1006:$U$1006,0)), HYPERLINK("#",""), HYPERLINK(CONCATENATE("#metadata!", ADDRESS(INDEX($L$2:$L$1001,MATCH(ROWS($J$2:J303),$J$2:$J$1001,0),0), INDEX($Q$1004:$U$1004,1,MATCH(COLUMNS($Q$1006:R1006),$Q$1006:$U$1006,0)))),"Fix")))</f>
        <v xml:space="preserve"> </v>
      </c>
      <c r="D303" s="3" t="str">
        <f ca="1">IF(OR(INDEX($K$2:$K$1001,MATCH(ROWS($J$2:J303),$J$2:$J$1001,0),1)&gt;=100000,INDEX($Q$1005:$U$1005,1,MATCH(COLUMNS($Q$1006:S1006),$Q$1006:$U$1006,0))&gt;=100000), " ",IF(INDEX($Q$2:$U$1001,MATCH(ROWS($J$2:J303),$J$2:$J$1001,0),MATCH(COLUMNS($Q$1006:S1006),$Q$1006:$U$1006,0)), HYPERLINK("#",""), HYPERLINK(CONCATENATE("#metadata!", ADDRESS(INDEX($L$2:$L$1001,MATCH(ROWS($J$2:J303),$J$2:$J$1001,0),0), INDEX($Q$1004:$U$1004,1,MATCH(COLUMNS($Q$1006:S1006),$Q$1006:$U$1006,0)))),"Fix")))</f>
        <v xml:space="preserve"> </v>
      </c>
      <c r="E303" s="3" t="str">
        <f ca="1">IF(OR(INDEX($K$2:$K$1001,MATCH(ROWS($J$2:J303),$J$2:$J$1001,0),1)&gt;=100000,INDEX($Q$1005:$U$1005,1,MATCH(COLUMNS($Q$1006:T1006),$Q$1006:$U$1006,0))&gt;=100000), " ",IF(INDEX($Q$2:$U$1001,MATCH(ROWS($J$2:J303),$J$2:$J$1001,0),MATCH(COLUMNS($Q$1006:T1006),$Q$1006:$U$1006,0)), HYPERLINK("#",""), HYPERLINK(CONCATENATE("#metadata!", ADDRESS(INDEX($L$2:$L$1001,MATCH(ROWS($J$2:J303),$J$2:$J$1001,0),0), INDEX($Q$1004:$U$1004,1,MATCH(COLUMNS($Q$1006:T1006),$Q$1006:$U$1006,0)))),"Fix")))</f>
        <v xml:space="preserve"> </v>
      </c>
      <c r="F303" s="3" t="str">
        <f ca="1">IF(OR(INDEX($K$2:$K$1001,MATCH(ROWS($J$2:J303),$J$2:$J$1001,0),1)&gt;=100000,INDEX($Q$1005:$U$1005,1,MATCH(COLUMNS($Q$1006:U1006),$Q$1006:$U$1006,0))&gt;=100000), " ",IF(INDEX($Q$2:$U$1001,MATCH(ROWS($J$2:J303),$J$2:$J$1001,0),MATCH(COLUMNS($Q$1006:U1006),$Q$1006:$U$1006,0)), HYPERLINK("#",""), HYPERLINK(CONCATENATE("#metadata!", ADDRESS(INDEX($L$2:$L$1001,MATCH(ROWS($J$2:J303),$J$2:$J$1001,0),0), INDEX($Q$1004:$U$1004,1,MATCH(COLUMNS($Q$1006:U1006),$Q$1006:$U$1006,0)))),"Fix")))</f>
        <v xml:space="preserve"> </v>
      </c>
      <c r="J303">
        <v>302</v>
      </c>
      <c r="K303">
        <v>100303</v>
      </c>
      <c r="L303">
        <v>303</v>
      </c>
      <c r="M303" t="b">
        <f t="shared" si="4"/>
        <v>1</v>
      </c>
      <c r="N303" t="b">
        <f>COUNTBLANK(metadata!B303:F303)=COLUMNS(metadata!B303:F303)</f>
        <v>1</v>
      </c>
      <c r="O303" t="str">
        <v/>
      </c>
      <c r="Q303" t="b">
        <f ca="1">AND(IF(metadata!B303="",FALSE,TRUE),COUNTIF(metadata!B:B, metadata!B303) = 1,NOT(ISERROR(SUMPRODUCT(SEARCH(MID(metadata!B303,ROW(INDIRECT("1:"&amp;LEN(metadata!B303))), 1),"0123456789abcdefghijklmnopqrstuvwxyzABCDEFGHIJKLMNOPQRSTUVWXYZ.")))))</f>
        <v>0</v>
      </c>
      <c r="R303" t="b">
        <f>AND(IF(metadata!C303="",FALSE,TRUE),OR(EXACT(metadata!C303,"saline"),EXACT(metadata!C303,"non-saline")))</f>
        <v>0</v>
      </c>
      <c r="S303" t="b">
        <f>AND(IF(metadata!D303="",FALSE,TRUE),OR(EXACT(metadata!D303,"surface (non-saline)"),EXACT(metadata!D303,"aerosol (non-saline)"),EXACT(metadata!D303,"sediment (non-saline)"),EXACT(metadata!D303,"surface (saline)"),EXACT(metadata!D303,"aerosol (saline)"),EXACT(metadata!D303,"sediment (saline)")))</f>
        <v>0</v>
      </c>
      <c r="T303" t="b">
        <f>AND(IF(metadata!E303="",FALSE,TRUE),EXACT(metadata!E303,"built environment"))</f>
        <v>0</v>
      </c>
      <c r="U303" t="b">
        <f>OR(AND(IF(metadata!F303="",FALSE,TRUE),EXACT(metadata!F303,"not applicable")),AND(IF(metadata!F303="",FALSE,TRUE),EXACT(metadata!F303,"anaerobic digester content")))</f>
        <v>0</v>
      </c>
    </row>
    <row r="304" spans="1:21" x14ac:dyDescent="0.2">
      <c r="A304" s="4" t="str">
        <f ca="1">IF(B304=" "," ",HYPERLINK(CONCATENATE("#metadata!",ADDRESS(INDEX($L$2:$L$1001,MATCH(ROWS($J$2:J304),$J$2:$J$1001,0),0),1)),INDEX($O$2:$O$1001,MATCH(ROWS($J$2:J304),$J$2:$J$1001,0),0)))</f>
        <v xml:space="preserve"> </v>
      </c>
      <c r="B304" s="3" t="str">
        <f ca="1">IF(OR(INDEX($K$2:$K$1001,MATCH(ROWS($J$2:J304),$J$2:$J$1001,0),1)&gt;=100000,INDEX($Q$1005:$U$1005,1,MATCH(COLUMNS($Q$1006:Q1006),$Q$1006:$U$1006,0))&gt;=100000), " ",IF(INDEX($Q$2:$U$1001,MATCH(ROWS($J$2:J304),$J$2:$J$1001,0),MATCH(COLUMNS($Q$1006:Q1006),$Q$1006:$U$1006,0)), HYPERLINK("#",""), HYPERLINK(CONCATENATE("#metadata!", ADDRESS(INDEX($L$2:$L$1001,MATCH(ROWS($J$2:J304),$J$2:$J$1001,0),0), INDEX($Q$1004:$U$1004,1,MATCH(COLUMNS($Q$1006:Q1006),$Q$1006:$U$1006,0)))),"Fix")))</f>
        <v xml:space="preserve"> </v>
      </c>
      <c r="C304" s="3" t="str">
        <f ca="1">IF(OR(INDEX($K$2:$K$1001,MATCH(ROWS($J$2:J304),$J$2:$J$1001,0),1)&gt;=100000,INDEX($Q$1005:$U$1005,1,MATCH(COLUMNS($Q$1006:R1006),$Q$1006:$U$1006,0))&gt;=100000), " ",IF(INDEX($Q$2:$U$1001,MATCH(ROWS($J$2:J304),$J$2:$J$1001,0),MATCH(COLUMNS($Q$1006:R1006),$Q$1006:$U$1006,0)), HYPERLINK("#",""), HYPERLINK(CONCATENATE("#metadata!", ADDRESS(INDEX($L$2:$L$1001,MATCH(ROWS($J$2:J304),$J$2:$J$1001,0),0), INDEX($Q$1004:$U$1004,1,MATCH(COLUMNS($Q$1006:R1006),$Q$1006:$U$1006,0)))),"Fix")))</f>
        <v xml:space="preserve"> </v>
      </c>
      <c r="D304" s="3" t="str">
        <f ca="1">IF(OR(INDEX($K$2:$K$1001,MATCH(ROWS($J$2:J304),$J$2:$J$1001,0),1)&gt;=100000,INDEX($Q$1005:$U$1005,1,MATCH(COLUMNS($Q$1006:S1006),$Q$1006:$U$1006,0))&gt;=100000), " ",IF(INDEX($Q$2:$U$1001,MATCH(ROWS($J$2:J304),$J$2:$J$1001,0),MATCH(COLUMNS($Q$1006:S1006),$Q$1006:$U$1006,0)), HYPERLINK("#",""), HYPERLINK(CONCATENATE("#metadata!", ADDRESS(INDEX($L$2:$L$1001,MATCH(ROWS($J$2:J304),$J$2:$J$1001,0),0), INDEX($Q$1004:$U$1004,1,MATCH(COLUMNS($Q$1006:S1006),$Q$1006:$U$1006,0)))),"Fix")))</f>
        <v xml:space="preserve"> </v>
      </c>
      <c r="E304" s="3" t="str">
        <f ca="1">IF(OR(INDEX($K$2:$K$1001,MATCH(ROWS($J$2:J304),$J$2:$J$1001,0),1)&gt;=100000,INDEX($Q$1005:$U$1005,1,MATCH(COLUMNS($Q$1006:T1006),$Q$1006:$U$1006,0))&gt;=100000), " ",IF(INDEX($Q$2:$U$1001,MATCH(ROWS($J$2:J304),$J$2:$J$1001,0),MATCH(COLUMNS($Q$1006:T1006),$Q$1006:$U$1006,0)), HYPERLINK("#",""), HYPERLINK(CONCATENATE("#metadata!", ADDRESS(INDEX($L$2:$L$1001,MATCH(ROWS($J$2:J304),$J$2:$J$1001,0),0), INDEX($Q$1004:$U$1004,1,MATCH(COLUMNS($Q$1006:T1006),$Q$1006:$U$1006,0)))),"Fix")))</f>
        <v xml:space="preserve"> </v>
      </c>
      <c r="F304" s="3" t="str">
        <f ca="1">IF(OR(INDEX($K$2:$K$1001,MATCH(ROWS($J$2:J304),$J$2:$J$1001,0),1)&gt;=100000,INDEX($Q$1005:$U$1005,1,MATCH(COLUMNS($Q$1006:U1006),$Q$1006:$U$1006,0))&gt;=100000), " ",IF(INDEX($Q$2:$U$1001,MATCH(ROWS($J$2:J304),$J$2:$J$1001,0),MATCH(COLUMNS($Q$1006:U1006),$Q$1006:$U$1006,0)), HYPERLINK("#",""), HYPERLINK(CONCATENATE("#metadata!", ADDRESS(INDEX($L$2:$L$1001,MATCH(ROWS($J$2:J304),$J$2:$J$1001,0),0), INDEX($Q$1004:$U$1004,1,MATCH(COLUMNS($Q$1006:U1006),$Q$1006:$U$1006,0)))),"Fix")))</f>
        <v xml:space="preserve"> </v>
      </c>
      <c r="J304">
        <v>303</v>
      </c>
      <c r="K304">
        <v>100304</v>
      </c>
      <c r="L304">
        <v>304</v>
      </c>
      <c r="M304" t="b">
        <f t="shared" si="4"/>
        <v>1</v>
      </c>
      <c r="N304" t="b">
        <f>COUNTBLANK(metadata!B304:F304)=COLUMNS(metadata!B304:F304)</f>
        <v>1</v>
      </c>
      <c r="O304" t="str">
        <v/>
      </c>
      <c r="Q304" t="b">
        <f ca="1">AND(IF(metadata!B304="",FALSE,TRUE),COUNTIF(metadata!B:B, metadata!B304) = 1,NOT(ISERROR(SUMPRODUCT(SEARCH(MID(metadata!B304,ROW(INDIRECT("1:"&amp;LEN(metadata!B304))), 1),"0123456789abcdefghijklmnopqrstuvwxyzABCDEFGHIJKLMNOPQRSTUVWXYZ.")))))</f>
        <v>0</v>
      </c>
      <c r="R304" t="b">
        <f>AND(IF(metadata!C304="",FALSE,TRUE),OR(EXACT(metadata!C304,"saline"),EXACT(metadata!C304,"non-saline")))</f>
        <v>0</v>
      </c>
      <c r="S304" t="b">
        <f>AND(IF(metadata!D304="",FALSE,TRUE),OR(EXACT(metadata!D304,"surface (non-saline)"),EXACT(metadata!D304,"aerosol (non-saline)"),EXACT(metadata!D304,"sediment (non-saline)"),EXACT(metadata!D304,"surface (saline)"),EXACT(metadata!D304,"aerosol (saline)"),EXACT(metadata!D304,"sediment (saline)")))</f>
        <v>0</v>
      </c>
      <c r="T304" t="b">
        <f>AND(IF(metadata!E304="",FALSE,TRUE),EXACT(metadata!E304,"built environment"))</f>
        <v>0</v>
      </c>
      <c r="U304" t="b">
        <f>OR(AND(IF(metadata!F304="",FALSE,TRUE),EXACT(metadata!F304,"not applicable")),AND(IF(metadata!F304="",FALSE,TRUE),EXACT(metadata!F304,"anaerobic digester content")))</f>
        <v>0</v>
      </c>
    </row>
    <row r="305" spans="1:21" x14ac:dyDescent="0.2">
      <c r="A305" s="4" t="str">
        <f ca="1">IF(B305=" "," ",HYPERLINK(CONCATENATE("#metadata!",ADDRESS(INDEX($L$2:$L$1001,MATCH(ROWS($J$2:J305),$J$2:$J$1001,0),0),1)),INDEX($O$2:$O$1001,MATCH(ROWS($J$2:J305),$J$2:$J$1001,0),0)))</f>
        <v xml:space="preserve"> </v>
      </c>
      <c r="B305" s="3" t="str">
        <f ca="1">IF(OR(INDEX($K$2:$K$1001,MATCH(ROWS($J$2:J305),$J$2:$J$1001,0),1)&gt;=100000,INDEX($Q$1005:$U$1005,1,MATCH(COLUMNS($Q$1006:Q1006),$Q$1006:$U$1006,0))&gt;=100000), " ",IF(INDEX($Q$2:$U$1001,MATCH(ROWS($J$2:J305),$J$2:$J$1001,0),MATCH(COLUMNS($Q$1006:Q1006),$Q$1006:$U$1006,0)), HYPERLINK("#",""), HYPERLINK(CONCATENATE("#metadata!", ADDRESS(INDEX($L$2:$L$1001,MATCH(ROWS($J$2:J305),$J$2:$J$1001,0),0), INDEX($Q$1004:$U$1004,1,MATCH(COLUMNS($Q$1006:Q1006),$Q$1006:$U$1006,0)))),"Fix")))</f>
        <v xml:space="preserve"> </v>
      </c>
      <c r="C305" s="3" t="str">
        <f ca="1">IF(OR(INDEX($K$2:$K$1001,MATCH(ROWS($J$2:J305),$J$2:$J$1001,0),1)&gt;=100000,INDEX($Q$1005:$U$1005,1,MATCH(COLUMNS($Q$1006:R1006),$Q$1006:$U$1006,0))&gt;=100000), " ",IF(INDEX($Q$2:$U$1001,MATCH(ROWS($J$2:J305),$J$2:$J$1001,0),MATCH(COLUMNS($Q$1006:R1006),$Q$1006:$U$1006,0)), HYPERLINK("#",""), HYPERLINK(CONCATENATE("#metadata!", ADDRESS(INDEX($L$2:$L$1001,MATCH(ROWS($J$2:J305),$J$2:$J$1001,0),0), INDEX($Q$1004:$U$1004,1,MATCH(COLUMNS($Q$1006:R1006),$Q$1006:$U$1006,0)))),"Fix")))</f>
        <v xml:space="preserve"> </v>
      </c>
      <c r="D305" s="3" t="str">
        <f ca="1">IF(OR(INDEX($K$2:$K$1001,MATCH(ROWS($J$2:J305),$J$2:$J$1001,0),1)&gt;=100000,INDEX($Q$1005:$U$1005,1,MATCH(COLUMNS($Q$1006:S1006),$Q$1006:$U$1006,0))&gt;=100000), " ",IF(INDEX($Q$2:$U$1001,MATCH(ROWS($J$2:J305),$J$2:$J$1001,0),MATCH(COLUMNS($Q$1006:S1006),$Q$1006:$U$1006,0)), HYPERLINK("#",""), HYPERLINK(CONCATENATE("#metadata!", ADDRESS(INDEX($L$2:$L$1001,MATCH(ROWS($J$2:J305),$J$2:$J$1001,0),0), INDEX($Q$1004:$U$1004,1,MATCH(COLUMNS($Q$1006:S1006),$Q$1006:$U$1006,0)))),"Fix")))</f>
        <v xml:space="preserve"> </v>
      </c>
      <c r="E305" s="3" t="str">
        <f ca="1">IF(OR(INDEX($K$2:$K$1001,MATCH(ROWS($J$2:J305),$J$2:$J$1001,0),1)&gt;=100000,INDEX($Q$1005:$U$1005,1,MATCH(COLUMNS($Q$1006:T1006),$Q$1006:$U$1006,0))&gt;=100000), " ",IF(INDEX($Q$2:$U$1001,MATCH(ROWS($J$2:J305),$J$2:$J$1001,0),MATCH(COLUMNS($Q$1006:T1006),$Q$1006:$U$1006,0)), HYPERLINK("#",""), HYPERLINK(CONCATENATE("#metadata!", ADDRESS(INDEX($L$2:$L$1001,MATCH(ROWS($J$2:J305),$J$2:$J$1001,0),0), INDEX($Q$1004:$U$1004,1,MATCH(COLUMNS($Q$1006:T1006),$Q$1006:$U$1006,0)))),"Fix")))</f>
        <v xml:space="preserve"> </v>
      </c>
      <c r="F305" s="3" t="str">
        <f ca="1">IF(OR(INDEX($K$2:$K$1001,MATCH(ROWS($J$2:J305),$J$2:$J$1001,0),1)&gt;=100000,INDEX($Q$1005:$U$1005,1,MATCH(COLUMNS($Q$1006:U1006),$Q$1006:$U$1006,0))&gt;=100000), " ",IF(INDEX($Q$2:$U$1001,MATCH(ROWS($J$2:J305),$J$2:$J$1001,0),MATCH(COLUMNS($Q$1006:U1006),$Q$1006:$U$1006,0)), HYPERLINK("#",""), HYPERLINK(CONCATENATE("#metadata!", ADDRESS(INDEX($L$2:$L$1001,MATCH(ROWS($J$2:J305),$J$2:$J$1001,0),0), INDEX($Q$1004:$U$1004,1,MATCH(COLUMNS($Q$1006:U1006),$Q$1006:$U$1006,0)))),"Fix")))</f>
        <v xml:space="preserve"> </v>
      </c>
      <c r="J305">
        <v>304</v>
      </c>
      <c r="K305">
        <v>100305</v>
      </c>
      <c r="L305">
        <v>305</v>
      </c>
      <c r="M305" t="b">
        <f t="shared" si="4"/>
        <v>1</v>
      </c>
      <c r="N305" t="b">
        <f>COUNTBLANK(metadata!B305:F305)=COLUMNS(metadata!B305:F305)</f>
        <v>1</v>
      </c>
      <c r="O305" t="str">
        <v/>
      </c>
      <c r="Q305" t="b">
        <f ca="1">AND(IF(metadata!B305="",FALSE,TRUE),COUNTIF(metadata!B:B, metadata!B305) = 1,NOT(ISERROR(SUMPRODUCT(SEARCH(MID(metadata!B305,ROW(INDIRECT("1:"&amp;LEN(metadata!B305))), 1),"0123456789abcdefghijklmnopqrstuvwxyzABCDEFGHIJKLMNOPQRSTUVWXYZ.")))))</f>
        <v>0</v>
      </c>
      <c r="R305" t="b">
        <f>AND(IF(metadata!C305="",FALSE,TRUE),OR(EXACT(metadata!C305,"saline"),EXACT(metadata!C305,"non-saline")))</f>
        <v>0</v>
      </c>
      <c r="S305" t="b">
        <f>AND(IF(metadata!D305="",FALSE,TRUE),OR(EXACT(metadata!D305,"surface (non-saline)"),EXACT(metadata!D305,"aerosol (non-saline)"),EXACT(metadata!D305,"sediment (non-saline)"),EXACT(metadata!D305,"surface (saline)"),EXACT(metadata!D305,"aerosol (saline)"),EXACT(metadata!D305,"sediment (saline)")))</f>
        <v>0</v>
      </c>
      <c r="T305" t="b">
        <f>AND(IF(metadata!E305="",FALSE,TRUE),EXACT(metadata!E305,"built environment"))</f>
        <v>0</v>
      </c>
      <c r="U305" t="b">
        <f>OR(AND(IF(metadata!F305="",FALSE,TRUE),EXACT(metadata!F305,"not applicable")),AND(IF(metadata!F305="",FALSE,TRUE),EXACT(metadata!F305,"anaerobic digester content")))</f>
        <v>0</v>
      </c>
    </row>
    <row r="306" spans="1:21" x14ac:dyDescent="0.2">
      <c r="A306" s="4" t="str">
        <f ca="1">IF(B306=" "," ",HYPERLINK(CONCATENATE("#metadata!",ADDRESS(INDEX($L$2:$L$1001,MATCH(ROWS($J$2:J306),$J$2:$J$1001,0),0),1)),INDEX($O$2:$O$1001,MATCH(ROWS($J$2:J306),$J$2:$J$1001,0),0)))</f>
        <v xml:space="preserve"> </v>
      </c>
      <c r="B306" s="3" t="str">
        <f ca="1">IF(OR(INDEX($K$2:$K$1001,MATCH(ROWS($J$2:J306),$J$2:$J$1001,0),1)&gt;=100000,INDEX($Q$1005:$U$1005,1,MATCH(COLUMNS($Q$1006:Q1006),$Q$1006:$U$1006,0))&gt;=100000), " ",IF(INDEX($Q$2:$U$1001,MATCH(ROWS($J$2:J306),$J$2:$J$1001,0),MATCH(COLUMNS($Q$1006:Q1006),$Q$1006:$U$1006,0)), HYPERLINK("#",""), HYPERLINK(CONCATENATE("#metadata!", ADDRESS(INDEX($L$2:$L$1001,MATCH(ROWS($J$2:J306),$J$2:$J$1001,0),0), INDEX($Q$1004:$U$1004,1,MATCH(COLUMNS($Q$1006:Q1006),$Q$1006:$U$1006,0)))),"Fix")))</f>
        <v xml:space="preserve"> </v>
      </c>
      <c r="C306" s="3" t="str">
        <f ca="1">IF(OR(INDEX($K$2:$K$1001,MATCH(ROWS($J$2:J306),$J$2:$J$1001,0),1)&gt;=100000,INDEX($Q$1005:$U$1005,1,MATCH(COLUMNS($Q$1006:R1006),$Q$1006:$U$1006,0))&gt;=100000), " ",IF(INDEX($Q$2:$U$1001,MATCH(ROWS($J$2:J306),$J$2:$J$1001,0),MATCH(COLUMNS($Q$1006:R1006),$Q$1006:$U$1006,0)), HYPERLINK("#",""), HYPERLINK(CONCATENATE("#metadata!", ADDRESS(INDEX($L$2:$L$1001,MATCH(ROWS($J$2:J306),$J$2:$J$1001,0),0), INDEX($Q$1004:$U$1004,1,MATCH(COLUMNS($Q$1006:R1006),$Q$1006:$U$1006,0)))),"Fix")))</f>
        <v xml:space="preserve"> </v>
      </c>
      <c r="D306" s="3" t="str">
        <f ca="1">IF(OR(INDEX($K$2:$K$1001,MATCH(ROWS($J$2:J306),$J$2:$J$1001,0),1)&gt;=100000,INDEX($Q$1005:$U$1005,1,MATCH(COLUMNS($Q$1006:S1006),$Q$1006:$U$1006,0))&gt;=100000), " ",IF(INDEX($Q$2:$U$1001,MATCH(ROWS($J$2:J306),$J$2:$J$1001,0),MATCH(COLUMNS($Q$1006:S1006),$Q$1006:$U$1006,0)), HYPERLINK("#",""), HYPERLINK(CONCATENATE("#metadata!", ADDRESS(INDEX($L$2:$L$1001,MATCH(ROWS($J$2:J306),$J$2:$J$1001,0),0), INDEX($Q$1004:$U$1004,1,MATCH(COLUMNS($Q$1006:S1006),$Q$1006:$U$1006,0)))),"Fix")))</f>
        <v xml:space="preserve"> </v>
      </c>
      <c r="E306" s="3" t="str">
        <f ca="1">IF(OR(INDEX($K$2:$K$1001,MATCH(ROWS($J$2:J306),$J$2:$J$1001,0),1)&gt;=100000,INDEX($Q$1005:$U$1005,1,MATCH(COLUMNS($Q$1006:T1006),$Q$1006:$U$1006,0))&gt;=100000), " ",IF(INDEX($Q$2:$U$1001,MATCH(ROWS($J$2:J306),$J$2:$J$1001,0),MATCH(COLUMNS($Q$1006:T1006),$Q$1006:$U$1006,0)), HYPERLINK("#",""), HYPERLINK(CONCATENATE("#metadata!", ADDRESS(INDEX($L$2:$L$1001,MATCH(ROWS($J$2:J306),$J$2:$J$1001,0),0), INDEX($Q$1004:$U$1004,1,MATCH(COLUMNS($Q$1006:T1006),$Q$1006:$U$1006,0)))),"Fix")))</f>
        <v xml:space="preserve"> </v>
      </c>
      <c r="F306" s="3" t="str">
        <f ca="1">IF(OR(INDEX($K$2:$K$1001,MATCH(ROWS($J$2:J306),$J$2:$J$1001,0),1)&gt;=100000,INDEX($Q$1005:$U$1005,1,MATCH(COLUMNS($Q$1006:U1006),$Q$1006:$U$1006,0))&gt;=100000), " ",IF(INDEX($Q$2:$U$1001,MATCH(ROWS($J$2:J306),$J$2:$J$1001,0),MATCH(COLUMNS($Q$1006:U1006),$Q$1006:$U$1006,0)), HYPERLINK("#",""), HYPERLINK(CONCATENATE("#metadata!", ADDRESS(INDEX($L$2:$L$1001,MATCH(ROWS($J$2:J306),$J$2:$J$1001,0),0), INDEX($Q$1004:$U$1004,1,MATCH(COLUMNS($Q$1006:U1006),$Q$1006:$U$1006,0)))),"Fix")))</f>
        <v xml:space="preserve"> </v>
      </c>
      <c r="J306">
        <v>305</v>
      </c>
      <c r="K306">
        <v>100306</v>
      </c>
      <c r="L306">
        <v>306</v>
      </c>
      <c r="M306" t="b">
        <f t="shared" si="4"/>
        <v>1</v>
      </c>
      <c r="N306" t="b">
        <f>COUNTBLANK(metadata!B306:F306)=COLUMNS(metadata!B306:F306)</f>
        <v>1</v>
      </c>
      <c r="O306" t="str">
        <v/>
      </c>
      <c r="Q306" t="b">
        <f ca="1">AND(IF(metadata!B306="",FALSE,TRUE),COUNTIF(metadata!B:B, metadata!B306) = 1,NOT(ISERROR(SUMPRODUCT(SEARCH(MID(metadata!B306,ROW(INDIRECT("1:"&amp;LEN(metadata!B306))), 1),"0123456789abcdefghijklmnopqrstuvwxyzABCDEFGHIJKLMNOPQRSTUVWXYZ.")))))</f>
        <v>0</v>
      </c>
      <c r="R306" t="b">
        <f>AND(IF(metadata!C306="",FALSE,TRUE),OR(EXACT(metadata!C306,"saline"),EXACT(metadata!C306,"non-saline")))</f>
        <v>0</v>
      </c>
      <c r="S306" t="b">
        <f>AND(IF(metadata!D306="",FALSE,TRUE),OR(EXACT(metadata!D306,"surface (non-saline)"),EXACT(metadata!D306,"aerosol (non-saline)"),EXACT(metadata!D306,"sediment (non-saline)"),EXACT(metadata!D306,"surface (saline)"),EXACT(metadata!D306,"aerosol (saline)"),EXACT(metadata!D306,"sediment (saline)")))</f>
        <v>0</v>
      </c>
      <c r="T306" t="b">
        <f>AND(IF(metadata!E306="",FALSE,TRUE),EXACT(metadata!E306,"built environment"))</f>
        <v>0</v>
      </c>
      <c r="U306" t="b">
        <f>OR(AND(IF(metadata!F306="",FALSE,TRUE),EXACT(metadata!F306,"not applicable")),AND(IF(metadata!F306="",FALSE,TRUE),EXACT(metadata!F306,"anaerobic digester content")))</f>
        <v>0</v>
      </c>
    </row>
    <row r="307" spans="1:21" x14ac:dyDescent="0.2">
      <c r="A307" s="4" t="str">
        <f ca="1">IF(B307=" "," ",HYPERLINK(CONCATENATE("#metadata!",ADDRESS(INDEX($L$2:$L$1001,MATCH(ROWS($J$2:J307),$J$2:$J$1001,0),0),1)),INDEX($O$2:$O$1001,MATCH(ROWS($J$2:J307),$J$2:$J$1001,0),0)))</f>
        <v xml:space="preserve"> </v>
      </c>
      <c r="B307" s="3" t="str">
        <f ca="1">IF(OR(INDEX($K$2:$K$1001,MATCH(ROWS($J$2:J307),$J$2:$J$1001,0),1)&gt;=100000,INDEX($Q$1005:$U$1005,1,MATCH(COLUMNS($Q$1006:Q1006),$Q$1006:$U$1006,0))&gt;=100000), " ",IF(INDEX($Q$2:$U$1001,MATCH(ROWS($J$2:J307),$J$2:$J$1001,0),MATCH(COLUMNS($Q$1006:Q1006),$Q$1006:$U$1006,0)), HYPERLINK("#",""), HYPERLINK(CONCATENATE("#metadata!", ADDRESS(INDEX($L$2:$L$1001,MATCH(ROWS($J$2:J307),$J$2:$J$1001,0),0), INDEX($Q$1004:$U$1004,1,MATCH(COLUMNS($Q$1006:Q1006),$Q$1006:$U$1006,0)))),"Fix")))</f>
        <v xml:space="preserve"> </v>
      </c>
      <c r="C307" s="3" t="str">
        <f ca="1">IF(OR(INDEX($K$2:$K$1001,MATCH(ROWS($J$2:J307),$J$2:$J$1001,0),1)&gt;=100000,INDEX($Q$1005:$U$1005,1,MATCH(COLUMNS($Q$1006:R1006),$Q$1006:$U$1006,0))&gt;=100000), " ",IF(INDEX($Q$2:$U$1001,MATCH(ROWS($J$2:J307),$J$2:$J$1001,0),MATCH(COLUMNS($Q$1006:R1006),$Q$1006:$U$1006,0)), HYPERLINK("#",""), HYPERLINK(CONCATENATE("#metadata!", ADDRESS(INDEX($L$2:$L$1001,MATCH(ROWS($J$2:J307),$J$2:$J$1001,0),0), INDEX($Q$1004:$U$1004,1,MATCH(COLUMNS($Q$1006:R1006),$Q$1006:$U$1006,0)))),"Fix")))</f>
        <v xml:space="preserve"> </v>
      </c>
      <c r="D307" s="3" t="str">
        <f ca="1">IF(OR(INDEX($K$2:$K$1001,MATCH(ROWS($J$2:J307),$J$2:$J$1001,0),1)&gt;=100000,INDEX($Q$1005:$U$1005,1,MATCH(COLUMNS($Q$1006:S1006),$Q$1006:$U$1006,0))&gt;=100000), " ",IF(INDEX($Q$2:$U$1001,MATCH(ROWS($J$2:J307),$J$2:$J$1001,0),MATCH(COLUMNS($Q$1006:S1006),$Q$1006:$U$1006,0)), HYPERLINK("#",""), HYPERLINK(CONCATENATE("#metadata!", ADDRESS(INDEX($L$2:$L$1001,MATCH(ROWS($J$2:J307),$J$2:$J$1001,0),0), INDEX($Q$1004:$U$1004,1,MATCH(COLUMNS($Q$1006:S1006),$Q$1006:$U$1006,0)))),"Fix")))</f>
        <v xml:space="preserve"> </v>
      </c>
      <c r="E307" s="3" t="str">
        <f ca="1">IF(OR(INDEX($K$2:$K$1001,MATCH(ROWS($J$2:J307),$J$2:$J$1001,0),1)&gt;=100000,INDEX($Q$1005:$U$1005,1,MATCH(COLUMNS($Q$1006:T1006),$Q$1006:$U$1006,0))&gt;=100000), " ",IF(INDEX($Q$2:$U$1001,MATCH(ROWS($J$2:J307),$J$2:$J$1001,0),MATCH(COLUMNS($Q$1006:T1006),$Q$1006:$U$1006,0)), HYPERLINK("#",""), HYPERLINK(CONCATENATE("#metadata!", ADDRESS(INDEX($L$2:$L$1001,MATCH(ROWS($J$2:J307),$J$2:$J$1001,0),0), INDEX($Q$1004:$U$1004,1,MATCH(COLUMNS($Q$1006:T1006),$Q$1006:$U$1006,0)))),"Fix")))</f>
        <v xml:space="preserve"> </v>
      </c>
      <c r="F307" s="3" t="str">
        <f ca="1">IF(OR(INDEX($K$2:$K$1001,MATCH(ROWS($J$2:J307),$J$2:$J$1001,0),1)&gt;=100000,INDEX($Q$1005:$U$1005,1,MATCH(COLUMNS($Q$1006:U1006),$Q$1006:$U$1006,0))&gt;=100000), " ",IF(INDEX($Q$2:$U$1001,MATCH(ROWS($J$2:J307),$J$2:$J$1001,0),MATCH(COLUMNS($Q$1006:U1006),$Q$1006:$U$1006,0)), HYPERLINK("#",""), HYPERLINK(CONCATENATE("#metadata!", ADDRESS(INDEX($L$2:$L$1001,MATCH(ROWS($J$2:J307),$J$2:$J$1001,0),0), INDEX($Q$1004:$U$1004,1,MATCH(COLUMNS($Q$1006:U1006),$Q$1006:$U$1006,0)))),"Fix")))</f>
        <v xml:space="preserve"> </v>
      </c>
      <c r="J307">
        <v>306</v>
      </c>
      <c r="K307">
        <v>100307</v>
      </c>
      <c r="L307">
        <v>307</v>
      </c>
      <c r="M307" t="b">
        <f t="shared" si="4"/>
        <v>1</v>
      </c>
      <c r="N307" t="b">
        <f>COUNTBLANK(metadata!B307:F307)=COLUMNS(metadata!B307:F307)</f>
        <v>1</v>
      </c>
      <c r="O307" t="str">
        <v/>
      </c>
      <c r="Q307" t="b">
        <f ca="1">AND(IF(metadata!B307="",FALSE,TRUE),COUNTIF(metadata!B:B, metadata!B307) = 1,NOT(ISERROR(SUMPRODUCT(SEARCH(MID(metadata!B307,ROW(INDIRECT("1:"&amp;LEN(metadata!B307))), 1),"0123456789abcdefghijklmnopqrstuvwxyzABCDEFGHIJKLMNOPQRSTUVWXYZ.")))))</f>
        <v>0</v>
      </c>
      <c r="R307" t="b">
        <f>AND(IF(metadata!C307="",FALSE,TRUE),OR(EXACT(metadata!C307,"saline"),EXACT(metadata!C307,"non-saline")))</f>
        <v>0</v>
      </c>
      <c r="S307" t="b">
        <f>AND(IF(metadata!D307="",FALSE,TRUE),OR(EXACT(metadata!D307,"surface (non-saline)"),EXACT(metadata!D307,"aerosol (non-saline)"),EXACT(metadata!D307,"sediment (non-saline)"),EXACT(metadata!D307,"surface (saline)"),EXACT(metadata!D307,"aerosol (saline)"),EXACT(metadata!D307,"sediment (saline)")))</f>
        <v>0</v>
      </c>
      <c r="T307" t="b">
        <f>AND(IF(metadata!E307="",FALSE,TRUE),EXACT(metadata!E307,"built environment"))</f>
        <v>0</v>
      </c>
      <c r="U307" t="b">
        <f>OR(AND(IF(metadata!F307="",FALSE,TRUE),EXACT(metadata!F307,"not applicable")),AND(IF(metadata!F307="",FALSE,TRUE),EXACT(metadata!F307,"anaerobic digester content")))</f>
        <v>0</v>
      </c>
    </row>
    <row r="308" spans="1:21" x14ac:dyDescent="0.2">
      <c r="A308" s="4" t="str">
        <f ca="1">IF(B308=" "," ",HYPERLINK(CONCATENATE("#metadata!",ADDRESS(INDEX($L$2:$L$1001,MATCH(ROWS($J$2:J308),$J$2:$J$1001,0),0),1)),INDEX($O$2:$O$1001,MATCH(ROWS($J$2:J308),$J$2:$J$1001,0),0)))</f>
        <v xml:space="preserve"> </v>
      </c>
      <c r="B308" s="3" t="str">
        <f ca="1">IF(OR(INDEX($K$2:$K$1001,MATCH(ROWS($J$2:J308),$J$2:$J$1001,0),1)&gt;=100000,INDEX($Q$1005:$U$1005,1,MATCH(COLUMNS($Q$1006:Q1006),$Q$1006:$U$1006,0))&gt;=100000), " ",IF(INDEX($Q$2:$U$1001,MATCH(ROWS($J$2:J308),$J$2:$J$1001,0),MATCH(COLUMNS($Q$1006:Q1006),$Q$1006:$U$1006,0)), HYPERLINK("#",""), HYPERLINK(CONCATENATE("#metadata!", ADDRESS(INDEX($L$2:$L$1001,MATCH(ROWS($J$2:J308),$J$2:$J$1001,0),0), INDEX($Q$1004:$U$1004,1,MATCH(COLUMNS($Q$1006:Q1006),$Q$1006:$U$1006,0)))),"Fix")))</f>
        <v xml:space="preserve"> </v>
      </c>
      <c r="C308" s="3" t="str">
        <f ca="1">IF(OR(INDEX($K$2:$K$1001,MATCH(ROWS($J$2:J308),$J$2:$J$1001,0),1)&gt;=100000,INDEX($Q$1005:$U$1005,1,MATCH(COLUMNS($Q$1006:R1006),$Q$1006:$U$1006,0))&gt;=100000), " ",IF(INDEX($Q$2:$U$1001,MATCH(ROWS($J$2:J308),$J$2:$J$1001,0),MATCH(COLUMNS($Q$1006:R1006),$Q$1006:$U$1006,0)), HYPERLINK("#",""), HYPERLINK(CONCATENATE("#metadata!", ADDRESS(INDEX($L$2:$L$1001,MATCH(ROWS($J$2:J308),$J$2:$J$1001,0),0), INDEX($Q$1004:$U$1004,1,MATCH(COLUMNS($Q$1006:R1006),$Q$1006:$U$1006,0)))),"Fix")))</f>
        <v xml:space="preserve"> </v>
      </c>
      <c r="D308" s="3" t="str">
        <f ca="1">IF(OR(INDEX($K$2:$K$1001,MATCH(ROWS($J$2:J308),$J$2:$J$1001,0),1)&gt;=100000,INDEX($Q$1005:$U$1005,1,MATCH(COLUMNS($Q$1006:S1006),$Q$1006:$U$1006,0))&gt;=100000), " ",IF(INDEX($Q$2:$U$1001,MATCH(ROWS($J$2:J308),$J$2:$J$1001,0),MATCH(COLUMNS($Q$1006:S1006),$Q$1006:$U$1006,0)), HYPERLINK("#",""), HYPERLINK(CONCATENATE("#metadata!", ADDRESS(INDEX($L$2:$L$1001,MATCH(ROWS($J$2:J308),$J$2:$J$1001,0),0), INDEX($Q$1004:$U$1004,1,MATCH(COLUMNS($Q$1006:S1006),$Q$1006:$U$1006,0)))),"Fix")))</f>
        <v xml:space="preserve"> </v>
      </c>
      <c r="E308" s="3" t="str">
        <f ca="1">IF(OR(INDEX($K$2:$K$1001,MATCH(ROWS($J$2:J308),$J$2:$J$1001,0),1)&gt;=100000,INDEX($Q$1005:$U$1005,1,MATCH(COLUMNS($Q$1006:T1006),$Q$1006:$U$1006,0))&gt;=100000), " ",IF(INDEX($Q$2:$U$1001,MATCH(ROWS($J$2:J308),$J$2:$J$1001,0),MATCH(COLUMNS($Q$1006:T1006),$Q$1006:$U$1006,0)), HYPERLINK("#",""), HYPERLINK(CONCATENATE("#metadata!", ADDRESS(INDEX($L$2:$L$1001,MATCH(ROWS($J$2:J308),$J$2:$J$1001,0),0), INDEX($Q$1004:$U$1004,1,MATCH(COLUMNS($Q$1006:T1006),$Q$1006:$U$1006,0)))),"Fix")))</f>
        <v xml:space="preserve"> </v>
      </c>
      <c r="F308" s="3" t="str">
        <f ca="1">IF(OR(INDEX($K$2:$K$1001,MATCH(ROWS($J$2:J308),$J$2:$J$1001,0),1)&gt;=100000,INDEX($Q$1005:$U$1005,1,MATCH(COLUMNS($Q$1006:U1006),$Q$1006:$U$1006,0))&gt;=100000), " ",IF(INDEX($Q$2:$U$1001,MATCH(ROWS($J$2:J308),$J$2:$J$1001,0),MATCH(COLUMNS($Q$1006:U1006),$Q$1006:$U$1006,0)), HYPERLINK("#",""), HYPERLINK(CONCATENATE("#metadata!", ADDRESS(INDEX($L$2:$L$1001,MATCH(ROWS($J$2:J308),$J$2:$J$1001,0),0), INDEX($Q$1004:$U$1004,1,MATCH(COLUMNS($Q$1006:U1006),$Q$1006:$U$1006,0)))),"Fix")))</f>
        <v xml:space="preserve"> </v>
      </c>
      <c r="J308">
        <v>307</v>
      </c>
      <c r="K308">
        <v>100308</v>
      </c>
      <c r="L308">
        <v>308</v>
      </c>
      <c r="M308" t="b">
        <f t="shared" si="4"/>
        <v>1</v>
      </c>
      <c r="N308" t="b">
        <f>COUNTBLANK(metadata!B308:F308)=COLUMNS(metadata!B308:F308)</f>
        <v>1</v>
      </c>
      <c r="O308" t="str">
        <v/>
      </c>
      <c r="Q308" t="b">
        <f ca="1">AND(IF(metadata!B308="",FALSE,TRUE),COUNTIF(metadata!B:B, metadata!B308) = 1,NOT(ISERROR(SUMPRODUCT(SEARCH(MID(metadata!B308,ROW(INDIRECT("1:"&amp;LEN(metadata!B308))), 1),"0123456789abcdefghijklmnopqrstuvwxyzABCDEFGHIJKLMNOPQRSTUVWXYZ.")))))</f>
        <v>0</v>
      </c>
      <c r="R308" t="b">
        <f>AND(IF(metadata!C308="",FALSE,TRUE),OR(EXACT(metadata!C308,"saline"),EXACT(metadata!C308,"non-saline")))</f>
        <v>0</v>
      </c>
      <c r="S308" t="b">
        <f>AND(IF(metadata!D308="",FALSE,TRUE),OR(EXACT(metadata!D308,"surface (non-saline)"),EXACT(metadata!D308,"aerosol (non-saline)"),EXACT(metadata!D308,"sediment (non-saline)"),EXACT(metadata!D308,"surface (saline)"),EXACT(metadata!D308,"aerosol (saline)"),EXACT(metadata!D308,"sediment (saline)")))</f>
        <v>0</v>
      </c>
      <c r="T308" t="b">
        <f>AND(IF(metadata!E308="",FALSE,TRUE),EXACT(metadata!E308,"built environment"))</f>
        <v>0</v>
      </c>
      <c r="U308" t="b">
        <f>OR(AND(IF(metadata!F308="",FALSE,TRUE),EXACT(metadata!F308,"not applicable")),AND(IF(metadata!F308="",FALSE,TRUE),EXACT(metadata!F308,"anaerobic digester content")))</f>
        <v>0</v>
      </c>
    </row>
    <row r="309" spans="1:21" x14ac:dyDescent="0.2">
      <c r="A309" s="4" t="str">
        <f ca="1">IF(B309=" "," ",HYPERLINK(CONCATENATE("#metadata!",ADDRESS(INDEX($L$2:$L$1001,MATCH(ROWS($J$2:J309),$J$2:$J$1001,0),0),1)),INDEX($O$2:$O$1001,MATCH(ROWS($J$2:J309),$J$2:$J$1001,0),0)))</f>
        <v xml:space="preserve"> </v>
      </c>
      <c r="B309" s="3" t="str">
        <f ca="1">IF(OR(INDEX($K$2:$K$1001,MATCH(ROWS($J$2:J309),$J$2:$J$1001,0),1)&gt;=100000,INDEX($Q$1005:$U$1005,1,MATCH(COLUMNS($Q$1006:Q1006),$Q$1006:$U$1006,0))&gt;=100000), " ",IF(INDEX($Q$2:$U$1001,MATCH(ROWS($J$2:J309),$J$2:$J$1001,0),MATCH(COLUMNS($Q$1006:Q1006),$Q$1006:$U$1006,0)), HYPERLINK("#",""), HYPERLINK(CONCATENATE("#metadata!", ADDRESS(INDEX($L$2:$L$1001,MATCH(ROWS($J$2:J309),$J$2:$J$1001,0),0), INDEX($Q$1004:$U$1004,1,MATCH(COLUMNS($Q$1006:Q1006),$Q$1006:$U$1006,0)))),"Fix")))</f>
        <v xml:space="preserve"> </v>
      </c>
      <c r="C309" s="3" t="str">
        <f ca="1">IF(OR(INDEX($K$2:$K$1001,MATCH(ROWS($J$2:J309),$J$2:$J$1001,0),1)&gt;=100000,INDEX($Q$1005:$U$1005,1,MATCH(COLUMNS($Q$1006:R1006),$Q$1006:$U$1006,0))&gt;=100000), " ",IF(INDEX($Q$2:$U$1001,MATCH(ROWS($J$2:J309),$J$2:$J$1001,0),MATCH(COLUMNS($Q$1006:R1006),$Q$1006:$U$1006,0)), HYPERLINK("#",""), HYPERLINK(CONCATENATE("#metadata!", ADDRESS(INDEX($L$2:$L$1001,MATCH(ROWS($J$2:J309),$J$2:$J$1001,0),0), INDEX($Q$1004:$U$1004,1,MATCH(COLUMNS($Q$1006:R1006),$Q$1006:$U$1006,0)))),"Fix")))</f>
        <v xml:space="preserve"> </v>
      </c>
      <c r="D309" s="3" t="str">
        <f ca="1">IF(OR(INDEX($K$2:$K$1001,MATCH(ROWS($J$2:J309),$J$2:$J$1001,0),1)&gt;=100000,INDEX($Q$1005:$U$1005,1,MATCH(COLUMNS($Q$1006:S1006),$Q$1006:$U$1006,0))&gt;=100000), " ",IF(INDEX($Q$2:$U$1001,MATCH(ROWS($J$2:J309),$J$2:$J$1001,0),MATCH(COLUMNS($Q$1006:S1006),$Q$1006:$U$1006,0)), HYPERLINK("#",""), HYPERLINK(CONCATENATE("#metadata!", ADDRESS(INDEX($L$2:$L$1001,MATCH(ROWS($J$2:J309),$J$2:$J$1001,0),0), INDEX($Q$1004:$U$1004,1,MATCH(COLUMNS($Q$1006:S1006),$Q$1006:$U$1006,0)))),"Fix")))</f>
        <v xml:space="preserve"> </v>
      </c>
      <c r="E309" s="3" t="str">
        <f ca="1">IF(OR(INDEX($K$2:$K$1001,MATCH(ROWS($J$2:J309),$J$2:$J$1001,0),1)&gt;=100000,INDEX($Q$1005:$U$1005,1,MATCH(COLUMNS($Q$1006:T1006),$Q$1006:$U$1006,0))&gt;=100000), " ",IF(INDEX($Q$2:$U$1001,MATCH(ROWS($J$2:J309),$J$2:$J$1001,0),MATCH(COLUMNS($Q$1006:T1006),$Q$1006:$U$1006,0)), HYPERLINK("#",""), HYPERLINK(CONCATENATE("#metadata!", ADDRESS(INDEX($L$2:$L$1001,MATCH(ROWS($J$2:J309),$J$2:$J$1001,0),0), INDEX($Q$1004:$U$1004,1,MATCH(COLUMNS($Q$1006:T1006),$Q$1006:$U$1006,0)))),"Fix")))</f>
        <v xml:space="preserve"> </v>
      </c>
      <c r="F309" s="3" t="str">
        <f ca="1">IF(OR(INDEX($K$2:$K$1001,MATCH(ROWS($J$2:J309),$J$2:$J$1001,0),1)&gt;=100000,INDEX($Q$1005:$U$1005,1,MATCH(COLUMNS($Q$1006:U1006),$Q$1006:$U$1006,0))&gt;=100000), " ",IF(INDEX($Q$2:$U$1001,MATCH(ROWS($J$2:J309),$J$2:$J$1001,0),MATCH(COLUMNS($Q$1006:U1006),$Q$1006:$U$1006,0)), HYPERLINK("#",""), HYPERLINK(CONCATENATE("#metadata!", ADDRESS(INDEX($L$2:$L$1001,MATCH(ROWS($J$2:J309),$J$2:$J$1001,0),0), INDEX($Q$1004:$U$1004,1,MATCH(COLUMNS($Q$1006:U1006),$Q$1006:$U$1006,0)))),"Fix")))</f>
        <v xml:space="preserve"> </v>
      </c>
      <c r="J309">
        <v>308</v>
      </c>
      <c r="K309">
        <v>100309</v>
      </c>
      <c r="L309">
        <v>309</v>
      </c>
      <c r="M309" t="b">
        <f t="shared" si="4"/>
        <v>1</v>
      </c>
      <c r="N309" t="b">
        <f>COUNTBLANK(metadata!B309:F309)=COLUMNS(metadata!B309:F309)</f>
        <v>1</v>
      </c>
      <c r="O309" t="str">
        <v/>
      </c>
      <c r="Q309" t="b">
        <f ca="1">AND(IF(metadata!B309="",FALSE,TRUE),COUNTIF(metadata!B:B, metadata!B309) = 1,NOT(ISERROR(SUMPRODUCT(SEARCH(MID(metadata!B309,ROW(INDIRECT("1:"&amp;LEN(metadata!B309))), 1),"0123456789abcdefghijklmnopqrstuvwxyzABCDEFGHIJKLMNOPQRSTUVWXYZ.")))))</f>
        <v>0</v>
      </c>
      <c r="R309" t="b">
        <f>AND(IF(metadata!C309="",FALSE,TRUE),OR(EXACT(metadata!C309,"saline"),EXACT(metadata!C309,"non-saline")))</f>
        <v>0</v>
      </c>
      <c r="S309" t="b">
        <f>AND(IF(metadata!D309="",FALSE,TRUE),OR(EXACT(metadata!D309,"surface (non-saline)"),EXACT(metadata!D309,"aerosol (non-saline)"),EXACT(metadata!D309,"sediment (non-saline)"),EXACT(metadata!D309,"surface (saline)"),EXACT(metadata!D309,"aerosol (saline)"),EXACT(metadata!D309,"sediment (saline)")))</f>
        <v>0</v>
      </c>
      <c r="T309" t="b">
        <f>AND(IF(metadata!E309="",FALSE,TRUE),EXACT(metadata!E309,"built environment"))</f>
        <v>0</v>
      </c>
      <c r="U309" t="b">
        <f>OR(AND(IF(metadata!F309="",FALSE,TRUE),EXACT(metadata!F309,"not applicable")),AND(IF(metadata!F309="",FALSE,TRUE),EXACT(metadata!F309,"anaerobic digester content")))</f>
        <v>0</v>
      </c>
    </row>
    <row r="310" spans="1:21" x14ac:dyDescent="0.2">
      <c r="A310" s="4" t="str">
        <f ca="1">IF(B310=" "," ",HYPERLINK(CONCATENATE("#metadata!",ADDRESS(INDEX($L$2:$L$1001,MATCH(ROWS($J$2:J310),$J$2:$J$1001,0),0),1)),INDEX($O$2:$O$1001,MATCH(ROWS($J$2:J310),$J$2:$J$1001,0),0)))</f>
        <v xml:space="preserve"> </v>
      </c>
      <c r="B310" s="3" t="str">
        <f ca="1">IF(OR(INDEX($K$2:$K$1001,MATCH(ROWS($J$2:J310),$J$2:$J$1001,0),1)&gt;=100000,INDEX($Q$1005:$U$1005,1,MATCH(COLUMNS($Q$1006:Q1006),$Q$1006:$U$1006,0))&gt;=100000), " ",IF(INDEX($Q$2:$U$1001,MATCH(ROWS($J$2:J310),$J$2:$J$1001,0),MATCH(COLUMNS($Q$1006:Q1006),$Q$1006:$U$1006,0)), HYPERLINK("#",""), HYPERLINK(CONCATENATE("#metadata!", ADDRESS(INDEX($L$2:$L$1001,MATCH(ROWS($J$2:J310),$J$2:$J$1001,0),0), INDEX($Q$1004:$U$1004,1,MATCH(COLUMNS($Q$1006:Q1006),$Q$1006:$U$1006,0)))),"Fix")))</f>
        <v xml:space="preserve"> </v>
      </c>
      <c r="C310" s="3" t="str">
        <f ca="1">IF(OR(INDEX($K$2:$K$1001,MATCH(ROWS($J$2:J310),$J$2:$J$1001,0),1)&gt;=100000,INDEX($Q$1005:$U$1005,1,MATCH(COLUMNS($Q$1006:R1006),$Q$1006:$U$1006,0))&gt;=100000), " ",IF(INDEX($Q$2:$U$1001,MATCH(ROWS($J$2:J310),$J$2:$J$1001,0),MATCH(COLUMNS($Q$1006:R1006),$Q$1006:$U$1006,0)), HYPERLINK("#",""), HYPERLINK(CONCATENATE("#metadata!", ADDRESS(INDEX($L$2:$L$1001,MATCH(ROWS($J$2:J310),$J$2:$J$1001,0),0), INDEX($Q$1004:$U$1004,1,MATCH(COLUMNS($Q$1006:R1006),$Q$1006:$U$1006,0)))),"Fix")))</f>
        <v xml:space="preserve"> </v>
      </c>
      <c r="D310" s="3" t="str">
        <f ca="1">IF(OR(INDEX($K$2:$K$1001,MATCH(ROWS($J$2:J310),$J$2:$J$1001,0),1)&gt;=100000,INDEX($Q$1005:$U$1005,1,MATCH(COLUMNS($Q$1006:S1006),$Q$1006:$U$1006,0))&gt;=100000), " ",IF(INDEX($Q$2:$U$1001,MATCH(ROWS($J$2:J310),$J$2:$J$1001,0),MATCH(COLUMNS($Q$1006:S1006),$Q$1006:$U$1006,0)), HYPERLINK("#",""), HYPERLINK(CONCATENATE("#metadata!", ADDRESS(INDEX($L$2:$L$1001,MATCH(ROWS($J$2:J310),$J$2:$J$1001,0),0), INDEX($Q$1004:$U$1004,1,MATCH(COLUMNS($Q$1006:S1006),$Q$1006:$U$1006,0)))),"Fix")))</f>
        <v xml:space="preserve"> </v>
      </c>
      <c r="E310" s="3" t="str">
        <f ca="1">IF(OR(INDEX($K$2:$K$1001,MATCH(ROWS($J$2:J310),$J$2:$J$1001,0),1)&gt;=100000,INDEX($Q$1005:$U$1005,1,MATCH(COLUMNS($Q$1006:T1006),$Q$1006:$U$1006,0))&gt;=100000), " ",IF(INDEX($Q$2:$U$1001,MATCH(ROWS($J$2:J310),$J$2:$J$1001,0),MATCH(COLUMNS($Q$1006:T1006),$Q$1006:$U$1006,0)), HYPERLINK("#",""), HYPERLINK(CONCATENATE("#metadata!", ADDRESS(INDEX($L$2:$L$1001,MATCH(ROWS($J$2:J310),$J$2:$J$1001,0),0), INDEX($Q$1004:$U$1004,1,MATCH(COLUMNS($Q$1006:T1006),$Q$1006:$U$1006,0)))),"Fix")))</f>
        <v xml:space="preserve"> </v>
      </c>
      <c r="F310" s="3" t="str">
        <f ca="1">IF(OR(INDEX($K$2:$K$1001,MATCH(ROWS($J$2:J310),$J$2:$J$1001,0),1)&gt;=100000,INDEX($Q$1005:$U$1005,1,MATCH(COLUMNS($Q$1006:U1006),$Q$1006:$U$1006,0))&gt;=100000), " ",IF(INDEX($Q$2:$U$1001,MATCH(ROWS($J$2:J310),$J$2:$J$1001,0),MATCH(COLUMNS($Q$1006:U1006),$Q$1006:$U$1006,0)), HYPERLINK("#",""), HYPERLINK(CONCATENATE("#metadata!", ADDRESS(INDEX($L$2:$L$1001,MATCH(ROWS($J$2:J310),$J$2:$J$1001,0),0), INDEX($Q$1004:$U$1004,1,MATCH(COLUMNS($Q$1006:U1006),$Q$1006:$U$1006,0)))),"Fix")))</f>
        <v xml:space="preserve"> </v>
      </c>
      <c r="J310">
        <v>309</v>
      </c>
      <c r="K310">
        <v>100310</v>
      </c>
      <c r="L310">
        <v>310</v>
      </c>
      <c r="M310" t="b">
        <f t="shared" si="4"/>
        <v>1</v>
      </c>
      <c r="N310" t="b">
        <f>COUNTBLANK(metadata!B310:F310)=COLUMNS(metadata!B310:F310)</f>
        <v>1</v>
      </c>
      <c r="O310" t="str">
        <v/>
      </c>
      <c r="Q310" t="b">
        <f ca="1">AND(IF(metadata!B310="",FALSE,TRUE),COUNTIF(metadata!B:B, metadata!B310) = 1,NOT(ISERROR(SUMPRODUCT(SEARCH(MID(metadata!B310,ROW(INDIRECT("1:"&amp;LEN(metadata!B310))), 1),"0123456789abcdefghijklmnopqrstuvwxyzABCDEFGHIJKLMNOPQRSTUVWXYZ.")))))</f>
        <v>0</v>
      </c>
      <c r="R310" t="b">
        <f>AND(IF(metadata!C310="",FALSE,TRUE),OR(EXACT(metadata!C310,"saline"),EXACT(metadata!C310,"non-saline")))</f>
        <v>0</v>
      </c>
      <c r="S310" t="b">
        <f>AND(IF(metadata!D310="",FALSE,TRUE),OR(EXACT(metadata!D310,"surface (non-saline)"),EXACT(metadata!D310,"aerosol (non-saline)"),EXACT(metadata!D310,"sediment (non-saline)"),EXACT(metadata!D310,"surface (saline)"),EXACT(metadata!D310,"aerosol (saline)"),EXACT(metadata!D310,"sediment (saline)")))</f>
        <v>0</v>
      </c>
      <c r="T310" t="b">
        <f>AND(IF(metadata!E310="",FALSE,TRUE),EXACT(metadata!E310,"built environment"))</f>
        <v>0</v>
      </c>
      <c r="U310" t="b">
        <f>OR(AND(IF(metadata!F310="",FALSE,TRUE),EXACT(metadata!F310,"not applicable")),AND(IF(metadata!F310="",FALSE,TRUE),EXACT(metadata!F310,"anaerobic digester content")))</f>
        <v>0</v>
      </c>
    </row>
    <row r="311" spans="1:21" x14ac:dyDescent="0.2">
      <c r="A311" s="4" t="str">
        <f ca="1">IF(B311=" "," ",HYPERLINK(CONCATENATE("#metadata!",ADDRESS(INDEX($L$2:$L$1001,MATCH(ROWS($J$2:J311),$J$2:$J$1001,0),0),1)),INDEX($O$2:$O$1001,MATCH(ROWS($J$2:J311),$J$2:$J$1001,0),0)))</f>
        <v xml:space="preserve"> </v>
      </c>
      <c r="B311" s="3" t="str">
        <f ca="1">IF(OR(INDEX($K$2:$K$1001,MATCH(ROWS($J$2:J311),$J$2:$J$1001,0),1)&gt;=100000,INDEX($Q$1005:$U$1005,1,MATCH(COLUMNS($Q$1006:Q1006),$Q$1006:$U$1006,0))&gt;=100000), " ",IF(INDEX($Q$2:$U$1001,MATCH(ROWS($J$2:J311),$J$2:$J$1001,0),MATCH(COLUMNS($Q$1006:Q1006),$Q$1006:$U$1006,0)), HYPERLINK("#",""), HYPERLINK(CONCATENATE("#metadata!", ADDRESS(INDEX($L$2:$L$1001,MATCH(ROWS($J$2:J311),$J$2:$J$1001,0),0), INDEX($Q$1004:$U$1004,1,MATCH(COLUMNS($Q$1006:Q1006),$Q$1006:$U$1006,0)))),"Fix")))</f>
        <v xml:space="preserve"> </v>
      </c>
      <c r="C311" s="3" t="str">
        <f ca="1">IF(OR(INDEX($K$2:$K$1001,MATCH(ROWS($J$2:J311),$J$2:$J$1001,0),1)&gt;=100000,INDEX($Q$1005:$U$1005,1,MATCH(COLUMNS($Q$1006:R1006),$Q$1006:$U$1006,0))&gt;=100000), " ",IF(INDEX($Q$2:$U$1001,MATCH(ROWS($J$2:J311),$J$2:$J$1001,0),MATCH(COLUMNS($Q$1006:R1006),$Q$1006:$U$1006,0)), HYPERLINK("#",""), HYPERLINK(CONCATENATE("#metadata!", ADDRESS(INDEX($L$2:$L$1001,MATCH(ROWS($J$2:J311),$J$2:$J$1001,0),0), INDEX($Q$1004:$U$1004,1,MATCH(COLUMNS($Q$1006:R1006),$Q$1006:$U$1006,0)))),"Fix")))</f>
        <v xml:space="preserve"> </v>
      </c>
      <c r="D311" s="3" t="str">
        <f ca="1">IF(OR(INDEX($K$2:$K$1001,MATCH(ROWS($J$2:J311),$J$2:$J$1001,0),1)&gt;=100000,INDEX($Q$1005:$U$1005,1,MATCH(COLUMNS($Q$1006:S1006),$Q$1006:$U$1006,0))&gt;=100000), " ",IF(INDEX($Q$2:$U$1001,MATCH(ROWS($J$2:J311),$J$2:$J$1001,0),MATCH(COLUMNS($Q$1006:S1006),$Q$1006:$U$1006,0)), HYPERLINK("#",""), HYPERLINK(CONCATENATE("#metadata!", ADDRESS(INDEX($L$2:$L$1001,MATCH(ROWS($J$2:J311),$J$2:$J$1001,0),0), INDEX($Q$1004:$U$1004,1,MATCH(COLUMNS($Q$1006:S1006),$Q$1006:$U$1006,0)))),"Fix")))</f>
        <v xml:space="preserve"> </v>
      </c>
      <c r="E311" s="3" t="str">
        <f ca="1">IF(OR(INDEX($K$2:$K$1001,MATCH(ROWS($J$2:J311),$J$2:$J$1001,0),1)&gt;=100000,INDEX($Q$1005:$U$1005,1,MATCH(COLUMNS($Q$1006:T1006),$Q$1006:$U$1006,0))&gt;=100000), " ",IF(INDEX($Q$2:$U$1001,MATCH(ROWS($J$2:J311),$J$2:$J$1001,0),MATCH(COLUMNS($Q$1006:T1006),$Q$1006:$U$1006,0)), HYPERLINK("#",""), HYPERLINK(CONCATENATE("#metadata!", ADDRESS(INDEX($L$2:$L$1001,MATCH(ROWS($J$2:J311),$J$2:$J$1001,0),0), INDEX($Q$1004:$U$1004,1,MATCH(COLUMNS($Q$1006:T1006),$Q$1006:$U$1006,0)))),"Fix")))</f>
        <v xml:space="preserve"> </v>
      </c>
      <c r="F311" s="3" t="str">
        <f ca="1">IF(OR(INDEX($K$2:$K$1001,MATCH(ROWS($J$2:J311),$J$2:$J$1001,0),1)&gt;=100000,INDEX($Q$1005:$U$1005,1,MATCH(COLUMNS($Q$1006:U1006),$Q$1006:$U$1006,0))&gt;=100000), " ",IF(INDEX($Q$2:$U$1001,MATCH(ROWS($J$2:J311),$J$2:$J$1001,0),MATCH(COLUMNS($Q$1006:U1006),$Q$1006:$U$1006,0)), HYPERLINK("#",""), HYPERLINK(CONCATENATE("#metadata!", ADDRESS(INDEX($L$2:$L$1001,MATCH(ROWS($J$2:J311),$J$2:$J$1001,0),0), INDEX($Q$1004:$U$1004,1,MATCH(COLUMNS($Q$1006:U1006),$Q$1006:$U$1006,0)))),"Fix")))</f>
        <v xml:space="preserve"> </v>
      </c>
      <c r="J311">
        <v>310</v>
      </c>
      <c r="K311">
        <v>100311</v>
      </c>
      <c r="L311">
        <v>311</v>
      </c>
      <c r="M311" t="b">
        <f t="shared" si="4"/>
        <v>1</v>
      </c>
      <c r="N311" t="b">
        <f>COUNTBLANK(metadata!B311:F311)=COLUMNS(metadata!B311:F311)</f>
        <v>1</v>
      </c>
      <c r="O311" t="str">
        <v/>
      </c>
      <c r="Q311" t="b">
        <f ca="1">AND(IF(metadata!B311="",FALSE,TRUE),COUNTIF(metadata!B:B, metadata!B311) = 1,NOT(ISERROR(SUMPRODUCT(SEARCH(MID(metadata!B311,ROW(INDIRECT("1:"&amp;LEN(metadata!B311))), 1),"0123456789abcdefghijklmnopqrstuvwxyzABCDEFGHIJKLMNOPQRSTUVWXYZ.")))))</f>
        <v>0</v>
      </c>
      <c r="R311" t="b">
        <f>AND(IF(metadata!C311="",FALSE,TRUE),OR(EXACT(metadata!C311,"saline"),EXACT(metadata!C311,"non-saline")))</f>
        <v>0</v>
      </c>
      <c r="S311" t="b">
        <f>AND(IF(metadata!D311="",FALSE,TRUE),OR(EXACT(metadata!D311,"surface (non-saline)"),EXACT(metadata!D311,"aerosol (non-saline)"),EXACT(metadata!D311,"sediment (non-saline)"),EXACT(metadata!D311,"surface (saline)"),EXACT(metadata!D311,"aerosol (saline)"),EXACT(metadata!D311,"sediment (saline)")))</f>
        <v>0</v>
      </c>
      <c r="T311" t="b">
        <f>AND(IF(metadata!E311="",FALSE,TRUE),EXACT(metadata!E311,"built environment"))</f>
        <v>0</v>
      </c>
      <c r="U311" t="b">
        <f>OR(AND(IF(metadata!F311="",FALSE,TRUE),EXACT(metadata!F311,"not applicable")),AND(IF(metadata!F311="",FALSE,TRUE),EXACT(metadata!F311,"anaerobic digester content")))</f>
        <v>0</v>
      </c>
    </row>
    <row r="312" spans="1:21" x14ac:dyDescent="0.2">
      <c r="A312" s="4" t="str">
        <f ca="1">IF(B312=" "," ",HYPERLINK(CONCATENATE("#metadata!",ADDRESS(INDEX($L$2:$L$1001,MATCH(ROWS($J$2:J312),$J$2:$J$1001,0),0),1)),INDEX($O$2:$O$1001,MATCH(ROWS($J$2:J312),$J$2:$J$1001,0),0)))</f>
        <v xml:space="preserve"> </v>
      </c>
      <c r="B312" s="3" t="str">
        <f ca="1">IF(OR(INDEX($K$2:$K$1001,MATCH(ROWS($J$2:J312),$J$2:$J$1001,0),1)&gt;=100000,INDEX($Q$1005:$U$1005,1,MATCH(COLUMNS($Q$1006:Q1006),$Q$1006:$U$1006,0))&gt;=100000), " ",IF(INDEX($Q$2:$U$1001,MATCH(ROWS($J$2:J312),$J$2:$J$1001,0),MATCH(COLUMNS($Q$1006:Q1006),$Q$1006:$U$1006,0)), HYPERLINK("#",""), HYPERLINK(CONCATENATE("#metadata!", ADDRESS(INDEX($L$2:$L$1001,MATCH(ROWS($J$2:J312),$J$2:$J$1001,0),0), INDEX($Q$1004:$U$1004,1,MATCH(COLUMNS($Q$1006:Q1006),$Q$1006:$U$1006,0)))),"Fix")))</f>
        <v xml:space="preserve"> </v>
      </c>
      <c r="C312" s="3" t="str">
        <f ca="1">IF(OR(INDEX($K$2:$K$1001,MATCH(ROWS($J$2:J312),$J$2:$J$1001,0),1)&gt;=100000,INDEX($Q$1005:$U$1005,1,MATCH(COLUMNS($Q$1006:R1006),$Q$1006:$U$1006,0))&gt;=100000), " ",IF(INDEX($Q$2:$U$1001,MATCH(ROWS($J$2:J312),$J$2:$J$1001,0),MATCH(COLUMNS($Q$1006:R1006),$Q$1006:$U$1006,0)), HYPERLINK("#",""), HYPERLINK(CONCATENATE("#metadata!", ADDRESS(INDEX($L$2:$L$1001,MATCH(ROWS($J$2:J312),$J$2:$J$1001,0),0), INDEX($Q$1004:$U$1004,1,MATCH(COLUMNS($Q$1006:R1006),$Q$1006:$U$1006,0)))),"Fix")))</f>
        <v xml:space="preserve"> </v>
      </c>
      <c r="D312" s="3" t="str">
        <f ca="1">IF(OR(INDEX($K$2:$K$1001,MATCH(ROWS($J$2:J312),$J$2:$J$1001,0),1)&gt;=100000,INDEX($Q$1005:$U$1005,1,MATCH(COLUMNS($Q$1006:S1006),$Q$1006:$U$1006,0))&gt;=100000), " ",IF(INDEX($Q$2:$U$1001,MATCH(ROWS($J$2:J312),$J$2:$J$1001,0),MATCH(COLUMNS($Q$1006:S1006),$Q$1006:$U$1006,0)), HYPERLINK("#",""), HYPERLINK(CONCATENATE("#metadata!", ADDRESS(INDEX($L$2:$L$1001,MATCH(ROWS($J$2:J312),$J$2:$J$1001,0),0), INDEX($Q$1004:$U$1004,1,MATCH(COLUMNS($Q$1006:S1006),$Q$1006:$U$1006,0)))),"Fix")))</f>
        <v xml:space="preserve"> </v>
      </c>
      <c r="E312" s="3" t="str">
        <f ca="1">IF(OR(INDEX($K$2:$K$1001,MATCH(ROWS($J$2:J312),$J$2:$J$1001,0),1)&gt;=100000,INDEX($Q$1005:$U$1005,1,MATCH(COLUMNS($Q$1006:T1006),$Q$1006:$U$1006,0))&gt;=100000), " ",IF(INDEX($Q$2:$U$1001,MATCH(ROWS($J$2:J312),$J$2:$J$1001,0),MATCH(COLUMNS($Q$1006:T1006),$Q$1006:$U$1006,0)), HYPERLINK("#",""), HYPERLINK(CONCATENATE("#metadata!", ADDRESS(INDEX($L$2:$L$1001,MATCH(ROWS($J$2:J312),$J$2:$J$1001,0),0), INDEX($Q$1004:$U$1004,1,MATCH(COLUMNS($Q$1006:T1006),$Q$1006:$U$1006,0)))),"Fix")))</f>
        <v xml:space="preserve"> </v>
      </c>
      <c r="F312" s="3" t="str">
        <f ca="1">IF(OR(INDEX($K$2:$K$1001,MATCH(ROWS($J$2:J312),$J$2:$J$1001,0),1)&gt;=100000,INDEX($Q$1005:$U$1005,1,MATCH(COLUMNS($Q$1006:U1006),$Q$1006:$U$1006,0))&gt;=100000), " ",IF(INDEX($Q$2:$U$1001,MATCH(ROWS($J$2:J312),$J$2:$J$1001,0),MATCH(COLUMNS($Q$1006:U1006),$Q$1006:$U$1006,0)), HYPERLINK("#",""), HYPERLINK(CONCATENATE("#metadata!", ADDRESS(INDEX($L$2:$L$1001,MATCH(ROWS($J$2:J312),$J$2:$J$1001,0),0), INDEX($Q$1004:$U$1004,1,MATCH(COLUMNS($Q$1006:U1006),$Q$1006:$U$1006,0)))),"Fix")))</f>
        <v xml:space="preserve"> </v>
      </c>
      <c r="J312">
        <v>311</v>
      </c>
      <c r="K312">
        <v>100312</v>
      </c>
      <c r="L312">
        <v>312</v>
      </c>
      <c r="M312" t="b">
        <f t="shared" si="4"/>
        <v>1</v>
      </c>
      <c r="N312" t="b">
        <f>COUNTBLANK(metadata!B312:F312)=COLUMNS(metadata!B312:F312)</f>
        <v>1</v>
      </c>
      <c r="O312" t="str">
        <v/>
      </c>
      <c r="Q312" t="b">
        <f ca="1">AND(IF(metadata!B312="",FALSE,TRUE),COUNTIF(metadata!B:B, metadata!B312) = 1,NOT(ISERROR(SUMPRODUCT(SEARCH(MID(metadata!B312,ROW(INDIRECT("1:"&amp;LEN(metadata!B312))), 1),"0123456789abcdefghijklmnopqrstuvwxyzABCDEFGHIJKLMNOPQRSTUVWXYZ.")))))</f>
        <v>0</v>
      </c>
      <c r="R312" t="b">
        <f>AND(IF(metadata!C312="",FALSE,TRUE),OR(EXACT(metadata!C312,"saline"),EXACT(metadata!C312,"non-saline")))</f>
        <v>0</v>
      </c>
      <c r="S312" t="b">
        <f>AND(IF(metadata!D312="",FALSE,TRUE),OR(EXACT(metadata!D312,"surface (non-saline)"),EXACT(metadata!D312,"aerosol (non-saline)"),EXACT(metadata!D312,"sediment (non-saline)"),EXACT(metadata!D312,"surface (saline)"),EXACT(metadata!D312,"aerosol (saline)"),EXACT(metadata!D312,"sediment (saline)")))</f>
        <v>0</v>
      </c>
      <c r="T312" t="b">
        <f>AND(IF(metadata!E312="",FALSE,TRUE),EXACT(metadata!E312,"built environment"))</f>
        <v>0</v>
      </c>
      <c r="U312" t="b">
        <f>OR(AND(IF(metadata!F312="",FALSE,TRUE),EXACT(metadata!F312,"not applicable")),AND(IF(metadata!F312="",FALSE,TRUE),EXACT(metadata!F312,"anaerobic digester content")))</f>
        <v>0</v>
      </c>
    </row>
    <row r="313" spans="1:21" x14ac:dyDescent="0.2">
      <c r="A313" s="4" t="str">
        <f ca="1">IF(B313=" "," ",HYPERLINK(CONCATENATE("#metadata!",ADDRESS(INDEX($L$2:$L$1001,MATCH(ROWS($J$2:J313),$J$2:$J$1001,0),0),1)),INDEX($O$2:$O$1001,MATCH(ROWS($J$2:J313),$J$2:$J$1001,0),0)))</f>
        <v xml:space="preserve"> </v>
      </c>
      <c r="B313" s="3" t="str">
        <f ca="1">IF(OR(INDEX($K$2:$K$1001,MATCH(ROWS($J$2:J313),$J$2:$J$1001,0),1)&gt;=100000,INDEX($Q$1005:$U$1005,1,MATCH(COLUMNS($Q$1006:Q1006),$Q$1006:$U$1006,0))&gt;=100000), " ",IF(INDEX($Q$2:$U$1001,MATCH(ROWS($J$2:J313),$J$2:$J$1001,0),MATCH(COLUMNS($Q$1006:Q1006),$Q$1006:$U$1006,0)), HYPERLINK("#",""), HYPERLINK(CONCATENATE("#metadata!", ADDRESS(INDEX($L$2:$L$1001,MATCH(ROWS($J$2:J313),$J$2:$J$1001,0),0), INDEX($Q$1004:$U$1004,1,MATCH(COLUMNS($Q$1006:Q1006),$Q$1006:$U$1006,0)))),"Fix")))</f>
        <v xml:space="preserve"> </v>
      </c>
      <c r="C313" s="3" t="str">
        <f ca="1">IF(OR(INDEX($K$2:$K$1001,MATCH(ROWS($J$2:J313),$J$2:$J$1001,0),1)&gt;=100000,INDEX($Q$1005:$U$1005,1,MATCH(COLUMNS($Q$1006:R1006),$Q$1006:$U$1006,0))&gt;=100000), " ",IF(INDEX($Q$2:$U$1001,MATCH(ROWS($J$2:J313),$J$2:$J$1001,0),MATCH(COLUMNS($Q$1006:R1006),$Q$1006:$U$1006,0)), HYPERLINK("#",""), HYPERLINK(CONCATENATE("#metadata!", ADDRESS(INDEX($L$2:$L$1001,MATCH(ROWS($J$2:J313),$J$2:$J$1001,0),0), INDEX($Q$1004:$U$1004,1,MATCH(COLUMNS($Q$1006:R1006),$Q$1006:$U$1006,0)))),"Fix")))</f>
        <v xml:space="preserve"> </v>
      </c>
      <c r="D313" s="3" t="str">
        <f ca="1">IF(OR(INDEX($K$2:$K$1001,MATCH(ROWS($J$2:J313),$J$2:$J$1001,0),1)&gt;=100000,INDEX($Q$1005:$U$1005,1,MATCH(COLUMNS($Q$1006:S1006),$Q$1006:$U$1006,0))&gt;=100000), " ",IF(INDEX($Q$2:$U$1001,MATCH(ROWS($J$2:J313),$J$2:$J$1001,0),MATCH(COLUMNS($Q$1006:S1006),$Q$1006:$U$1006,0)), HYPERLINK("#",""), HYPERLINK(CONCATENATE("#metadata!", ADDRESS(INDEX($L$2:$L$1001,MATCH(ROWS($J$2:J313),$J$2:$J$1001,0),0), INDEX($Q$1004:$U$1004,1,MATCH(COLUMNS($Q$1006:S1006),$Q$1006:$U$1006,0)))),"Fix")))</f>
        <v xml:space="preserve"> </v>
      </c>
      <c r="E313" s="3" t="str">
        <f ca="1">IF(OR(INDEX($K$2:$K$1001,MATCH(ROWS($J$2:J313),$J$2:$J$1001,0),1)&gt;=100000,INDEX($Q$1005:$U$1005,1,MATCH(COLUMNS($Q$1006:T1006),$Q$1006:$U$1006,0))&gt;=100000), " ",IF(INDEX($Q$2:$U$1001,MATCH(ROWS($J$2:J313),$J$2:$J$1001,0),MATCH(COLUMNS($Q$1006:T1006),$Q$1006:$U$1006,0)), HYPERLINK("#",""), HYPERLINK(CONCATENATE("#metadata!", ADDRESS(INDEX($L$2:$L$1001,MATCH(ROWS($J$2:J313),$J$2:$J$1001,0),0), INDEX($Q$1004:$U$1004,1,MATCH(COLUMNS($Q$1006:T1006),$Q$1006:$U$1006,0)))),"Fix")))</f>
        <v xml:space="preserve"> </v>
      </c>
      <c r="F313" s="3" t="str">
        <f ca="1">IF(OR(INDEX($K$2:$K$1001,MATCH(ROWS($J$2:J313),$J$2:$J$1001,0),1)&gt;=100000,INDEX($Q$1005:$U$1005,1,MATCH(COLUMNS($Q$1006:U1006),$Q$1006:$U$1006,0))&gt;=100000), " ",IF(INDEX($Q$2:$U$1001,MATCH(ROWS($J$2:J313),$J$2:$J$1001,0),MATCH(COLUMNS($Q$1006:U1006),$Q$1006:$U$1006,0)), HYPERLINK("#",""), HYPERLINK(CONCATENATE("#metadata!", ADDRESS(INDEX($L$2:$L$1001,MATCH(ROWS($J$2:J313),$J$2:$J$1001,0),0), INDEX($Q$1004:$U$1004,1,MATCH(COLUMNS($Q$1006:U1006),$Q$1006:$U$1006,0)))),"Fix")))</f>
        <v xml:space="preserve"> </v>
      </c>
      <c r="J313">
        <v>312</v>
      </c>
      <c r="K313">
        <v>100313</v>
      </c>
      <c r="L313">
        <v>313</v>
      </c>
      <c r="M313" t="b">
        <f t="shared" si="4"/>
        <v>1</v>
      </c>
      <c r="N313" t="b">
        <f>COUNTBLANK(metadata!B313:F313)=COLUMNS(metadata!B313:F313)</f>
        <v>1</v>
      </c>
      <c r="O313" t="str">
        <v/>
      </c>
      <c r="Q313" t="b">
        <f ca="1">AND(IF(metadata!B313="",FALSE,TRUE),COUNTIF(metadata!B:B, metadata!B313) = 1,NOT(ISERROR(SUMPRODUCT(SEARCH(MID(metadata!B313,ROW(INDIRECT("1:"&amp;LEN(metadata!B313))), 1),"0123456789abcdefghijklmnopqrstuvwxyzABCDEFGHIJKLMNOPQRSTUVWXYZ.")))))</f>
        <v>0</v>
      </c>
      <c r="R313" t="b">
        <f>AND(IF(metadata!C313="",FALSE,TRUE),OR(EXACT(metadata!C313,"saline"),EXACT(metadata!C313,"non-saline")))</f>
        <v>0</v>
      </c>
      <c r="S313" t="b">
        <f>AND(IF(metadata!D313="",FALSE,TRUE),OR(EXACT(metadata!D313,"surface (non-saline)"),EXACT(metadata!D313,"aerosol (non-saline)"),EXACT(metadata!D313,"sediment (non-saline)"),EXACT(metadata!D313,"surface (saline)"),EXACT(metadata!D313,"aerosol (saline)"),EXACT(metadata!D313,"sediment (saline)")))</f>
        <v>0</v>
      </c>
      <c r="T313" t="b">
        <f>AND(IF(metadata!E313="",FALSE,TRUE),EXACT(metadata!E313,"built environment"))</f>
        <v>0</v>
      </c>
      <c r="U313" t="b">
        <f>OR(AND(IF(metadata!F313="",FALSE,TRUE),EXACT(metadata!F313,"not applicable")),AND(IF(metadata!F313="",FALSE,TRUE),EXACT(metadata!F313,"anaerobic digester content")))</f>
        <v>0</v>
      </c>
    </row>
    <row r="314" spans="1:21" x14ac:dyDescent="0.2">
      <c r="A314" s="4" t="str">
        <f ca="1">IF(B314=" "," ",HYPERLINK(CONCATENATE("#metadata!",ADDRESS(INDEX($L$2:$L$1001,MATCH(ROWS($J$2:J314),$J$2:$J$1001,0),0),1)),INDEX($O$2:$O$1001,MATCH(ROWS($J$2:J314),$J$2:$J$1001,0),0)))</f>
        <v xml:space="preserve"> </v>
      </c>
      <c r="B314" s="3" t="str">
        <f ca="1">IF(OR(INDEX($K$2:$K$1001,MATCH(ROWS($J$2:J314),$J$2:$J$1001,0),1)&gt;=100000,INDEX($Q$1005:$U$1005,1,MATCH(COLUMNS($Q$1006:Q1006),$Q$1006:$U$1006,0))&gt;=100000), " ",IF(INDEX($Q$2:$U$1001,MATCH(ROWS($J$2:J314),$J$2:$J$1001,0),MATCH(COLUMNS($Q$1006:Q1006),$Q$1006:$U$1006,0)), HYPERLINK("#",""), HYPERLINK(CONCATENATE("#metadata!", ADDRESS(INDEX($L$2:$L$1001,MATCH(ROWS($J$2:J314),$J$2:$J$1001,0),0), INDEX($Q$1004:$U$1004,1,MATCH(COLUMNS($Q$1006:Q1006),$Q$1006:$U$1006,0)))),"Fix")))</f>
        <v xml:space="preserve"> </v>
      </c>
      <c r="C314" s="3" t="str">
        <f ca="1">IF(OR(INDEX($K$2:$K$1001,MATCH(ROWS($J$2:J314),$J$2:$J$1001,0),1)&gt;=100000,INDEX($Q$1005:$U$1005,1,MATCH(COLUMNS($Q$1006:R1006),$Q$1006:$U$1006,0))&gt;=100000), " ",IF(INDEX($Q$2:$U$1001,MATCH(ROWS($J$2:J314),$J$2:$J$1001,0),MATCH(COLUMNS($Q$1006:R1006),$Q$1006:$U$1006,0)), HYPERLINK("#",""), HYPERLINK(CONCATENATE("#metadata!", ADDRESS(INDEX($L$2:$L$1001,MATCH(ROWS($J$2:J314),$J$2:$J$1001,0),0), INDEX($Q$1004:$U$1004,1,MATCH(COLUMNS($Q$1006:R1006),$Q$1006:$U$1006,0)))),"Fix")))</f>
        <v xml:space="preserve"> </v>
      </c>
      <c r="D314" s="3" t="str">
        <f ca="1">IF(OR(INDEX($K$2:$K$1001,MATCH(ROWS($J$2:J314),$J$2:$J$1001,0),1)&gt;=100000,INDEX($Q$1005:$U$1005,1,MATCH(COLUMNS($Q$1006:S1006),$Q$1006:$U$1006,0))&gt;=100000), " ",IF(INDEX($Q$2:$U$1001,MATCH(ROWS($J$2:J314),$J$2:$J$1001,0),MATCH(COLUMNS($Q$1006:S1006),$Q$1006:$U$1006,0)), HYPERLINK("#",""), HYPERLINK(CONCATENATE("#metadata!", ADDRESS(INDEX($L$2:$L$1001,MATCH(ROWS($J$2:J314),$J$2:$J$1001,0),0), INDEX($Q$1004:$U$1004,1,MATCH(COLUMNS($Q$1006:S1006),$Q$1006:$U$1006,0)))),"Fix")))</f>
        <v xml:space="preserve"> </v>
      </c>
      <c r="E314" s="3" t="str">
        <f ca="1">IF(OR(INDEX($K$2:$K$1001,MATCH(ROWS($J$2:J314),$J$2:$J$1001,0),1)&gt;=100000,INDEX($Q$1005:$U$1005,1,MATCH(COLUMNS($Q$1006:T1006),$Q$1006:$U$1006,0))&gt;=100000), " ",IF(INDEX($Q$2:$U$1001,MATCH(ROWS($J$2:J314),$J$2:$J$1001,0),MATCH(COLUMNS($Q$1006:T1006),$Q$1006:$U$1006,0)), HYPERLINK("#",""), HYPERLINK(CONCATENATE("#metadata!", ADDRESS(INDEX($L$2:$L$1001,MATCH(ROWS($J$2:J314),$J$2:$J$1001,0),0), INDEX($Q$1004:$U$1004,1,MATCH(COLUMNS($Q$1006:T1006),$Q$1006:$U$1006,0)))),"Fix")))</f>
        <v xml:space="preserve"> </v>
      </c>
      <c r="F314" s="3" t="str">
        <f ca="1">IF(OR(INDEX($K$2:$K$1001,MATCH(ROWS($J$2:J314),$J$2:$J$1001,0),1)&gt;=100000,INDEX($Q$1005:$U$1005,1,MATCH(COLUMNS($Q$1006:U1006),$Q$1006:$U$1006,0))&gt;=100000), " ",IF(INDEX($Q$2:$U$1001,MATCH(ROWS($J$2:J314),$J$2:$J$1001,0),MATCH(COLUMNS($Q$1006:U1006),$Q$1006:$U$1006,0)), HYPERLINK("#",""), HYPERLINK(CONCATENATE("#metadata!", ADDRESS(INDEX($L$2:$L$1001,MATCH(ROWS($J$2:J314),$J$2:$J$1001,0),0), INDEX($Q$1004:$U$1004,1,MATCH(COLUMNS($Q$1006:U1006),$Q$1006:$U$1006,0)))),"Fix")))</f>
        <v xml:space="preserve"> </v>
      </c>
      <c r="J314">
        <v>313</v>
      </c>
      <c r="K314">
        <v>100314</v>
      </c>
      <c r="L314">
        <v>314</v>
      </c>
      <c r="M314" t="b">
        <f t="shared" si="4"/>
        <v>1</v>
      </c>
      <c r="N314" t="b">
        <f>COUNTBLANK(metadata!B314:F314)=COLUMNS(metadata!B314:F314)</f>
        <v>1</v>
      </c>
      <c r="O314" t="str">
        <v/>
      </c>
      <c r="Q314" t="b">
        <f ca="1">AND(IF(metadata!B314="",FALSE,TRUE),COUNTIF(metadata!B:B, metadata!B314) = 1,NOT(ISERROR(SUMPRODUCT(SEARCH(MID(metadata!B314,ROW(INDIRECT("1:"&amp;LEN(metadata!B314))), 1),"0123456789abcdefghijklmnopqrstuvwxyzABCDEFGHIJKLMNOPQRSTUVWXYZ.")))))</f>
        <v>0</v>
      </c>
      <c r="R314" t="b">
        <f>AND(IF(metadata!C314="",FALSE,TRUE),OR(EXACT(metadata!C314,"saline"),EXACT(metadata!C314,"non-saline")))</f>
        <v>0</v>
      </c>
      <c r="S314" t="b">
        <f>AND(IF(metadata!D314="",FALSE,TRUE),OR(EXACT(metadata!D314,"surface (non-saline)"),EXACT(metadata!D314,"aerosol (non-saline)"),EXACT(metadata!D314,"sediment (non-saline)"),EXACT(metadata!D314,"surface (saline)"),EXACT(metadata!D314,"aerosol (saline)"),EXACT(metadata!D314,"sediment (saline)")))</f>
        <v>0</v>
      </c>
      <c r="T314" t="b">
        <f>AND(IF(metadata!E314="",FALSE,TRUE),EXACT(metadata!E314,"built environment"))</f>
        <v>0</v>
      </c>
      <c r="U314" t="b">
        <f>OR(AND(IF(metadata!F314="",FALSE,TRUE),EXACT(metadata!F314,"not applicable")),AND(IF(metadata!F314="",FALSE,TRUE),EXACT(metadata!F314,"anaerobic digester content")))</f>
        <v>0</v>
      </c>
    </row>
    <row r="315" spans="1:21" x14ac:dyDescent="0.2">
      <c r="A315" s="4" t="str">
        <f ca="1">IF(B315=" "," ",HYPERLINK(CONCATENATE("#metadata!",ADDRESS(INDEX($L$2:$L$1001,MATCH(ROWS($J$2:J315),$J$2:$J$1001,0),0),1)),INDEX($O$2:$O$1001,MATCH(ROWS($J$2:J315),$J$2:$J$1001,0),0)))</f>
        <v xml:space="preserve"> </v>
      </c>
      <c r="B315" s="3" t="str">
        <f ca="1">IF(OR(INDEX($K$2:$K$1001,MATCH(ROWS($J$2:J315),$J$2:$J$1001,0),1)&gt;=100000,INDEX($Q$1005:$U$1005,1,MATCH(COLUMNS($Q$1006:Q1006),$Q$1006:$U$1006,0))&gt;=100000), " ",IF(INDEX($Q$2:$U$1001,MATCH(ROWS($J$2:J315),$J$2:$J$1001,0),MATCH(COLUMNS($Q$1006:Q1006),$Q$1006:$U$1006,0)), HYPERLINK("#",""), HYPERLINK(CONCATENATE("#metadata!", ADDRESS(INDEX($L$2:$L$1001,MATCH(ROWS($J$2:J315),$J$2:$J$1001,0),0), INDEX($Q$1004:$U$1004,1,MATCH(COLUMNS($Q$1006:Q1006),$Q$1006:$U$1006,0)))),"Fix")))</f>
        <v xml:space="preserve"> </v>
      </c>
      <c r="C315" s="3" t="str">
        <f ca="1">IF(OR(INDEX($K$2:$K$1001,MATCH(ROWS($J$2:J315),$J$2:$J$1001,0),1)&gt;=100000,INDEX($Q$1005:$U$1005,1,MATCH(COLUMNS($Q$1006:R1006),$Q$1006:$U$1006,0))&gt;=100000), " ",IF(INDEX($Q$2:$U$1001,MATCH(ROWS($J$2:J315),$J$2:$J$1001,0),MATCH(COLUMNS($Q$1006:R1006),$Q$1006:$U$1006,0)), HYPERLINK("#",""), HYPERLINK(CONCATENATE("#metadata!", ADDRESS(INDEX($L$2:$L$1001,MATCH(ROWS($J$2:J315),$J$2:$J$1001,0),0), INDEX($Q$1004:$U$1004,1,MATCH(COLUMNS($Q$1006:R1006),$Q$1006:$U$1006,0)))),"Fix")))</f>
        <v xml:space="preserve"> </v>
      </c>
      <c r="D315" s="3" t="str">
        <f ca="1">IF(OR(INDEX($K$2:$K$1001,MATCH(ROWS($J$2:J315),$J$2:$J$1001,0),1)&gt;=100000,INDEX($Q$1005:$U$1005,1,MATCH(COLUMNS($Q$1006:S1006),$Q$1006:$U$1006,0))&gt;=100000), " ",IF(INDEX($Q$2:$U$1001,MATCH(ROWS($J$2:J315),$J$2:$J$1001,0),MATCH(COLUMNS($Q$1006:S1006),$Q$1006:$U$1006,0)), HYPERLINK("#",""), HYPERLINK(CONCATENATE("#metadata!", ADDRESS(INDEX($L$2:$L$1001,MATCH(ROWS($J$2:J315),$J$2:$J$1001,0),0), INDEX($Q$1004:$U$1004,1,MATCH(COLUMNS($Q$1006:S1006),$Q$1006:$U$1006,0)))),"Fix")))</f>
        <v xml:space="preserve"> </v>
      </c>
      <c r="E315" s="3" t="str">
        <f ca="1">IF(OR(INDEX($K$2:$K$1001,MATCH(ROWS($J$2:J315),$J$2:$J$1001,0),1)&gt;=100000,INDEX($Q$1005:$U$1005,1,MATCH(COLUMNS($Q$1006:T1006),$Q$1006:$U$1006,0))&gt;=100000), " ",IF(INDEX($Q$2:$U$1001,MATCH(ROWS($J$2:J315),$J$2:$J$1001,0),MATCH(COLUMNS($Q$1006:T1006),$Q$1006:$U$1006,0)), HYPERLINK("#",""), HYPERLINK(CONCATENATE("#metadata!", ADDRESS(INDEX($L$2:$L$1001,MATCH(ROWS($J$2:J315),$J$2:$J$1001,0),0), INDEX($Q$1004:$U$1004,1,MATCH(COLUMNS($Q$1006:T1006),$Q$1006:$U$1006,0)))),"Fix")))</f>
        <v xml:space="preserve"> </v>
      </c>
      <c r="F315" s="3" t="str">
        <f ca="1">IF(OR(INDEX($K$2:$K$1001,MATCH(ROWS($J$2:J315),$J$2:$J$1001,0),1)&gt;=100000,INDEX($Q$1005:$U$1005,1,MATCH(COLUMNS($Q$1006:U1006),$Q$1006:$U$1006,0))&gt;=100000), " ",IF(INDEX($Q$2:$U$1001,MATCH(ROWS($J$2:J315),$J$2:$J$1001,0),MATCH(COLUMNS($Q$1006:U1006),$Q$1006:$U$1006,0)), HYPERLINK("#",""), HYPERLINK(CONCATENATE("#metadata!", ADDRESS(INDEX($L$2:$L$1001,MATCH(ROWS($J$2:J315),$J$2:$J$1001,0),0), INDEX($Q$1004:$U$1004,1,MATCH(COLUMNS($Q$1006:U1006),$Q$1006:$U$1006,0)))),"Fix")))</f>
        <v xml:space="preserve"> </v>
      </c>
      <c r="J315">
        <v>314</v>
      </c>
      <c r="K315">
        <v>100315</v>
      </c>
      <c r="L315">
        <v>315</v>
      </c>
      <c r="M315" t="b">
        <f t="shared" si="4"/>
        <v>1</v>
      </c>
      <c r="N315" t="b">
        <f>COUNTBLANK(metadata!B315:F315)=COLUMNS(metadata!B315:F315)</f>
        <v>1</v>
      </c>
      <c r="O315" t="str">
        <v/>
      </c>
      <c r="Q315" t="b">
        <f ca="1">AND(IF(metadata!B315="",FALSE,TRUE),COUNTIF(metadata!B:B, metadata!B315) = 1,NOT(ISERROR(SUMPRODUCT(SEARCH(MID(metadata!B315,ROW(INDIRECT("1:"&amp;LEN(metadata!B315))), 1),"0123456789abcdefghijklmnopqrstuvwxyzABCDEFGHIJKLMNOPQRSTUVWXYZ.")))))</f>
        <v>0</v>
      </c>
      <c r="R315" t="b">
        <f>AND(IF(metadata!C315="",FALSE,TRUE),OR(EXACT(metadata!C315,"saline"),EXACT(metadata!C315,"non-saline")))</f>
        <v>0</v>
      </c>
      <c r="S315" t="b">
        <f>AND(IF(metadata!D315="",FALSE,TRUE),OR(EXACT(metadata!D315,"surface (non-saline)"),EXACT(metadata!D315,"aerosol (non-saline)"),EXACT(metadata!D315,"sediment (non-saline)"),EXACT(metadata!D315,"surface (saline)"),EXACT(metadata!D315,"aerosol (saline)"),EXACT(metadata!D315,"sediment (saline)")))</f>
        <v>0</v>
      </c>
      <c r="T315" t="b">
        <f>AND(IF(metadata!E315="",FALSE,TRUE),EXACT(metadata!E315,"built environment"))</f>
        <v>0</v>
      </c>
      <c r="U315" t="b">
        <f>OR(AND(IF(metadata!F315="",FALSE,TRUE),EXACT(metadata!F315,"not applicable")),AND(IF(metadata!F315="",FALSE,TRUE),EXACT(metadata!F315,"anaerobic digester content")))</f>
        <v>0</v>
      </c>
    </row>
    <row r="316" spans="1:21" x14ac:dyDescent="0.2">
      <c r="A316" s="4" t="str">
        <f ca="1">IF(B316=" "," ",HYPERLINK(CONCATENATE("#metadata!",ADDRESS(INDEX($L$2:$L$1001,MATCH(ROWS($J$2:J316),$J$2:$J$1001,0),0),1)),INDEX($O$2:$O$1001,MATCH(ROWS($J$2:J316),$J$2:$J$1001,0),0)))</f>
        <v xml:space="preserve"> </v>
      </c>
      <c r="B316" s="3" t="str">
        <f ca="1">IF(OR(INDEX($K$2:$K$1001,MATCH(ROWS($J$2:J316),$J$2:$J$1001,0),1)&gt;=100000,INDEX($Q$1005:$U$1005,1,MATCH(COLUMNS($Q$1006:Q1006),$Q$1006:$U$1006,0))&gt;=100000), " ",IF(INDEX($Q$2:$U$1001,MATCH(ROWS($J$2:J316),$J$2:$J$1001,0),MATCH(COLUMNS($Q$1006:Q1006),$Q$1006:$U$1006,0)), HYPERLINK("#",""), HYPERLINK(CONCATENATE("#metadata!", ADDRESS(INDEX($L$2:$L$1001,MATCH(ROWS($J$2:J316),$J$2:$J$1001,0),0), INDEX($Q$1004:$U$1004,1,MATCH(COLUMNS($Q$1006:Q1006),$Q$1006:$U$1006,0)))),"Fix")))</f>
        <v xml:space="preserve"> </v>
      </c>
      <c r="C316" s="3" t="str">
        <f ca="1">IF(OR(INDEX($K$2:$K$1001,MATCH(ROWS($J$2:J316),$J$2:$J$1001,0),1)&gt;=100000,INDEX($Q$1005:$U$1005,1,MATCH(COLUMNS($Q$1006:R1006),$Q$1006:$U$1006,0))&gt;=100000), " ",IF(INDEX($Q$2:$U$1001,MATCH(ROWS($J$2:J316),$J$2:$J$1001,0),MATCH(COLUMNS($Q$1006:R1006),$Q$1006:$U$1006,0)), HYPERLINK("#",""), HYPERLINK(CONCATENATE("#metadata!", ADDRESS(INDEX($L$2:$L$1001,MATCH(ROWS($J$2:J316),$J$2:$J$1001,0),0), INDEX($Q$1004:$U$1004,1,MATCH(COLUMNS($Q$1006:R1006),$Q$1006:$U$1006,0)))),"Fix")))</f>
        <v xml:space="preserve"> </v>
      </c>
      <c r="D316" s="3" t="str">
        <f ca="1">IF(OR(INDEX($K$2:$K$1001,MATCH(ROWS($J$2:J316),$J$2:$J$1001,0),1)&gt;=100000,INDEX($Q$1005:$U$1005,1,MATCH(COLUMNS($Q$1006:S1006),$Q$1006:$U$1006,0))&gt;=100000), " ",IF(INDEX($Q$2:$U$1001,MATCH(ROWS($J$2:J316),$J$2:$J$1001,0),MATCH(COLUMNS($Q$1006:S1006),$Q$1006:$U$1006,0)), HYPERLINK("#",""), HYPERLINK(CONCATENATE("#metadata!", ADDRESS(INDEX($L$2:$L$1001,MATCH(ROWS($J$2:J316),$J$2:$J$1001,0),0), INDEX($Q$1004:$U$1004,1,MATCH(COLUMNS($Q$1006:S1006),$Q$1006:$U$1006,0)))),"Fix")))</f>
        <v xml:space="preserve"> </v>
      </c>
      <c r="E316" s="3" t="str">
        <f ca="1">IF(OR(INDEX($K$2:$K$1001,MATCH(ROWS($J$2:J316),$J$2:$J$1001,0),1)&gt;=100000,INDEX($Q$1005:$U$1005,1,MATCH(COLUMNS($Q$1006:T1006),$Q$1006:$U$1006,0))&gt;=100000), " ",IF(INDEX($Q$2:$U$1001,MATCH(ROWS($J$2:J316),$J$2:$J$1001,0),MATCH(COLUMNS($Q$1006:T1006),$Q$1006:$U$1006,0)), HYPERLINK("#",""), HYPERLINK(CONCATENATE("#metadata!", ADDRESS(INDEX($L$2:$L$1001,MATCH(ROWS($J$2:J316),$J$2:$J$1001,0),0), INDEX($Q$1004:$U$1004,1,MATCH(COLUMNS($Q$1006:T1006),$Q$1006:$U$1006,0)))),"Fix")))</f>
        <v xml:space="preserve"> </v>
      </c>
      <c r="F316" s="3" t="str">
        <f ca="1">IF(OR(INDEX($K$2:$K$1001,MATCH(ROWS($J$2:J316),$J$2:$J$1001,0),1)&gt;=100000,INDEX($Q$1005:$U$1005,1,MATCH(COLUMNS($Q$1006:U1006),$Q$1006:$U$1006,0))&gt;=100000), " ",IF(INDEX($Q$2:$U$1001,MATCH(ROWS($J$2:J316),$J$2:$J$1001,0),MATCH(COLUMNS($Q$1006:U1006),$Q$1006:$U$1006,0)), HYPERLINK("#",""), HYPERLINK(CONCATENATE("#metadata!", ADDRESS(INDEX($L$2:$L$1001,MATCH(ROWS($J$2:J316),$J$2:$J$1001,0),0), INDEX($Q$1004:$U$1004,1,MATCH(COLUMNS($Q$1006:U1006),$Q$1006:$U$1006,0)))),"Fix")))</f>
        <v xml:space="preserve"> </v>
      </c>
      <c r="J316">
        <v>315</v>
      </c>
      <c r="K316">
        <v>100316</v>
      </c>
      <c r="L316">
        <v>316</v>
      </c>
      <c r="M316" t="b">
        <f t="shared" si="4"/>
        <v>1</v>
      </c>
      <c r="N316" t="b">
        <f>COUNTBLANK(metadata!B316:F316)=COLUMNS(metadata!B316:F316)</f>
        <v>1</v>
      </c>
      <c r="O316" t="str">
        <v/>
      </c>
      <c r="Q316" t="b">
        <f ca="1">AND(IF(metadata!B316="",FALSE,TRUE),COUNTIF(metadata!B:B, metadata!B316) = 1,NOT(ISERROR(SUMPRODUCT(SEARCH(MID(metadata!B316,ROW(INDIRECT("1:"&amp;LEN(metadata!B316))), 1),"0123456789abcdefghijklmnopqrstuvwxyzABCDEFGHIJKLMNOPQRSTUVWXYZ.")))))</f>
        <v>0</v>
      </c>
      <c r="R316" t="b">
        <f>AND(IF(metadata!C316="",FALSE,TRUE),OR(EXACT(metadata!C316,"saline"),EXACT(metadata!C316,"non-saline")))</f>
        <v>0</v>
      </c>
      <c r="S316" t="b">
        <f>AND(IF(metadata!D316="",FALSE,TRUE),OR(EXACT(metadata!D316,"surface (non-saline)"),EXACT(metadata!D316,"aerosol (non-saline)"),EXACT(metadata!D316,"sediment (non-saline)"),EXACT(metadata!D316,"surface (saline)"),EXACT(metadata!D316,"aerosol (saline)"),EXACT(metadata!D316,"sediment (saline)")))</f>
        <v>0</v>
      </c>
      <c r="T316" t="b">
        <f>AND(IF(metadata!E316="",FALSE,TRUE),EXACT(metadata!E316,"built environment"))</f>
        <v>0</v>
      </c>
      <c r="U316" t="b">
        <f>OR(AND(IF(metadata!F316="",FALSE,TRUE),EXACT(metadata!F316,"not applicable")),AND(IF(metadata!F316="",FALSE,TRUE),EXACT(metadata!F316,"anaerobic digester content")))</f>
        <v>0</v>
      </c>
    </row>
    <row r="317" spans="1:21" x14ac:dyDescent="0.2">
      <c r="A317" s="4" t="str">
        <f ca="1">IF(B317=" "," ",HYPERLINK(CONCATENATE("#metadata!",ADDRESS(INDEX($L$2:$L$1001,MATCH(ROWS($J$2:J317),$J$2:$J$1001,0),0),1)),INDEX($O$2:$O$1001,MATCH(ROWS($J$2:J317),$J$2:$J$1001,0),0)))</f>
        <v xml:space="preserve"> </v>
      </c>
      <c r="B317" s="3" t="str">
        <f ca="1">IF(OR(INDEX($K$2:$K$1001,MATCH(ROWS($J$2:J317),$J$2:$J$1001,0),1)&gt;=100000,INDEX($Q$1005:$U$1005,1,MATCH(COLUMNS($Q$1006:Q1006),$Q$1006:$U$1006,0))&gt;=100000), " ",IF(INDEX($Q$2:$U$1001,MATCH(ROWS($J$2:J317),$J$2:$J$1001,0),MATCH(COLUMNS($Q$1006:Q1006),$Q$1006:$U$1006,0)), HYPERLINK("#",""), HYPERLINK(CONCATENATE("#metadata!", ADDRESS(INDEX($L$2:$L$1001,MATCH(ROWS($J$2:J317),$J$2:$J$1001,0),0), INDEX($Q$1004:$U$1004,1,MATCH(COLUMNS($Q$1006:Q1006),$Q$1006:$U$1006,0)))),"Fix")))</f>
        <v xml:space="preserve"> </v>
      </c>
      <c r="C317" s="3" t="str">
        <f ca="1">IF(OR(INDEX($K$2:$K$1001,MATCH(ROWS($J$2:J317),$J$2:$J$1001,0),1)&gt;=100000,INDEX($Q$1005:$U$1005,1,MATCH(COLUMNS($Q$1006:R1006),$Q$1006:$U$1006,0))&gt;=100000), " ",IF(INDEX($Q$2:$U$1001,MATCH(ROWS($J$2:J317),$J$2:$J$1001,0),MATCH(COLUMNS($Q$1006:R1006),$Q$1006:$U$1006,0)), HYPERLINK("#",""), HYPERLINK(CONCATENATE("#metadata!", ADDRESS(INDEX($L$2:$L$1001,MATCH(ROWS($J$2:J317),$J$2:$J$1001,0),0), INDEX($Q$1004:$U$1004,1,MATCH(COLUMNS($Q$1006:R1006),$Q$1006:$U$1006,0)))),"Fix")))</f>
        <v xml:space="preserve"> </v>
      </c>
      <c r="D317" s="3" t="str">
        <f ca="1">IF(OR(INDEX($K$2:$K$1001,MATCH(ROWS($J$2:J317),$J$2:$J$1001,0),1)&gt;=100000,INDEX($Q$1005:$U$1005,1,MATCH(COLUMNS($Q$1006:S1006),$Q$1006:$U$1006,0))&gt;=100000), " ",IF(INDEX($Q$2:$U$1001,MATCH(ROWS($J$2:J317),$J$2:$J$1001,0),MATCH(COLUMNS($Q$1006:S1006),$Q$1006:$U$1006,0)), HYPERLINK("#",""), HYPERLINK(CONCATENATE("#metadata!", ADDRESS(INDEX($L$2:$L$1001,MATCH(ROWS($J$2:J317),$J$2:$J$1001,0),0), INDEX($Q$1004:$U$1004,1,MATCH(COLUMNS($Q$1006:S1006),$Q$1006:$U$1006,0)))),"Fix")))</f>
        <v xml:space="preserve"> </v>
      </c>
      <c r="E317" s="3" t="str">
        <f ca="1">IF(OR(INDEX($K$2:$K$1001,MATCH(ROWS($J$2:J317),$J$2:$J$1001,0),1)&gt;=100000,INDEX($Q$1005:$U$1005,1,MATCH(COLUMNS($Q$1006:T1006),$Q$1006:$U$1006,0))&gt;=100000), " ",IF(INDEX($Q$2:$U$1001,MATCH(ROWS($J$2:J317),$J$2:$J$1001,0),MATCH(COLUMNS($Q$1006:T1006),$Q$1006:$U$1006,0)), HYPERLINK("#",""), HYPERLINK(CONCATENATE("#metadata!", ADDRESS(INDEX($L$2:$L$1001,MATCH(ROWS($J$2:J317),$J$2:$J$1001,0),0), INDEX($Q$1004:$U$1004,1,MATCH(COLUMNS($Q$1006:T1006),$Q$1006:$U$1006,0)))),"Fix")))</f>
        <v xml:space="preserve"> </v>
      </c>
      <c r="F317" s="3" t="str">
        <f ca="1">IF(OR(INDEX($K$2:$K$1001,MATCH(ROWS($J$2:J317),$J$2:$J$1001,0),1)&gt;=100000,INDEX($Q$1005:$U$1005,1,MATCH(COLUMNS($Q$1006:U1006),$Q$1006:$U$1006,0))&gt;=100000), " ",IF(INDEX($Q$2:$U$1001,MATCH(ROWS($J$2:J317),$J$2:$J$1001,0),MATCH(COLUMNS($Q$1006:U1006),$Q$1006:$U$1006,0)), HYPERLINK("#",""), HYPERLINK(CONCATENATE("#metadata!", ADDRESS(INDEX($L$2:$L$1001,MATCH(ROWS($J$2:J317),$J$2:$J$1001,0),0), INDEX($Q$1004:$U$1004,1,MATCH(COLUMNS($Q$1006:U1006),$Q$1006:$U$1006,0)))),"Fix")))</f>
        <v xml:space="preserve"> </v>
      </c>
      <c r="J317">
        <v>316</v>
      </c>
      <c r="K317">
        <v>100317</v>
      </c>
      <c r="L317">
        <v>317</v>
      </c>
      <c r="M317" t="b">
        <f t="shared" si="4"/>
        <v>1</v>
      </c>
      <c r="N317" t="b">
        <f>COUNTBLANK(metadata!B317:F317)=COLUMNS(metadata!B317:F317)</f>
        <v>1</v>
      </c>
      <c r="O317" t="str">
        <v/>
      </c>
      <c r="Q317" t="b">
        <f ca="1">AND(IF(metadata!B317="",FALSE,TRUE),COUNTIF(metadata!B:B, metadata!B317) = 1,NOT(ISERROR(SUMPRODUCT(SEARCH(MID(metadata!B317,ROW(INDIRECT("1:"&amp;LEN(metadata!B317))), 1),"0123456789abcdefghijklmnopqrstuvwxyzABCDEFGHIJKLMNOPQRSTUVWXYZ.")))))</f>
        <v>0</v>
      </c>
      <c r="R317" t="b">
        <f>AND(IF(metadata!C317="",FALSE,TRUE),OR(EXACT(metadata!C317,"saline"),EXACT(metadata!C317,"non-saline")))</f>
        <v>0</v>
      </c>
      <c r="S317" t="b">
        <f>AND(IF(metadata!D317="",FALSE,TRUE),OR(EXACT(metadata!D317,"surface (non-saline)"),EXACT(metadata!D317,"aerosol (non-saline)"),EXACT(metadata!D317,"sediment (non-saline)"),EXACT(metadata!D317,"surface (saline)"),EXACT(metadata!D317,"aerosol (saline)"),EXACT(metadata!D317,"sediment (saline)")))</f>
        <v>0</v>
      </c>
      <c r="T317" t="b">
        <f>AND(IF(metadata!E317="",FALSE,TRUE),EXACT(metadata!E317,"built environment"))</f>
        <v>0</v>
      </c>
      <c r="U317" t="b">
        <f>OR(AND(IF(metadata!F317="",FALSE,TRUE),EXACT(metadata!F317,"not applicable")),AND(IF(metadata!F317="",FALSE,TRUE),EXACT(metadata!F317,"anaerobic digester content")))</f>
        <v>0</v>
      </c>
    </row>
    <row r="318" spans="1:21" x14ac:dyDescent="0.2">
      <c r="A318" s="4" t="str">
        <f ca="1">IF(B318=" "," ",HYPERLINK(CONCATENATE("#metadata!",ADDRESS(INDEX($L$2:$L$1001,MATCH(ROWS($J$2:J318),$J$2:$J$1001,0),0),1)),INDEX($O$2:$O$1001,MATCH(ROWS($J$2:J318),$J$2:$J$1001,0),0)))</f>
        <v xml:space="preserve"> </v>
      </c>
      <c r="B318" s="3" t="str">
        <f ca="1">IF(OR(INDEX($K$2:$K$1001,MATCH(ROWS($J$2:J318),$J$2:$J$1001,0),1)&gt;=100000,INDEX($Q$1005:$U$1005,1,MATCH(COLUMNS($Q$1006:Q1006),$Q$1006:$U$1006,0))&gt;=100000), " ",IF(INDEX($Q$2:$U$1001,MATCH(ROWS($J$2:J318),$J$2:$J$1001,0),MATCH(COLUMNS($Q$1006:Q1006),$Q$1006:$U$1006,0)), HYPERLINK("#",""), HYPERLINK(CONCATENATE("#metadata!", ADDRESS(INDEX($L$2:$L$1001,MATCH(ROWS($J$2:J318),$J$2:$J$1001,0),0), INDEX($Q$1004:$U$1004,1,MATCH(COLUMNS($Q$1006:Q1006),$Q$1006:$U$1006,0)))),"Fix")))</f>
        <v xml:space="preserve"> </v>
      </c>
      <c r="C318" s="3" t="str">
        <f ca="1">IF(OR(INDEX($K$2:$K$1001,MATCH(ROWS($J$2:J318),$J$2:$J$1001,0),1)&gt;=100000,INDEX($Q$1005:$U$1005,1,MATCH(COLUMNS($Q$1006:R1006),$Q$1006:$U$1006,0))&gt;=100000), " ",IF(INDEX($Q$2:$U$1001,MATCH(ROWS($J$2:J318),$J$2:$J$1001,0),MATCH(COLUMNS($Q$1006:R1006),$Q$1006:$U$1006,0)), HYPERLINK("#",""), HYPERLINK(CONCATENATE("#metadata!", ADDRESS(INDEX($L$2:$L$1001,MATCH(ROWS($J$2:J318),$J$2:$J$1001,0),0), INDEX($Q$1004:$U$1004,1,MATCH(COLUMNS($Q$1006:R1006),$Q$1006:$U$1006,0)))),"Fix")))</f>
        <v xml:space="preserve"> </v>
      </c>
      <c r="D318" s="3" t="str">
        <f ca="1">IF(OR(INDEX($K$2:$K$1001,MATCH(ROWS($J$2:J318),$J$2:$J$1001,0),1)&gt;=100000,INDEX($Q$1005:$U$1005,1,MATCH(COLUMNS($Q$1006:S1006),$Q$1006:$U$1006,0))&gt;=100000), " ",IF(INDEX($Q$2:$U$1001,MATCH(ROWS($J$2:J318),$J$2:$J$1001,0),MATCH(COLUMNS($Q$1006:S1006),$Q$1006:$U$1006,0)), HYPERLINK("#",""), HYPERLINK(CONCATENATE("#metadata!", ADDRESS(INDEX($L$2:$L$1001,MATCH(ROWS($J$2:J318),$J$2:$J$1001,0),0), INDEX($Q$1004:$U$1004,1,MATCH(COLUMNS($Q$1006:S1006),$Q$1006:$U$1006,0)))),"Fix")))</f>
        <v xml:space="preserve"> </v>
      </c>
      <c r="E318" s="3" t="str">
        <f ca="1">IF(OR(INDEX($K$2:$K$1001,MATCH(ROWS($J$2:J318),$J$2:$J$1001,0),1)&gt;=100000,INDEX($Q$1005:$U$1005,1,MATCH(COLUMNS($Q$1006:T1006),$Q$1006:$U$1006,0))&gt;=100000), " ",IF(INDEX($Q$2:$U$1001,MATCH(ROWS($J$2:J318),$J$2:$J$1001,0),MATCH(COLUMNS($Q$1006:T1006),$Q$1006:$U$1006,0)), HYPERLINK("#",""), HYPERLINK(CONCATENATE("#metadata!", ADDRESS(INDEX($L$2:$L$1001,MATCH(ROWS($J$2:J318),$J$2:$J$1001,0),0), INDEX($Q$1004:$U$1004,1,MATCH(COLUMNS($Q$1006:T1006),$Q$1006:$U$1006,0)))),"Fix")))</f>
        <v xml:space="preserve"> </v>
      </c>
      <c r="F318" s="3" t="str">
        <f ca="1">IF(OR(INDEX($K$2:$K$1001,MATCH(ROWS($J$2:J318),$J$2:$J$1001,0),1)&gt;=100000,INDEX($Q$1005:$U$1005,1,MATCH(COLUMNS($Q$1006:U1006),$Q$1006:$U$1006,0))&gt;=100000), " ",IF(INDEX($Q$2:$U$1001,MATCH(ROWS($J$2:J318),$J$2:$J$1001,0),MATCH(COLUMNS($Q$1006:U1006),$Q$1006:$U$1006,0)), HYPERLINK("#",""), HYPERLINK(CONCATENATE("#metadata!", ADDRESS(INDEX($L$2:$L$1001,MATCH(ROWS($J$2:J318),$J$2:$J$1001,0),0), INDEX($Q$1004:$U$1004,1,MATCH(COLUMNS($Q$1006:U1006),$Q$1006:$U$1006,0)))),"Fix")))</f>
        <v xml:space="preserve"> </v>
      </c>
      <c r="J318">
        <v>317</v>
      </c>
      <c r="K318">
        <v>100318</v>
      </c>
      <c r="L318">
        <v>318</v>
      </c>
      <c r="M318" t="b">
        <f t="shared" si="4"/>
        <v>1</v>
      </c>
      <c r="N318" t="b">
        <f>COUNTBLANK(metadata!B318:F318)=COLUMNS(metadata!B318:F318)</f>
        <v>1</v>
      </c>
      <c r="O318" t="str">
        <v/>
      </c>
      <c r="Q318" t="b">
        <f ca="1">AND(IF(metadata!B318="",FALSE,TRUE),COUNTIF(metadata!B:B, metadata!B318) = 1,NOT(ISERROR(SUMPRODUCT(SEARCH(MID(metadata!B318,ROW(INDIRECT("1:"&amp;LEN(metadata!B318))), 1),"0123456789abcdefghijklmnopqrstuvwxyzABCDEFGHIJKLMNOPQRSTUVWXYZ.")))))</f>
        <v>0</v>
      </c>
      <c r="R318" t="b">
        <f>AND(IF(metadata!C318="",FALSE,TRUE),OR(EXACT(metadata!C318,"saline"),EXACT(metadata!C318,"non-saline")))</f>
        <v>0</v>
      </c>
      <c r="S318" t="b">
        <f>AND(IF(metadata!D318="",FALSE,TRUE),OR(EXACT(metadata!D318,"surface (non-saline)"),EXACT(metadata!D318,"aerosol (non-saline)"),EXACT(metadata!D318,"sediment (non-saline)"),EXACT(metadata!D318,"surface (saline)"),EXACT(metadata!D318,"aerosol (saline)"),EXACT(metadata!D318,"sediment (saline)")))</f>
        <v>0</v>
      </c>
      <c r="T318" t="b">
        <f>AND(IF(metadata!E318="",FALSE,TRUE),EXACT(metadata!E318,"built environment"))</f>
        <v>0</v>
      </c>
      <c r="U318" t="b">
        <f>OR(AND(IF(metadata!F318="",FALSE,TRUE),EXACT(metadata!F318,"not applicable")),AND(IF(metadata!F318="",FALSE,TRUE),EXACT(metadata!F318,"anaerobic digester content")))</f>
        <v>0</v>
      </c>
    </row>
    <row r="319" spans="1:21" x14ac:dyDescent="0.2">
      <c r="A319" s="4" t="str">
        <f ca="1">IF(B319=" "," ",HYPERLINK(CONCATENATE("#metadata!",ADDRESS(INDEX($L$2:$L$1001,MATCH(ROWS($J$2:J319),$J$2:$J$1001,0),0),1)),INDEX($O$2:$O$1001,MATCH(ROWS($J$2:J319),$J$2:$J$1001,0),0)))</f>
        <v xml:space="preserve"> </v>
      </c>
      <c r="B319" s="3" t="str">
        <f ca="1">IF(OR(INDEX($K$2:$K$1001,MATCH(ROWS($J$2:J319),$J$2:$J$1001,0),1)&gt;=100000,INDEX($Q$1005:$U$1005,1,MATCH(COLUMNS($Q$1006:Q1006),$Q$1006:$U$1006,0))&gt;=100000), " ",IF(INDEX($Q$2:$U$1001,MATCH(ROWS($J$2:J319),$J$2:$J$1001,0),MATCH(COLUMNS($Q$1006:Q1006),$Q$1006:$U$1006,0)), HYPERLINK("#",""), HYPERLINK(CONCATENATE("#metadata!", ADDRESS(INDEX($L$2:$L$1001,MATCH(ROWS($J$2:J319),$J$2:$J$1001,0),0), INDEX($Q$1004:$U$1004,1,MATCH(COLUMNS($Q$1006:Q1006),$Q$1006:$U$1006,0)))),"Fix")))</f>
        <v xml:space="preserve"> </v>
      </c>
      <c r="C319" s="3" t="str">
        <f ca="1">IF(OR(INDEX($K$2:$K$1001,MATCH(ROWS($J$2:J319),$J$2:$J$1001,0),1)&gt;=100000,INDEX($Q$1005:$U$1005,1,MATCH(COLUMNS($Q$1006:R1006),$Q$1006:$U$1006,0))&gt;=100000), " ",IF(INDEX($Q$2:$U$1001,MATCH(ROWS($J$2:J319),$J$2:$J$1001,0),MATCH(COLUMNS($Q$1006:R1006),$Q$1006:$U$1006,0)), HYPERLINK("#",""), HYPERLINK(CONCATENATE("#metadata!", ADDRESS(INDEX($L$2:$L$1001,MATCH(ROWS($J$2:J319),$J$2:$J$1001,0),0), INDEX($Q$1004:$U$1004,1,MATCH(COLUMNS($Q$1006:R1006),$Q$1006:$U$1006,0)))),"Fix")))</f>
        <v xml:space="preserve"> </v>
      </c>
      <c r="D319" s="3" t="str">
        <f ca="1">IF(OR(INDEX($K$2:$K$1001,MATCH(ROWS($J$2:J319),$J$2:$J$1001,0),1)&gt;=100000,INDEX($Q$1005:$U$1005,1,MATCH(COLUMNS($Q$1006:S1006),$Q$1006:$U$1006,0))&gt;=100000), " ",IF(INDEX($Q$2:$U$1001,MATCH(ROWS($J$2:J319),$J$2:$J$1001,0),MATCH(COLUMNS($Q$1006:S1006),$Q$1006:$U$1006,0)), HYPERLINK("#",""), HYPERLINK(CONCATENATE("#metadata!", ADDRESS(INDEX($L$2:$L$1001,MATCH(ROWS($J$2:J319),$J$2:$J$1001,0),0), INDEX($Q$1004:$U$1004,1,MATCH(COLUMNS($Q$1006:S1006),$Q$1006:$U$1006,0)))),"Fix")))</f>
        <v xml:space="preserve"> </v>
      </c>
      <c r="E319" s="3" t="str">
        <f ca="1">IF(OR(INDEX($K$2:$K$1001,MATCH(ROWS($J$2:J319),$J$2:$J$1001,0),1)&gt;=100000,INDEX($Q$1005:$U$1005,1,MATCH(COLUMNS($Q$1006:T1006),$Q$1006:$U$1006,0))&gt;=100000), " ",IF(INDEX($Q$2:$U$1001,MATCH(ROWS($J$2:J319),$J$2:$J$1001,0),MATCH(COLUMNS($Q$1006:T1006),$Q$1006:$U$1006,0)), HYPERLINK("#",""), HYPERLINK(CONCATENATE("#metadata!", ADDRESS(INDEX($L$2:$L$1001,MATCH(ROWS($J$2:J319),$J$2:$J$1001,0),0), INDEX($Q$1004:$U$1004,1,MATCH(COLUMNS($Q$1006:T1006),$Q$1006:$U$1006,0)))),"Fix")))</f>
        <v xml:space="preserve"> </v>
      </c>
      <c r="F319" s="3" t="str">
        <f ca="1">IF(OR(INDEX($K$2:$K$1001,MATCH(ROWS($J$2:J319),$J$2:$J$1001,0),1)&gt;=100000,INDEX($Q$1005:$U$1005,1,MATCH(COLUMNS($Q$1006:U1006),$Q$1006:$U$1006,0))&gt;=100000), " ",IF(INDEX($Q$2:$U$1001,MATCH(ROWS($J$2:J319),$J$2:$J$1001,0),MATCH(COLUMNS($Q$1006:U1006),$Q$1006:$U$1006,0)), HYPERLINK("#",""), HYPERLINK(CONCATENATE("#metadata!", ADDRESS(INDEX($L$2:$L$1001,MATCH(ROWS($J$2:J319),$J$2:$J$1001,0),0), INDEX($Q$1004:$U$1004,1,MATCH(COLUMNS($Q$1006:U1006),$Q$1006:$U$1006,0)))),"Fix")))</f>
        <v xml:space="preserve"> </v>
      </c>
      <c r="J319">
        <v>318</v>
      </c>
      <c r="K319">
        <v>100319</v>
      </c>
      <c r="L319">
        <v>319</v>
      </c>
      <c r="M319" t="b">
        <f t="shared" si="4"/>
        <v>1</v>
      </c>
      <c r="N319" t="b">
        <f>COUNTBLANK(metadata!B319:F319)=COLUMNS(metadata!B319:F319)</f>
        <v>1</v>
      </c>
      <c r="O319" t="str">
        <v/>
      </c>
      <c r="Q319" t="b">
        <f ca="1">AND(IF(metadata!B319="",FALSE,TRUE),COUNTIF(metadata!B:B, metadata!B319) = 1,NOT(ISERROR(SUMPRODUCT(SEARCH(MID(metadata!B319,ROW(INDIRECT("1:"&amp;LEN(metadata!B319))), 1),"0123456789abcdefghijklmnopqrstuvwxyzABCDEFGHIJKLMNOPQRSTUVWXYZ.")))))</f>
        <v>0</v>
      </c>
      <c r="R319" t="b">
        <f>AND(IF(metadata!C319="",FALSE,TRUE),OR(EXACT(metadata!C319,"saline"),EXACT(metadata!C319,"non-saline")))</f>
        <v>0</v>
      </c>
      <c r="S319" t="b">
        <f>AND(IF(metadata!D319="",FALSE,TRUE),OR(EXACT(metadata!D319,"surface (non-saline)"),EXACT(metadata!D319,"aerosol (non-saline)"),EXACT(metadata!D319,"sediment (non-saline)"),EXACT(metadata!D319,"surface (saline)"),EXACT(metadata!D319,"aerosol (saline)"),EXACT(metadata!D319,"sediment (saline)")))</f>
        <v>0</v>
      </c>
      <c r="T319" t="b">
        <f>AND(IF(metadata!E319="",FALSE,TRUE),EXACT(metadata!E319,"built environment"))</f>
        <v>0</v>
      </c>
      <c r="U319" t="b">
        <f>OR(AND(IF(metadata!F319="",FALSE,TRUE),EXACT(metadata!F319,"not applicable")),AND(IF(metadata!F319="",FALSE,TRUE),EXACT(metadata!F319,"anaerobic digester content")))</f>
        <v>0</v>
      </c>
    </row>
    <row r="320" spans="1:21" x14ac:dyDescent="0.2">
      <c r="A320" s="4" t="str">
        <f ca="1">IF(B320=" "," ",HYPERLINK(CONCATENATE("#metadata!",ADDRESS(INDEX($L$2:$L$1001,MATCH(ROWS($J$2:J320),$J$2:$J$1001,0),0),1)),INDEX($O$2:$O$1001,MATCH(ROWS($J$2:J320),$J$2:$J$1001,0),0)))</f>
        <v xml:space="preserve"> </v>
      </c>
      <c r="B320" s="3" t="str">
        <f ca="1">IF(OR(INDEX($K$2:$K$1001,MATCH(ROWS($J$2:J320),$J$2:$J$1001,0),1)&gt;=100000,INDEX($Q$1005:$U$1005,1,MATCH(COLUMNS($Q$1006:Q1006),$Q$1006:$U$1006,0))&gt;=100000), " ",IF(INDEX($Q$2:$U$1001,MATCH(ROWS($J$2:J320),$J$2:$J$1001,0),MATCH(COLUMNS($Q$1006:Q1006),$Q$1006:$U$1006,0)), HYPERLINK("#",""), HYPERLINK(CONCATENATE("#metadata!", ADDRESS(INDEX($L$2:$L$1001,MATCH(ROWS($J$2:J320),$J$2:$J$1001,0),0), INDEX($Q$1004:$U$1004,1,MATCH(COLUMNS($Q$1006:Q1006),$Q$1006:$U$1006,0)))),"Fix")))</f>
        <v xml:space="preserve"> </v>
      </c>
      <c r="C320" s="3" t="str">
        <f ca="1">IF(OR(INDEX($K$2:$K$1001,MATCH(ROWS($J$2:J320),$J$2:$J$1001,0),1)&gt;=100000,INDEX($Q$1005:$U$1005,1,MATCH(COLUMNS($Q$1006:R1006),$Q$1006:$U$1006,0))&gt;=100000), " ",IF(INDEX($Q$2:$U$1001,MATCH(ROWS($J$2:J320),$J$2:$J$1001,0),MATCH(COLUMNS($Q$1006:R1006),$Q$1006:$U$1006,0)), HYPERLINK("#",""), HYPERLINK(CONCATENATE("#metadata!", ADDRESS(INDEX($L$2:$L$1001,MATCH(ROWS($J$2:J320),$J$2:$J$1001,0),0), INDEX($Q$1004:$U$1004,1,MATCH(COLUMNS($Q$1006:R1006),$Q$1006:$U$1006,0)))),"Fix")))</f>
        <v xml:space="preserve"> </v>
      </c>
      <c r="D320" s="3" t="str">
        <f ca="1">IF(OR(INDEX($K$2:$K$1001,MATCH(ROWS($J$2:J320),$J$2:$J$1001,0),1)&gt;=100000,INDEX($Q$1005:$U$1005,1,MATCH(COLUMNS($Q$1006:S1006),$Q$1006:$U$1006,0))&gt;=100000), " ",IF(INDEX($Q$2:$U$1001,MATCH(ROWS($J$2:J320),$J$2:$J$1001,0),MATCH(COLUMNS($Q$1006:S1006),$Q$1006:$U$1006,0)), HYPERLINK("#",""), HYPERLINK(CONCATENATE("#metadata!", ADDRESS(INDEX($L$2:$L$1001,MATCH(ROWS($J$2:J320),$J$2:$J$1001,0),0), INDEX($Q$1004:$U$1004,1,MATCH(COLUMNS($Q$1006:S1006),$Q$1006:$U$1006,0)))),"Fix")))</f>
        <v xml:space="preserve"> </v>
      </c>
      <c r="E320" s="3" t="str">
        <f ca="1">IF(OR(INDEX($K$2:$K$1001,MATCH(ROWS($J$2:J320),$J$2:$J$1001,0),1)&gt;=100000,INDEX($Q$1005:$U$1005,1,MATCH(COLUMNS($Q$1006:T1006),$Q$1006:$U$1006,0))&gt;=100000), " ",IF(INDEX($Q$2:$U$1001,MATCH(ROWS($J$2:J320),$J$2:$J$1001,0),MATCH(COLUMNS($Q$1006:T1006),$Q$1006:$U$1006,0)), HYPERLINK("#",""), HYPERLINK(CONCATENATE("#metadata!", ADDRESS(INDEX($L$2:$L$1001,MATCH(ROWS($J$2:J320),$J$2:$J$1001,0),0), INDEX($Q$1004:$U$1004,1,MATCH(COLUMNS($Q$1006:T1006),$Q$1006:$U$1006,0)))),"Fix")))</f>
        <v xml:space="preserve"> </v>
      </c>
      <c r="F320" s="3" t="str">
        <f ca="1">IF(OR(INDEX($K$2:$K$1001,MATCH(ROWS($J$2:J320),$J$2:$J$1001,0),1)&gt;=100000,INDEX($Q$1005:$U$1005,1,MATCH(COLUMNS($Q$1006:U1006),$Q$1006:$U$1006,0))&gt;=100000), " ",IF(INDEX($Q$2:$U$1001,MATCH(ROWS($J$2:J320),$J$2:$J$1001,0),MATCH(COLUMNS($Q$1006:U1006),$Q$1006:$U$1006,0)), HYPERLINK("#",""), HYPERLINK(CONCATENATE("#metadata!", ADDRESS(INDEX($L$2:$L$1001,MATCH(ROWS($J$2:J320),$J$2:$J$1001,0),0), INDEX($Q$1004:$U$1004,1,MATCH(COLUMNS($Q$1006:U1006),$Q$1006:$U$1006,0)))),"Fix")))</f>
        <v xml:space="preserve"> </v>
      </c>
      <c r="J320">
        <v>319</v>
      </c>
      <c r="K320">
        <v>100320</v>
      </c>
      <c r="L320">
        <v>320</v>
      </c>
      <c r="M320" t="b">
        <f t="shared" si="4"/>
        <v>1</v>
      </c>
      <c r="N320" t="b">
        <f>COUNTBLANK(metadata!B320:F320)=COLUMNS(metadata!B320:F320)</f>
        <v>1</v>
      </c>
      <c r="O320" t="str">
        <v/>
      </c>
      <c r="Q320" t="b">
        <f ca="1">AND(IF(metadata!B320="",FALSE,TRUE),COUNTIF(metadata!B:B, metadata!B320) = 1,NOT(ISERROR(SUMPRODUCT(SEARCH(MID(metadata!B320,ROW(INDIRECT("1:"&amp;LEN(metadata!B320))), 1),"0123456789abcdefghijklmnopqrstuvwxyzABCDEFGHIJKLMNOPQRSTUVWXYZ.")))))</f>
        <v>0</v>
      </c>
      <c r="R320" t="b">
        <f>AND(IF(metadata!C320="",FALSE,TRUE),OR(EXACT(metadata!C320,"saline"),EXACT(metadata!C320,"non-saline")))</f>
        <v>0</v>
      </c>
      <c r="S320" t="b">
        <f>AND(IF(metadata!D320="",FALSE,TRUE),OR(EXACT(metadata!D320,"surface (non-saline)"),EXACT(metadata!D320,"aerosol (non-saline)"),EXACT(metadata!D320,"sediment (non-saline)"),EXACT(metadata!D320,"surface (saline)"),EXACT(metadata!D320,"aerosol (saline)"),EXACT(metadata!D320,"sediment (saline)")))</f>
        <v>0</v>
      </c>
      <c r="T320" t="b">
        <f>AND(IF(metadata!E320="",FALSE,TRUE),EXACT(metadata!E320,"built environment"))</f>
        <v>0</v>
      </c>
      <c r="U320" t="b">
        <f>OR(AND(IF(metadata!F320="",FALSE,TRUE),EXACT(metadata!F320,"not applicable")),AND(IF(metadata!F320="",FALSE,TRUE),EXACT(metadata!F320,"anaerobic digester content")))</f>
        <v>0</v>
      </c>
    </row>
    <row r="321" spans="1:21" x14ac:dyDescent="0.2">
      <c r="A321" s="4" t="str">
        <f ca="1">IF(B321=" "," ",HYPERLINK(CONCATENATE("#metadata!",ADDRESS(INDEX($L$2:$L$1001,MATCH(ROWS($J$2:J321),$J$2:$J$1001,0),0),1)),INDEX($O$2:$O$1001,MATCH(ROWS($J$2:J321),$J$2:$J$1001,0),0)))</f>
        <v xml:space="preserve"> </v>
      </c>
      <c r="B321" s="3" t="str">
        <f ca="1">IF(OR(INDEX($K$2:$K$1001,MATCH(ROWS($J$2:J321),$J$2:$J$1001,0),1)&gt;=100000,INDEX($Q$1005:$U$1005,1,MATCH(COLUMNS($Q$1006:Q1006),$Q$1006:$U$1006,0))&gt;=100000), " ",IF(INDEX($Q$2:$U$1001,MATCH(ROWS($J$2:J321),$J$2:$J$1001,0),MATCH(COLUMNS($Q$1006:Q1006),$Q$1006:$U$1006,0)), HYPERLINK("#",""), HYPERLINK(CONCATENATE("#metadata!", ADDRESS(INDEX($L$2:$L$1001,MATCH(ROWS($J$2:J321),$J$2:$J$1001,0),0), INDEX($Q$1004:$U$1004,1,MATCH(COLUMNS($Q$1006:Q1006),$Q$1006:$U$1006,0)))),"Fix")))</f>
        <v xml:space="preserve"> </v>
      </c>
      <c r="C321" s="3" t="str">
        <f ca="1">IF(OR(INDEX($K$2:$K$1001,MATCH(ROWS($J$2:J321),$J$2:$J$1001,0),1)&gt;=100000,INDEX($Q$1005:$U$1005,1,MATCH(COLUMNS($Q$1006:R1006),$Q$1006:$U$1006,0))&gt;=100000), " ",IF(INDEX($Q$2:$U$1001,MATCH(ROWS($J$2:J321),$J$2:$J$1001,0),MATCH(COLUMNS($Q$1006:R1006),$Q$1006:$U$1006,0)), HYPERLINK("#",""), HYPERLINK(CONCATENATE("#metadata!", ADDRESS(INDEX($L$2:$L$1001,MATCH(ROWS($J$2:J321),$J$2:$J$1001,0),0), INDEX($Q$1004:$U$1004,1,MATCH(COLUMNS($Q$1006:R1006),$Q$1006:$U$1006,0)))),"Fix")))</f>
        <v xml:space="preserve"> </v>
      </c>
      <c r="D321" s="3" t="str">
        <f ca="1">IF(OR(INDEX($K$2:$K$1001,MATCH(ROWS($J$2:J321),$J$2:$J$1001,0),1)&gt;=100000,INDEX($Q$1005:$U$1005,1,MATCH(COLUMNS($Q$1006:S1006),$Q$1006:$U$1006,0))&gt;=100000), " ",IF(INDEX($Q$2:$U$1001,MATCH(ROWS($J$2:J321),$J$2:$J$1001,0),MATCH(COLUMNS($Q$1006:S1006),$Q$1006:$U$1006,0)), HYPERLINK("#",""), HYPERLINK(CONCATENATE("#metadata!", ADDRESS(INDEX($L$2:$L$1001,MATCH(ROWS($J$2:J321),$J$2:$J$1001,0),0), INDEX($Q$1004:$U$1004,1,MATCH(COLUMNS($Q$1006:S1006),$Q$1006:$U$1006,0)))),"Fix")))</f>
        <v xml:space="preserve"> </v>
      </c>
      <c r="E321" s="3" t="str">
        <f ca="1">IF(OR(INDEX($K$2:$K$1001,MATCH(ROWS($J$2:J321),$J$2:$J$1001,0),1)&gt;=100000,INDEX($Q$1005:$U$1005,1,MATCH(COLUMNS($Q$1006:T1006),$Q$1006:$U$1006,0))&gt;=100000), " ",IF(INDEX($Q$2:$U$1001,MATCH(ROWS($J$2:J321),$J$2:$J$1001,0),MATCH(COLUMNS($Q$1006:T1006),$Q$1006:$U$1006,0)), HYPERLINK("#",""), HYPERLINK(CONCATENATE("#metadata!", ADDRESS(INDEX($L$2:$L$1001,MATCH(ROWS($J$2:J321),$J$2:$J$1001,0),0), INDEX($Q$1004:$U$1004,1,MATCH(COLUMNS($Q$1006:T1006),$Q$1006:$U$1006,0)))),"Fix")))</f>
        <v xml:space="preserve"> </v>
      </c>
      <c r="F321" s="3" t="str">
        <f ca="1">IF(OR(INDEX($K$2:$K$1001,MATCH(ROWS($J$2:J321),$J$2:$J$1001,0),1)&gt;=100000,INDEX($Q$1005:$U$1005,1,MATCH(COLUMNS($Q$1006:U1006),$Q$1006:$U$1006,0))&gt;=100000), " ",IF(INDEX($Q$2:$U$1001,MATCH(ROWS($J$2:J321),$J$2:$J$1001,0),MATCH(COLUMNS($Q$1006:U1006),$Q$1006:$U$1006,0)), HYPERLINK("#",""), HYPERLINK(CONCATENATE("#metadata!", ADDRESS(INDEX($L$2:$L$1001,MATCH(ROWS($J$2:J321),$J$2:$J$1001,0),0), INDEX($Q$1004:$U$1004,1,MATCH(COLUMNS($Q$1006:U1006),$Q$1006:$U$1006,0)))),"Fix")))</f>
        <v xml:space="preserve"> </v>
      </c>
      <c r="J321">
        <v>320</v>
      </c>
      <c r="K321">
        <v>100321</v>
      </c>
      <c r="L321">
        <v>321</v>
      </c>
      <c r="M321" t="b">
        <f t="shared" si="4"/>
        <v>1</v>
      </c>
      <c r="N321" t="b">
        <f>COUNTBLANK(metadata!B321:F321)=COLUMNS(metadata!B321:F321)</f>
        <v>1</v>
      </c>
      <c r="O321" t="str">
        <v/>
      </c>
      <c r="Q321" t="b">
        <f ca="1">AND(IF(metadata!B321="",FALSE,TRUE),COUNTIF(metadata!B:B, metadata!B321) = 1,NOT(ISERROR(SUMPRODUCT(SEARCH(MID(metadata!B321,ROW(INDIRECT("1:"&amp;LEN(metadata!B321))), 1),"0123456789abcdefghijklmnopqrstuvwxyzABCDEFGHIJKLMNOPQRSTUVWXYZ.")))))</f>
        <v>0</v>
      </c>
      <c r="R321" t="b">
        <f>AND(IF(metadata!C321="",FALSE,TRUE),OR(EXACT(metadata!C321,"saline"),EXACT(metadata!C321,"non-saline")))</f>
        <v>0</v>
      </c>
      <c r="S321" t="b">
        <f>AND(IF(metadata!D321="",FALSE,TRUE),OR(EXACT(metadata!D321,"surface (non-saline)"),EXACT(metadata!D321,"aerosol (non-saline)"),EXACT(metadata!D321,"sediment (non-saline)"),EXACT(metadata!D321,"surface (saline)"),EXACT(metadata!D321,"aerosol (saline)"),EXACT(metadata!D321,"sediment (saline)")))</f>
        <v>0</v>
      </c>
      <c r="T321" t="b">
        <f>AND(IF(metadata!E321="",FALSE,TRUE),EXACT(metadata!E321,"built environment"))</f>
        <v>0</v>
      </c>
      <c r="U321" t="b">
        <f>OR(AND(IF(metadata!F321="",FALSE,TRUE),EXACT(metadata!F321,"not applicable")),AND(IF(metadata!F321="",FALSE,TRUE),EXACT(metadata!F321,"anaerobic digester content")))</f>
        <v>0</v>
      </c>
    </row>
    <row r="322" spans="1:21" x14ac:dyDescent="0.2">
      <c r="A322" s="4" t="str">
        <f ca="1">IF(B322=" "," ",HYPERLINK(CONCATENATE("#metadata!",ADDRESS(INDEX($L$2:$L$1001,MATCH(ROWS($J$2:J322),$J$2:$J$1001,0),0),1)),INDEX($O$2:$O$1001,MATCH(ROWS($J$2:J322),$J$2:$J$1001,0),0)))</f>
        <v xml:space="preserve"> </v>
      </c>
      <c r="B322" s="3" t="str">
        <f ca="1">IF(OR(INDEX($K$2:$K$1001,MATCH(ROWS($J$2:J322),$J$2:$J$1001,0),1)&gt;=100000,INDEX($Q$1005:$U$1005,1,MATCH(COLUMNS($Q$1006:Q1006),$Q$1006:$U$1006,0))&gt;=100000), " ",IF(INDEX($Q$2:$U$1001,MATCH(ROWS($J$2:J322),$J$2:$J$1001,0),MATCH(COLUMNS($Q$1006:Q1006),$Q$1006:$U$1006,0)), HYPERLINK("#",""), HYPERLINK(CONCATENATE("#metadata!", ADDRESS(INDEX($L$2:$L$1001,MATCH(ROWS($J$2:J322),$J$2:$J$1001,0),0), INDEX($Q$1004:$U$1004,1,MATCH(COLUMNS($Q$1006:Q1006),$Q$1006:$U$1006,0)))),"Fix")))</f>
        <v xml:space="preserve"> </v>
      </c>
      <c r="C322" s="3" t="str">
        <f ca="1">IF(OR(INDEX($K$2:$K$1001,MATCH(ROWS($J$2:J322),$J$2:$J$1001,0),1)&gt;=100000,INDEX($Q$1005:$U$1005,1,MATCH(COLUMNS($Q$1006:R1006),$Q$1006:$U$1006,0))&gt;=100000), " ",IF(INDEX($Q$2:$U$1001,MATCH(ROWS($J$2:J322),$J$2:$J$1001,0),MATCH(COLUMNS($Q$1006:R1006),$Q$1006:$U$1006,0)), HYPERLINK("#",""), HYPERLINK(CONCATENATE("#metadata!", ADDRESS(INDEX($L$2:$L$1001,MATCH(ROWS($J$2:J322),$J$2:$J$1001,0),0), INDEX($Q$1004:$U$1004,1,MATCH(COLUMNS($Q$1006:R1006),$Q$1006:$U$1006,0)))),"Fix")))</f>
        <v xml:space="preserve"> </v>
      </c>
      <c r="D322" s="3" t="str">
        <f ca="1">IF(OR(INDEX($K$2:$K$1001,MATCH(ROWS($J$2:J322),$J$2:$J$1001,0),1)&gt;=100000,INDEX($Q$1005:$U$1005,1,MATCH(COLUMNS($Q$1006:S1006),$Q$1006:$U$1006,0))&gt;=100000), " ",IF(INDEX($Q$2:$U$1001,MATCH(ROWS($J$2:J322),$J$2:$J$1001,0),MATCH(COLUMNS($Q$1006:S1006),$Q$1006:$U$1006,0)), HYPERLINK("#",""), HYPERLINK(CONCATENATE("#metadata!", ADDRESS(INDEX($L$2:$L$1001,MATCH(ROWS($J$2:J322),$J$2:$J$1001,0),0), INDEX($Q$1004:$U$1004,1,MATCH(COLUMNS($Q$1006:S1006),$Q$1006:$U$1006,0)))),"Fix")))</f>
        <v xml:space="preserve"> </v>
      </c>
      <c r="E322" s="3" t="str">
        <f ca="1">IF(OR(INDEX($K$2:$K$1001,MATCH(ROWS($J$2:J322),$J$2:$J$1001,0),1)&gt;=100000,INDEX($Q$1005:$U$1005,1,MATCH(COLUMNS($Q$1006:T1006),$Q$1006:$U$1006,0))&gt;=100000), " ",IF(INDEX($Q$2:$U$1001,MATCH(ROWS($J$2:J322),$J$2:$J$1001,0),MATCH(COLUMNS($Q$1006:T1006),$Q$1006:$U$1006,0)), HYPERLINK("#",""), HYPERLINK(CONCATENATE("#metadata!", ADDRESS(INDEX($L$2:$L$1001,MATCH(ROWS($J$2:J322),$J$2:$J$1001,0),0), INDEX($Q$1004:$U$1004,1,MATCH(COLUMNS($Q$1006:T1006),$Q$1006:$U$1006,0)))),"Fix")))</f>
        <v xml:space="preserve"> </v>
      </c>
      <c r="F322" s="3" t="str">
        <f ca="1">IF(OR(INDEX($K$2:$K$1001,MATCH(ROWS($J$2:J322),$J$2:$J$1001,0),1)&gt;=100000,INDEX($Q$1005:$U$1005,1,MATCH(COLUMNS($Q$1006:U1006),$Q$1006:$U$1006,0))&gt;=100000), " ",IF(INDEX($Q$2:$U$1001,MATCH(ROWS($J$2:J322),$J$2:$J$1001,0),MATCH(COLUMNS($Q$1006:U1006),$Q$1006:$U$1006,0)), HYPERLINK("#",""), HYPERLINK(CONCATENATE("#metadata!", ADDRESS(INDEX($L$2:$L$1001,MATCH(ROWS($J$2:J322),$J$2:$J$1001,0),0), INDEX($Q$1004:$U$1004,1,MATCH(COLUMNS($Q$1006:U1006),$Q$1006:$U$1006,0)))),"Fix")))</f>
        <v xml:space="preserve"> </v>
      </c>
      <c r="J322">
        <v>321</v>
      </c>
      <c r="K322">
        <v>100322</v>
      </c>
      <c r="L322">
        <v>322</v>
      </c>
      <c r="M322" t="b">
        <f t="shared" ref="M322:M385" si="5">IF(N322,TRUE,AND(Q322:U322))</f>
        <v>1</v>
      </c>
      <c r="N322" t="b">
        <f>COUNTBLANK(metadata!B322:F322)=COLUMNS(metadata!B322:F322)</f>
        <v>1</v>
      </c>
      <c r="O322" t="str">
        <v/>
      </c>
      <c r="Q322" t="b">
        <f ca="1">AND(IF(metadata!B322="",FALSE,TRUE),COUNTIF(metadata!B:B, metadata!B322) = 1,NOT(ISERROR(SUMPRODUCT(SEARCH(MID(metadata!B322,ROW(INDIRECT("1:"&amp;LEN(metadata!B322))), 1),"0123456789abcdefghijklmnopqrstuvwxyzABCDEFGHIJKLMNOPQRSTUVWXYZ.")))))</f>
        <v>0</v>
      </c>
      <c r="R322" t="b">
        <f>AND(IF(metadata!C322="",FALSE,TRUE),OR(EXACT(metadata!C322,"saline"),EXACT(metadata!C322,"non-saline")))</f>
        <v>0</v>
      </c>
      <c r="S322" t="b">
        <f>AND(IF(metadata!D322="",FALSE,TRUE),OR(EXACT(metadata!D322,"surface (non-saline)"),EXACT(metadata!D322,"aerosol (non-saline)"),EXACT(metadata!D322,"sediment (non-saline)"),EXACT(metadata!D322,"surface (saline)"),EXACT(metadata!D322,"aerosol (saline)"),EXACT(metadata!D322,"sediment (saline)")))</f>
        <v>0</v>
      </c>
      <c r="T322" t="b">
        <f>AND(IF(metadata!E322="",FALSE,TRUE),EXACT(metadata!E322,"built environment"))</f>
        <v>0</v>
      </c>
      <c r="U322" t="b">
        <f>OR(AND(IF(metadata!F322="",FALSE,TRUE),EXACT(metadata!F322,"not applicable")),AND(IF(metadata!F322="",FALSE,TRUE),EXACT(metadata!F322,"anaerobic digester content")))</f>
        <v>0</v>
      </c>
    </row>
    <row r="323" spans="1:21" x14ac:dyDescent="0.2">
      <c r="A323" s="4" t="str">
        <f ca="1">IF(B323=" "," ",HYPERLINK(CONCATENATE("#metadata!",ADDRESS(INDEX($L$2:$L$1001,MATCH(ROWS($J$2:J323),$J$2:$J$1001,0),0),1)),INDEX($O$2:$O$1001,MATCH(ROWS($J$2:J323),$J$2:$J$1001,0),0)))</f>
        <v xml:space="preserve"> </v>
      </c>
      <c r="B323" s="3" t="str">
        <f ca="1">IF(OR(INDEX($K$2:$K$1001,MATCH(ROWS($J$2:J323),$J$2:$J$1001,0),1)&gt;=100000,INDEX($Q$1005:$U$1005,1,MATCH(COLUMNS($Q$1006:Q1006),$Q$1006:$U$1006,0))&gt;=100000), " ",IF(INDEX($Q$2:$U$1001,MATCH(ROWS($J$2:J323),$J$2:$J$1001,0),MATCH(COLUMNS($Q$1006:Q1006),$Q$1006:$U$1006,0)), HYPERLINK("#",""), HYPERLINK(CONCATENATE("#metadata!", ADDRESS(INDEX($L$2:$L$1001,MATCH(ROWS($J$2:J323),$J$2:$J$1001,0),0), INDEX($Q$1004:$U$1004,1,MATCH(COLUMNS($Q$1006:Q1006),$Q$1006:$U$1006,0)))),"Fix")))</f>
        <v xml:space="preserve"> </v>
      </c>
      <c r="C323" s="3" t="str">
        <f ca="1">IF(OR(INDEX($K$2:$K$1001,MATCH(ROWS($J$2:J323),$J$2:$J$1001,0),1)&gt;=100000,INDEX($Q$1005:$U$1005,1,MATCH(COLUMNS($Q$1006:R1006),$Q$1006:$U$1006,0))&gt;=100000), " ",IF(INDEX($Q$2:$U$1001,MATCH(ROWS($J$2:J323),$J$2:$J$1001,0),MATCH(COLUMNS($Q$1006:R1006),$Q$1006:$U$1006,0)), HYPERLINK("#",""), HYPERLINK(CONCATENATE("#metadata!", ADDRESS(INDEX($L$2:$L$1001,MATCH(ROWS($J$2:J323),$J$2:$J$1001,0),0), INDEX($Q$1004:$U$1004,1,MATCH(COLUMNS($Q$1006:R1006),$Q$1006:$U$1006,0)))),"Fix")))</f>
        <v xml:space="preserve"> </v>
      </c>
      <c r="D323" s="3" t="str">
        <f ca="1">IF(OR(INDEX($K$2:$K$1001,MATCH(ROWS($J$2:J323),$J$2:$J$1001,0),1)&gt;=100000,INDEX($Q$1005:$U$1005,1,MATCH(COLUMNS($Q$1006:S1006),$Q$1006:$U$1006,0))&gt;=100000), " ",IF(INDEX($Q$2:$U$1001,MATCH(ROWS($J$2:J323),$J$2:$J$1001,0),MATCH(COLUMNS($Q$1006:S1006),$Q$1006:$U$1006,0)), HYPERLINK("#",""), HYPERLINK(CONCATENATE("#metadata!", ADDRESS(INDEX($L$2:$L$1001,MATCH(ROWS($J$2:J323),$J$2:$J$1001,0),0), INDEX($Q$1004:$U$1004,1,MATCH(COLUMNS($Q$1006:S1006),$Q$1006:$U$1006,0)))),"Fix")))</f>
        <v xml:space="preserve"> </v>
      </c>
      <c r="E323" s="3" t="str">
        <f ca="1">IF(OR(INDEX($K$2:$K$1001,MATCH(ROWS($J$2:J323),$J$2:$J$1001,0),1)&gt;=100000,INDEX($Q$1005:$U$1005,1,MATCH(COLUMNS($Q$1006:T1006),$Q$1006:$U$1006,0))&gt;=100000), " ",IF(INDEX($Q$2:$U$1001,MATCH(ROWS($J$2:J323),$J$2:$J$1001,0),MATCH(COLUMNS($Q$1006:T1006),$Q$1006:$U$1006,0)), HYPERLINK("#",""), HYPERLINK(CONCATENATE("#metadata!", ADDRESS(INDEX($L$2:$L$1001,MATCH(ROWS($J$2:J323),$J$2:$J$1001,0),0), INDEX($Q$1004:$U$1004,1,MATCH(COLUMNS($Q$1006:T1006),$Q$1006:$U$1006,0)))),"Fix")))</f>
        <v xml:space="preserve"> </v>
      </c>
      <c r="F323" s="3" t="str">
        <f ca="1">IF(OR(INDEX($K$2:$K$1001,MATCH(ROWS($J$2:J323),$J$2:$J$1001,0),1)&gt;=100000,INDEX($Q$1005:$U$1005,1,MATCH(COLUMNS($Q$1006:U1006),$Q$1006:$U$1006,0))&gt;=100000), " ",IF(INDEX($Q$2:$U$1001,MATCH(ROWS($J$2:J323),$J$2:$J$1001,0),MATCH(COLUMNS($Q$1006:U1006),$Q$1006:$U$1006,0)), HYPERLINK("#",""), HYPERLINK(CONCATENATE("#metadata!", ADDRESS(INDEX($L$2:$L$1001,MATCH(ROWS($J$2:J323),$J$2:$J$1001,0),0), INDEX($Q$1004:$U$1004,1,MATCH(COLUMNS($Q$1006:U1006),$Q$1006:$U$1006,0)))),"Fix")))</f>
        <v xml:space="preserve"> </v>
      </c>
      <c r="J323">
        <v>322</v>
      </c>
      <c r="K323">
        <v>100323</v>
      </c>
      <c r="L323">
        <v>323</v>
      </c>
      <c r="M323" t="b">
        <f t="shared" si="5"/>
        <v>1</v>
      </c>
      <c r="N323" t="b">
        <f>COUNTBLANK(metadata!B323:F323)=COLUMNS(metadata!B323:F323)</f>
        <v>1</v>
      </c>
      <c r="O323" t="str">
        <v/>
      </c>
      <c r="Q323" t="b">
        <f ca="1">AND(IF(metadata!B323="",FALSE,TRUE),COUNTIF(metadata!B:B, metadata!B323) = 1,NOT(ISERROR(SUMPRODUCT(SEARCH(MID(metadata!B323,ROW(INDIRECT("1:"&amp;LEN(metadata!B323))), 1),"0123456789abcdefghijklmnopqrstuvwxyzABCDEFGHIJKLMNOPQRSTUVWXYZ.")))))</f>
        <v>0</v>
      </c>
      <c r="R323" t="b">
        <f>AND(IF(metadata!C323="",FALSE,TRUE),OR(EXACT(metadata!C323,"saline"),EXACT(metadata!C323,"non-saline")))</f>
        <v>0</v>
      </c>
      <c r="S323" t="b">
        <f>AND(IF(metadata!D323="",FALSE,TRUE),OR(EXACT(metadata!D323,"surface (non-saline)"),EXACT(metadata!D323,"aerosol (non-saline)"),EXACT(metadata!D323,"sediment (non-saline)"),EXACT(metadata!D323,"surface (saline)"),EXACT(metadata!D323,"aerosol (saline)"),EXACT(metadata!D323,"sediment (saline)")))</f>
        <v>0</v>
      </c>
      <c r="T323" t="b">
        <f>AND(IF(metadata!E323="",FALSE,TRUE),EXACT(metadata!E323,"built environment"))</f>
        <v>0</v>
      </c>
      <c r="U323" t="b">
        <f>OR(AND(IF(metadata!F323="",FALSE,TRUE),EXACT(metadata!F323,"not applicable")),AND(IF(metadata!F323="",FALSE,TRUE),EXACT(metadata!F323,"anaerobic digester content")))</f>
        <v>0</v>
      </c>
    </row>
    <row r="324" spans="1:21" x14ac:dyDescent="0.2">
      <c r="A324" s="4" t="str">
        <f ca="1">IF(B324=" "," ",HYPERLINK(CONCATENATE("#metadata!",ADDRESS(INDEX($L$2:$L$1001,MATCH(ROWS($J$2:J324),$J$2:$J$1001,0),0),1)),INDEX($O$2:$O$1001,MATCH(ROWS($J$2:J324),$J$2:$J$1001,0),0)))</f>
        <v xml:space="preserve"> </v>
      </c>
      <c r="B324" s="3" t="str">
        <f ca="1">IF(OR(INDEX($K$2:$K$1001,MATCH(ROWS($J$2:J324),$J$2:$J$1001,0),1)&gt;=100000,INDEX($Q$1005:$U$1005,1,MATCH(COLUMNS($Q$1006:Q1006),$Q$1006:$U$1006,0))&gt;=100000), " ",IF(INDEX($Q$2:$U$1001,MATCH(ROWS($J$2:J324),$J$2:$J$1001,0),MATCH(COLUMNS($Q$1006:Q1006),$Q$1006:$U$1006,0)), HYPERLINK("#",""), HYPERLINK(CONCATENATE("#metadata!", ADDRESS(INDEX($L$2:$L$1001,MATCH(ROWS($J$2:J324),$J$2:$J$1001,0),0), INDEX($Q$1004:$U$1004,1,MATCH(COLUMNS($Q$1006:Q1006),$Q$1006:$U$1006,0)))),"Fix")))</f>
        <v xml:space="preserve"> </v>
      </c>
      <c r="C324" s="3" t="str">
        <f ca="1">IF(OR(INDEX($K$2:$K$1001,MATCH(ROWS($J$2:J324),$J$2:$J$1001,0),1)&gt;=100000,INDEX($Q$1005:$U$1005,1,MATCH(COLUMNS($Q$1006:R1006),$Q$1006:$U$1006,0))&gt;=100000), " ",IF(INDEX($Q$2:$U$1001,MATCH(ROWS($J$2:J324),$J$2:$J$1001,0),MATCH(COLUMNS($Q$1006:R1006),$Q$1006:$U$1006,0)), HYPERLINK("#",""), HYPERLINK(CONCATENATE("#metadata!", ADDRESS(INDEX($L$2:$L$1001,MATCH(ROWS($J$2:J324),$J$2:$J$1001,0),0), INDEX($Q$1004:$U$1004,1,MATCH(COLUMNS($Q$1006:R1006),$Q$1006:$U$1006,0)))),"Fix")))</f>
        <v xml:space="preserve"> </v>
      </c>
      <c r="D324" s="3" t="str">
        <f ca="1">IF(OR(INDEX($K$2:$K$1001,MATCH(ROWS($J$2:J324),$J$2:$J$1001,0),1)&gt;=100000,INDEX($Q$1005:$U$1005,1,MATCH(COLUMNS($Q$1006:S1006),$Q$1006:$U$1006,0))&gt;=100000), " ",IF(INDEX($Q$2:$U$1001,MATCH(ROWS($J$2:J324),$J$2:$J$1001,0),MATCH(COLUMNS($Q$1006:S1006),$Q$1006:$U$1006,0)), HYPERLINK("#",""), HYPERLINK(CONCATENATE("#metadata!", ADDRESS(INDEX($L$2:$L$1001,MATCH(ROWS($J$2:J324),$J$2:$J$1001,0),0), INDEX($Q$1004:$U$1004,1,MATCH(COLUMNS($Q$1006:S1006),$Q$1006:$U$1006,0)))),"Fix")))</f>
        <v xml:space="preserve"> </v>
      </c>
      <c r="E324" s="3" t="str">
        <f ca="1">IF(OR(INDEX($K$2:$K$1001,MATCH(ROWS($J$2:J324),$J$2:$J$1001,0),1)&gt;=100000,INDEX($Q$1005:$U$1005,1,MATCH(COLUMNS($Q$1006:T1006),$Q$1006:$U$1006,0))&gt;=100000), " ",IF(INDEX($Q$2:$U$1001,MATCH(ROWS($J$2:J324),$J$2:$J$1001,0),MATCH(COLUMNS($Q$1006:T1006),$Q$1006:$U$1006,0)), HYPERLINK("#",""), HYPERLINK(CONCATENATE("#metadata!", ADDRESS(INDEX($L$2:$L$1001,MATCH(ROWS($J$2:J324),$J$2:$J$1001,0),0), INDEX($Q$1004:$U$1004,1,MATCH(COLUMNS($Q$1006:T1006),$Q$1006:$U$1006,0)))),"Fix")))</f>
        <v xml:space="preserve"> </v>
      </c>
      <c r="F324" s="3" t="str">
        <f ca="1">IF(OR(INDEX($K$2:$K$1001,MATCH(ROWS($J$2:J324),$J$2:$J$1001,0),1)&gt;=100000,INDEX($Q$1005:$U$1005,1,MATCH(COLUMNS($Q$1006:U1006),$Q$1006:$U$1006,0))&gt;=100000), " ",IF(INDEX($Q$2:$U$1001,MATCH(ROWS($J$2:J324),$J$2:$J$1001,0),MATCH(COLUMNS($Q$1006:U1006),$Q$1006:$U$1006,0)), HYPERLINK("#",""), HYPERLINK(CONCATENATE("#metadata!", ADDRESS(INDEX($L$2:$L$1001,MATCH(ROWS($J$2:J324),$J$2:$J$1001,0),0), INDEX($Q$1004:$U$1004,1,MATCH(COLUMNS($Q$1006:U1006),$Q$1006:$U$1006,0)))),"Fix")))</f>
        <v xml:space="preserve"> </v>
      </c>
      <c r="J324">
        <v>323</v>
      </c>
      <c r="K324">
        <v>100324</v>
      </c>
      <c r="L324">
        <v>324</v>
      </c>
      <c r="M324" t="b">
        <f t="shared" si="5"/>
        <v>1</v>
      </c>
      <c r="N324" t="b">
        <f>COUNTBLANK(metadata!B324:F324)=COLUMNS(metadata!B324:F324)</f>
        <v>1</v>
      </c>
      <c r="O324" t="str">
        <v/>
      </c>
      <c r="Q324" t="b">
        <f ca="1">AND(IF(metadata!B324="",FALSE,TRUE),COUNTIF(metadata!B:B, metadata!B324) = 1,NOT(ISERROR(SUMPRODUCT(SEARCH(MID(metadata!B324,ROW(INDIRECT("1:"&amp;LEN(metadata!B324))), 1),"0123456789abcdefghijklmnopqrstuvwxyzABCDEFGHIJKLMNOPQRSTUVWXYZ.")))))</f>
        <v>0</v>
      </c>
      <c r="R324" t="b">
        <f>AND(IF(metadata!C324="",FALSE,TRUE),OR(EXACT(metadata!C324,"saline"),EXACT(metadata!C324,"non-saline")))</f>
        <v>0</v>
      </c>
      <c r="S324" t="b">
        <f>AND(IF(metadata!D324="",FALSE,TRUE),OR(EXACT(metadata!D324,"surface (non-saline)"),EXACT(metadata!D324,"aerosol (non-saline)"),EXACT(metadata!D324,"sediment (non-saline)"),EXACT(metadata!D324,"surface (saline)"),EXACT(metadata!D324,"aerosol (saline)"),EXACT(metadata!D324,"sediment (saline)")))</f>
        <v>0</v>
      </c>
      <c r="T324" t="b">
        <f>AND(IF(metadata!E324="",FALSE,TRUE),EXACT(metadata!E324,"built environment"))</f>
        <v>0</v>
      </c>
      <c r="U324" t="b">
        <f>OR(AND(IF(metadata!F324="",FALSE,TRUE),EXACT(metadata!F324,"not applicable")),AND(IF(metadata!F324="",FALSE,TRUE),EXACT(metadata!F324,"anaerobic digester content")))</f>
        <v>0</v>
      </c>
    </row>
    <row r="325" spans="1:21" x14ac:dyDescent="0.2">
      <c r="A325" s="4" t="str">
        <f ca="1">IF(B325=" "," ",HYPERLINK(CONCATENATE("#metadata!",ADDRESS(INDEX($L$2:$L$1001,MATCH(ROWS($J$2:J325),$J$2:$J$1001,0),0),1)),INDEX($O$2:$O$1001,MATCH(ROWS($J$2:J325),$J$2:$J$1001,0),0)))</f>
        <v xml:space="preserve"> </v>
      </c>
      <c r="B325" s="3" t="str">
        <f ca="1">IF(OR(INDEX($K$2:$K$1001,MATCH(ROWS($J$2:J325),$J$2:$J$1001,0),1)&gt;=100000,INDEX($Q$1005:$U$1005,1,MATCH(COLUMNS($Q$1006:Q1006),$Q$1006:$U$1006,0))&gt;=100000), " ",IF(INDEX($Q$2:$U$1001,MATCH(ROWS($J$2:J325),$J$2:$J$1001,0),MATCH(COLUMNS($Q$1006:Q1006),$Q$1006:$U$1006,0)), HYPERLINK("#",""), HYPERLINK(CONCATENATE("#metadata!", ADDRESS(INDEX($L$2:$L$1001,MATCH(ROWS($J$2:J325),$J$2:$J$1001,0),0), INDEX($Q$1004:$U$1004,1,MATCH(COLUMNS($Q$1006:Q1006),$Q$1006:$U$1006,0)))),"Fix")))</f>
        <v xml:space="preserve"> </v>
      </c>
      <c r="C325" s="3" t="str">
        <f ca="1">IF(OR(INDEX($K$2:$K$1001,MATCH(ROWS($J$2:J325),$J$2:$J$1001,0),1)&gt;=100000,INDEX($Q$1005:$U$1005,1,MATCH(COLUMNS($Q$1006:R1006),$Q$1006:$U$1006,0))&gt;=100000), " ",IF(INDEX($Q$2:$U$1001,MATCH(ROWS($J$2:J325),$J$2:$J$1001,0),MATCH(COLUMNS($Q$1006:R1006),$Q$1006:$U$1006,0)), HYPERLINK("#",""), HYPERLINK(CONCATENATE("#metadata!", ADDRESS(INDEX($L$2:$L$1001,MATCH(ROWS($J$2:J325),$J$2:$J$1001,0),0), INDEX($Q$1004:$U$1004,1,MATCH(COLUMNS($Q$1006:R1006),$Q$1006:$U$1006,0)))),"Fix")))</f>
        <v xml:space="preserve"> </v>
      </c>
      <c r="D325" s="3" t="str">
        <f ca="1">IF(OR(INDEX($K$2:$K$1001,MATCH(ROWS($J$2:J325),$J$2:$J$1001,0),1)&gt;=100000,INDEX($Q$1005:$U$1005,1,MATCH(COLUMNS($Q$1006:S1006),$Q$1006:$U$1006,0))&gt;=100000), " ",IF(INDEX($Q$2:$U$1001,MATCH(ROWS($J$2:J325),$J$2:$J$1001,0),MATCH(COLUMNS($Q$1006:S1006),$Q$1006:$U$1006,0)), HYPERLINK("#",""), HYPERLINK(CONCATENATE("#metadata!", ADDRESS(INDEX($L$2:$L$1001,MATCH(ROWS($J$2:J325),$J$2:$J$1001,0),0), INDEX($Q$1004:$U$1004,1,MATCH(COLUMNS($Q$1006:S1006),$Q$1006:$U$1006,0)))),"Fix")))</f>
        <v xml:space="preserve"> </v>
      </c>
      <c r="E325" s="3" t="str">
        <f ca="1">IF(OR(INDEX($K$2:$K$1001,MATCH(ROWS($J$2:J325),$J$2:$J$1001,0),1)&gt;=100000,INDEX($Q$1005:$U$1005,1,MATCH(COLUMNS($Q$1006:T1006),$Q$1006:$U$1006,0))&gt;=100000), " ",IF(INDEX($Q$2:$U$1001,MATCH(ROWS($J$2:J325),$J$2:$J$1001,0),MATCH(COLUMNS($Q$1006:T1006),$Q$1006:$U$1006,0)), HYPERLINK("#",""), HYPERLINK(CONCATENATE("#metadata!", ADDRESS(INDEX($L$2:$L$1001,MATCH(ROWS($J$2:J325),$J$2:$J$1001,0),0), INDEX($Q$1004:$U$1004,1,MATCH(COLUMNS($Q$1006:T1006),$Q$1006:$U$1006,0)))),"Fix")))</f>
        <v xml:space="preserve"> </v>
      </c>
      <c r="F325" s="3" t="str">
        <f ca="1">IF(OR(INDEX($K$2:$K$1001,MATCH(ROWS($J$2:J325),$J$2:$J$1001,0),1)&gt;=100000,INDEX($Q$1005:$U$1005,1,MATCH(COLUMNS($Q$1006:U1006),$Q$1006:$U$1006,0))&gt;=100000), " ",IF(INDEX($Q$2:$U$1001,MATCH(ROWS($J$2:J325),$J$2:$J$1001,0),MATCH(COLUMNS($Q$1006:U1006),$Q$1006:$U$1006,0)), HYPERLINK("#",""), HYPERLINK(CONCATENATE("#metadata!", ADDRESS(INDEX($L$2:$L$1001,MATCH(ROWS($J$2:J325),$J$2:$J$1001,0),0), INDEX($Q$1004:$U$1004,1,MATCH(COLUMNS($Q$1006:U1006),$Q$1006:$U$1006,0)))),"Fix")))</f>
        <v xml:space="preserve"> </v>
      </c>
      <c r="J325">
        <v>324</v>
      </c>
      <c r="K325">
        <v>100325</v>
      </c>
      <c r="L325">
        <v>325</v>
      </c>
      <c r="M325" t="b">
        <f t="shared" si="5"/>
        <v>1</v>
      </c>
      <c r="N325" t="b">
        <f>COUNTBLANK(metadata!B325:F325)=COLUMNS(metadata!B325:F325)</f>
        <v>1</v>
      </c>
      <c r="O325" t="str">
        <v/>
      </c>
      <c r="Q325" t="b">
        <f ca="1">AND(IF(metadata!B325="",FALSE,TRUE),COUNTIF(metadata!B:B, metadata!B325) = 1,NOT(ISERROR(SUMPRODUCT(SEARCH(MID(metadata!B325,ROW(INDIRECT("1:"&amp;LEN(metadata!B325))), 1),"0123456789abcdefghijklmnopqrstuvwxyzABCDEFGHIJKLMNOPQRSTUVWXYZ.")))))</f>
        <v>0</v>
      </c>
      <c r="R325" t="b">
        <f>AND(IF(metadata!C325="",FALSE,TRUE),OR(EXACT(metadata!C325,"saline"),EXACT(metadata!C325,"non-saline")))</f>
        <v>0</v>
      </c>
      <c r="S325" t="b">
        <f>AND(IF(metadata!D325="",FALSE,TRUE),OR(EXACT(metadata!D325,"surface (non-saline)"),EXACT(metadata!D325,"aerosol (non-saline)"),EXACT(metadata!D325,"sediment (non-saline)"),EXACT(metadata!D325,"surface (saline)"),EXACT(metadata!D325,"aerosol (saline)"),EXACT(metadata!D325,"sediment (saline)")))</f>
        <v>0</v>
      </c>
      <c r="T325" t="b">
        <f>AND(IF(metadata!E325="",FALSE,TRUE),EXACT(metadata!E325,"built environment"))</f>
        <v>0</v>
      </c>
      <c r="U325" t="b">
        <f>OR(AND(IF(metadata!F325="",FALSE,TRUE),EXACT(metadata!F325,"not applicable")),AND(IF(metadata!F325="",FALSE,TRUE),EXACT(metadata!F325,"anaerobic digester content")))</f>
        <v>0</v>
      </c>
    </row>
    <row r="326" spans="1:21" x14ac:dyDescent="0.2">
      <c r="A326" s="4" t="str">
        <f ca="1">IF(B326=" "," ",HYPERLINK(CONCATENATE("#metadata!",ADDRESS(INDEX($L$2:$L$1001,MATCH(ROWS($J$2:J326),$J$2:$J$1001,0),0),1)),INDEX($O$2:$O$1001,MATCH(ROWS($J$2:J326),$J$2:$J$1001,0),0)))</f>
        <v xml:space="preserve"> </v>
      </c>
      <c r="B326" s="3" t="str">
        <f ca="1">IF(OR(INDEX($K$2:$K$1001,MATCH(ROWS($J$2:J326),$J$2:$J$1001,0),1)&gt;=100000,INDEX($Q$1005:$U$1005,1,MATCH(COLUMNS($Q$1006:Q1006),$Q$1006:$U$1006,0))&gt;=100000), " ",IF(INDEX($Q$2:$U$1001,MATCH(ROWS($J$2:J326),$J$2:$J$1001,0),MATCH(COLUMNS($Q$1006:Q1006),$Q$1006:$U$1006,0)), HYPERLINK("#",""), HYPERLINK(CONCATENATE("#metadata!", ADDRESS(INDEX($L$2:$L$1001,MATCH(ROWS($J$2:J326),$J$2:$J$1001,0),0), INDEX($Q$1004:$U$1004,1,MATCH(COLUMNS($Q$1006:Q1006),$Q$1006:$U$1006,0)))),"Fix")))</f>
        <v xml:space="preserve"> </v>
      </c>
      <c r="C326" s="3" t="str">
        <f ca="1">IF(OR(INDEX($K$2:$K$1001,MATCH(ROWS($J$2:J326),$J$2:$J$1001,0),1)&gt;=100000,INDEX($Q$1005:$U$1005,1,MATCH(COLUMNS($Q$1006:R1006),$Q$1006:$U$1006,0))&gt;=100000), " ",IF(INDEX($Q$2:$U$1001,MATCH(ROWS($J$2:J326),$J$2:$J$1001,0),MATCH(COLUMNS($Q$1006:R1006),$Q$1006:$U$1006,0)), HYPERLINK("#",""), HYPERLINK(CONCATENATE("#metadata!", ADDRESS(INDEX($L$2:$L$1001,MATCH(ROWS($J$2:J326),$J$2:$J$1001,0),0), INDEX($Q$1004:$U$1004,1,MATCH(COLUMNS($Q$1006:R1006),$Q$1006:$U$1006,0)))),"Fix")))</f>
        <v xml:space="preserve"> </v>
      </c>
      <c r="D326" s="3" t="str">
        <f ca="1">IF(OR(INDEX($K$2:$K$1001,MATCH(ROWS($J$2:J326),$J$2:$J$1001,0),1)&gt;=100000,INDEX($Q$1005:$U$1005,1,MATCH(COLUMNS($Q$1006:S1006),$Q$1006:$U$1006,0))&gt;=100000), " ",IF(INDEX($Q$2:$U$1001,MATCH(ROWS($J$2:J326),$J$2:$J$1001,0),MATCH(COLUMNS($Q$1006:S1006),$Q$1006:$U$1006,0)), HYPERLINK("#",""), HYPERLINK(CONCATENATE("#metadata!", ADDRESS(INDEX($L$2:$L$1001,MATCH(ROWS($J$2:J326),$J$2:$J$1001,0),0), INDEX($Q$1004:$U$1004,1,MATCH(COLUMNS($Q$1006:S1006),$Q$1006:$U$1006,0)))),"Fix")))</f>
        <v xml:space="preserve"> </v>
      </c>
      <c r="E326" s="3" t="str">
        <f ca="1">IF(OR(INDEX($K$2:$K$1001,MATCH(ROWS($J$2:J326),$J$2:$J$1001,0),1)&gt;=100000,INDEX($Q$1005:$U$1005,1,MATCH(COLUMNS($Q$1006:T1006),$Q$1006:$U$1006,0))&gt;=100000), " ",IF(INDEX($Q$2:$U$1001,MATCH(ROWS($J$2:J326),$J$2:$J$1001,0),MATCH(COLUMNS($Q$1006:T1006),$Q$1006:$U$1006,0)), HYPERLINK("#",""), HYPERLINK(CONCATENATE("#metadata!", ADDRESS(INDEX($L$2:$L$1001,MATCH(ROWS($J$2:J326),$J$2:$J$1001,0),0), INDEX($Q$1004:$U$1004,1,MATCH(COLUMNS($Q$1006:T1006),$Q$1006:$U$1006,0)))),"Fix")))</f>
        <v xml:space="preserve"> </v>
      </c>
      <c r="F326" s="3" t="str">
        <f ca="1">IF(OR(INDEX($K$2:$K$1001,MATCH(ROWS($J$2:J326),$J$2:$J$1001,0),1)&gt;=100000,INDEX($Q$1005:$U$1005,1,MATCH(COLUMNS($Q$1006:U1006),$Q$1006:$U$1006,0))&gt;=100000), " ",IF(INDEX($Q$2:$U$1001,MATCH(ROWS($J$2:J326),$J$2:$J$1001,0),MATCH(COLUMNS($Q$1006:U1006),$Q$1006:$U$1006,0)), HYPERLINK("#",""), HYPERLINK(CONCATENATE("#metadata!", ADDRESS(INDEX($L$2:$L$1001,MATCH(ROWS($J$2:J326),$J$2:$J$1001,0),0), INDEX($Q$1004:$U$1004,1,MATCH(COLUMNS($Q$1006:U1006),$Q$1006:$U$1006,0)))),"Fix")))</f>
        <v xml:space="preserve"> </v>
      </c>
      <c r="J326">
        <v>325</v>
      </c>
      <c r="K326">
        <v>100326</v>
      </c>
      <c r="L326">
        <v>326</v>
      </c>
      <c r="M326" t="b">
        <f t="shared" si="5"/>
        <v>1</v>
      </c>
      <c r="N326" t="b">
        <f>COUNTBLANK(metadata!B326:F326)=COLUMNS(metadata!B326:F326)</f>
        <v>1</v>
      </c>
      <c r="O326" t="str">
        <v/>
      </c>
      <c r="Q326" t="b">
        <f ca="1">AND(IF(metadata!B326="",FALSE,TRUE),COUNTIF(metadata!B:B, metadata!B326) = 1,NOT(ISERROR(SUMPRODUCT(SEARCH(MID(metadata!B326,ROW(INDIRECT("1:"&amp;LEN(metadata!B326))), 1),"0123456789abcdefghijklmnopqrstuvwxyzABCDEFGHIJKLMNOPQRSTUVWXYZ.")))))</f>
        <v>0</v>
      </c>
      <c r="R326" t="b">
        <f>AND(IF(metadata!C326="",FALSE,TRUE),OR(EXACT(metadata!C326,"saline"),EXACT(metadata!C326,"non-saline")))</f>
        <v>0</v>
      </c>
      <c r="S326" t="b">
        <f>AND(IF(metadata!D326="",FALSE,TRUE),OR(EXACT(metadata!D326,"surface (non-saline)"),EXACT(metadata!D326,"aerosol (non-saline)"),EXACT(metadata!D326,"sediment (non-saline)"),EXACT(metadata!D326,"surface (saline)"),EXACT(metadata!D326,"aerosol (saline)"),EXACT(metadata!D326,"sediment (saline)")))</f>
        <v>0</v>
      </c>
      <c r="T326" t="b">
        <f>AND(IF(metadata!E326="",FALSE,TRUE),EXACT(metadata!E326,"built environment"))</f>
        <v>0</v>
      </c>
      <c r="U326" t="b">
        <f>OR(AND(IF(metadata!F326="",FALSE,TRUE),EXACT(metadata!F326,"not applicable")),AND(IF(metadata!F326="",FALSE,TRUE),EXACT(metadata!F326,"anaerobic digester content")))</f>
        <v>0</v>
      </c>
    </row>
    <row r="327" spans="1:21" x14ac:dyDescent="0.2">
      <c r="A327" s="4" t="str">
        <f ca="1">IF(B327=" "," ",HYPERLINK(CONCATENATE("#metadata!",ADDRESS(INDEX($L$2:$L$1001,MATCH(ROWS($J$2:J327),$J$2:$J$1001,0),0),1)),INDEX($O$2:$O$1001,MATCH(ROWS($J$2:J327),$J$2:$J$1001,0),0)))</f>
        <v xml:space="preserve"> </v>
      </c>
      <c r="B327" s="3" t="str">
        <f ca="1">IF(OR(INDEX($K$2:$K$1001,MATCH(ROWS($J$2:J327),$J$2:$J$1001,0),1)&gt;=100000,INDEX($Q$1005:$U$1005,1,MATCH(COLUMNS($Q$1006:Q1006),$Q$1006:$U$1006,0))&gt;=100000), " ",IF(INDEX($Q$2:$U$1001,MATCH(ROWS($J$2:J327),$J$2:$J$1001,0),MATCH(COLUMNS($Q$1006:Q1006),$Q$1006:$U$1006,0)), HYPERLINK("#",""), HYPERLINK(CONCATENATE("#metadata!", ADDRESS(INDEX($L$2:$L$1001,MATCH(ROWS($J$2:J327),$J$2:$J$1001,0),0), INDEX($Q$1004:$U$1004,1,MATCH(COLUMNS($Q$1006:Q1006),$Q$1006:$U$1006,0)))),"Fix")))</f>
        <v xml:space="preserve"> </v>
      </c>
      <c r="C327" s="3" t="str">
        <f ca="1">IF(OR(INDEX($K$2:$K$1001,MATCH(ROWS($J$2:J327),$J$2:$J$1001,0),1)&gt;=100000,INDEX($Q$1005:$U$1005,1,MATCH(COLUMNS($Q$1006:R1006),$Q$1006:$U$1006,0))&gt;=100000), " ",IF(INDEX($Q$2:$U$1001,MATCH(ROWS($J$2:J327),$J$2:$J$1001,0),MATCH(COLUMNS($Q$1006:R1006),$Q$1006:$U$1006,0)), HYPERLINK("#",""), HYPERLINK(CONCATENATE("#metadata!", ADDRESS(INDEX($L$2:$L$1001,MATCH(ROWS($J$2:J327),$J$2:$J$1001,0),0), INDEX($Q$1004:$U$1004,1,MATCH(COLUMNS($Q$1006:R1006),$Q$1006:$U$1006,0)))),"Fix")))</f>
        <v xml:space="preserve"> </v>
      </c>
      <c r="D327" s="3" t="str">
        <f ca="1">IF(OR(INDEX($K$2:$K$1001,MATCH(ROWS($J$2:J327),$J$2:$J$1001,0),1)&gt;=100000,INDEX($Q$1005:$U$1005,1,MATCH(COLUMNS($Q$1006:S1006),$Q$1006:$U$1006,0))&gt;=100000), " ",IF(INDEX($Q$2:$U$1001,MATCH(ROWS($J$2:J327),$J$2:$J$1001,0),MATCH(COLUMNS($Q$1006:S1006),$Q$1006:$U$1006,0)), HYPERLINK("#",""), HYPERLINK(CONCATENATE("#metadata!", ADDRESS(INDEX($L$2:$L$1001,MATCH(ROWS($J$2:J327),$J$2:$J$1001,0),0), INDEX($Q$1004:$U$1004,1,MATCH(COLUMNS($Q$1006:S1006),$Q$1006:$U$1006,0)))),"Fix")))</f>
        <v xml:space="preserve"> </v>
      </c>
      <c r="E327" s="3" t="str">
        <f ca="1">IF(OR(INDEX($K$2:$K$1001,MATCH(ROWS($J$2:J327),$J$2:$J$1001,0),1)&gt;=100000,INDEX($Q$1005:$U$1005,1,MATCH(COLUMNS($Q$1006:T1006),$Q$1006:$U$1006,0))&gt;=100000), " ",IF(INDEX($Q$2:$U$1001,MATCH(ROWS($J$2:J327),$J$2:$J$1001,0),MATCH(COLUMNS($Q$1006:T1006),$Q$1006:$U$1006,0)), HYPERLINK("#",""), HYPERLINK(CONCATENATE("#metadata!", ADDRESS(INDEX($L$2:$L$1001,MATCH(ROWS($J$2:J327),$J$2:$J$1001,0),0), INDEX($Q$1004:$U$1004,1,MATCH(COLUMNS($Q$1006:T1006),$Q$1006:$U$1006,0)))),"Fix")))</f>
        <v xml:space="preserve"> </v>
      </c>
      <c r="F327" s="3" t="str">
        <f ca="1">IF(OR(INDEX($K$2:$K$1001,MATCH(ROWS($J$2:J327),$J$2:$J$1001,0),1)&gt;=100000,INDEX($Q$1005:$U$1005,1,MATCH(COLUMNS($Q$1006:U1006),$Q$1006:$U$1006,0))&gt;=100000), " ",IF(INDEX($Q$2:$U$1001,MATCH(ROWS($J$2:J327),$J$2:$J$1001,0),MATCH(COLUMNS($Q$1006:U1006),$Q$1006:$U$1006,0)), HYPERLINK("#",""), HYPERLINK(CONCATENATE("#metadata!", ADDRESS(INDEX($L$2:$L$1001,MATCH(ROWS($J$2:J327),$J$2:$J$1001,0),0), INDEX($Q$1004:$U$1004,1,MATCH(COLUMNS($Q$1006:U1006),$Q$1006:$U$1006,0)))),"Fix")))</f>
        <v xml:space="preserve"> </v>
      </c>
      <c r="J327">
        <v>326</v>
      </c>
      <c r="K327">
        <v>100327</v>
      </c>
      <c r="L327">
        <v>327</v>
      </c>
      <c r="M327" t="b">
        <f t="shared" si="5"/>
        <v>1</v>
      </c>
      <c r="N327" t="b">
        <f>COUNTBLANK(metadata!B327:F327)=COLUMNS(metadata!B327:F327)</f>
        <v>1</v>
      </c>
      <c r="O327" t="str">
        <v/>
      </c>
      <c r="Q327" t="b">
        <f ca="1">AND(IF(metadata!B327="",FALSE,TRUE),COUNTIF(metadata!B:B, metadata!B327) = 1,NOT(ISERROR(SUMPRODUCT(SEARCH(MID(metadata!B327,ROW(INDIRECT("1:"&amp;LEN(metadata!B327))), 1),"0123456789abcdefghijklmnopqrstuvwxyzABCDEFGHIJKLMNOPQRSTUVWXYZ.")))))</f>
        <v>0</v>
      </c>
      <c r="R327" t="b">
        <f>AND(IF(metadata!C327="",FALSE,TRUE),OR(EXACT(metadata!C327,"saline"),EXACT(metadata!C327,"non-saline")))</f>
        <v>0</v>
      </c>
      <c r="S327" t="b">
        <f>AND(IF(metadata!D327="",FALSE,TRUE),OR(EXACT(metadata!D327,"surface (non-saline)"),EXACT(metadata!D327,"aerosol (non-saline)"),EXACT(metadata!D327,"sediment (non-saline)"),EXACT(metadata!D327,"surface (saline)"),EXACT(metadata!D327,"aerosol (saline)"),EXACT(metadata!D327,"sediment (saline)")))</f>
        <v>0</v>
      </c>
      <c r="T327" t="b">
        <f>AND(IF(metadata!E327="",FALSE,TRUE),EXACT(metadata!E327,"built environment"))</f>
        <v>0</v>
      </c>
      <c r="U327" t="b">
        <f>OR(AND(IF(metadata!F327="",FALSE,TRUE),EXACT(metadata!F327,"not applicable")),AND(IF(metadata!F327="",FALSE,TRUE),EXACT(metadata!F327,"anaerobic digester content")))</f>
        <v>0</v>
      </c>
    </row>
    <row r="328" spans="1:21" x14ac:dyDescent="0.2">
      <c r="A328" s="4" t="str">
        <f ca="1">IF(B328=" "," ",HYPERLINK(CONCATENATE("#metadata!",ADDRESS(INDEX($L$2:$L$1001,MATCH(ROWS($J$2:J328),$J$2:$J$1001,0),0),1)),INDEX($O$2:$O$1001,MATCH(ROWS($J$2:J328),$J$2:$J$1001,0),0)))</f>
        <v xml:space="preserve"> </v>
      </c>
      <c r="B328" s="3" t="str">
        <f ca="1">IF(OR(INDEX($K$2:$K$1001,MATCH(ROWS($J$2:J328),$J$2:$J$1001,0),1)&gt;=100000,INDEX($Q$1005:$U$1005,1,MATCH(COLUMNS($Q$1006:Q1006),$Q$1006:$U$1006,0))&gt;=100000), " ",IF(INDEX($Q$2:$U$1001,MATCH(ROWS($J$2:J328),$J$2:$J$1001,0),MATCH(COLUMNS($Q$1006:Q1006),$Q$1006:$U$1006,0)), HYPERLINK("#",""), HYPERLINK(CONCATENATE("#metadata!", ADDRESS(INDEX($L$2:$L$1001,MATCH(ROWS($J$2:J328),$J$2:$J$1001,0),0), INDEX($Q$1004:$U$1004,1,MATCH(COLUMNS($Q$1006:Q1006),$Q$1006:$U$1006,0)))),"Fix")))</f>
        <v xml:space="preserve"> </v>
      </c>
      <c r="C328" s="3" t="str">
        <f ca="1">IF(OR(INDEX($K$2:$K$1001,MATCH(ROWS($J$2:J328),$J$2:$J$1001,0),1)&gt;=100000,INDEX($Q$1005:$U$1005,1,MATCH(COLUMNS($Q$1006:R1006),$Q$1006:$U$1006,0))&gt;=100000), " ",IF(INDEX($Q$2:$U$1001,MATCH(ROWS($J$2:J328),$J$2:$J$1001,0),MATCH(COLUMNS($Q$1006:R1006),$Q$1006:$U$1006,0)), HYPERLINK("#",""), HYPERLINK(CONCATENATE("#metadata!", ADDRESS(INDEX($L$2:$L$1001,MATCH(ROWS($J$2:J328),$J$2:$J$1001,0),0), INDEX($Q$1004:$U$1004,1,MATCH(COLUMNS($Q$1006:R1006),$Q$1006:$U$1006,0)))),"Fix")))</f>
        <v xml:space="preserve"> </v>
      </c>
      <c r="D328" s="3" t="str">
        <f ca="1">IF(OR(INDEX($K$2:$K$1001,MATCH(ROWS($J$2:J328),$J$2:$J$1001,0),1)&gt;=100000,INDEX($Q$1005:$U$1005,1,MATCH(COLUMNS($Q$1006:S1006),$Q$1006:$U$1006,0))&gt;=100000), " ",IF(INDEX($Q$2:$U$1001,MATCH(ROWS($J$2:J328),$J$2:$J$1001,0),MATCH(COLUMNS($Q$1006:S1006),$Q$1006:$U$1006,0)), HYPERLINK("#",""), HYPERLINK(CONCATENATE("#metadata!", ADDRESS(INDEX($L$2:$L$1001,MATCH(ROWS($J$2:J328),$J$2:$J$1001,0),0), INDEX($Q$1004:$U$1004,1,MATCH(COLUMNS($Q$1006:S1006),$Q$1006:$U$1006,0)))),"Fix")))</f>
        <v xml:space="preserve"> </v>
      </c>
      <c r="E328" s="3" t="str">
        <f ca="1">IF(OR(INDEX($K$2:$K$1001,MATCH(ROWS($J$2:J328),$J$2:$J$1001,0),1)&gt;=100000,INDEX($Q$1005:$U$1005,1,MATCH(COLUMNS($Q$1006:T1006),$Q$1006:$U$1006,0))&gt;=100000), " ",IF(INDEX($Q$2:$U$1001,MATCH(ROWS($J$2:J328),$J$2:$J$1001,0),MATCH(COLUMNS($Q$1006:T1006),$Q$1006:$U$1006,0)), HYPERLINK("#",""), HYPERLINK(CONCATENATE("#metadata!", ADDRESS(INDEX($L$2:$L$1001,MATCH(ROWS($J$2:J328),$J$2:$J$1001,0),0), INDEX($Q$1004:$U$1004,1,MATCH(COLUMNS($Q$1006:T1006),$Q$1006:$U$1006,0)))),"Fix")))</f>
        <v xml:space="preserve"> </v>
      </c>
      <c r="F328" s="3" t="str">
        <f ca="1">IF(OR(INDEX($K$2:$K$1001,MATCH(ROWS($J$2:J328),$J$2:$J$1001,0),1)&gt;=100000,INDEX($Q$1005:$U$1005,1,MATCH(COLUMNS($Q$1006:U1006),$Q$1006:$U$1006,0))&gt;=100000), " ",IF(INDEX($Q$2:$U$1001,MATCH(ROWS($J$2:J328),$J$2:$J$1001,0),MATCH(COLUMNS($Q$1006:U1006),$Q$1006:$U$1006,0)), HYPERLINK("#",""), HYPERLINK(CONCATENATE("#metadata!", ADDRESS(INDEX($L$2:$L$1001,MATCH(ROWS($J$2:J328),$J$2:$J$1001,0),0), INDEX($Q$1004:$U$1004,1,MATCH(COLUMNS($Q$1006:U1006),$Q$1006:$U$1006,0)))),"Fix")))</f>
        <v xml:space="preserve"> </v>
      </c>
      <c r="J328">
        <v>327</v>
      </c>
      <c r="K328">
        <v>100328</v>
      </c>
      <c r="L328">
        <v>328</v>
      </c>
      <c r="M328" t="b">
        <f t="shared" si="5"/>
        <v>1</v>
      </c>
      <c r="N328" t="b">
        <f>COUNTBLANK(metadata!B328:F328)=COLUMNS(metadata!B328:F328)</f>
        <v>1</v>
      </c>
      <c r="O328" t="str">
        <v/>
      </c>
      <c r="Q328" t="b">
        <f ca="1">AND(IF(metadata!B328="",FALSE,TRUE),COUNTIF(metadata!B:B, metadata!B328) = 1,NOT(ISERROR(SUMPRODUCT(SEARCH(MID(metadata!B328,ROW(INDIRECT("1:"&amp;LEN(metadata!B328))), 1),"0123456789abcdefghijklmnopqrstuvwxyzABCDEFGHIJKLMNOPQRSTUVWXYZ.")))))</f>
        <v>0</v>
      </c>
      <c r="R328" t="b">
        <f>AND(IF(metadata!C328="",FALSE,TRUE),OR(EXACT(metadata!C328,"saline"),EXACT(metadata!C328,"non-saline")))</f>
        <v>0</v>
      </c>
      <c r="S328" t="b">
        <f>AND(IF(metadata!D328="",FALSE,TRUE),OR(EXACT(metadata!D328,"surface (non-saline)"),EXACT(metadata!D328,"aerosol (non-saline)"),EXACT(metadata!D328,"sediment (non-saline)"),EXACT(metadata!D328,"surface (saline)"),EXACT(metadata!D328,"aerosol (saline)"),EXACT(metadata!D328,"sediment (saline)")))</f>
        <v>0</v>
      </c>
      <c r="T328" t="b">
        <f>AND(IF(metadata!E328="",FALSE,TRUE),EXACT(metadata!E328,"built environment"))</f>
        <v>0</v>
      </c>
      <c r="U328" t="b">
        <f>OR(AND(IF(metadata!F328="",FALSE,TRUE),EXACT(metadata!F328,"not applicable")),AND(IF(metadata!F328="",FALSE,TRUE),EXACT(metadata!F328,"anaerobic digester content")))</f>
        <v>0</v>
      </c>
    </row>
    <row r="329" spans="1:21" x14ac:dyDescent="0.2">
      <c r="A329" s="4" t="str">
        <f ca="1">IF(B329=" "," ",HYPERLINK(CONCATENATE("#metadata!",ADDRESS(INDEX($L$2:$L$1001,MATCH(ROWS($J$2:J329),$J$2:$J$1001,0),0),1)),INDEX($O$2:$O$1001,MATCH(ROWS($J$2:J329),$J$2:$J$1001,0),0)))</f>
        <v xml:space="preserve"> </v>
      </c>
      <c r="B329" s="3" t="str">
        <f ca="1">IF(OR(INDEX($K$2:$K$1001,MATCH(ROWS($J$2:J329),$J$2:$J$1001,0),1)&gt;=100000,INDEX($Q$1005:$U$1005,1,MATCH(COLUMNS($Q$1006:Q1006),$Q$1006:$U$1006,0))&gt;=100000), " ",IF(INDEX($Q$2:$U$1001,MATCH(ROWS($J$2:J329),$J$2:$J$1001,0),MATCH(COLUMNS($Q$1006:Q1006),$Q$1006:$U$1006,0)), HYPERLINK("#",""), HYPERLINK(CONCATENATE("#metadata!", ADDRESS(INDEX($L$2:$L$1001,MATCH(ROWS($J$2:J329),$J$2:$J$1001,0),0), INDEX($Q$1004:$U$1004,1,MATCH(COLUMNS($Q$1006:Q1006),$Q$1006:$U$1006,0)))),"Fix")))</f>
        <v xml:space="preserve"> </v>
      </c>
      <c r="C329" s="3" t="str">
        <f ca="1">IF(OR(INDEX($K$2:$K$1001,MATCH(ROWS($J$2:J329),$J$2:$J$1001,0),1)&gt;=100000,INDEX($Q$1005:$U$1005,1,MATCH(COLUMNS($Q$1006:R1006),$Q$1006:$U$1006,0))&gt;=100000), " ",IF(INDEX($Q$2:$U$1001,MATCH(ROWS($J$2:J329),$J$2:$J$1001,0),MATCH(COLUMNS($Q$1006:R1006),$Q$1006:$U$1006,0)), HYPERLINK("#",""), HYPERLINK(CONCATENATE("#metadata!", ADDRESS(INDEX($L$2:$L$1001,MATCH(ROWS($J$2:J329),$J$2:$J$1001,0),0), INDEX($Q$1004:$U$1004,1,MATCH(COLUMNS($Q$1006:R1006),$Q$1006:$U$1006,0)))),"Fix")))</f>
        <v xml:space="preserve"> </v>
      </c>
      <c r="D329" s="3" t="str">
        <f ca="1">IF(OR(INDEX($K$2:$K$1001,MATCH(ROWS($J$2:J329),$J$2:$J$1001,0),1)&gt;=100000,INDEX($Q$1005:$U$1005,1,MATCH(COLUMNS($Q$1006:S1006),$Q$1006:$U$1006,0))&gt;=100000), " ",IF(INDEX($Q$2:$U$1001,MATCH(ROWS($J$2:J329),$J$2:$J$1001,0),MATCH(COLUMNS($Q$1006:S1006),$Q$1006:$U$1006,0)), HYPERLINK("#",""), HYPERLINK(CONCATENATE("#metadata!", ADDRESS(INDEX($L$2:$L$1001,MATCH(ROWS($J$2:J329),$J$2:$J$1001,0),0), INDEX($Q$1004:$U$1004,1,MATCH(COLUMNS($Q$1006:S1006),$Q$1006:$U$1006,0)))),"Fix")))</f>
        <v xml:space="preserve"> </v>
      </c>
      <c r="E329" s="3" t="str">
        <f ca="1">IF(OR(INDEX($K$2:$K$1001,MATCH(ROWS($J$2:J329),$J$2:$J$1001,0),1)&gt;=100000,INDEX($Q$1005:$U$1005,1,MATCH(COLUMNS($Q$1006:T1006),$Q$1006:$U$1006,0))&gt;=100000), " ",IF(INDEX($Q$2:$U$1001,MATCH(ROWS($J$2:J329),$J$2:$J$1001,0),MATCH(COLUMNS($Q$1006:T1006),$Q$1006:$U$1006,0)), HYPERLINK("#",""), HYPERLINK(CONCATENATE("#metadata!", ADDRESS(INDEX($L$2:$L$1001,MATCH(ROWS($J$2:J329),$J$2:$J$1001,0),0), INDEX($Q$1004:$U$1004,1,MATCH(COLUMNS($Q$1006:T1006),$Q$1006:$U$1006,0)))),"Fix")))</f>
        <v xml:space="preserve"> </v>
      </c>
      <c r="F329" s="3" t="str">
        <f ca="1">IF(OR(INDEX($K$2:$K$1001,MATCH(ROWS($J$2:J329),$J$2:$J$1001,0),1)&gt;=100000,INDEX($Q$1005:$U$1005,1,MATCH(COLUMNS($Q$1006:U1006),$Q$1006:$U$1006,0))&gt;=100000), " ",IF(INDEX($Q$2:$U$1001,MATCH(ROWS($J$2:J329),$J$2:$J$1001,0),MATCH(COLUMNS($Q$1006:U1006),$Q$1006:$U$1006,0)), HYPERLINK("#",""), HYPERLINK(CONCATENATE("#metadata!", ADDRESS(INDEX($L$2:$L$1001,MATCH(ROWS($J$2:J329),$J$2:$J$1001,0),0), INDEX($Q$1004:$U$1004,1,MATCH(COLUMNS($Q$1006:U1006),$Q$1006:$U$1006,0)))),"Fix")))</f>
        <v xml:space="preserve"> </v>
      </c>
      <c r="J329">
        <v>328</v>
      </c>
      <c r="K329">
        <v>100329</v>
      </c>
      <c r="L329">
        <v>329</v>
      </c>
      <c r="M329" t="b">
        <f t="shared" si="5"/>
        <v>1</v>
      </c>
      <c r="N329" t="b">
        <f>COUNTBLANK(metadata!B329:F329)=COLUMNS(metadata!B329:F329)</f>
        <v>1</v>
      </c>
      <c r="O329" t="str">
        <v/>
      </c>
      <c r="Q329" t="b">
        <f ca="1">AND(IF(metadata!B329="",FALSE,TRUE),COUNTIF(metadata!B:B, metadata!B329) = 1,NOT(ISERROR(SUMPRODUCT(SEARCH(MID(metadata!B329,ROW(INDIRECT("1:"&amp;LEN(metadata!B329))), 1),"0123456789abcdefghijklmnopqrstuvwxyzABCDEFGHIJKLMNOPQRSTUVWXYZ.")))))</f>
        <v>0</v>
      </c>
      <c r="R329" t="b">
        <f>AND(IF(metadata!C329="",FALSE,TRUE),OR(EXACT(metadata!C329,"saline"),EXACT(metadata!C329,"non-saline")))</f>
        <v>0</v>
      </c>
      <c r="S329" t="b">
        <f>AND(IF(metadata!D329="",FALSE,TRUE),OR(EXACT(metadata!D329,"surface (non-saline)"),EXACT(metadata!D329,"aerosol (non-saline)"),EXACT(metadata!D329,"sediment (non-saline)"),EXACT(metadata!D329,"surface (saline)"),EXACT(metadata!D329,"aerosol (saline)"),EXACT(metadata!D329,"sediment (saline)")))</f>
        <v>0</v>
      </c>
      <c r="T329" t="b">
        <f>AND(IF(metadata!E329="",FALSE,TRUE),EXACT(metadata!E329,"built environment"))</f>
        <v>0</v>
      </c>
      <c r="U329" t="b">
        <f>OR(AND(IF(metadata!F329="",FALSE,TRUE),EXACT(metadata!F329,"not applicable")),AND(IF(metadata!F329="",FALSE,TRUE),EXACT(metadata!F329,"anaerobic digester content")))</f>
        <v>0</v>
      </c>
    </row>
    <row r="330" spans="1:21" x14ac:dyDescent="0.2">
      <c r="A330" s="4" t="str">
        <f ca="1">IF(B330=" "," ",HYPERLINK(CONCATENATE("#metadata!",ADDRESS(INDEX($L$2:$L$1001,MATCH(ROWS($J$2:J330),$J$2:$J$1001,0),0),1)),INDEX($O$2:$O$1001,MATCH(ROWS($J$2:J330),$J$2:$J$1001,0),0)))</f>
        <v xml:space="preserve"> </v>
      </c>
      <c r="B330" s="3" t="str">
        <f ca="1">IF(OR(INDEX($K$2:$K$1001,MATCH(ROWS($J$2:J330),$J$2:$J$1001,0),1)&gt;=100000,INDEX($Q$1005:$U$1005,1,MATCH(COLUMNS($Q$1006:Q1006),$Q$1006:$U$1006,0))&gt;=100000), " ",IF(INDEX($Q$2:$U$1001,MATCH(ROWS($J$2:J330),$J$2:$J$1001,0),MATCH(COLUMNS($Q$1006:Q1006),$Q$1006:$U$1006,0)), HYPERLINK("#",""), HYPERLINK(CONCATENATE("#metadata!", ADDRESS(INDEX($L$2:$L$1001,MATCH(ROWS($J$2:J330),$J$2:$J$1001,0),0), INDEX($Q$1004:$U$1004,1,MATCH(COLUMNS($Q$1006:Q1006),$Q$1006:$U$1006,0)))),"Fix")))</f>
        <v xml:space="preserve"> </v>
      </c>
      <c r="C330" s="3" t="str">
        <f ca="1">IF(OR(INDEX($K$2:$K$1001,MATCH(ROWS($J$2:J330),$J$2:$J$1001,0),1)&gt;=100000,INDEX($Q$1005:$U$1005,1,MATCH(COLUMNS($Q$1006:R1006),$Q$1006:$U$1006,0))&gt;=100000), " ",IF(INDEX($Q$2:$U$1001,MATCH(ROWS($J$2:J330),$J$2:$J$1001,0),MATCH(COLUMNS($Q$1006:R1006),$Q$1006:$U$1006,0)), HYPERLINK("#",""), HYPERLINK(CONCATENATE("#metadata!", ADDRESS(INDEX($L$2:$L$1001,MATCH(ROWS($J$2:J330),$J$2:$J$1001,0),0), INDEX($Q$1004:$U$1004,1,MATCH(COLUMNS($Q$1006:R1006),$Q$1006:$U$1006,0)))),"Fix")))</f>
        <v xml:space="preserve"> </v>
      </c>
      <c r="D330" s="3" t="str">
        <f ca="1">IF(OR(INDEX($K$2:$K$1001,MATCH(ROWS($J$2:J330),$J$2:$J$1001,0),1)&gt;=100000,INDEX($Q$1005:$U$1005,1,MATCH(COLUMNS($Q$1006:S1006),$Q$1006:$U$1006,0))&gt;=100000), " ",IF(INDEX($Q$2:$U$1001,MATCH(ROWS($J$2:J330),$J$2:$J$1001,0),MATCH(COLUMNS($Q$1006:S1006),$Q$1006:$U$1006,0)), HYPERLINK("#",""), HYPERLINK(CONCATENATE("#metadata!", ADDRESS(INDEX($L$2:$L$1001,MATCH(ROWS($J$2:J330),$J$2:$J$1001,0),0), INDEX($Q$1004:$U$1004,1,MATCH(COLUMNS($Q$1006:S1006),$Q$1006:$U$1006,0)))),"Fix")))</f>
        <v xml:space="preserve"> </v>
      </c>
      <c r="E330" s="3" t="str">
        <f ca="1">IF(OR(INDEX($K$2:$K$1001,MATCH(ROWS($J$2:J330),$J$2:$J$1001,0),1)&gt;=100000,INDEX($Q$1005:$U$1005,1,MATCH(COLUMNS($Q$1006:T1006),$Q$1006:$U$1006,0))&gt;=100000), " ",IF(INDEX($Q$2:$U$1001,MATCH(ROWS($J$2:J330),$J$2:$J$1001,0),MATCH(COLUMNS($Q$1006:T1006),$Q$1006:$U$1006,0)), HYPERLINK("#",""), HYPERLINK(CONCATENATE("#metadata!", ADDRESS(INDEX($L$2:$L$1001,MATCH(ROWS($J$2:J330),$J$2:$J$1001,0),0), INDEX($Q$1004:$U$1004,1,MATCH(COLUMNS($Q$1006:T1006),$Q$1006:$U$1006,0)))),"Fix")))</f>
        <v xml:space="preserve"> </v>
      </c>
      <c r="F330" s="3" t="str">
        <f ca="1">IF(OR(INDEX($K$2:$K$1001,MATCH(ROWS($J$2:J330),$J$2:$J$1001,0),1)&gt;=100000,INDEX($Q$1005:$U$1005,1,MATCH(COLUMNS($Q$1006:U1006),$Q$1006:$U$1006,0))&gt;=100000), " ",IF(INDEX($Q$2:$U$1001,MATCH(ROWS($J$2:J330),$J$2:$J$1001,0),MATCH(COLUMNS($Q$1006:U1006),$Q$1006:$U$1006,0)), HYPERLINK("#",""), HYPERLINK(CONCATENATE("#metadata!", ADDRESS(INDEX($L$2:$L$1001,MATCH(ROWS($J$2:J330),$J$2:$J$1001,0),0), INDEX($Q$1004:$U$1004,1,MATCH(COLUMNS($Q$1006:U1006),$Q$1006:$U$1006,0)))),"Fix")))</f>
        <v xml:space="preserve"> </v>
      </c>
      <c r="J330">
        <v>329</v>
      </c>
      <c r="K330">
        <v>100330</v>
      </c>
      <c r="L330">
        <v>330</v>
      </c>
      <c r="M330" t="b">
        <f t="shared" si="5"/>
        <v>1</v>
      </c>
      <c r="N330" t="b">
        <f>COUNTBLANK(metadata!B330:F330)=COLUMNS(metadata!B330:F330)</f>
        <v>1</v>
      </c>
      <c r="O330" t="str">
        <v/>
      </c>
      <c r="Q330" t="b">
        <f ca="1">AND(IF(metadata!B330="",FALSE,TRUE),COUNTIF(metadata!B:B, metadata!B330) = 1,NOT(ISERROR(SUMPRODUCT(SEARCH(MID(metadata!B330,ROW(INDIRECT("1:"&amp;LEN(metadata!B330))), 1),"0123456789abcdefghijklmnopqrstuvwxyzABCDEFGHIJKLMNOPQRSTUVWXYZ.")))))</f>
        <v>0</v>
      </c>
      <c r="R330" t="b">
        <f>AND(IF(metadata!C330="",FALSE,TRUE),OR(EXACT(metadata!C330,"saline"),EXACT(metadata!C330,"non-saline")))</f>
        <v>0</v>
      </c>
      <c r="S330" t="b">
        <f>AND(IF(metadata!D330="",FALSE,TRUE),OR(EXACT(metadata!D330,"surface (non-saline)"),EXACT(metadata!D330,"aerosol (non-saline)"),EXACT(metadata!D330,"sediment (non-saline)"),EXACT(metadata!D330,"surface (saline)"),EXACT(metadata!D330,"aerosol (saline)"),EXACT(metadata!D330,"sediment (saline)")))</f>
        <v>0</v>
      </c>
      <c r="T330" t="b">
        <f>AND(IF(metadata!E330="",FALSE,TRUE),EXACT(metadata!E330,"built environment"))</f>
        <v>0</v>
      </c>
      <c r="U330" t="b">
        <f>OR(AND(IF(metadata!F330="",FALSE,TRUE),EXACT(metadata!F330,"not applicable")),AND(IF(metadata!F330="",FALSE,TRUE),EXACT(metadata!F330,"anaerobic digester content")))</f>
        <v>0</v>
      </c>
    </row>
    <row r="331" spans="1:21" x14ac:dyDescent="0.2">
      <c r="A331" s="4" t="str">
        <f ca="1">IF(B331=" "," ",HYPERLINK(CONCATENATE("#metadata!",ADDRESS(INDEX($L$2:$L$1001,MATCH(ROWS($J$2:J331),$J$2:$J$1001,0),0),1)),INDEX($O$2:$O$1001,MATCH(ROWS($J$2:J331),$J$2:$J$1001,0),0)))</f>
        <v xml:space="preserve"> </v>
      </c>
      <c r="B331" s="3" t="str">
        <f ca="1">IF(OR(INDEX($K$2:$K$1001,MATCH(ROWS($J$2:J331),$J$2:$J$1001,0),1)&gt;=100000,INDEX($Q$1005:$U$1005,1,MATCH(COLUMNS($Q$1006:Q1006),$Q$1006:$U$1006,0))&gt;=100000), " ",IF(INDEX($Q$2:$U$1001,MATCH(ROWS($J$2:J331),$J$2:$J$1001,0),MATCH(COLUMNS($Q$1006:Q1006),$Q$1006:$U$1006,0)), HYPERLINK("#",""), HYPERLINK(CONCATENATE("#metadata!", ADDRESS(INDEX($L$2:$L$1001,MATCH(ROWS($J$2:J331),$J$2:$J$1001,0),0), INDEX($Q$1004:$U$1004,1,MATCH(COLUMNS($Q$1006:Q1006),$Q$1006:$U$1006,0)))),"Fix")))</f>
        <v xml:space="preserve"> </v>
      </c>
      <c r="C331" s="3" t="str">
        <f ca="1">IF(OR(INDEX($K$2:$K$1001,MATCH(ROWS($J$2:J331),$J$2:$J$1001,0),1)&gt;=100000,INDEX($Q$1005:$U$1005,1,MATCH(COLUMNS($Q$1006:R1006),$Q$1006:$U$1006,0))&gt;=100000), " ",IF(INDEX($Q$2:$U$1001,MATCH(ROWS($J$2:J331),$J$2:$J$1001,0),MATCH(COLUMNS($Q$1006:R1006),$Q$1006:$U$1006,0)), HYPERLINK("#",""), HYPERLINK(CONCATENATE("#metadata!", ADDRESS(INDEX($L$2:$L$1001,MATCH(ROWS($J$2:J331),$J$2:$J$1001,0),0), INDEX($Q$1004:$U$1004,1,MATCH(COLUMNS($Q$1006:R1006),$Q$1006:$U$1006,0)))),"Fix")))</f>
        <v xml:space="preserve"> </v>
      </c>
      <c r="D331" s="3" t="str">
        <f ca="1">IF(OR(INDEX($K$2:$K$1001,MATCH(ROWS($J$2:J331),$J$2:$J$1001,0),1)&gt;=100000,INDEX($Q$1005:$U$1005,1,MATCH(COLUMNS($Q$1006:S1006),$Q$1006:$U$1006,0))&gt;=100000), " ",IF(INDEX($Q$2:$U$1001,MATCH(ROWS($J$2:J331),$J$2:$J$1001,0),MATCH(COLUMNS($Q$1006:S1006),$Q$1006:$U$1006,0)), HYPERLINK("#",""), HYPERLINK(CONCATENATE("#metadata!", ADDRESS(INDEX($L$2:$L$1001,MATCH(ROWS($J$2:J331),$J$2:$J$1001,0),0), INDEX($Q$1004:$U$1004,1,MATCH(COLUMNS($Q$1006:S1006),$Q$1006:$U$1006,0)))),"Fix")))</f>
        <v xml:space="preserve"> </v>
      </c>
      <c r="E331" s="3" t="str">
        <f ca="1">IF(OR(INDEX($K$2:$K$1001,MATCH(ROWS($J$2:J331),$J$2:$J$1001,0),1)&gt;=100000,INDEX($Q$1005:$U$1005,1,MATCH(COLUMNS($Q$1006:T1006),$Q$1006:$U$1006,0))&gt;=100000), " ",IF(INDEX($Q$2:$U$1001,MATCH(ROWS($J$2:J331),$J$2:$J$1001,0),MATCH(COLUMNS($Q$1006:T1006),$Q$1006:$U$1006,0)), HYPERLINK("#",""), HYPERLINK(CONCATENATE("#metadata!", ADDRESS(INDEX($L$2:$L$1001,MATCH(ROWS($J$2:J331),$J$2:$J$1001,0),0), INDEX($Q$1004:$U$1004,1,MATCH(COLUMNS($Q$1006:T1006),$Q$1006:$U$1006,0)))),"Fix")))</f>
        <v xml:space="preserve"> </v>
      </c>
      <c r="F331" s="3" t="str">
        <f ca="1">IF(OR(INDEX($K$2:$K$1001,MATCH(ROWS($J$2:J331),$J$2:$J$1001,0),1)&gt;=100000,INDEX($Q$1005:$U$1005,1,MATCH(COLUMNS($Q$1006:U1006),$Q$1006:$U$1006,0))&gt;=100000), " ",IF(INDEX($Q$2:$U$1001,MATCH(ROWS($J$2:J331),$J$2:$J$1001,0),MATCH(COLUMNS($Q$1006:U1006),$Q$1006:$U$1006,0)), HYPERLINK("#",""), HYPERLINK(CONCATENATE("#metadata!", ADDRESS(INDEX($L$2:$L$1001,MATCH(ROWS($J$2:J331),$J$2:$J$1001,0),0), INDEX($Q$1004:$U$1004,1,MATCH(COLUMNS($Q$1006:U1006),$Q$1006:$U$1006,0)))),"Fix")))</f>
        <v xml:space="preserve"> </v>
      </c>
      <c r="J331">
        <v>330</v>
      </c>
      <c r="K331">
        <v>100331</v>
      </c>
      <c r="L331">
        <v>331</v>
      </c>
      <c r="M331" t="b">
        <f t="shared" si="5"/>
        <v>1</v>
      </c>
      <c r="N331" t="b">
        <f>COUNTBLANK(metadata!B331:F331)=COLUMNS(metadata!B331:F331)</f>
        <v>1</v>
      </c>
      <c r="O331" t="str">
        <v/>
      </c>
      <c r="Q331" t="b">
        <f ca="1">AND(IF(metadata!B331="",FALSE,TRUE),COUNTIF(metadata!B:B, metadata!B331) = 1,NOT(ISERROR(SUMPRODUCT(SEARCH(MID(metadata!B331,ROW(INDIRECT("1:"&amp;LEN(metadata!B331))), 1),"0123456789abcdefghijklmnopqrstuvwxyzABCDEFGHIJKLMNOPQRSTUVWXYZ.")))))</f>
        <v>0</v>
      </c>
      <c r="R331" t="b">
        <f>AND(IF(metadata!C331="",FALSE,TRUE),OR(EXACT(metadata!C331,"saline"),EXACT(metadata!C331,"non-saline")))</f>
        <v>0</v>
      </c>
      <c r="S331" t="b">
        <f>AND(IF(metadata!D331="",FALSE,TRUE),OR(EXACT(metadata!D331,"surface (non-saline)"),EXACT(metadata!D331,"aerosol (non-saline)"),EXACT(metadata!D331,"sediment (non-saline)"),EXACT(metadata!D331,"surface (saline)"),EXACT(metadata!D331,"aerosol (saline)"),EXACT(metadata!D331,"sediment (saline)")))</f>
        <v>0</v>
      </c>
      <c r="T331" t="b">
        <f>AND(IF(metadata!E331="",FALSE,TRUE),EXACT(metadata!E331,"built environment"))</f>
        <v>0</v>
      </c>
      <c r="U331" t="b">
        <f>OR(AND(IF(metadata!F331="",FALSE,TRUE),EXACT(metadata!F331,"not applicable")),AND(IF(metadata!F331="",FALSE,TRUE),EXACT(metadata!F331,"anaerobic digester content")))</f>
        <v>0</v>
      </c>
    </row>
    <row r="332" spans="1:21" x14ac:dyDescent="0.2">
      <c r="A332" s="4" t="str">
        <f ca="1">IF(B332=" "," ",HYPERLINK(CONCATENATE("#metadata!",ADDRESS(INDEX($L$2:$L$1001,MATCH(ROWS($J$2:J332),$J$2:$J$1001,0),0),1)),INDEX($O$2:$O$1001,MATCH(ROWS($J$2:J332),$J$2:$J$1001,0),0)))</f>
        <v xml:space="preserve"> </v>
      </c>
      <c r="B332" s="3" t="str">
        <f ca="1">IF(OR(INDEX($K$2:$K$1001,MATCH(ROWS($J$2:J332),$J$2:$J$1001,0),1)&gt;=100000,INDEX($Q$1005:$U$1005,1,MATCH(COLUMNS($Q$1006:Q1006),$Q$1006:$U$1006,0))&gt;=100000), " ",IF(INDEX($Q$2:$U$1001,MATCH(ROWS($J$2:J332),$J$2:$J$1001,0),MATCH(COLUMNS($Q$1006:Q1006),$Q$1006:$U$1006,0)), HYPERLINK("#",""), HYPERLINK(CONCATENATE("#metadata!", ADDRESS(INDEX($L$2:$L$1001,MATCH(ROWS($J$2:J332),$J$2:$J$1001,0),0), INDEX($Q$1004:$U$1004,1,MATCH(COLUMNS($Q$1006:Q1006),$Q$1006:$U$1006,0)))),"Fix")))</f>
        <v xml:space="preserve"> </v>
      </c>
      <c r="C332" s="3" t="str">
        <f ca="1">IF(OR(INDEX($K$2:$K$1001,MATCH(ROWS($J$2:J332),$J$2:$J$1001,0),1)&gt;=100000,INDEX($Q$1005:$U$1005,1,MATCH(COLUMNS($Q$1006:R1006),$Q$1006:$U$1006,0))&gt;=100000), " ",IF(INDEX($Q$2:$U$1001,MATCH(ROWS($J$2:J332),$J$2:$J$1001,0),MATCH(COLUMNS($Q$1006:R1006),$Q$1006:$U$1006,0)), HYPERLINK("#",""), HYPERLINK(CONCATENATE("#metadata!", ADDRESS(INDEX($L$2:$L$1001,MATCH(ROWS($J$2:J332),$J$2:$J$1001,0),0), INDEX($Q$1004:$U$1004,1,MATCH(COLUMNS($Q$1006:R1006),$Q$1006:$U$1006,0)))),"Fix")))</f>
        <v xml:space="preserve"> </v>
      </c>
      <c r="D332" s="3" t="str">
        <f ca="1">IF(OR(INDEX($K$2:$K$1001,MATCH(ROWS($J$2:J332),$J$2:$J$1001,0),1)&gt;=100000,INDEX($Q$1005:$U$1005,1,MATCH(COLUMNS($Q$1006:S1006),$Q$1006:$U$1006,0))&gt;=100000), " ",IF(INDEX($Q$2:$U$1001,MATCH(ROWS($J$2:J332),$J$2:$J$1001,0),MATCH(COLUMNS($Q$1006:S1006),$Q$1006:$U$1006,0)), HYPERLINK("#",""), HYPERLINK(CONCATENATE("#metadata!", ADDRESS(INDEX($L$2:$L$1001,MATCH(ROWS($J$2:J332),$J$2:$J$1001,0),0), INDEX($Q$1004:$U$1004,1,MATCH(COLUMNS($Q$1006:S1006),$Q$1006:$U$1006,0)))),"Fix")))</f>
        <v xml:space="preserve"> </v>
      </c>
      <c r="E332" s="3" t="str">
        <f ca="1">IF(OR(INDEX($K$2:$K$1001,MATCH(ROWS($J$2:J332),$J$2:$J$1001,0),1)&gt;=100000,INDEX($Q$1005:$U$1005,1,MATCH(COLUMNS($Q$1006:T1006),$Q$1006:$U$1006,0))&gt;=100000), " ",IF(INDEX($Q$2:$U$1001,MATCH(ROWS($J$2:J332),$J$2:$J$1001,0),MATCH(COLUMNS($Q$1006:T1006),$Q$1006:$U$1006,0)), HYPERLINK("#",""), HYPERLINK(CONCATENATE("#metadata!", ADDRESS(INDEX($L$2:$L$1001,MATCH(ROWS($J$2:J332),$J$2:$J$1001,0),0), INDEX($Q$1004:$U$1004,1,MATCH(COLUMNS($Q$1006:T1006),$Q$1006:$U$1006,0)))),"Fix")))</f>
        <v xml:space="preserve"> </v>
      </c>
      <c r="F332" s="3" t="str">
        <f ca="1">IF(OR(INDEX($K$2:$K$1001,MATCH(ROWS($J$2:J332),$J$2:$J$1001,0),1)&gt;=100000,INDEX($Q$1005:$U$1005,1,MATCH(COLUMNS($Q$1006:U1006),$Q$1006:$U$1006,0))&gt;=100000), " ",IF(INDEX($Q$2:$U$1001,MATCH(ROWS($J$2:J332),$J$2:$J$1001,0),MATCH(COLUMNS($Q$1006:U1006),$Q$1006:$U$1006,0)), HYPERLINK("#",""), HYPERLINK(CONCATENATE("#metadata!", ADDRESS(INDEX($L$2:$L$1001,MATCH(ROWS($J$2:J332),$J$2:$J$1001,0),0), INDEX($Q$1004:$U$1004,1,MATCH(COLUMNS($Q$1006:U1006),$Q$1006:$U$1006,0)))),"Fix")))</f>
        <v xml:space="preserve"> </v>
      </c>
      <c r="J332">
        <v>331</v>
      </c>
      <c r="K332">
        <v>100332</v>
      </c>
      <c r="L332">
        <v>332</v>
      </c>
      <c r="M332" t="b">
        <f t="shared" si="5"/>
        <v>1</v>
      </c>
      <c r="N332" t="b">
        <f>COUNTBLANK(metadata!B332:F332)=COLUMNS(metadata!B332:F332)</f>
        <v>1</v>
      </c>
      <c r="O332" t="str">
        <v/>
      </c>
      <c r="Q332" t="b">
        <f ca="1">AND(IF(metadata!B332="",FALSE,TRUE),COUNTIF(metadata!B:B, metadata!B332) = 1,NOT(ISERROR(SUMPRODUCT(SEARCH(MID(metadata!B332,ROW(INDIRECT("1:"&amp;LEN(metadata!B332))), 1),"0123456789abcdefghijklmnopqrstuvwxyzABCDEFGHIJKLMNOPQRSTUVWXYZ.")))))</f>
        <v>0</v>
      </c>
      <c r="R332" t="b">
        <f>AND(IF(metadata!C332="",FALSE,TRUE),OR(EXACT(metadata!C332,"saline"),EXACT(metadata!C332,"non-saline")))</f>
        <v>0</v>
      </c>
      <c r="S332" t="b">
        <f>AND(IF(metadata!D332="",FALSE,TRUE),OR(EXACT(metadata!D332,"surface (non-saline)"),EXACT(metadata!D332,"aerosol (non-saline)"),EXACT(metadata!D332,"sediment (non-saline)"),EXACT(metadata!D332,"surface (saline)"),EXACT(metadata!D332,"aerosol (saline)"),EXACT(metadata!D332,"sediment (saline)")))</f>
        <v>0</v>
      </c>
      <c r="T332" t="b">
        <f>AND(IF(metadata!E332="",FALSE,TRUE),EXACT(metadata!E332,"built environment"))</f>
        <v>0</v>
      </c>
      <c r="U332" t="b">
        <f>OR(AND(IF(metadata!F332="",FALSE,TRUE),EXACT(metadata!F332,"not applicable")),AND(IF(metadata!F332="",FALSE,TRUE),EXACT(metadata!F332,"anaerobic digester content")))</f>
        <v>0</v>
      </c>
    </row>
    <row r="333" spans="1:21" x14ac:dyDescent="0.2">
      <c r="A333" s="4" t="str">
        <f ca="1">IF(B333=" "," ",HYPERLINK(CONCATENATE("#metadata!",ADDRESS(INDEX($L$2:$L$1001,MATCH(ROWS($J$2:J333),$J$2:$J$1001,0),0),1)),INDEX($O$2:$O$1001,MATCH(ROWS($J$2:J333),$J$2:$J$1001,0),0)))</f>
        <v xml:space="preserve"> </v>
      </c>
      <c r="B333" s="3" t="str">
        <f ca="1">IF(OR(INDEX($K$2:$K$1001,MATCH(ROWS($J$2:J333),$J$2:$J$1001,0),1)&gt;=100000,INDEX($Q$1005:$U$1005,1,MATCH(COLUMNS($Q$1006:Q1006),$Q$1006:$U$1006,0))&gt;=100000), " ",IF(INDEX($Q$2:$U$1001,MATCH(ROWS($J$2:J333),$J$2:$J$1001,0),MATCH(COLUMNS($Q$1006:Q1006),$Q$1006:$U$1006,0)), HYPERLINK("#",""), HYPERLINK(CONCATENATE("#metadata!", ADDRESS(INDEX($L$2:$L$1001,MATCH(ROWS($J$2:J333),$J$2:$J$1001,0),0), INDEX($Q$1004:$U$1004,1,MATCH(COLUMNS($Q$1006:Q1006),$Q$1006:$U$1006,0)))),"Fix")))</f>
        <v xml:space="preserve"> </v>
      </c>
      <c r="C333" s="3" t="str">
        <f ca="1">IF(OR(INDEX($K$2:$K$1001,MATCH(ROWS($J$2:J333),$J$2:$J$1001,0),1)&gt;=100000,INDEX($Q$1005:$U$1005,1,MATCH(COLUMNS($Q$1006:R1006),$Q$1006:$U$1006,0))&gt;=100000), " ",IF(INDEX($Q$2:$U$1001,MATCH(ROWS($J$2:J333),$J$2:$J$1001,0),MATCH(COLUMNS($Q$1006:R1006),$Q$1006:$U$1006,0)), HYPERLINK("#",""), HYPERLINK(CONCATENATE("#metadata!", ADDRESS(INDEX($L$2:$L$1001,MATCH(ROWS($J$2:J333),$J$2:$J$1001,0),0), INDEX($Q$1004:$U$1004,1,MATCH(COLUMNS($Q$1006:R1006),$Q$1006:$U$1006,0)))),"Fix")))</f>
        <v xml:space="preserve"> </v>
      </c>
      <c r="D333" s="3" t="str">
        <f ca="1">IF(OR(INDEX($K$2:$K$1001,MATCH(ROWS($J$2:J333),$J$2:$J$1001,0),1)&gt;=100000,INDEX($Q$1005:$U$1005,1,MATCH(COLUMNS($Q$1006:S1006),$Q$1006:$U$1006,0))&gt;=100000), " ",IF(INDEX($Q$2:$U$1001,MATCH(ROWS($J$2:J333),$J$2:$J$1001,0),MATCH(COLUMNS($Q$1006:S1006),$Q$1006:$U$1006,0)), HYPERLINK("#",""), HYPERLINK(CONCATENATE("#metadata!", ADDRESS(INDEX($L$2:$L$1001,MATCH(ROWS($J$2:J333),$J$2:$J$1001,0),0), INDEX($Q$1004:$U$1004,1,MATCH(COLUMNS($Q$1006:S1006),$Q$1006:$U$1006,0)))),"Fix")))</f>
        <v xml:space="preserve"> </v>
      </c>
      <c r="E333" s="3" t="str">
        <f ca="1">IF(OR(INDEX($K$2:$K$1001,MATCH(ROWS($J$2:J333),$J$2:$J$1001,0),1)&gt;=100000,INDEX($Q$1005:$U$1005,1,MATCH(COLUMNS($Q$1006:T1006),$Q$1006:$U$1006,0))&gt;=100000), " ",IF(INDEX($Q$2:$U$1001,MATCH(ROWS($J$2:J333),$J$2:$J$1001,0),MATCH(COLUMNS($Q$1006:T1006),$Q$1006:$U$1006,0)), HYPERLINK("#",""), HYPERLINK(CONCATENATE("#metadata!", ADDRESS(INDEX($L$2:$L$1001,MATCH(ROWS($J$2:J333),$J$2:$J$1001,0),0), INDEX($Q$1004:$U$1004,1,MATCH(COLUMNS($Q$1006:T1006),$Q$1006:$U$1006,0)))),"Fix")))</f>
        <v xml:space="preserve"> </v>
      </c>
      <c r="F333" s="3" t="str">
        <f ca="1">IF(OR(INDEX($K$2:$K$1001,MATCH(ROWS($J$2:J333),$J$2:$J$1001,0),1)&gt;=100000,INDEX($Q$1005:$U$1005,1,MATCH(COLUMNS($Q$1006:U1006),$Q$1006:$U$1006,0))&gt;=100000), " ",IF(INDEX($Q$2:$U$1001,MATCH(ROWS($J$2:J333),$J$2:$J$1001,0),MATCH(COLUMNS($Q$1006:U1006),$Q$1006:$U$1006,0)), HYPERLINK("#",""), HYPERLINK(CONCATENATE("#metadata!", ADDRESS(INDEX($L$2:$L$1001,MATCH(ROWS($J$2:J333),$J$2:$J$1001,0),0), INDEX($Q$1004:$U$1004,1,MATCH(COLUMNS($Q$1006:U1006),$Q$1006:$U$1006,0)))),"Fix")))</f>
        <v xml:space="preserve"> </v>
      </c>
      <c r="J333">
        <v>332</v>
      </c>
      <c r="K333">
        <v>100333</v>
      </c>
      <c r="L333">
        <v>333</v>
      </c>
      <c r="M333" t="b">
        <f t="shared" si="5"/>
        <v>1</v>
      </c>
      <c r="N333" t="b">
        <f>COUNTBLANK(metadata!B333:F333)=COLUMNS(metadata!B333:F333)</f>
        <v>1</v>
      </c>
      <c r="O333" t="str">
        <v/>
      </c>
      <c r="Q333" t="b">
        <f ca="1">AND(IF(metadata!B333="",FALSE,TRUE),COUNTIF(metadata!B:B, metadata!B333) = 1,NOT(ISERROR(SUMPRODUCT(SEARCH(MID(metadata!B333,ROW(INDIRECT("1:"&amp;LEN(metadata!B333))), 1),"0123456789abcdefghijklmnopqrstuvwxyzABCDEFGHIJKLMNOPQRSTUVWXYZ.")))))</f>
        <v>0</v>
      </c>
      <c r="R333" t="b">
        <f>AND(IF(metadata!C333="",FALSE,TRUE),OR(EXACT(metadata!C333,"saline"),EXACT(metadata!C333,"non-saline")))</f>
        <v>0</v>
      </c>
      <c r="S333" t="b">
        <f>AND(IF(metadata!D333="",FALSE,TRUE),OR(EXACT(metadata!D333,"surface (non-saline)"),EXACT(metadata!D333,"aerosol (non-saline)"),EXACT(metadata!D333,"sediment (non-saline)"),EXACT(metadata!D333,"surface (saline)"),EXACT(metadata!D333,"aerosol (saline)"),EXACT(metadata!D333,"sediment (saline)")))</f>
        <v>0</v>
      </c>
      <c r="T333" t="b">
        <f>AND(IF(metadata!E333="",FALSE,TRUE),EXACT(metadata!E333,"built environment"))</f>
        <v>0</v>
      </c>
      <c r="U333" t="b">
        <f>OR(AND(IF(metadata!F333="",FALSE,TRUE),EXACT(metadata!F333,"not applicable")),AND(IF(metadata!F333="",FALSE,TRUE),EXACT(metadata!F333,"anaerobic digester content")))</f>
        <v>0</v>
      </c>
    </row>
    <row r="334" spans="1:21" x14ac:dyDescent="0.2">
      <c r="A334" s="4" t="str">
        <f ca="1">IF(B334=" "," ",HYPERLINK(CONCATENATE("#metadata!",ADDRESS(INDEX($L$2:$L$1001,MATCH(ROWS($J$2:J334),$J$2:$J$1001,0),0),1)),INDEX($O$2:$O$1001,MATCH(ROWS($J$2:J334),$J$2:$J$1001,0),0)))</f>
        <v xml:space="preserve"> </v>
      </c>
      <c r="B334" s="3" t="str">
        <f ca="1">IF(OR(INDEX($K$2:$K$1001,MATCH(ROWS($J$2:J334),$J$2:$J$1001,0),1)&gt;=100000,INDEX($Q$1005:$U$1005,1,MATCH(COLUMNS($Q$1006:Q1006),$Q$1006:$U$1006,0))&gt;=100000), " ",IF(INDEX($Q$2:$U$1001,MATCH(ROWS($J$2:J334),$J$2:$J$1001,0),MATCH(COLUMNS($Q$1006:Q1006),$Q$1006:$U$1006,0)), HYPERLINK("#",""), HYPERLINK(CONCATENATE("#metadata!", ADDRESS(INDEX($L$2:$L$1001,MATCH(ROWS($J$2:J334),$J$2:$J$1001,0),0), INDEX($Q$1004:$U$1004,1,MATCH(COLUMNS($Q$1006:Q1006),$Q$1006:$U$1006,0)))),"Fix")))</f>
        <v xml:space="preserve"> </v>
      </c>
      <c r="C334" s="3" t="str">
        <f ca="1">IF(OR(INDEX($K$2:$K$1001,MATCH(ROWS($J$2:J334),$J$2:$J$1001,0),1)&gt;=100000,INDEX($Q$1005:$U$1005,1,MATCH(COLUMNS($Q$1006:R1006),$Q$1006:$U$1006,0))&gt;=100000), " ",IF(INDEX($Q$2:$U$1001,MATCH(ROWS($J$2:J334),$J$2:$J$1001,0),MATCH(COLUMNS($Q$1006:R1006),$Q$1006:$U$1006,0)), HYPERLINK("#",""), HYPERLINK(CONCATENATE("#metadata!", ADDRESS(INDEX($L$2:$L$1001,MATCH(ROWS($J$2:J334),$J$2:$J$1001,0),0), INDEX($Q$1004:$U$1004,1,MATCH(COLUMNS($Q$1006:R1006),$Q$1006:$U$1006,0)))),"Fix")))</f>
        <v xml:space="preserve"> </v>
      </c>
      <c r="D334" s="3" t="str">
        <f ca="1">IF(OR(INDEX($K$2:$K$1001,MATCH(ROWS($J$2:J334),$J$2:$J$1001,0),1)&gt;=100000,INDEX($Q$1005:$U$1005,1,MATCH(COLUMNS($Q$1006:S1006),$Q$1006:$U$1006,0))&gt;=100000), " ",IF(INDEX($Q$2:$U$1001,MATCH(ROWS($J$2:J334),$J$2:$J$1001,0),MATCH(COLUMNS($Q$1006:S1006),$Q$1006:$U$1006,0)), HYPERLINK("#",""), HYPERLINK(CONCATENATE("#metadata!", ADDRESS(INDEX($L$2:$L$1001,MATCH(ROWS($J$2:J334),$J$2:$J$1001,0),0), INDEX($Q$1004:$U$1004,1,MATCH(COLUMNS($Q$1006:S1006),$Q$1006:$U$1006,0)))),"Fix")))</f>
        <v xml:space="preserve"> </v>
      </c>
      <c r="E334" s="3" t="str">
        <f ca="1">IF(OR(INDEX($K$2:$K$1001,MATCH(ROWS($J$2:J334),$J$2:$J$1001,0),1)&gt;=100000,INDEX($Q$1005:$U$1005,1,MATCH(COLUMNS($Q$1006:T1006),$Q$1006:$U$1006,0))&gt;=100000), " ",IF(INDEX($Q$2:$U$1001,MATCH(ROWS($J$2:J334),$J$2:$J$1001,0),MATCH(COLUMNS($Q$1006:T1006),$Q$1006:$U$1006,0)), HYPERLINK("#",""), HYPERLINK(CONCATENATE("#metadata!", ADDRESS(INDEX($L$2:$L$1001,MATCH(ROWS($J$2:J334),$J$2:$J$1001,0),0), INDEX($Q$1004:$U$1004,1,MATCH(COLUMNS($Q$1006:T1006),$Q$1006:$U$1006,0)))),"Fix")))</f>
        <v xml:space="preserve"> </v>
      </c>
      <c r="F334" s="3" t="str">
        <f ca="1">IF(OR(INDEX($K$2:$K$1001,MATCH(ROWS($J$2:J334),$J$2:$J$1001,0),1)&gt;=100000,INDEX($Q$1005:$U$1005,1,MATCH(COLUMNS($Q$1006:U1006),$Q$1006:$U$1006,0))&gt;=100000), " ",IF(INDEX($Q$2:$U$1001,MATCH(ROWS($J$2:J334),$J$2:$J$1001,0),MATCH(COLUMNS($Q$1006:U1006),$Q$1006:$U$1006,0)), HYPERLINK("#",""), HYPERLINK(CONCATENATE("#metadata!", ADDRESS(INDEX($L$2:$L$1001,MATCH(ROWS($J$2:J334),$J$2:$J$1001,0),0), INDEX($Q$1004:$U$1004,1,MATCH(COLUMNS($Q$1006:U1006),$Q$1006:$U$1006,0)))),"Fix")))</f>
        <v xml:space="preserve"> </v>
      </c>
      <c r="J334">
        <v>333</v>
      </c>
      <c r="K334">
        <v>100334</v>
      </c>
      <c r="L334">
        <v>334</v>
      </c>
      <c r="M334" t="b">
        <f t="shared" si="5"/>
        <v>1</v>
      </c>
      <c r="N334" t="b">
        <f>COUNTBLANK(metadata!B334:F334)=COLUMNS(metadata!B334:F334)</f>
        <v>1</v>
      </c>
      <c r="O334" t="str">
        <v/>
      </c>
      <c r="Q334" t="b">
        <f ca="1">AND(IF(metadata!B334="",FALSE,TRUE),COUNTIF(metadata!B:B, metadata!B334) = 1,NOT(ISERROR(SUMPRODUCT(SEARCH(MID(metadata!B334,ROW(INDIRECT("1:"&amp;LEN(metadata!B334))), 1),"0123456789abcdefghijklmnopqrstuvwxyzABCDEFGHIJKLMNOPQRSTUVWXYZ.")))))</f>
        <v>0</v>
      </c>
      <c r="R334" t="b">
        <f>AND(IF(metadata!C334="",FALSE,TRUE),OR(EXACT(metadata!C334,"saline"),EXACT(metadata!C334,"non-saline")))</f>
        <v>0</v>
      </c>
      <c r="S334" t="b">
        <f>AND(IF(metadata!D334="",FALSE,TRUE),OR(EXACT(metadata!D334,"surface (non-saline)"),EXACT(metadata!D334,"aerosol (non-saline)"),EXACT(metadata!D334,"sediment (non-saline)"),EXACT(metadata!D334,"surface (saline)"),EXACT(metadata!D334,"aerosol (saline)"),EXACT(metadata!D334,"sediment (saline)")))</f>
        <v>0</v>
      </c>
      <c r="T334" t="b">
        <f>AND(IF(metadata!E334="",FALSE,TRUE),EXACT(metadata!E334,"built environment"))</f>
        <v>0</v>
      </c>
      <c r="U334" t="b">
        <f>OR(AND(IF(metadata!F334="",FALSE,TRUE),EXACT(metadata!F334,"not applicable")),AND(IF(metadata!F334="",FALSE,TRUE),EXACT(metadata!F334,"anaerobic digester content")))</f>
        <v>0</v>
      </c>
    </row>
    <row r="335" spans="1:21" x14ac:dyDescent="0.2">
      <c r="A335" s="4" t="str">
        <f ca="1">IF(B335=" "," ",HYPERLINK(CONCATENATE("#metadata!",ADDRESS(INDEX($L$2:$L$1001,MATCH(ROWS($J$2:J335),$J$2:$J$1001,0),0),1)),INDEX($O$2:$O$1001,MATCH(ROWS($J$2:J335),$J$2:$J$1001,0),0)))</f>
        <v xml:space="preserve"> </v>
      </c>
      <c r="B335" s="3" t="str">
        <f ca="1">IF(OR(INDEX($K$2:$K$1001,MATCH(ROWS($J$2:J335),$J$2:$J$1001,0),1)&gt;=100000,INDEX($Q$1005:$U$1005,1,MATCH(COLUMNS($Q$1006:Q1006),$Q$1006:$U$1006,0))&gt;=100000), " ",IF(INDEX($Q$2:$U$1001,MATCH(ROWS($J$2:J335),$J$2:$J$1001,0),MATCH(COLUMNS($Q$1006:Q1006),$Q$1006:$U$1006,0)), HYPERLINK("#",""), HYPERLINK(CONCATENATE("#metadata!", ADDRESS(INDEX($L$2:$L$1001,MATCH(ROWS($J$2:J335),$J$2:$J$1001,0),0), INDEX($Q$1004:$U$1004,1,MATCH(COLUMNS($Q$1006:Q1006),$Q$1006:$U$1006,0)))),"Fix")))</f>
        <v xml:space="preserve"> </v>
      </c>
      <c r="C335" s="3" t="str">
        <f ca="1">IF(OR(INDEX($K$2:$K$1001,MATCH(ROWS($J$2:J335),$J$2:$J$1001,0),1)&gt;=100000,INDEX($Q$1005:$U$1005,1,MATCH(COLUMNS($Q$1006:R1006),$Q$1006:$U$1006,0))&gt;=100000), " ",IF(INDEX($Q$2:$U$1001,MATCH(ROWS($J$2:J335),$J$2:$J$1001,0),MATCH(COLUMNS($Q$1006:R1006),$Q$1006:$U$1006,0)), HYPERLINK("#",""), HYPERLINK(CONCATENATE("#metadata!", ADDRESS(INDEX($L$2:$L$1001,MATCH(ROWS($J$2:J335),$J$2:$J$1001,0),0), INDEX($Q$1004:$U$1004,1,MATCH(COLUMNS($Q$1006:R1006),$Q$1006:$U$1006,0)))),"Fix")))</f>
        <v xml:space="preserve"> </v>
      </c>
      <c r="D335" s="3" t="str">
        <f ca="1">IF(OR(INDEX($K$2:$K$1001,MATCH(ROWS($J$2:J335),$J$2:$J$1001,0),1)&gt;=100000,INDEX($Q$1005:$U$1005,1,MATCH(COLUMNS($Q$1006:S1006),$Q$1006:$U$1006,0))&gt;=100000), " ",IF(INDEX($Q$2:$U$1001,MATCH(ROWS($J$2:J335),$J$2:$J$1001,0),MATCH(COLUMNS($Q$1006:S1006),$Q$1006:$U$1006,0)), HYPERLINK("#",""), HYPERLINK(CONCATENATE("#metadata!", ADDRESS(INDEX($L$2:$L$1001,MATCH(ROWS($J$2:J335),$J$2:$J$1001,0),0), INDEX($Q$1004:$U$1004,1,MATCH(COLUMNS($Q$1006:S1006),$Q$1006:$U$1006,0)))),"Fix")))</f>
        <v xml:space="preserve"> </v>
      </c>
      <c r="E335" s="3" t="str">
        <f ca="1">IF(OR(INDEX($K$2:$K$1001,MATCH(ROWS($J$2:J335),$J$2:$J$1001,0),1)&gt;=100000,INDEX($Q$1005:$U$1005,1,MATCH(COLUMNS($Q$1006:T1006),$Q$1006:$U$1006,0))&gt;=100000), " ",IF(INDEX($Q$2:$U$1001,MATCH(ROWS($J$2:J335),$J$2:$J$1001,0),MATCH(COLUMNS($Q$1006:T1006),$Q$1006:$U$1006,0)), HYPERLINK("#",""), HYPERLINK(CONCATENATE("#metadata!", ADDRESS(INDEX($L$2:$L$1001,MATCH(ROWS($J$2:J335),$J$2:$J$1001,0),0), INDEX($Q$1004:$U$1004,1,MATCH(COLUMNS($Q$1006:T1006),$Q$1006:$U$1006,0)))),"Fix")))</f>
        <v xml:space="preserve"> </v>
      </c>
      <c r="F335" s="3" t="str">
        <f ca="1">IF(OR(INDEX($K$2:$K$1001,MATCH(ROWS($J$2:J335),$J$2:$J$1001,0),1)&gt;=100000,INDEX($Q$1005:$U$1005,1,MATCH(COLUMNS($Q$1006:U1006),$Q$1006:$U$1006,0))&gt;=100000), " ",IF(INDEX($Q$2:$U$1001,MATCH(ROWS($J$2:J335),$J$2:$J$1001,0),MATCH(COLUMNS($Q$1006:U1006),$Q$1006:$U$1006,0)), HYPERLINK("#",""), HYPERLINK(CONCATENATE("#metadata!", ADDRESS(INDEX($L$2:$L$1001,MATCH(ROWS($J$2:J335),$J$2:$J$1001,0),0), INDEX($Q$1004:$U$1004,1,MATCH(COLUMNS($Q$1006:U1006),$Q$1006:$U$1006,0)))),"Fix")))</f>
        <v xml:space="preserve"> </v>
      </c>
      <c r="J335">
        <v>334</v>
      </c>
      <c r="K335">
        <v>100335</v>
      </c>
      <c r="L335">
        <v>335</v>
      </c>
      <c r="M335" t="b">
        <f t="shared" si="5"/>
        <v>1</v>
      </c>
      <c r="N335" t="b">
        <f>COUNTBLANK(metadata!B335:F335)=COLUMNS(metadata!B335:F335)</f>
        <v>1</v>
      </c>
      <c r="O335" t="str">
        <v/>
      </c>
      <c r="Q335" t="b">
        <f ca="1">AND(IF(metadata!B335="",FALSE,TRUE),COUNTIF(metadata!B:B, metadata!B335) = 1,NOT(ISERROR(SUMPRODUCT(SEARCH(MID(metadata!B335,ROW(INDIRECT("1:"&amp;LEN(metadata!B335))), 1),"0123456789abcdefghijklmnopqrstuvwxyzABCDEFGHIJKLMNOPQRSTUVWXYZ.")))))</f>
        <v>0</v>
      </c>
      <c r="R335" t="b">
        <f>AND(IF(metadata!C335="",FALSE,TRUE),OR(EXACT(metadata!C335,"saline"),EXACT(metadata!C335,"non-saline")))</f>
        <v>0</v>
      </c>
      <c r="S335" t="b">
        <f>AND(IF(metadata!D335="",FALSE,TRUE),OR(EXACT(metadata!D335,"surface (non-saline)"),EXACT(metadata!D335,"aerosol (non-saline)"),EXACT(metadata!D335,"sediment (non-saline)"),EXACT(metadata!D335,"surface (saline)"),EXACT(metadata!D335,"aerosol (saline)"),EXACT(metadata!D335,"sediment (saline)")))</f>
        <v>0</v>
      </c>
      <c r="T335" t="b">
        <f>AND(IF(metadata!E335="",FALSE,TRUE),EXACT(metadata!E335,"built environment"))</f>
        <v>0</v>
      </c>
      <c r="U335" t="b">
        <f>OR(AND(IF(metadata!F335="",FALSE,TRUE),EXACT(metadata!F335,"not applicable")),AND(IF(metadata!F335="",FALSE,TRUE),EXACT(metadata!F335,"anaerobic digester content")))</f>
        <v>0</v>
      </c>
    </row>
    <row r="336" spans="1:21" x14ac:dyDescent="0.2">
      <c r="A336" s="4" t="str">
        <f ca="1">IF(B336=" "," ",HYPERLINK(CONCATENATE("#metadata!",ADDRESS(INDEX($L$2:$L$1001,MATCH(ROWS($J$2:J336),$J$2:$J$1001,0),0),1)),INDEX($O$2:$O$1001,MATCH(ROWS($J$2:J336),$J$2:$J$1001,0),0)))</f>
        <v xml:space="preserve"> </v>
      </c>
      <c r="B336" s="3" t="str">
        <f ca="1">IF(OR(INDEX($K$2:$K$1001,MATCH(ROWS($J$2:J336),$J$2:$J$1001,0),1)&gt;=100000,INDEX($Q$1005:$U$1005,1,MATCH(COLUMNS($Q$1006:Q1006),$Q$1006:$U$1006,0))&gt;=100000), " ",IF(INDEX($Q$2:$U$1001,MATCH(ROWS($J$2:J336),$J$2:$J$1001,0),MATCH(COLUMNS($Q$1006:Q1006),$Q$1006:$U$1006,0)), HYPERLINK("#",""), HYPERLINK(CONCATENATE("#metadata!", ADDRESS(INDEX($L$2:$L$1001,MATCH(ROWS($J$2:J336),$J$2:$J$1001,0),0), INDEX($Q$1004:$U$1004,1,MATCH(COLUMNS($Q$1006:Q1006),$Q$1006:$U$1006,0)))),"Fix")))</f>
        <v xml:space="preserve"> </v>
      </c>
      <c r="C336" s="3" t="str">
        <f ca="1">IF(OR(INDEX($K$2:$K$1001,MATCH(ROWS($J$2:J336),$J$2:$J$1001,0),1)&gt;=100000,INDEX($Q$1005:$U$1005,1,MATCH(COLUMNS($Q$1006:R1006),$Q$1006:$U$1006,0))&gt;=100000), " ",IF(INDEX($Q$2:$U$1001,MATCH(ROWS($J$2:J336),$J$2:$J$1001,0),MATCH(COLUMNS($Q$1006:R1006),$Q$1006:$U$1006,0)), HYPERLINK("#",""), HYPERLINK(CONCATENATE("#metadata!", ADDRESS(INDEX($L$2:$L$1001,MATCH(ROWS($J$2:J336),$J$2:$J$1001,0),0), INDEX($Q$1004:$U$1004,1,MATCH(COLUMNS($Q$1006:R1006),$Q$1006:$U$1006,0)))),"Fix")))</f>
        <v xml:space="preserve"> </v>
      </c>
      <c r="D336" s="3" t="str">
        <f ca="1">IF(OR(INDEX($K$2:$K$1001,MATCH(ROWS($J$2:J336),$J$2:$J$1001,0),1)&gt;=100000,INDEX($Q$1005:$U$1005,1,MATCH(COLUMNS($Q$1006:S1006),$Q$1006:$U$1006,0))&gt;=100000), " ",IF(INDEX($Q$2:$U$1001,MATCH(ROWS($J$2:J336),$J$2:$J$1001,0),MATCH(COLUMNS($Q$1006:S1006),$Q$1006:$U$1006,0)), HYPERLINK("#",""), HYPERLINK(CONCATENATE("#metadata!", ADDRESS(INDEX($L$2:$L$1001,MATCH(ROWS($J$2:J336),$J$2:$J$1001,0),0), INDEX($Q$1004:$U$1004,1,MATCH(COLUMNS($Q$1006:S1006),$Q$1006:$U$1006,0)))),"Fix")))</f>
        <v xml:space="preserve"> </v>
      </c>
      <c r="E336" s="3" t="str">
        <f ca="1">IF(OR(INDEX($K$2:$K$1001,MATCH(ROWS($J$2:J336),$J$2:$J$1001,0),1)&gt;=100000,INDEX($Q$1005:$U$1005,1,MATCH(COLUMNS($Q$1006:T1006),$Q$1006:$U$1006,0))&gt;=100000), " ",IF(INDEX($Q$2:$U$1001,MATCH(ROWS($J$2:J336),$J$2:$J$1001,0),MATCH(COLUMNS($Q$1006:T1006),$Q$1006:$U$1006,0)), HYPERLINK("#",""), HYPERLINK(CONCATENATE("#metadata!", ADDRESS(INDEX($L$2:$L$1001,MATCH(ROWS($J$2:J336),$J$2:$J$1001,0),0), INDEX($Q$1004:$U$1004,1,MATCH(COLUMNS($Q$1006:T1006),$Q$1006:$U$1006,0)))),"Fix")))</f>
        <v xml:space="preserve"> </v>
      </c>
      <c r="F336" s="3" t="str">
        <f ca="1">IF(OR(INDEX($K$2:$K$1001,MATCH(ROWS($J$2:J336),$J$2:$J$1001,0),1)&gt;=100000,INDEX($Q$1005:$U$1005,1,MATCH(COLUMNS($Q$1006:U1006),$Q$1006:$U$1006,0))&gt;=100000), " ",IF(INDEX($Q$2:$U$1001,MATCH(ROWS($J$2:J336),$J$2:$J$1001,0),MATCH(COLUMNS($Q$1006:U1006),$Q$1006:$U$1006,0)), HYPERLINK("#",""), HYPERLINK(CONCATENATE("#metadata!", ADDRESS(INDEX($L$2:$L$1001,MATCH(ROWS($J$2:J336),$J$2:$J$1001,0),0), INDEX($Q$1004:$U$1004,1,MATCH(COLUMNS($Q$1006:U1006),$Q$1006:$U$1006,0)))),"Fix")))</f>
        <v xml:space="preserve"> </v>
      </c>
      <c r="J336">
        <v>335</v>
      </c>
      <c r="K336">
        <v>100336</v>
      </c>
      <c r="L336">
        <v>336</v>
      </c>
      <c r="M336" t="b">
        <f t="shared" si="5"/>
        <v>1</v>
      </c>
      <c r="N336" t="b">
        <f>COUNTBLANK(metadata!B336:F336)=COLUMNS(metadata!B336:F336)</f>
        <v>1</v>
      </c>
      <c r="O336" t="str">
        <v/>
      </c>
      <c r="Q336" t="b">
        <f ca="1">AND(IF(metadata!B336="",FALSE,TRUE),COUNTIF(metadata!B:B, metadata!B336) = 1,NOT(ISERROR(SUMPRODUCT(SEARCH(MID(metadata!B336,ROW(INDIRECT("1:"&amp;LEN(metadata!B336))), 1),"0123456789abcdefghijklmnopqrstuvwxyzABCDEFGHIJKLMNOPQRSTUVWXYZ.")))))</f>
        <v>0</v>
      </c>
      <c r="R336" t="b">
        <f>AND(IF(metadata!C336="",FALSE,TRUE),OR(EXACT(metadata!C336,"saline"),EXACT(metadata!C336,"non-saline")))</f>
        <v>0</v>
      </c>
      <c r="S336" t="b">
        <f>AND(IF(metadata!D336="",FALSE,TRUE),OR(EXACT(metadata!D336,"surface (non-saline)"),EXACT(metadata!D336,"aerosol (non-saline)"),EXACT(metadata!D336,"sediment (non-saline)"),EXACT(metadata!D336,"surface (saline)"),EXACT(metadata!D336,"aerosol (saline)"),EXACT(metadata!D336,"sediment (saline)")))</f>
        <v>0</v>
      </c>
      <c r="T336" t="b">
        <f>AND(IF(metadata!E336="",FALSE,TRUE),EXACT(metadata!E336,"built environment"))</f>
        <v>0</v>
      </c>
      <c r="U336" t="b">
        <f>OR(AND(IF(metadata!F336="",FALSE,TRUE),EXACT(metadata!F336,"not applicable")),AND(IF(metadata!F336="",FALSE,TRUE),EXACT(metadata!F336,"anaerobic digester content")))</f>
        <v>0</v>
      </c>
    </row>
    <row r="337" spans="1:21" x14ac:dyDescent="0.2">
      <c r="A337" s="4" t="str">
        <f ca="1">IF(B337=" "," ",HYPERLINK(CONCATENATE("#metadata!",ADDRESS(INDEX($L$2:$L$1001,MATCH(ROWS($J$2:J337),$J$2:$J$1001,0),0),1)),INDEX($O$2:$O$1001,MATCH(ROWS($J$2:J337),$J$2:$J$1001,0),0)))</f>
        <v xml:space="preserve"> </v>
      </c>
      <c r="B337" s="3" t="str">
        <f ca="1">IF(OR(INDEX($K$2:$K$1001,MATCH(ROWS($J$2:J337),$J$2:$J$1001,0),1)&gt;=100000,INDEX($Q$1005:$U$1005,1,MATCH(COLUMNS($Q$1006:Q1006),$Q$1006:$U$1006,0))&gt;=100000), " ",IF(INDEX($Q$2:$U$1001,MATCH(ROWS($J$2:J337),$J$2:$J$1001,0),MATCH(COLUMNS($Q$1006:Q1006),$Q$1006:$U$1006,0)), HYPERLINK("#",""), HYPERLINK(CONCATENATE("#metadata!", ADDRESS(INDEX($L$2:$L$1001,MATCH(ROWS($J$2:J337),$J$2:$J$1001,0),0), INDEX($Q$1004:$U$1004,1,MATCH(COLUMNS($Q$1006:Q1006),$Q$1006:$U$1006,0)))),"Fix")))</f>
        <v xml:space="preserve"> </v>
      </c>
      <c r="C337" s="3" t="str">
        <f ca="1">IF(OR(INDEX($K$2:$K$1001,MATCH(ROWS($J$2:J337),$J$2:$J$1001,0),1)&gt;=100000,INDEX($Q$1005:$U$1005,1,MATCH(COLUMNS($Q$1006:R1006),$Q$1006:$U$1006,0))&gt;=100000), " ",IF(INDEX($Q$2:$U$1001,MATCH(ROWS($J$2:J337),$J$2:$J$1001,0),MATCH(COLUMNS($Q$1006:R1006),$Q$1006:$U$1006,0)), HYPERLINK("#",""), HYPERLINK(CONCATENATE("#metadata!", ADDRESS(INDEX($L$2:$L$1001,MATCH(ROWS($J$2:J337),$J$2:$J$1001,0),0), INDEX($Q$1004:$U$1004,1,MATCH(COLUMNS($Q$1006:R1006),$Q$1006:$U$1006,0)))),"Fix")))</f>
        <v xml:space="preserve"> </v>
      </c>
      <c r="D337" s="3" t="str">
        <f ca="1">IF(OR(INDEX($K$2:$K$1001,MATCH(ROWS($J$2:J337),$J$2:$J$1001,0),1)&gt;=100000,INDEX($Q$1005:$U$1005,1,MATCH(COLUMNS($Q$1006:S1006),$Q$1006:$U$1006,0))&gt;=100000), " ",IF(INDEX($Q$2:$U$1001,MATCH(ROWS($J$2:J337),$J$2:$J$1001,0),MATCH(COLUMNS($Q$1006:S1006),$Q$1006:$U$1006,0)), HYPERLINK("#",""), HYPERLINK(CONCATENATE("#metadata!", ADDRESS(INDEX($L$2:$L$1001,MATCH(ROWS($J$2:J337),$J$2:$J$1001,0),0), INDEX($Q$1004:$U$1004,1,MATCH(COLUMNS($Q$1006:S1006),$Q$1006:$U$1006,0)))),"Fix")))</f>
        <v xml:space="preserve"> </v>
      </c>
      <c r="E337" s="3" t="str">
        <f ca="1">IF(OR(INDEX($K$2:$K$1001,MATCH(ROWS($J$2:J337),$J$2:$J$1001,0),1)&gt;=100000,INDEX($Q$1005:$U$1005,1,MATCH(COLUMNS($Q$1006:T1006),$Q$1006:$U$1006,0))&gt;=100000), " ",IF(INDEX($Q$2:$U$1001,MATCH(ROWS($J$2:J337),$J$2:$J$1001,0),MATCH(COLUMNS($Q$1006:T1006),$Q$1006:$U$1006,0)), HYPERLINK("#",""), HYPERLINK(CONCATENATE("#metadata!", ADDRESS(INDEX($L$2:$L$1001,MATCH(ROWS($J$2:J337),$J$2:$J$1001,0),0), INDEX($Q$1004:$U$1004,1,MATCH(COLUMNS($Q$1006:T1006),$Q$1006:$U$1006,0)))),"Fix")))</f>
        <v xml:space="preserve"> </v>
      </c>
      <c r="F337" s="3" t="str">
        <f ca="1">IF(OR(INDEX($K$2:$K$1001,MATCH(ROWS($J$2:J337),$J$2:$J$1001,0),1)&gt;=100000,INDEX($Q$1005:$U$1005,1,MATCH(COLUMNS($Q$1006:U1006),$Q$1006:$U$1006,0))&gt;=100000), " ",IF(INDEX($Q$2:$U$1001,MATCH(ROWS($J$2:J337),$J$2:$J$1001,0),MATCH(COLUMNS($Q$1006:U1006),$Q$1006:$U$1006,0)), HYPERLINK("#",""), HYPERLINK(CONCATENATE("#metadata!", ADDRESS(INDEX($L$2:$L$1001,MATCH(ROWS($J$2:J337),$J$2:$J$1001,0),0), INDEX($Q$1004:$U$1004,1,MATCH(COLUMNS($Q$1006:U1006),$Q$1006:$U$1006,0)))),"Fix")))</f>
        <v xml:space="preserve"> </v>
      </c>
      <c r="J337">
        <v>336</v>
      </c>
      <c r="K337">
        <v>100337</v>
      </c>
      <c r="L337">
        <v>337</v>
      </c>
      <c r="M337" t="b">
        <f t="shared" si="5"/>
        <v>1</v>
      </c>
      <c r="N337" t="b">
        <f>COUNTBLANK(metadata!B337:F337)=COLUMNS(metadata!B337:F337)</f>
        <v>1</v>
      </c>
      <c r="O337" t="str">
        <v/>
      </c>
      <c r="Q337" t="b">
        <f ca="1">AND(IF(metadata!B337="",FALSE,TRUE),COUNTIF(metadata!B:B, metadata!B337) = 1,NOT(ISERROR(SUMPRODUCT(SEARCH(MID(metadata!B337,ROW(INDIRECT("1:"&amp;LEN(metadata!B337))), 1),"0123456789abcdefghijklmnopqrstuvwxyzABCDEFGHIJKLMNOPQRSTUVWXYZ.")))))</f>
        <v>0</v>
      </c>
      <c r="R337" t="b">
        <f>AND(IF(metadata!C337="",FALSE,TRUE),OR(EXACT(metadata!C337,"saline"),EXACT(metadata!C337,"non-saline")))</f>
        <v>0</v>
      </c>
      <c r="S337" t="b">
        <f>AND(IF(metadata!D337="",FALSE,TRUE),OR(EXACT(metadata!D337,"surface (non-saline)"),EXACT(metadata!D337,"aerosol (non-saline)"),EXACT(metadata!D337,"sediment (non-saline)"),EXACT(metadata!D337,"surface (saline)"),EXACT(metadata!D337,"aerosol (saline)"),EXACT(metadata!D337,"sediment (saline)")))</f>
        <v>0</v>
      </c>
      <c r="T337" t="b">
        <f>AND(IF(metadata!E337="",FALSE,TRUE),EXACT(metadata!E337,"built environment"))</f>
        <v>0</v>
      </c>
      <c r="U337" t="b">
        <f>OR(AND(IF(metadata!F337="",FALSE,TRUE),EXACT(metadata!F337,"not applicable")),AND(IF(metadata!F337="",FALSE,TRUE),EXACT(metadata!F337,"anaerobic digester content")))</f>
        <v>0</v>
      </c>
    </row>
    <row r="338" spans="1:21" x14ac:dyDescent="0.2">
      <c r="A338" s="4" t="str">
        <f ca="1">IF(B338=" "," ",HYPERLINK(CONCATENATE("#metadata!",ADDRESS(INDEX($L$2:$L$1001,MATCH(ROWS($J$2:J338),$J$2:$J$1001,0),0),1)),INDEX($O$2:$O$1001,MATCH(ROWS($J$2:J338),$J$2:$J$1001,0),0)))</f>
        <v xml:space="preserve"> </v>
      </c>
      <c r="B338" s="3" t="str">
        <f ca="1">IF(OR(INDEX($K$2:$K$1001,MATCH(ROWS($J$2:J338),$J$2:$J$1001,0),1)&gt;=100000,INDEX($Q$1005:$U$1005,1,MATCH(COLUMNS($Q$1006:Q1006),$Q$1006:$U$1006,0))&gt;=100000), " ",IF(INDEX($Q$2:$U$1001,MATCH(ROWS($J$2:J338),$J$2:$J$1001,0),MATCH(COLUMNS($Q$1006:Q1006),$Q$1006:$U$1006,0)), HYPERLINK("#",""), HYPERLINK(CONCATENATE("#metadata!", ADDRESS(INDEX($L$2:$L$1001,MATCH(ROWS($J$2:J338),$J$2:$J$1001,0),0), INDEX($Q$1004:$U$1004,1,MATCH(COLUMNS($Q$1006:Q1006),$Q$1006:$U$1006,0)))),"Fix")))</f>
        <v xml:space="preserve"> </v>
      </c>
      <c r="C338" s="3" t="str">
        <f ca="1">IF(OR(INDEX($K$2:$K$1001,MATCH(ROWS($J$2:J338),$J$2:$J$1001,0),1)&gt;=100000,INDEX($Q$1005:$U$1005,1,MATCH(COLUMNS($Q$1006:R1006),$Q$1006:$U$1006,0))&gt;=100000), " ",IF(INDEX($Q$2:$U$1001,MATCH(ROWS($J$2:J338),$J$2:$J$1001,0),MATCH(COLUMNS($Q$1006:R1006),$Q$1006:$U$1006,0)), HYPERLINK("#",""), HYPERLINK(CONCATENATE("#metadata!", ADDRESS(INDEX($L$2:$L$1001,MATCH(ROWS($J$2:J338),$J$2:$J$1001,0),0), INDEX($Q$1004:$U$1004,1,MATCH(COLUMNS($Q$1006:R1006),$Q$1006:$U$1006,0)))),"Fix")))</f>
        <v xml:space="preserve"> </v>
      </c>
      <c r="D338" s="3" t="str">
        <f ca="1">IF(OR(INDEX($K$2:$K$1001,MATCH(ROWS($J$2:J338),$J$2:$J$1001,0),1)&gt;=100000,INDEX($Q$1005:$U$1005,1,MATCH(COLUMNS($Q$1006:S1006),$Q$1006:$U$1006,0))&gt;=100000), " ",IF(INDEX($Q$2:$U$1001,MATCH(ROWS($J$2:J338),$J$2:$J$1001,0),MATCH(COLUMNS($Q$1006:S1006),$Q$1006:$U$1006,0)), HYPERLINK("#",""), HYPERLINK(CONCATENATE("#metadata!", ADDRESS(INDEX($L$2:$L$1001,MATCH(ROWS($J$2:J338),$J$2:$J$1001,0),0), INDEX($Q$1004:$U$1004,1,MATCH(COLUMNS($Q$1006:S1006),$Q$1006:$U$1006,0)))),"Fix")))</f>
        <v xml:space="preserve"> </v>
      </c>
      <c r="E338" s="3" t="str">
        <f ca="1">IF(OR(INDEX($K$2:$K$1001,MATCH(ROWS($J$2:J338),$J$2:$J$1001,0),1)&gt;=100000,INDEX($Q$1005:$U$1005,1,MATCH(COLUMNS($Q$1006:T1006),$Q$1006:$U$1006,0))&gt;=100000), " ",IF(INDEX($Q$2:$U$1001,MATCH(ROWS($J$2:J338),$J$2:$J$1001,0),MATCH(COLUMNS($Q$1006:T1006),$Q$1006:$U$1006,0)), HYPERLINK("#",""), HYPERLINK(CONCATENATE("#metadata!", ADDRESS(INDEX($L$2:$L$1001,MATCH(ROWS($J$2:J338),$J$2:$J$1001,0),0), INDEX($Q$1004:$U$1004,1,MATCH(COLUMNS($Q$1006:T1006),$Q$1006:$U$1006,0)))),"Fix")))</f>
        <v xml:space="preserve"> </v>
      </c>
      <c r="F338" s="3" t="str">
        <f ca="1">IF(OR(INDEX($K$2:$K$1001,MATCH(ROWS($J$2:J338),$J$2:$J$1001,0),1)&gt;=100000,INDEX($Q$1005:$U$1005,1,MATCH(COLUMNS($Q$1006:U1006),$Q$1006:$U$1006,0))&gt;=100000), " ",IF(INDEX($Q$2:$U$1001,MATCH(ROWS($J$2:J338),$J$2:$J$1001,0),MATCH(COLUMNS($Q$1006:U1006),$Q$1006:$U$1006,0)), HYPERLINK("#",""), HYPERLINK(CONCATENATE("#metadata!", ADDRESS(INDEX($L$2:$L$1001,MATCH(ROWS($J$2:J338),$J$2:$J$1001,0),0), INDEX($Q$1004:$U$1004,1,MATCH(COLUMNS($Q$1006:U1006),$Q$1006:$U$1006,0)))),"Fix")))</f>
        <v xml:space="preserve"> </v>
      </c>
      <c r="J338">
        <v>337</v>
      </c>
      <c r="K338">
        <v>100338</v>
      </c>
      <c r="L338">
        <v>338</v>
      </c>
      <c r="M338" t="b">
        <f t="shared" si="5"/>
        <v>1</v>
      </c>
      <c r="N338" t="b">
        <f>COUNTBLANK(metadata!B338:F338)=COLUMNS(metadata!B338:F338)</f>
        <v>1</v>
      </c>
      <c r="O338" t="str">
        <v/>
      </c>
      <c r="Q338" t="b">
        <f ca="1">AND(IF(metadata!B338="",FALSE,TRUE),COUNTIF(metadata!B:B, metadata!B338) = 1,NOT(ISERROR(SUMPRODUCT(SEARCH(MID(metadata!B338,ROW(INDIRECT("1:"&amp;LEN(metadata!B338))), 1),"0123456789abcdefghijklmnopqrstuvwxyzABCDEFGHIJKLMNOPQRSTUVWXYZ.")))))</f>
        <v>0</v>
      </c>
      <c r="R338" t="b">
        <f>AND(IF(metadata!C338="",FALSE,TRUE),OR(EXACT(metadata!C338,"saline"),EXACT(metadata!C338,"non-saline")))</f>
        <v>0</v>
      </c>
      <c r="S338" t="b">
        <f>AND(IF(metadata!D338="",FALSE,TRUE),OR(EXACT(metadata!D338,"surface (non-saline)"),EXACT(metadata!D338,"aerosol (non-saline)"),EXACT(metadata!D338,"sediment (non-saline)"),EXACT(metadata!D338,"surface (saline)"),EXACT(metadata!D338,"aerosol (saline)"),EXACT(metadata!D338,"sediment (saline)")))</f>
        <v>0</v>
      </c>
      <c r="T338" t="b">
        <f>AND(IF(metadata!E338="",FALSE,TRUE),EXACT(metadata!E338,"built environment"))</f>
        <v>0</v>
      </c>
      <c r="U338" t="b">
        <f>OR(AND(IF(metadata!F338="",FALSE,TRUE),EXACT(metadata!F338,"not applicable")),AND(IF(metadata!F338="",FALSE,TRUE),EXACT(metadata!F338,"anaerobic digester content")))</f>
        <v>0</v>
      </c>
    </row>
    <row r="339" spans="1:21" x14ac:dyDescent="0.2">
      <c r="A339" s="4" t="str">
        <f ca="1">IF(B339=" "," ",HYPERLINK(CONCATENATE("#metadata!",ADDRESS(INDEX($L$2:$L$1001,MATCH(ROWS($J$2:J339),$J$2:$J$1001,0),0),1)),INDEX($O$2:$O$1001,MATCH(ROWS($J$2:J339),$J$2:$J$1001,0),0)))</f>
        <v xml:space="preserve"> </v>
      </c>
      <c r="B339" s="3" t="str">
        <f ca="1">IF(OR(INDEX($K$2:$K$1001,MATCH(ROWS($J$2:J339),$J$2:$J$1001,0),1)&gt;=100000,INDEX($Q$1005:$U$1005,1,MATCH(COLUMNS($Q$1006:Q1006),$Q$1006:$U$1006,0))&gt;=100000), " ",IF(INDEX($Q$2:$U$1001,MATCH(ROWS($J$2:J339),$J$2:$J$1001,0),MATCH(COLUMNS($Q$1006:Q1006),$Q$1006:$U$1006,0)), HYPERLINK("#",""), HYPERLINK(CONCATENATE("#metadata!", ADDRESS(INDEX($L$2:$L$1001,MATCH(ROWS($J$2:J339),$J$2:$J$1001,0),0), INDEX($Q$1004:$U$1004,1,MATCH(COLUMNS($Q$1006:Q1006),$Q$1006:$U$1006,0)))),"Fix")))</f>
        <v xml:space="preserve"> </v>
      </c>
      <c r="C339" s="3" t="str">
        <f ca="1">IF(OR(INDEX($K$2:$K$1001,MATCH(ROWS($J$2:J339),$J$2:$J$1001,0),1)&gt;=100000,INDEX($Q$1005:$U$1005,1,MATCH(COLUMNS($Q$1006:R1006),$Q$1006:$U$1006,0))&gt;=100000), " ",IF(INDEX($Q$2:$U$1001,MATCH(ROWS($J$2:J339),$J$2:$J$1001,0),MATCH(COLUMNS($Q$1006:R1006),$Q$1006:$U$1006,0)), HYPERLINK("#",""), HYPERLINK(CONCATENATE("#metadata!", ADDRESS(INDEX($L$2:$L$1001,MATCH(ROWS($J$2:J339),$J$2:$J$1001,0),0), INDEX($Q$1004:$U$1004,1,MATCH(COLUMNS($Q$1006:R1006),$Q$1006:$U$1006,0)))),"Fix")))</f>
        <v xml:space="preserve"> </v>
      </c>
      <c r="D339" s="3" t="str">
        <f ca="1">IF(OR(INDEX($K$2:$K$1001,MATCH(ROWS($J$2:J339),$J$2:$J$1001,0),1)&gt;=100000,INDEX($Q$1005:$U$1005,1,MATCH(COLUMNS($Q$1006:S1006),$Q$1006:$U$1006,0))&gt;=100000), " ",IF(INDEX($Q$2:$U$1001,MATCH(ROWS($J$2:J339),$J$2:$J$1001,0),MATCH(COLUMNS($Q$1006:S1006),$Q$1006:$U$1006,0)), HYPERLINK("#",""), HYPERLINK(CONCATENATE("#metadata!", ADDRESS(INDEX($L$2:$L$1001,MATCH(ROWS($J$2:J339),$J$2:$J$1001,0),0), INDEX($Q$1004:$U$1004,1,MATCH(COLUMNS($Q$1006:S1006),$Q$1006:$U$1006,0)))),"Fix")))</f>
        <v xml:space="preserve"> </v>
      </c>
      <c r="E339" s="3" t="str">
        <f ca="1">IF(OR(INDEX($K$2:$K$1001,MATCH(ROWS($J$2:J339),$J$2:$J$1001,0),1)&gt;=100000,INDEX($Q$1005:$U$1005,1,MATCH(COLUMNS($Q$1006:T1006),$Q$1006:$U$1006,0))&gt;=100000), " ",IF(INDEX($Q$2:$U$1001,MATCH(ROWS($J$2:J339),$J$2:$J$1001,0),MATCH(COLUMNS($Q$1006:T1006),$Q$1006:$U$1006,0)), HYPERLINK("#",""), HYPERLINK(CONCATENATE("#metadata!", ADDRESS(INDEX($L$2:$L$1001,MATCH(ROWS($J$2:J339),$J$2:$J$1001,0),0), INDEX($Q$1004:$U$1004,1,MATCH(COLUMNS($Q$1006:T1006),$Q$1006:$U$1006,0)))),"Fix")))</f>
        <v xml:space="preserve"> </v>
      </c>
      <c r="F339" s="3" t="str">
        <f ca="1">IF(OR(INDEX($K$2:$K$1001,MATCH(ROWS($J$2:J339),$J$2:$J$1001,0),1)&gt;=100000,INDEX($Q$1005:$U$1005,1,MATCH(COLUMNS($Q$1006:U1006),$Q$1006:$U$1006,0))&gt;=100000), " ",IF(INDEX($Q$2:$U$1001,MATCH(ROWS($J$2:J339),$J$2:$J$1001,0),MATCH(COLUMNS($Q$1006:U1006),$Q$1006:$U$1006,0)), HYPERLINK("#",""), HYPERLINK(CONCATENATE("#metadata!", ADDRESS(INDEX($L$2:$L$1001,MATCH(ROWS($J$2:J339),$J$2:$J$1001,0),0), INDEX($Q$1004:$U$1004,1,MATCH(COLUMNS($Q$1006:U1006),$Q$1006:$U$1006,0)))),"Fix")))</f>
        <v xml:space="preserve"> </v>
      </c>
      <c r="J339">
        <v>338</v>
      </c>
      <c r="K339">
        <v>100339</v>
      </c>
      <c r="L339">
        <v>339</v>
      </c>
      <c r="M339" t="b">
        <f t="shared" si="5"/>
        <v>1</v>
      </c>
      <c r="N339" t="b">
        <f>COUNTBLANK(metadata!B339:F339)=COLUMNS(metadata!B339:F339)</f>
        <v>1</v>
      </c>
      <c r="O339" t="str">
        <v/>
      </c>
      <c r="Q339" t="b">
        <f ca="1">AND(IF(metadata!B339="",FALSE,TRUE),COUNTIF(metadata!B:B, metadata!B339) = 1,NOT(ISERROR(SUMPRODUCT(SEARCH(MID(metadata!B339,ROW(INDIRECT("1:"&amp;LEN(metadata!B339))), 1),"0123456789abcdefghijklmnopqrstuvwxyzABCDEFGHIJKLMNOPQRSTUVWXYZ.")))))</f>
        <v>0</v>
      </c>
      <c r="R339" t="b">
        <f>AND(IF(metadata!C339="",FALSE,TRUE),OR(EXACT(metadata!C339,"saline"),EXACT(metadata!C339,"non-saline")))</f>
        <v>0</v>
      </c>
      <c r="S339" t="b">
        <f>AND(IF(metadata!D339="",FALSE,TRUE),OR(EXACT(metadata!D339,"surface (non-saline)"),EXACT(metadata!D339,"aerosol (non-saline)"),EXACT(metadata!D339,"sediment (non-saline)"),EXACT(metadata!D339,"surface (saline)"),EXACT(metadata!D339,"aerosol (saline)"),EXACT(metadata!D339,"sediment (saline)")))</f>
        <v>0</v>
      </c>
      <c r="T339" t="b">
        <f>AND(IF(metadata!E339="",FALSE,TRUE),EXACT(metadata!E339,"built environment"))</f>
        <v>0</v>
      </c>
      <c r="U339" t="b">
        <f>OR(AND(IF(metadata!F339="",FALSE,TRUE),EXACT(metadata!F339,"not applicable")),AND(IF(metadata!F339="",FALSE,TRUE),EXACT(metadata!F339,"anaerobic digester content")))</f>
        <v>0</v>
      </c>
    </row>
    <row r="340" spans="1:21" x14ac:dyDescent="0.2">
      <c r="A340" s="4" t="str">
        <f ca="1">IF(B340=" "," ",HYPERLINK(CONCATENATE("#metadata!",ADDRESS(INDEX($L$2:$L$1001,MATCH(ROWS($J$2:J340),$J$2:$J$1001,0),0),1)),INDEX($O$2:$O$1001,MATCH(ROWS($J$2:J340),$J$2:$J$1001,0),0)))</f>
        <v xml:space="preserve"> </v>
      </c>
      <c r="B340" s="3" t="str">
        <f ca="1">IF(OR(INDEX($K$2:$K$1001,MATCH(ROWS($J$2:J340),$J$2:$J$1001,0),1)&gt;=100000,INDEX($Q$1005:$U$1005,1,MATCH(COLUMNS($Q$1006:Q1006),$Q$1006:$U$1006,0))&gt;=100000), " ",IF(INDEX($Q$2:$U$1001,MATCH(ROWS($J$2:J340),$J$2:$J$1001,0),MATCH(COLUMNS($Q$1006:Q1006),$Q$1006:$U$1006,0)), HYPERLINK("#",""), HYPERLINK(CONCATENATE("#metadata!", ADDRESS(INDEX($L$2:$L$1001,MATCH(ROWS($J$2:J340),$J$2:$J$1001,0),0), INDEX($Q$1004:$U$1004,1,MATCH(COLUMNS($Q$1006:Q1006),$Q$1006:$U$1006,0)))),"Fix")))</f>
        <v xml:space="preserve"> </v>
      </c>
      <c r="C340" s="3" t="str">
        <f ca="1">IF(OR(INDEX($K$2:$K$1001,MATCH(ROWS($J$2:J340),$J$2:$J$1001,0),1)&gt;=100000,INDEX($Q$1005:$U$1005,1,MATCH(COLUMNS($Q$1006:R1006),$Q$1006:$U$1006,0))&gt;=100000), " ",IF(INDEX($Q$2:$U$1001,MATCH(ROWS($J$2:J340),$J$2:$J$1001,0),MATCH(COLUMNS($Q$1006:R1006),$Q$1006:$U$1006,0)), HYPERLINK("#",""), HYPERLINK(CONCATENATE("#metadata!", ADDRESS(INDEX($L$2:$L$1001,MATCH(ROWS($J$2:J340),$J$2:$J$1001,0),0), INDEX($Q$1004:$U$1004,1,MATCH(COLUMNS($Q$1006:R1006),$Q$1006:$U$1006,0)))),"Fix")))</f>
        <v xml:space="preserve"> </v>
      </c>
      <c r="D340" s="3" t="str">
        <f ca="1">IF(OR(INDEX($K$2:$K$1001,MATCH(ROWS($J$2:J340),$J$2:$J$1001,0),1)&gt;=100000,INDEX($Q$1005:$U$1005,1,MATCH(COLUMNS($Q$1006:S1006),$Q$1006:$U$1006,0))&gt;=100000), " ",IF(INDEX($Q$2:$U$1001,MATCH(ROWS($J$2:J340),$J$2:$J$1001,0),MATCH(COLUMNS($Q$1006:S1006),$Q$1006:$U$1006,0)), HYPERLINK("#",""), HYPERLINK(CONCATENATE("#metadata!", ADDRESS(INDEX($L$2:$L$1001,MATCH(ROWS($J$2:J340),$J$2:$J$1001,0),0), INDEX($Q$1004:$U$1004,1,MATCH(COLUMNS($Q$1006:S1006),$Q$1006:$U$1006,0)))),"Fix")))</f>
        <v xml:space="preserve"> </v>
      </c>
      <c r="E340" s="3" t="str">
        <f ca="1">IF(OR(INDEX($K$2:$K$1001,MATCH(ROWS($J$2:J340),$J$2:$J$1001,0),1)&gt;=100000,INDEX($Q$1005:$U$1005,1,MATCH(COLUMNS($Q$1006:T1006),$Q$1006:$U$1006,0))&gt;=100000), " ",IF(INDEX($Q$2:$U$1001,MATCH(ROWS($J$2:J340),$J$2:$J$1001,0),MATCH(COLUMNS($Q$1006:T1006),$Q$1006:$U$1006,0)), HYPERLINK("#",""), HYPERLINK(CONCATENATE("#metadata!", ADDRESS(INDEX($L$2:$L$1001,MATCH(ROWS($J$2:J340),$J$2:$J$1001,0),0), INDEX($Q$1004:$U$1004,1,MATCH(COLUMNS($Q$1006:T1006),$Q$1006:$U$1006,0)))),"Fix")))</f>
        <v xml:space="preserve"> </v>
      </c>
      <c r="F340" s="3" t="str">
        <f ca="1">IF(OR(INDEX($K$2:$K$1001,MATCH(ROWS($J$2:J340),$J$2:$J$1001,0),1)&gt;=100000,INDEX($Q$1005:$U$1005,1,MATCH(COLUMNS($Q$1006:U1006),$Q$1006:$U$1006,0))&gt;=100000), " ",IF(INDEX($Q$2:$U$1001,MATCH(ROWS($J$2:J340),$J$2:$J$1001,0),MATCH(COLUMNS($Q$1006:U1006),$Q$1006:$U$1006,0)), HYPERLINK("#",""), HYPERLINK(CONCATENATE("#metadata!", ADDRESS(INDEX($L$2:$L$1001,MATCH(ROWS($J$2:J340),$J$2:$J$1001,0),0), INDEX($Q$1004:$U$1004,1,MATCH(COLUMNS($Q$1006:U1006),$Q$1006:$U$1006,0)))),"Fix")))</f>
        <v xml:space="preserve"> </v>
      </c>
      <c r="J340">
        <v>339</v>
      </c>
      <c r="K340">
        <v>100340</v>
      </c>
      <c r="L340">
        <v>340</v>
      </c>
      <c r="M340" t="b">
        <f t="shared" si="5"/>
        <v>1</v>
      </c>
      <c r="N340" t="b">
        <f>COUNTBLANK(metadata!B340:F340)=COLUMNS(metadata!B340:F340)</f>
        <v>1</v>
      </c>
      <c r="O340" t="str">
        <v/>
      </c>
      <c r="Q340" t="b">
        <f ca="1">AND(IF(metadata!B340="",FALSE,TRUE),COUNTIF(metadata!B:B, metadata!B340) = 1,NOT(ISERROR(SUMPRODUCT(SEARCH(MID(metadata!B340,ROW(INDIRECT("1:"&amp;LEN(metadata!B340))), 1),"0123456789abcdefghijklmnopqrstuvwxyzABCDEFGHIJKLMNOPQRSTUVWXYZ.")))))</f>
        <v>0</v>
      </c>
      <c r="R340" t="b">
        <f>AND(IF(metadata!C340="",FALSE,TRUE),OR(EXACT(metadata!C340,"saline"),EXACT(metadata!C340,"non-saline")))</f>
        <v>0</v>
      </c>
      <c r="S340" t="b">
        <f>AND(IF(metadata!D340="",FALSE,TRUE),OR(EXACT(metadata!D340,"surface (non-saline)"),EXACT(metadata!D340,"aerosol (non-saline)"),EXACT(metadata!D340,"sediment (non-saline)"),EXACT(metadata!D340,"surface (saline)"),EXACT(metadata!D340,"aerosol (saline)"),EXACT(metadata!D340,"sediment (saline)")))</f>
        <v>0</v>
      </c>
      <c r="T340" t="b">
        <f>AND(IF(metadata!E340="",FALSE,TRUE),EXACT(metadata!E340,"built environment"))</f>
        <v>0</v>
      </c>
      <c r="U340" t="b">
        <f>OR(AND(IF(metadata!F340="",FALSE,TRUE),EXACT(metadata!F340,"not applicable")),AND(IF(metadata!F340="",FALSE,TRUE),EXACT(metadata!F340,"anaerobic digester content")))</f>
        <v>0</v>
      </c>
    </row>
    <row r="341" spans="1:21" x14ac:dyDescent="0.2">
      <c r="A341" s="4" t="str">
        <f ca="1">IF(B341=" "," ",HYPERLINK(CONCATENATE("#metadata!",ADDRESS(INDEX($L$2:$L$1001,MATCH(ROWS($J$2:J341),$J$2:$J$1001,0),0),1)),INDEX($O$2:$O$1001,MATCH(ROWS($J$2:J341),$J$2:$J$1001,0),0)))</f>
        <v xml:space="preserve"> </v>
      </c>
      <c r="B341" s="3" t="str">
        <f ca="1">IF(OR(INDEX($K$2:$K$1001,MATCH(ROWS($J$2:J341),$J$2:$J$1001,0),1)&gt;=100000,INDEX($Q$1005:$U$1005,1,MATCH(COLUMNS($Q$1006:Q1006),$Q$1006:$U$1006,0))&gt;=100000), " ",IF(INDEX($Q$2:$U$1001,MATCH(ROWS($J$2:J341),$J$2:$J$1001,0),MATCH(COLUMNS($Q$1006:Q1006),$Q$1006:$U$1006,0)), HYPERLINK("#",""), HYPERLINK(CONCATENATE("#metadata!", ADDRESS(INDEX($L$2:$L$1001,MATCH(ROWS($J$2:J341),$J$2:$J$1001,0),0), INDEX($Q$1004:$U$1004,1,MATCH(COLUMNS($Q$1006:Q1006),$Q$1006:$U$1006,0)))),"Fix")))</f>
        <v xml:space="preserve"> </v>
      </c>
      <c r="C341" s="3" t="str">
        <f ca="1">IF(OR(INDEX($K$2:$K$1001,MATCH(ROWS($J$2:J341),$J$2:$J$1001,0),1)&gt;=100000,INDEX($Q$1005:$U$1005,1,MATCH(COLUMNS($Q$1006:R1006),$Q$1006:$U$1006,0))&gt;=100000), " ",IF(INDEX($Q$2:$U$1001,MATCH(ROWS($J$2:J341),$J$2:$J$1001,0),MATCH(COLUMNS($Q$1006:R1006),$Q$1006:$U$1006,0)), HYPERLINK("#",""), HYPERLINK(CONCATENATE("#metadata!", ADDRESS(INDEX($L$2:$L$1001,MATCH(ROWS($J$2:J341),$J$2:$J$1001,0),0), INDEX($Q$1004:$U$1004,1,MATCH(COLUMNS($Q$1006:R1006),$Q$1006:$U$1006,0)))),"Fix")))</f>
        <v xml:space="preserve"> </v>
      </c>
      <c r="D341" s="3" t="str">
        <f ca="1">IF(OR(INDEX($K$2:$K$1001,MATCH(ROWS($J$2:J341),$J$2:$J$1001,0),1)&gt;=100000,INDEX($Q$1005:$U$1005,1,MATCH(COLUMNS($Q$1006:S1006),$Q$1006:$U$1006,0))&gt;=100000), " ",IF(INDEX($Q$2:$U$1001,MATCH(ROWS($J$2:J341),$J$2:$J$1001,0),MATCH(COLUMNS($Q$1006:S1006),$Q$1006:$U$1006,0)), HYPERLINK("#",""), HYPERLINK(CONCATENATE("#metadata!", ADDRESS(INDEX($L$2:$L$1001,MATCH(ROWS($J$2:J341),$J$2:$J$1001,0),0), INDEX($Q$1004:$U$1004,1,MATCH(COLUMNS($Q$1006:S1006),$Q$1006:$U$1006,0)))),"Fix")))</f>
        <v xml:space="preserve"> </v>
      </c>
      <c r="E341" s="3" t="str">
        <f ca="1">IF(OR(INDEX($K$2:$K$1001,MATCH(ROWS($J$2:J341),$J$2:$J$1001,0),1)&gt;=100000,INDEX($Q$1005:$U$1005,1,MATCH(COLUMNS($Q$1006:T1006),$Q$1006:$U$1006,0))&gt;=100000), " ",IF(INDEX($Q$2:$U$1001,MATCH(ROWS($J$2:J341),$J$2:$J$1001,0),MATCH(COLUMNS($Q$1006:T1006),$Q$1006:$U$1006,0)), HYPERLINK("#",""), HYPERLINK(CONCATENATE("#metadata!", ADDRESS(INDEX($L$2:$L$1001,MATCH(ROWS($J$2:J341),$J$2:$J$1001,0),0), INDEX($Q$1004:$U$1004,1,MATCH(COLUMNS($Q$1006:T1006),$Q$1006:$U$1006,0)))),"Fix")))</f>
        <v xml:space="preserve"> </v>
      </c>
      <c r="F341" s="3" t="str">
        <f ca="1">IF(OR(INDEX($K$2:$K$1001,MATCH(ROWS($J$2:J341),$J$2:$J$1001,0),1)&gt;=100000,INDEX($Q$1005:$U$1005,1,MATCH(COLUMNS($Q$1006:U1006),$Q$1006:$U$1006,0))&gt;=100000), " ",IF(INDEX($Q$2:$U$1001,MATCH(ROWS($J$2:J341),$J$2:$J$1001,0),MATCH(COLUMNS($Q$1006:U1006),$Q$1006:$U$1006,0)), HYPERLINK("#",""), HYPERLINK(CONCATENATE("#metadata!", ADDRESS(INDEX($L$2:$L$1001,MATCH(ROWS($J$2:J341),$J$2:$J$1001,0),0), INDEX($Q$1004:$U$1004,1,MATCH(COLUMNS($Q$1006:U1006),$Q$1006:$U$1006,0)))),"Fix")))</f>
        <v xml:space="preserve"> </v>
      </c>
      <c r="J341">
        <v>340</v>
      </c>
      <c r="K341">
        <v>100341</v>
      </c>
      <c r="L341">
        <v>341</v>
      </c>
      <c r="M341" t="b">
        <f t="shared" si="5"/>
        <v>1</v>
      </c>
      <c r="N341" t="b">
        <f>COUNTBLANK(metadata!B341:F341)=COLUMNS(metadata!B341:F341)</f>
        <v>1</v>
      </c>
      <c r="O341" t="str">
        <v/>
      </c>
      <c r="Q341" t="b">
        <f ca="1">AND(IF(metadata!B341="",FALSE,TRUE),COUNTIF(metadata!B:B, metadata!B341) = 1,NOT(ISERROR(SUMPRODUCT(SEARCH(MID(metadata!B341,ROW(INDIRECT("1:"&amp;LEN(metadata!B341))), 1),"0123456789abcdefghijklmnopqrstuvwxyzABCDEFGHIJKLMNOPQRSTUVWXYZ.")))))</f>
        <v>0</v>
      </c>
      <c r="R341" t="b">
        <f>AND(IF(metadata!C341="",FALSE,TRUE),OR(EXACT(metadata!C341,"saline"),EXACT(metadata!C341,"non-saline")))</f>
        <v>0</v>
      </c>
      <c r="S341" t="b">
        <f>AND(IF(metadata!D341="",FALSE,TRUE),OR(EXACT(metadata!D341,"surface (non-saline)"),EXACT(metadata!D341,"aerosol (non-saline)"),EXACT(metadata!D341,"sediment (non-saline)"),EXACT(metadata!D341,"surface (saline)"),EXACT(metadata!D341,"aerosol (saline)"),EXACT(metadata!D341,"sediment (saline)")))</f>
        <v>0</v>
      </c>
      <c r="T341" t="b">
        <f>AND(IF(metadata!E341="",FALSE,TRUE),EXACT(metadata!E341,"built environment"))</f>
        <v>0</v>
      </c>
      <c r="U341" t="b">
        <f>OR(AND(IF(metadata!F341="",FALSE,TRUE),EXACT(metadata!F341,"not applicable")),AND(IF(metadata!F341="",FALSE,TRUE),EXACT(metadata!F341,"anaerobic digester content")))</f>
        <v>0</v>
      </c>
    </row>
    <row r="342" spans="1:21" x14ac:dyDescent="0.2">
      <c r="A342" s="4" t="str">
        <f ca="1">IF(B342=" "," ",HYPERLINK(CONCATENATE("#metadata!",ADDRESS(INDEX($L$2:$L$1001,MATCH(ROWS($J$2:J342),$J$2:$J$1001,0),0),1)),INDEX($O$2:$O$1001,MATCH(ROWS($J$2:J342),$J$2:$J$1001,0),0)))</f>
        <v xml:space="preserve"> </v>
      </c>
      <c r="B342" s="3" t="str">
        <f ca="1">IF(OR(INDEX($K$2:$K$1001,MATCH(ROWS($J$2:J342),$J$2:$J$1001,0),1)&gt;=100000,INDEX($Q$1005:$U$1005,1,MATCH(COLUMNS($Q$1006:Q1006),$Q$1006:$U$1006,0))&gt;=100000), " ",IF(INDEX($Q$2:$U$1001,MATCH(ROWS($J$2:J342),$J$2:$J$1001,0),MATCH(COLUMNS($Q$1006:Q1006),$Q$1006:$U$1006,0)), HYPERLINK("#",""), HYPERLINK(CONCATENATE("#metadata!", ADDRESS(INDEX($L$2:$L$1001,MATCH(ROWS($J$2:J342),$J$2:$J$1001,0),0), INDEX($Q$1004:$U$1004,1,MATCH(COLUMNS($Q$1006:Q1006),$Q$1006:$U$1006,0)))),"Fix")))</f>
        <v xml:space="preserve"> </v>
      </c>
      <c r="C342" s="3" t="str">
        <f ca="1">IF(OR(INDEX($K$2:$K$1001,MATCH(ROWS($J$2:J342),$J$2:$J$1001,0),1)&gt;=100000,INDEX($Q$1005:$U$1005,1,MATCH(COLUMNS($Q$1006:R1006),$Q$1006:$U$1006,0))&gt;=100000), " ",IF(INDEX($Q$2:$U$1001,MATCH(ROWS($J$2:J342),$J$2:$J$1001,0),MATCH(COLUMNS($Q$1006:R1006),$Q$1006:$U$1006,0)), HYPERLINK("#",""), HYPERLINK(CONCATENATE("#metadata!", ADDRESS(INDEX($L$2:$L$1001,MATCH(ROWS($J$2:J342),$J$2:$J$1001,0),0), INDEX($Q$1004:$U$1004,1,MATCH(COLUMNS($Q$1006:R1006),$Q$1006:$U$1006,0)))),"Fix")))</f>
        <v xml:space="preserve"> </v>
      </c>
      <c r="D342" s="3" t="str">
        <f ca="1">IF(OR(INDEX($K$2:$K$1001,MATCH(ROWS($J$2:J342),$J$2:$J$1001,0),1)&gt;=100000,INDEX($Q$1005:$U$1005,1,MATCH(COLUMNS($Q$1006:S1006),$Q$1006:$U$1006,0))&gt;=100000), " ",IF(INDEX($Q$2:$U$1001,MATCH(ROWS($J$2:J342),$J$2:$J$1001,0),MATCH(COLUMNS($Q$1006:S1006),$Q$1006:$U$1006,0)), HYPERLINK("#",""), HYPERLINK(CONCATENATE("#metadata!", ADDRESS(INDEX($L$2:$L$1001,MATCH(ROWS($J$2:J342),$J$2:$J$1001,0),0), INDEX($Q$1004:$U$1004,1,MATCH(COLUMNS($Q$1006:S1006),$Q$1006:$U$1006,0)))),"Fix")))</f>
        <v xml:space="preserve"> </v>
      </c>
      <c r="E342" s="3" t="str">
        <f ca="1">IF(OR(INDEX($K$2:$K$1001,MATCH(ROWS($J$2:J342),$J$2:$J$1001,0),1)&gt;=100000,INDEX($Q$1005:$U$1005,1,MATCH(COLUMNS($Q$1006:T1006),$Q$1006:$U$1006,0))&gt;=100000), " ",IF(INDEX($Q$2:$U$1001,MATCH(ROWS($J$2:J342),$J$2:$J$1001,0),MATCH(COLUMNS($Q$1006:T1006),$Q$1006:$U$1006,0)), HYPERLINK("#",""), HYPERLINK(CONCATENATE("#metadata!", ADDRESS(INDEX($L$2:$L$1001,MATCH(ROWS($J$2:J342),$J$2:$J$1001,0),0), INDEX($Q$1004:$U$1004,1,MATCH(COLUMNS($Q$1006:T1006),$Q$1006:$U$1006,0)))),"Fix")))</f>
        <v xml:space="preserve"> </v>
      </c>
      <c r="F342" s="3" t="str">
        <f ca="1">IF(OR(INDEX($K$2:$K$1001,MATCH(ROWS($J$2:J342),$J$2:$J$1001,0),1)&gt;=100000,INDEX($Q$1005:$U$1005,1,MATCH(COLUMNS($Q$1006:U1006),$Q$1006:$U$1006,0))&gt;=100000), " ",IF(INDEX($Q$2:$U$1001,MATCH(ROWS($J$2:J342),$J$2:$J$1001,0),MATCH(COLUMNS($Q$1006:U1006),$Q$1006:$U$1006,0)), HYPERLINK("#",""), HYPERLINK(CONCATENATE("#metadata!", ADDRESS(INDEX($L$2:$L$1001,MATCH(ROWS($J$2:J342),$J$2:$J$1001,0),0), INDEX($Q$1004:$U$1004,1,MATCH(COLUMNS($Q$1006:U1006),$Q$1006:$U$1006,0)))),"Fix")))</f>
        <v xml:space="preserve"> </v>
      </c>
      <c r="J342">
        <v>341</v>
      </c>
      <c r="K342">
        <v>100342</v>
      </c>
      <c r="L342">
        <v>342</v>
      </c>
      <c r="M342" t="b">
        <f t="shared" si="5"/>
        <v>1</v>
      </c>
      <c r="N342" t="b">
        <f>COUNTBLANK(metadata!B342:F342)=COLUMNS(metadata!B342:F342)</f>
        <v>1</v>
      </c>
      <c r="O342" t="str">
        <v/>
      </c>
      <c r="Q342" t="b">
        <f ca="1">AND(IF(metadata!B342="",FALSE,TRUE),COUNTIF(metadata!B:B, metadata!B342) = 1,NOT(ISERROR(SUMPRODUCT(SEARCH(MID(metadata!B342,ROW(INDIRECT("1:"&amp;LEN(metadata!B342))), 1),"0123456789abcdefghijklmnopqrstuvwxyzABCDEFGHIJKLMNOPQRSTUVWXYZ.")))))</f>
        <v>0</v>
      </c>
      <c r="R342" t="b">
        <f>AND(IF(metadata!C342="",FALSE,TRUE),OR(EXACT(metadata!C342,"saline"),EXACT(metadata!C342,"non-saline")))</f>
        <v>0</v>
      </c>
      <c r="S342" t="b">
        <f>AND(IF(metadata!D342="",FALSE,TRUE),OR(EXACT(metadata!D342,"surface (non-saline)"),EXACT(metadata!D342,"aerosol (non-saline)"),EXACT(metadata!D342,"sediment (non-saline)"),EXACT(metadata!D342,"surface (saline)"),EXACT(metadata!D342,"aerosol (saline)"),EXACT(metadata!D342,"sediment (saline)")))</f>
        <v>0</v>
      </c>
      <c r="T342" t="b">
        <f>AND(IF(metadata!E342="",FALSE,TRUE),EXACT(metadata!E342,"built environment"))</f>
        <v>0</v>
      </c>
      <c r="U342" t="b">
        <f>OR(AND(IF(metadata!F342="",FALSE,TRUE),EXACT(metadata!F342,"not applicable")),AND(IF(metadata!F342="",FALSE,TRUE),EXACT(metadata!F342,"anaerobic digester content")))</f>
        <v>0</v>
      </c>
    </row>
    <row r="343" spans="1:21" x14ac:dyDescent="0.2">
      <c r="A343" s="4" t="str">
        <f ca="1">IF(B343=" "," ",HYPERLINK(CONCATENATE("#metadata!",ADDRESS(INDEX($L$2:$L$1001,MATCH(ROWS($J$2:J343),$J$2:$J$1001,0),0),1)),INDEX($O$2:$O$1001,MATCH(ROWS($J$2:J343),$J$2:$J$1001,0),0)))</f>
        <v xml:space="preserve"> </v>
      </c>
      <c r="B343" s="3" t="str">
        <f ca="1">IF(OR(INDEX($K$2:$K$1001,MATCH(ROWS($J$2:J343),$J$2:$J$1001,0),1)&gt;=100000,INDEX($Q$1005:$U$1005,1,MATCH(COLUMNS($Q$1006:Q1006),$Q$1006:$U$1006,0))&gt;=100000), " ",IF(INDEX($Q$2:$U$1001,MATCH(ROWS($J$2:J343),$J$2:$J$1001,0),MATCH(COLUMNS($Q$1006:Q1006),$Q$1006:$U$1006,0)), HYPERLINK("#",""), HYPERLINK(CONCATENATE("#metadata!", ADDRESS(INDEX($L$2:$L$1001,MATCH(ROWS($J$2:J343),$J$2:$J$1001,0),0), INDEX($Q$1004:$U$1004,1,MATCH(COLUMNS($Q$1006:Q1006),$Q$1006:$U$1006,0)))),"Fix")))</f>
        <v xml:space="preserve"> </v>
      </c>
      <c r="C343" s="3" t="str">
        <f ca="1">IF(OR(INDEX($K$2:$K$1001,MATCH(ROWS($J$2:J343),$J$2:$J$1001,0),1)&gt;=100000,INDEX($Q$1005:$U$1005,1,MATCH(COLUMNS($Q$1006:R1006),$Q$1006:$U$1006,0))&gt;=100000), " ",IF(INDEX($Q$2:$U$1001,MATCH(ROWS($J$2:J343),$J$2:$J$1001,0),MATCH(COLUMNS($Q$1006:R1006),$Q$1006:$U$1006,0)), HYPERLINK("#",""), HYPERLINK(CONCATENATE("#metadata!", ADDRESS(INDEX($L$2:$L$1001,MATCH(ROWS($J$2:J343),$J$2:$J$1001,0),0), INDEX($Q$1004:$U$1004,1,MATCH(COLUMNS($Q$1006:R1006),$Q$1006:$U$1006,0)))),"Fix")))</f>
        <v xml:space="preserve"> </v>
      </c>
      <c r="D343" s="3" t="str">
        <f ca="1">IF(OR(INDEX($K$2:$K$1001,MATCH(ROWS($J$2:J343),$J$2:$J$1001,0),1)&gt;=100000,INDEX($Q$1005:$U$1005,1,MATCH(COLUMNS($Q$1006:S1006),$Q$1006:$U$1006,0))&gt;=100000), " ",IF(INDEX($Q$2:$U$1001,MATCH(ROWS($J$2:J343),$J$2:$J$1001,0),MATCH(COLUMNS($Q$1006:S1006),$Q$1006:$U$1006,0)), HYPERLINK("#",""), HYPERLINK(CONCATENATE("#metadata!", ADDRESS(INDEX($L$2:$L$1001,MATCH(ROWS($J$2:J343),$J$2:$J$1001,0),0), INDEX($Q$1004:$U$1004,1,MATCH(COLUMNS($Q$1006:S1006),$Q$1006:$U$1006,0)))),"Fix")))</f>
        <v xml:space="preserve"> </v>
      </c>
      <c r="E343" s="3" t="str">
        <f ca="1">IF(OR(INDEX($K$2:$K$1001,MATCH(ROWS($J$2:J343),$J$2:$J$1001,0),1)&gt;=100000,INDEX($Q$1005:$U$1005,1,MATCH(COLUMNS($Q$1006:T1006),$Q$1006:$U$1006,0))&gt;=100000), " ",IF(INDEX($Q$2:$U$1001,MATCH(ROWS($J$2:J343),$J$2:$J$1001,0),MATCH(COLUMNS($Q$1006:T1006),$Q$1006:$U$1006,0)), HYPERLINK("#",""), HYPERLINK(CONCATENATE("#metadata!", ADDRESS(INDEX($L$2:$L$1001,MATCH(ROWS($J$2:J343),$J$2:$J$1001,0),0), INDEX($Q$1004:$U$1004,1,MATCH(COLUMNS($Q$1006:T1006),$Q$1006:$U$1006,0)))),"Fix")))</f>
        <v xml:space="preserve"> </v>
      </c>
      <c r="F343" s="3" t="str">
        <f ca="1">IF(OR(INDEX($K$2:$K$1001,MATCH(ROWS($J$2:J343),$J$2:$J$1001,0),1)&gt;=100000,INDEX($Q$1005:$U$1005,1,MATCH(COLUMNS($Q$1006:U1006),$Q$1006:$U$1006,0))&gt;=100000), " ",IF(INDEX($Q$2:$U$1001,MATCH(ROWS($J$2:J343),$J$2:$J$1001,0),MATCH(COLUMNS($Q$1006:U1006),$Q$1006:$U$1006,0)), HYPERLINK("#",""), HYPERLINK(CONCATENATE("#metadata!", ADDRESS(INDEX($L$2:$L$1001,MATCH(ROWS($J$2:J343),$J$2:$J$1001,0),0), INDEX($Q$1004:$U$1004,1,MATCH(COLUMNS($Q$1006:U1006),$Q$1006:$U$1006,0)))),"Fix")))</f>
        <v xml:space="preserve"> </v>
      </c>
      <c r="J343">
        <v>342</v>
      </c>
      <c r="K343">
        <v>100343</v>
      </c>
      <c r="L343">
        <v>343</v>
      </c>
      <c r="M343" t="b">
        <f t="shared" si="5"/>
        <v>1</v>
      </c>
      <c r="N343" t="b">
        <f>COUNTBLANK(metadata!B343:F343)=COLUMNS(metadata!B343:F343)</f>
        <v>1</v>
      </c>
      <c r="O343" t="str">
        <v/>
      </c>
      <c r="Q343" t="b">
        <f ca="1">AND(IF(metadata!B343="",FALSE,TRUE),COUNTIF(metadata!B:B, metadata!B343) = 1,NOT(ISERROR(SUMPRODUCT(SEARCH(MID(metadata!B343,ROW(INDIRECT("1:"&amp;LEN(metadata!B343))), 1),"0123456789abcdefghijklmnopqrstuvwxyzABCDEFGHIJKLMNOPQRSTUVWXYZ.")))))</f>
        <v>0</v>
      </c>
      <c r="R343" t="b">
        <f>AND(IF(metadata!C343="",FALSE,TRUE),OR(EXACT(metadata!C343,"saline"),EXACT(metadata!C343,"non-saline")))</f>
        <v>0</v>
      </c>
      <c r="S343" t="b">
        <f>AND(IF(metadata!D343="",FALSE,TRUE),OR(EXACT(metadata!D343,"surface (non-saline)"),EXACT(metadata!D343,"aerosol (non-saline)"),EXACT(metadata!D343,"sediment (non-saline)"),EXACT(metadata!D343,"surface (saline)"),EXACT(metadata!D343,"aerosol (saline)"),EXACT(metadata!D343,"sediment (saline)")))</f>
        <v>0</v>
      </c>
      <c r="T343" t="b">
        <f>AND(IF(metadata!E343="",FALSE,TRUE),EXACT(metadata!E343,"built environment"))</f>
        <v>0</v>
      </c>
      <c r="U343" t="b">
        <f>OR(AND(IF(metadata!F343="",FALSE,TRUE),EXACT(metadata!F343,"not applicable")),AND(IF(metadata!F343="",FALSE,TRUE),EXACT(metadata!F343,"anaerobic digester content")))</f>
        <v>0</v>
      </c>
    </row>
    <row r="344" spans="1:21" x14ac:dyDescent="0.2">
      <c r="A344" s="4" t="str">
        <f ca="1">IF(B344=" "," ",HYPERLINK(CONCATENATE("#metadata!",ADDRESS(INDEX($L$2:$L$1001,MATCH(ROWS($J$2:J344),$J$2:$J$1001,0),0),1)),INDEX($O$2:$O$1001,MATCH(ROWS($J$2:J344),$J$2:$J$1001,0),0)))</f>
        <v xml:space="preserve"> </v>
      </c>
      <c r="B344" s="3" t="str">
        <f ca="1">IF(OR(INDEX($K$2:$K$1001,MATCH(ROWS($J$2:J344),$J$2:$J$1001,0),1)&gt;=100000,INDEX($Q$1005:$U$1005,1,MATCH(COLUMNS($Q$1006:Q1006),$Q$1006:$U$1006,0))&gt;=100000), " ",IF(INDEX($Q$2:$U$1001,MATCH(ROWS($J$2:J344),$J$2:$J$1001,0),MATCH(COLUMNS($Q$1006:Q1006),$Q$1006:$U$1006,0)), HYPERLINK("#",""), HYPERLINK(CONCATENATE("#metadata!", ADDRESS(INDEX($L$2:$L$1001,MATCH(ROWS($J$2:J344),$J$2:$J$1001,0),0), INDEX($Q$1004:$U$1004,1,MATCH(COLUMNS($Q$1006:Q1006),$Q$1006:$U$1006,0)))),"Fix")))</f>
        <v xml:space="preserve"> </v>
      </c>
      <c r="C344" s="3" t="str">
        <f ca="1">IF(OR(INDEX($K$2:$K$1001,MATCH(ROWS($J$2:J344),$J$2:$J$1001,0),1)&gt;=100000,INDEX($Q$1005:$U$1005,1,MATCH(COLUMNS($Q$1006:R1006),$Q$1006:$U$1006,0))&gt;=100000), " ",IF(INDEX($Q$2:$U$1001,MATCH(ROWS($J$2:J344),$J$2:$J$1001,0),MATCH(COLUMNS($Q$1006:R1006),$Q$1006:$U$1006,0)), HYPERLINK("#",""), HYPERLINK(CONCATENATE("#metadata!", ADDRESS(INDEX($L$2:$L$1001,MATCH(ROWS($J$2:J344),$J$2:$J$1001,0),0), INDEX($Q$1004:$U$1004,1,MATCH(COLUMNS($Q$1006:R1006),$Q$1006:$U$1006,0)))),"Fix")))</f>
        <v xml:space="preserve"> </v>
      </c>
      <c r="D344" s="3" t="str">
        <f ca="1">IF(OR(INDEX($K$2:$K$1001,MATCH(ROWS($J$2:J344),$J$2:$J$1001,0),1)&gt;=100000,INDEX($Q$1005:$U$1005,1,MATCH(COLUMNS($Q$1006:S1006),$Q$1006:$U$1006,0))&gt;=100000), " ",IF(INDEX($Q$2:$U$1001,MATCH(ROWS($J$2:J344),$J$2:$J$1001,0),MATCH(COLUMNS($Q$1006:S1006),$Q$1006:$U$1006,0)), HYPERLINK("#",""), HYPERLINK(CONCATENATE("#metadata!", ADDRESS(INDEX($L$2:$L$1001,MATCH(ROWS($J$2:J344),$J$2:$J$1001,0),0), INDEX($Q$1004:$U$1004,1,MATCH(COLUMNS($Q$1006:S1006),$Q$1006:$U$1006,0)))),"Fix")))</f>
        <v xml:space="preserve"> </v>
      </c>
      <c r="E344" s="3" t="str">
        <f ca="1">IF(OR(INDEX($K$2:$K$1001,MATCH(ROWS($J$2:J344),$J$2:$J$1001,0),1)&gt;=100000,INDEX($Q$1005:$U$1005,1,MATCH(COLUMNS($Q$1006:T1006),$Q$1006:$U$1006,0))&gt;=100000), " ",IF(INDEX($Q$2:$U$1001,MATCH(ROWS($J$2:J344),$J$2:$J$1001,0),MATCH(COLUMNS($Q$1006:T1006),$Q$1006:$U$1006,0)), HYPERLINK("#",""), HYPERLINK(CONCATENATE("#metadata!", ADDRESS(INDEX($L$2:$L$1001,MATCH(ROWS($J$2:J344),$J$2:$J$1001,0),0), INDEX($Q$1004:$U$1004,1,MATCH(COLUMNS($Q$1006:T1006),$Q$1006:$U$1006,0)))),"Fix")))</f>
        <v xml:space="preserve"> </v>
      </c>
      <c r="F344" s="3" t="str">
        <f ca="1">IF(OR(INDEX($K$2:$K$1001,MATCH(ROWS($J$2:J344),$J$2:$J$1001,0),1)&gt;=100000,INDEX($Q$1005:$U$1005,1,MATCH(COLUMNS($Q$1006:U1006),$Q$1006:$U$1006,0))&gt;=100000), " ",IF(INDEX($Q$2:$U$1001,MATCH(ROWS($J$2:J344),$J$2:$J$1001,0),MATCH(COLUMNS($Q$1006:U1006),$Q$1006:$U$1006,0)), HYPERLINK("#",""), HYPERLINK(CONCATENATE("#metadata!", ADDRESS(INDEX($L$2:$L$1001,MATCH(ROWS($J$2:J344),$J$2:$J$1001,0),0), INDEX($Q$1004:$U$1004,1,MATCH(COLUMNS($Q$1006:U1006),$Q$1006:$U$1006,0)))),"Fix")))</f>
        <v xml:space="preserve"> </v>
      </c>
      <c r="J344">
        <v>343</v>
      </c>
      <c r="K344">
        <v>100344</v>
      </c>
      <c r="L344">
        <v>344</v>
      </c>
      <c r="M344" t="b">
        <f t="shared" si="5"/>
        <v>1</v>
      </c>
      <c r="N344" t="b">
        <f>COUNTBLANK(metadata!B344:F344)=COLUMNS(metadata!B344:F344)</f>
        <v>1</v>
      </c>
      <c r="O344" t="str">
        <v/>
      </c>
      <c r="Q344" t="b">
        <f ca="1">AND(IF(metadata!B344="",FALSE,TRUE),COUNTIF(metadata!B:B, metadata!B344) = 1,NOT(ISERROR(SUMPRODUCT(SEARCH(MID(metadata!B344,ROW(INDIRECT("1:"&amp;LEN(metadata!B344))), 1),"0123456789abcdefghijklmnopqrstuvwxyzABCDEFGHIJKLMNOPQRSTUVWXYZ.")))))</f>
        <v>0</v>
      </c>
      <c r="R344" t="b">
        <f>AND(IF(metadata!C344="",FALSE,TRUE),OR(EXACT(metadata!C344,"saline"),EXACT(metadata!C344,"non-saline")))</f>
        <v>0</v>
      </c>
      <c r="S344" t="b">
        <f>AND(IF(metadata!D344="",FALSE,TRUE),OR(EXACT(metadata!D344,"surface (non-saline)"),EXACT(metadata!D344,"aerosol (non-saline)"),EXACT(metadata!D344,"sediment (non-saline)"),EXACT(metadata!D344,"surface (saline)"),EXACT(metadata!D344,"aerosol (saline)"),EXACT(metadata!D344,"sediment (saline)")))</f>
        <v>0</v>
      </c>
      <c r="T344" t="b">
        <f>AND(IF(metadata!E344="",FALSE,TRUE),EXACT(metadata!E344,"built environment"))</f>
        <v>0</v>
      </c>
      <c r="U344" t="b">
        <f>OR(AND(IF(metadata!F344="",FALSE,TRUE),EXACT(metadata!F344,"not applicable")),AND(IF(metadata!F344="",FALSE,TRUE),EXACT(metadata!F344,"anaerobic digester content")))</f>
        <v>0</v>
      </c>
    </row>
    <row r="345" spans="1:21" x14ac:dyDescent="0.2">
      <c r="A345" s="4" t="str">
        <f ca="1">IF(B345=" "," ",HYPERLINK(CONCATENATE("#metadata!",ADDRESS(INDEX($L$2:$L$1001,MATCH(ROWS($J$2:J345),$J$2:$J$1001,0),0),1)),INDEX($O$2:$O$1001,MATCH(ROWS($J$2:J345),$J$2:$J$1001,0),0)))</f>
        <v xml:space="preserve"> </v>
      </c>
      <c r="B345" s="3" t="str">
        <f ca="1">IF(OR(INDEX($K$2:$K$1001,MATCH(ROWS($J$2:J345),$J$2:$J$1001,0),1)&gt;=100000,INDEX($Q$1005:$U$1005,1,MATCH(COLUMNS($Q$1006:Q1006),$Q$1006:$U$1006,0))&gt;=100000), " ",IF(INDEX($Q$2:$U$1001,MATCH(ROWS($J$2:J345),$J$2:$J$1001,0),MATCH(COLUMNS($Q$1006:Q1006),$Q$1006:$U$1006,0)), HYPERLINK("#",""), HYPERLINK(CONCATENATE("#metadata!", ADDRESS(INDEX($L$2:$L$1001,MATCH(ROWS($J$2:J345),$J$2:$J$1001,0),0), INDEX($Q$1004:$U$1004,1,MATCH(COLUMNS($Q$1006:Q1006),$Q$1006:$U$1006,0)))),"Fix")))</f>
        <v xml:space="preserve"> </v>
      </c>
      <c r="C345" s="3" t="str">
        <f ca="1">IF(OR(INDEX($K$2:$K$1001,MATCH(ROWS($J$2:J345),$J$2:$J$1001,0),1)&gt;=100000,INDEX($Q$1005:$U$1005,1,MATCH(COLUMNS($Q$1006:R1006),$Q$1006:$U$1006,0))&gt;=100000), " ",IF(INDEX($Q$2:$U$1001,MATCH(ROWS($J$2:J345),$J$2:$J$1001,0),MATCH(COLUMNS($Q$1006:R1006),$Q$1006:$U$1006,0)), HYPERLINK("#",""), HYPERLINK(CONCATENATE("#metadata!", ADDRESS(INDEX($L$2:$L$1001,MATCH(ROWS($J$2:J345),$J$2:$J$1001,0),0), INDEX($Q$1004:$U$1004,1,MATCH(COLUMNS($Q$1006:R1006),$Q$1006:$U$1006,0)))),"Fix")))</f>
        <v xml:space="preserve"> </v>
      </c>
      <c r="D345" s="3" t="str">
        <f ca="1">IF(OR(INDEX($K$2:$K$1001,MATCH(ROWS($J$2:J345),$J$2:$J$1001,0),1)&gt;=100000,INDEX($Q$1005:$U$1005,1,MATCH(COLUMNS($Q$1006:S1006),$Q$1006:$U$1006,0))&gt;=100000), " ",IF(INDEX($Q$2:$U$1001,MATCH(ROWS($J$2:J345),$J$2:$J$1001,0),MATCH(COLUMNS($Q$1006:S1006),$Q$1006:$U$1006,0)), HYPERLINK("#",""), HYPERLINK(CONCATENATE("#metadata!", ADDRESS(INDEX($L$2:$L$1001,MATCH(ROWS($J$2:J345),$J$2:$J$1001,0),0), INDEX($Q$1004:$U$1004,1,MATCH(COLUMNS($Q$1006:S1006),$Q$1006:$U$1006,0)))),"Fix")))</f>
        <v xml:space="preserve"> </v>
      </c>
      <c r="E345" s="3" t="str">
        <f ca="1">IF(OR(INDEX($K$2:$K$1001,MATCH(ROWS($J$2:J345),$J$2:$J$1001,0),1)&gt;=100000,INDEX($Q$1005:$U$1005,1,MATCH(COLUMNS($Q$1006:T1006),$Q$1006:$U$1006,0))&gt;=100000), " ",IF(INDEX($Q$2:$U$1001,MATCH(ROWS($J$2:J345),$J$2:$J$1001,0),MATCH(COLUMNS($Q$1006:T1006),$Q$1006:$U$1006,0)), HYPERLINK("#",""), HYPERLINK(CONCATENATE("#metadata!", ADDRESS(INDEX($L$2:$L$1001,MATCH(ROWS($J$2:J345),$J$2:$J$1001,0),0), INDEX($Q$1004:$U$1004,1,MATCH(COLUMNS($Q$1006:T1006),$Q$1006:$U$1006,0)))),"Fix")))</f>
        <v xml:space="preserve"> </v>
      </c>
      <c r="F345" s="3" t="str">
        <f ca="1">IF(OR(INDEX($K$2:$K$1001,MATCH(ROWS($J$2:J345),$J$2:$J$1001,0),1)&gt;=100000,INDEX($Q$1005:$U$1005,1,MATCH(COLUMNS($Q$1006:U1006),$Q$1006:$U$1006,0))&gt;=100000), " ",IF(INDEX($Q$2:$U$1001,MATCH(ROWS($J$2:J345),$J$2:$J$1001,0),MATCH(COLUMNS($Q$1006:U1006),$Q$1006:$U$1006,0)), HYPERLINK("#",""), HYPERLINK(CONCATENATE("#metadata!", ADDRESS(INDEX($L$2:$L$1001,MATCH(ROWS($J$2:J345),$J$2:$J$1001,0),0), INDEX($Q$1004:$U$1004,1,MATCH(COLUMNS($Q$1006:U1006),$Q$1006:$U$1006,0)))),"Fix")))</f>
        <v xml:space="preserve"> </v>
      </c>
      <c r="J345">
        <v>344</v>
      </c>
      <c r="K345">
        <v>100345</v>
      </c>
      <c r="L345">
        <v>345</v>
      </c>
      <c r="M345" t="b">
        <f t="shared" si="5"/>
        <v>1</v>
      </c>
      <c r="N345" t="b">
        <f>COUNTBLANK(metadata!B345:F345)=COLUMNS(metadata!B345:F345)</f>
        <v>1</v>
      </c>
      <c r="O345" t="str">
        <v/>
      </c>
      <c r="Q345" t="b">
        <f ca="1">AND(IF(metadata!B345="",FALSE,TRUE),COUNTIF(metadata!B:B, metadata!B345) = 1,NOT(ISERROR(SUMPRODUCT(SEARCH(MID(metadata!B345,ROW(INDIRECT("1:"&amp;LEN(metadata!B345))), 1),"0123456789abcdefghijklmnopqrstuvwxyzABCDEFGHIJKLMNOPQRSTUVWXYZ.")))))</f>
        <v>0</v>
      </c>
      <c r="R345" t="b">
        <f>AND(IF(metadata!C345="",FALSE,TRUE),OR(EXACT(metadata!C345,"saline"),EXACT(metadata!C345,"non-saline")))</f>
        <v>0</v>
      </c>
      <c r="S345" t="b">
        <f>AND(IF(metadata!D345="",FALSE,TRUE),OR(EXACT(metadata!D345,"surface (non-saline)"),EXACT(metadata!D345,"aerosol (non-saline)"),EXACT(metadata!D345,"sediment (non-saline)"),EXACT(metadata!D345,"surface (saline)"),EXACT(metadata!D345,"aerosol (saline)"),EXACT(metadata!D345,"sediment (saline)")))</f>
        <v>0</v>
      </c>
      <c r="T345" t="b">
        <f>AND(IF(metadata!E345="",FALSE,TRUE),EXACT(metadata!E345,"built environment"))</f>
        <v>0</v>
      </c>
      <c r="U345" t="b">
        <f>OR(AND(IF(metadata!F345="",FALSE,TRUE),EXACT(metadata!F345,"not applicable")),AND(IF(metadata!F345="",FALSE,TRUE),EXACT(metadata!F345,"anaerobic digester content")))</f>
        <v>0</v>
      </c>
    </row>
    <row r="346" spans="1:21" x14ac:dyDescent="0.2">
      <c r="A346" s="4" t="str">
        <f ca="1">IF(B346=" "," ",HYPERLINK(CONCATENATE("#metadata!",ADDRESS(INDEX($L$2:$L$1001,MATCH(ROWS($J$2:J346),$J$2:$J$1001,0),0),1)),INDEX($O$2:$O$1001,MATCH(ROWS($J$2:J346),$J$2:$J$1001,0),0)))</f>
        <v xml:space="preserve"> </v>
      </c>
      <c r="B346" s="3" t="str">
        <f ca="1">IF(OR(INDEX($K$2:$K$1001,MATCH(ROWS($J$2:J346),$J$2:$J$1001,0),1)&gt;=100000,INDEX($Q$1005:$U$1005,1,MATCH(COLUMNS($Q$1006:Q1006),$Q$1006:$U$1006,0))&gt;=100000), " ",IF(INDEX($Q$2:$U$1001,MATCH(ROWS($J$2:J346),$J$2:$J$1001,0),MATCH(COLUMNS($Q$1006:Q1006),$Q$1006:$U$1006,0)), HYPERLINK("#",""), HYPERLINK(CONCATENATE("#metadata!", ADDRESS(INDEX($L$2:$L$1001,MATCH(ROWS($J$2:J346),$J$2:$J$1001,0),0), INDEX($Q$1004:$U$1004,1,MATCH(COLUMNS($Q$1006:Q1006),$Q$1006:$U$1006,0)))),"Fix")))</f>
        <v xml:space="preserve"> </v>
      </c>
      <c r="C346" s="3" t="str">
        <f ca="1">IF(OR(INDEX($K$2:$K$1001,MATCH(ROWS($J$2:J346),$J$2:$J$1001,0),1)&gt;=100000,INDEX($Q$1005:$U$1005,1,MATCH(COLUMNS($Q$1006:R1006),$Q$1006:$U$1006,0))&gt;=100000), " ",IF(INDEX($Q$2:$U$1001,MATCH(ROWS($J$2:J346),$J$2:$J$1001,0),MATCH(COLUMNS($Q$1006:R1006),$Q$1006:$U$1006,0)), HYPERLINK("#",""), HYPERLINK(CONCATENATE("#metadata!", ADDRESS(INDEX($L$2:$L$1001,MATCH(ROWS($J$2:J346),$J$2:$J$1001,0),0), INDEX($Q$1004:$U$1004,1,MATCH(COLUMNS($Q$1006:R1006),$Q$1006:$U$1006,0)))),"Fix")))</f>
        <v xml:space="preserve"> </v>
      </c>
      <c r="D346" s="3" t="str">
        <f ca="1">IF(OR(INDEX($K$2:$K$1001,MATCH(ROWS($J$2:J346),$J$2:$J$1001,0),1)&gt;=100000,INDEX($Q$1005:$U$1005,1,MATCH(COLUMNS($Q$1006:S1006),$Q$1006:$U$1006,0))&gt;=100000), " ",IF(INDEX($Q$2:$U$1001,MATCH(ROWS($J$2:J346),$J$2:$J$1001,0),MATCH(COLUMNS($Q$1006:S1006),$Q$1006:$U$1006,0)), HYPERLINK("#",""), HYPERLINK(CONCATENATE("#metadata!", ADDRESS(INDEX($L$2:$L$1001,MATCH(ROWS($J$2:J346),$J$2:$J$1001,0),0), INDEX($Q$1004:$U$1004,1,MATCH(COLUMNS($Q$1006:S1006),$Q$1006:$U$1006,0)))),"Fix")))</f>
        <v xml:space="preserve"> </v>
      </c>
      <c r="E346" s="3" t="str">
        <f ca="1">IF(OR(INDEX($K$2:$K$1001,MATCH(ROWS($J$2:J346),$J$2:$J$1001,0),1)&gt;=100000,INDEX($Q$1005:$U$1005,1,MATCH(COLUMNS($Q$1006:T1006),$Q$1006:$U$1006,0))&gt;=100000), " ",IF(INDEX($Q$2:$U$1001,MATCH(ROWS($J$2:J346),$J$2:$J$1001,0),MATCH(COLUMNS($Q$1006:T1006),$Q$1006:$U$1006,0)), HYPERLINK("#",""), HYPERLINK(CONCATENATE("#metadata!", ADDRESS(INDEX($L$2:$L$1001,MATCH(ROWS($J$2:J346),$J$2:$J$1001,0),0), INDEX($Q$1004:$U$1004,1,MATCH(COLUMNS($Q$1006:T1006),$Q$1006:$U$1006,0)))),"Fix")))</f>
        <v xml:space="preserve"> </v>
      </c>
      <c r="F346" s="3" t="str">
        <f ca="1">IF(OR(INDEX($K$2:$K$1001,MATCH(ROWS($J$2:J346),$J$2:$J$1001,0),1)&gt;=100000,INDEX($Q$1005:$U$1005,1,MATCH(COLUMNS($Q$1006:U1006),$Q$1006:$U$1006,0))&gt;=100000), " ",IF(INDEX($Q$2:$U$1001,MATCH(ROWS($J$2:J346),$J$2:$J$1001,0),MATCH(COLUMNS($Q$1006:U1006),$Q$1006:$U$1006,0)), HYPERLINK("#",""), HYPERLINK(CONCATENATE("#metadata!", ADDRESS(INDEX($L$2:$L$1001,MATCH(ROWS($J$2:J346),$J$2:$J$1001,0),0), INDEX($Q$1004:$U$1004,1,MATCH(COLUMNS($Q$1006:U1006),$Q$1006:$U$1006,0)))),"Fix")))</f>
        <v xml:space="preserve"> </v>
      </c>
      <c r="J346">
        <v>345</v>
      </c>
      <c r="K346">
        <v>100346</v>
      </c>
      <c r="L346">
        <v>346</v>
      </c>
      <c r="M346" t="b">
        <f t="shared" si="5"/>
        <v>1</v>
      </c>
      <c r="N346" t="b">
        <f>COUNTBLANK(metadata!B346:F346)=COLUMNS(metadata!B346:F346)</f>
        <v>1</v>
      </c>
      <c r="O346" t="str">
        <v/>
      </c>
      <c r="Q346" t="b">
        <f ca="1">AND(IF(metadata!B346="",FALSE,TRUE),COUNTIF(metadata!B:B, metadata!B346) = 1,NOT(ISERROR(SUMPRODUCT(SEARCH(MID(metadata!B346,ROW(INDIRECT("1:"&amp;LEN(metadata!B346))), 1),"0123456789abcdefghijklmnopqrstuvwxyzABCDEFGHIJKLMNOPQRSTUVWXYZ.")))))</f>
        <v>0</v>
      </c>
      <c r="R346" t="b">
        <f>AND(IF(metadata!C346="",FALSE,TRUE),OR(EXACT(metadata!C346,"saline"),EXACT(metadata!C346,"non-saline")))</f>
        <v>0</v>
      </c>
      <c r="S346" t="b">
        <f>AND(IF(metadata!D346="",FALSE,TRUE),OR(EXACT(metadata!D346,"surface (non-saline)"),EXACT(metadata!D346,"aerosol (non-saline)"),EXACT(metadata!D346,"sediment (non-saline)"),EXACT(metadata!D346,"surface (saline)"),EXACT(metadata!D346,"aerosol (saline)"),EXACT(metadata!D346,"sediment (saline)")))</f>
        <v>0</v>
      </c>
      <c r="T346" t="b">
        <f>AND(IF(metadata!E346="",FALSE,TRUE),EXACT(metadata!E346,"built environment"))</f>
        <v>0</v>
      </c>
      <c r="U346" t="b">
        <f>OR(AND(IF(metadata!F346="",FALSE,TRUE),EXACT(metadata!F346,"not applicable")),AND(IF(metadata!F346="",FALSE,TRUE),EXACT(metadata!F346,"anaerobic digester content")))</f>
        <v>0</v>
      </c>
    </row>
    <row r="347" spans="1:21" x14ac:dyDescent="0.2">
      <c r="A347" s="4" t="str">
        <f ca="1">IF(B347=" "," ",HYPERLINK(CONCATENATE("#metadata!",ADDRESS(INDEX($L$2:$L$1001,MATCH(ROWS($J$2:J347),$J$2:$J$1001,0),0),1)),INDEX($O$2:$O$1001,MATCH(ROWS($J$2:J347),$J$2:$J$1001,0),0)))</f>
        <v xml:space="preserve"> </v>
      </c>
      <c r="B347" s="3" t="str">
        <f ca="1">IF(OR(INDEX($K$2:$K$1001,MATCH(ROWS($J$2:J347),$J$2:$J$1001,0),1)&gt;=100000,INDEX($Q$1005:$U$1005,1,MATCH(COLUMNS($Q$1006:Q1006),$Q$1006:$U$1006,0))&gt;=100000), " ",IF(INDEX($Q$2:$U$1001,MATCH(ROWS($J$2:J347),$J$2:$J$1001,0),MATCH(COLUMNS($Q$1006:Q1006),$Q$1006:$U$1006,0)), HYPERLINK("#",""), HYPERLINK(CONCATENATE("#metadata!", ADDRESS(INDEX($L$2:$L$1001,MATCH(ROWS($J$2:J347),$J$2:$J$1001,0),0), INDEX($Q$1004:$U$1004,1,MATCH(COLUMNS($Q$1006:Q1006),$Q$1006:$U$1006,0)))),"Fix")))</f>
        <v xml:space="preserve"> </v>
      </c>
      <c r="C347" s="3" t="str">
        <f ca="1">IF(OR(INDEX($K$2:$K$1001,MATCH(ROWS($J$2:J347),$J$2:$J$1001,0),1)&gt;=100000,INDEX($Q$1005:$U$1005,1,MATCH(COLUMNS($Q$1006:R1006),$Q$1006:$U$1006,0))&gt;=100000), " ",IF(INDEX($Q$2:$U$1001,MATCH(ROWS($J$2:J347),$J$2:$J$1001,0),MATCH(COLUMNS($Q$1006:R1006),$Q$1006:$U$1006,0)), HYPERLINK("#",""), HYPERLINK(CONCATENATE("#metadata!", ADDRESS(INDEX($L$2:$L$1001,MATCH(ROWS($J$2:J347),$J$2:$J$1001,0),0), INDEX($Q$1004:$U$1004,1,MATCH(COLUMNS($Q$1006:R1006),$Q$1006:$U$1006,0)))),"Fix")))</f>
        <v xml:space="preserve"> </v>
      </c>
      <c r="D347" s="3" t="str">
        <f ca="1">IF(OR(INDEX($K$2:$K$1001,MATCH(ROWS($J$2:J347),$J$2:$J$1001,0),1)&gt;=100000,INDEX($Q$1005:$U$1005,1,MATCH(COLUMNS($Q$1006:S1006),$Q$1006:$U$1006,0))&gt;=100000), " ",IF(INDEX($Q$2:$U$1001,MATCH(ROWS($J$2:J347),$J$2:$J$1001,0),MATCH(COLUMNS($Q$1006:S1006),$Q$1006:$U$1006,0)), HYPERLINK("#",""), HYPERLINK(CONCATENATE("#metadata!", ADDRESS(INDEX($L$2:$L$1001,MATCH(ROWS($J$2:J347),$J$2:$J$1001,0),0), INDEX($Q$1004:$U$1004,1,MATCH(COLUMNS($Q$1006:S1006),$Q$1006:$U$1006,0)))),"Fix")))</f>
        <v xml:space="preserve"> </v>
      </c>
      <c r="E347" s="3" t="str">
        <f ca="1">IF(OR(INDEX($K$2:$K$1001,MATCH(ROWS($J$2:J347),$J$2:$J$1001,0),1)&gt;=100000,INDEX($Q$1005:$U$1005,1,MATCH(COLUMNS($Q$1006:T1006),$Q$1006:$U$1006,0))&gt;=100000), " ",IF(INDEX($Q$2:$U$1001,MATCH(ROWS($J$2:J347),$J$2:$J$1001,0),MATCH(COLUMNS($Q$1006:T1006),$Q$1006:$U$1006,0)), HYPERLINK("#",""), HYPERLINK(CONCATENATE("#metadata!", ADDRESS(INDEX($L$2:$L$1001,MATCH(ROWS($J$2:J347),$J$2:$J$1001,0),0), INDEX($Q$1004:$U$1004,1,MATCH(COLUMNS($Q$1006:T1006),$Q$1006:$U$1006,0)))),"Fix")))</f>
        <v xml:space="preserve"> </v>
      </c>
      <c r="F347" s="3" t="str">
        <f ca="1">IF(OR(INDEX($K$2:$K$1001,MATCH(ROWS($J$2:J347),$J$2:$J$1001,0),1)&gt;=100000,INDEX($Q$1005:$U$1005,1,MATCH(COLUMNS($Q$1006:U1006),$Q$1006:$U$1006,0))&gt;=100000), " ",IF(INDEX($Q$2:$U$1001,MATCH(ROWS($J$2:J347),$J$2:$J$1001,0),MATCH(COLUMNS($Q$1006:U1006),$Q$1006:$U$1006,0)), HYPERLINK("#",""), HYPERLINK(CONCATENATE("#metadata!", ADDRESS(INDEX($L$2:$L$1001,MATCH(ROWS($J$2:J347),$J$2:$J$1001,0),0), INDEX($Q$1004:$U$1004,1,MATCH(COLUMNS($Q$1006:U1006),$Q$1006:$U$1006,0)))),"Fix")))</f>
        <v xml:space="preserve"> </v>
      </c>
      <c r="J347">
        <v>346</v>
      </c>
      <c r="K347">
        <v>100347</v>
      </c>
      <c r="L347">
        <v>347</v>
      </c>
      <c r="M347" t="b">
        <f t="shared" si="5"/>
        <v>1</v>
      </c>
      <c r="N347" t="b">
        <f>COUNTBLANK(metadata!B347:F347)=COLUMNS(metadata!B347:F347)</f>
        <v>1</v>
      </c>
      <c r="O347" t="str">
        <v/>
      </c>
      <c r="Q347" t="b">
        <f ca="1">AND(IF(metadata!B347="",FALSE,TRUE),COUNTIF(metadata!B:B, metadata!B347) = 1,NOT(ISERROR(SUMPRODUCT(SEARCH(MID(metadata!B347,ROW(INDIRECT("1:"&amp;LEN(metadata!B347))), 1),"0123456789abcdefghijklmnopqrstuvwxyzABCDEFGHIJKLMNOPQRSTUVWXYZ.")))))</f>
        <v>0</v>
      </c>
      <c r="R347" t="b">
        <f>AND(IF(metadata!C347="",FALSE,TRUE),OR(EXACT(metadata!C347,"saline"),EXACT(metadata!C347,"non-saline")))</f>
        <v>0</v>
      </c>
      <c r="S347" t="b">
        <f>AND(IF(metadata!D347="",FALSE,TRUE),OR(EXACT(metadata!D347,"surface (non-saline)"),EXACT(metadata!D347,"aerosol (non-saline)"),EXACT(metadata!D347,"sediment (non-saline)"),EXACT(metadata!D347,"surface (saline)"),EXACT(metadata!D347,"aerosol (saline)"),EXACT(metadata!D347,"sediment (saline)")))</f>
        <v>0</v>
      </c>
      <c r="T347" t="b">
        <f>AND(IF(metadata!E347="",FALSE,TRUE),EXACT(metadata!E347,"built environment"))</f>
        <v>0</v>
      </c>
      <c r="U347" t="b">
        <f>OR(AND(IF(metadata!F347="",FALSE,TRUE),EXACT(metadata!F347,"not applicable")),AND(IF(metadata!F347="",FALSE,TRUE),EXACT(metadata!F347,"anaerobic digester content")))</f>
        <v>0</v>
      </c>
    </row>
    <row r="348" spans="1:21" x14ac:dyDescent="0.2">
      <c r="A348" s="4" t="str">
        <f ca="1">IF(B348=" "," ",HYPERLINK(CONCATENATE("#metadata!",ADDRESS(INDEX($L$2:$L$1001,MATCH(ROWS($J$2:J348),$J$2:$J$1001,0),0),1)),INDEX($O$2:$O$1001,MATCH(ROWS($J$2:J348),$J$2:$J$1001,0),0)))</f>
        <v xml:space="preserve"> </v>
      </c>
      <c r="B348" s="3" t="str">
        <f ca="1">IF(OR(INDEX($K$2:$K$1001,MATCH(ROWS($J$2:J348),$J$2:$J$1001,0),1)&gt;=100000,INDEX($Q$1005:$U$1005,1,MATCH(COLUMNS($Q$1006:Q1006),$Q$1006:$U$1006,0))&gt;=100000), " ",IF(INDEX($Q$2:$U$1001,MATCH(ROWS($J$2:J348),$J$2:$J$1001,0),MATCH(COLUMNS($Q$1006:Q1006),$Q$1006:$U$1006,0)), HYPERLINK("#",""), HYPERLINK(CONCATENATE("#metadata!", ADDRESS(INDEX($L$2:$L$1001,MATCH(ROWS($J$2:J348),$J$2:$J$1001,0),0), INDEX($Q$1004:$U$1004,1,MATCH(COLUMNS($Q$1006:Q1006),$Q$1006:$U$1006,0)))),"Fix")))</f>
        <v xml:space="preserve"> </v>
      </c>
      <c r="C348" s="3" t="str">
        <f ca="1">IF(OR(INDEX($K$2:$K$1001,MATCH(ROWS($J$2:J348),$J$2:$J$1001,0),1)&gt;=100000,INDEX($Q$1005:$U$1005,1,MATCH(COLUMNS($Q$1006:R1006),$Q$1006:$U$1006,0))&gt;=100000), " ",IF(INDEX($Q$2:$U$1001,MATCH(ROWS($J$2:J348),$J$2:$J$1001,0),MATCH(COLUMNS($Q$1006:R1006),$Q$1006:$U$1006,0)), HYPERLINK("#",""), HYPERLINK(CONCATENATE("#metadata!", ADDRESS(INDEX($L$2:$L$1001,MATCH(ROWS($J$2:J348),$J$2:$J$1001,0),0), INDEX($Q$1004:$U$1004,1,MATCH(COLUMNS($Q$1006:R1006),$Q$1006:$U$1006,0)))),"Fix")))</f>
        <v xml:space="preserve"> </v>
      </c>
      <c r="D348" s="3" t="str">
        <f ca="1">IF(OR(INDEX($K$2:$K$1001,MATCH(ROWS($J$2:J348),$J$2:$J$1001,0),1)&gt;=100000,INDEX($Q$1005:$U$1005,1,MATCH(COLUMNS($Q$1006:S1006),$Q$1006:$U$1006,0))&gt;=100000), " ",IF(INDEX($Q$2:$U$1001,MATCH(ROWS($J$2:J348),$J$2:$J$1001,0),MATCH(COLUMNS($Q$1006:S1006),$Q$1006:$U$1006,0)), HYPERLINK("#",""), HYPERLINK(CONCATENATE("#metadata!", ADDRESS(INDEX($L$2:$L$1001,MATCH(ROWS($J$2:J348),$J$2:$J$1001,0),0), INDEX($Q$1004:$U$1004,1,MATCH(COLUMNS($Q$1006:S1006),$Q$1006:$U$1006,0)))),"Fix")))</f>
        <v xml:space="preserve"> </v>
      </c>
      <c r="E348" s="3" t="str">
        <f ca="1">IF(OR(INDEX($K$2:$K$1001,MATCH(ROWS($J$2:J348),$J$2:$J$1001,0),1)&gt;=100000,INDEX($Q$1005:$U$1005,1,MATCH(COLUMNS($Q$1006:T1006),$Q$1006:$U$1006,0))&gt;=100000), " ",IF(INDEX($Q$2:$U$1001,MATCH(ROWS($J$2:J348),$J$2:$J$1001,0),MATCH(COLUMNS($Q$1006:T1006),$Q$1006:$U$1006,0)), HYPERLINK("#",""), HYPERLINK(CONCATENATE("#metadata!", ADDRESS(INDEX($L$2:$L$1001,MATCH(ROWS($J$2:J348),$J$2:$J$1001,0),0), INDEX($Q$1004:$U$1004,1,MATCH(COLUMNS($Q$1006:T1006),$Q$1006:$U$1006,0)))),"Fix")))</f>
        <v xml:space="preserve"> </v>
      </c>
      <c r="F348" s="3" t="str">
        <f ca="1">IF(OR(INDEX($K$2:$K$1001,MATCH(ROWS($J$2:J348),$J$2:$J$1001,0),1)&gt;=100000,INDEX($Q$1005:$U$1005,1,MATCH(COLUMNS($Q$1006:U1006),$Q$1006:$U$1006,0))&gt;=100000), " ",IF(INDEX($Q$2:$U$1001,MATCH(ROWS($J$2:J348),$J$2:$J$1001,0),MATCH(COLUMNS($Q$1006:U1006),$Q$1006:$U$1006,0)), HYPERLINK("#",""), HYPERLINK(CONCATENATE("#metadata!", ADDRESS(INDEX($L$2:$L$1001,MATCH(ROWS($J$2:J348),$J$2:$J$1001,0),0), INDEX($Q$1004:$U$1004,1,MATCH(COLUMNS($Q$1006:U1006),$Q$1006:$U$1006,0)))),"Fix")))</f>
        <v xml:space="preserve"> </v>
      </c>
      <c r="J348">
        <v>347</v>
      </c>
      <c r="K348">
        <v>100348</v>
      </c>
      <c r="L348">
        <v>348</v>
      </c>
      <c r="M348" t="b">
        <f t="shared" si="5"/>
        <v>1</v>
      </c>
      <c r="N348" t="b">
        <f>COUNTBLANK(metadata!B348:F348)=COLUMNS(metadata!B348:F348)</f>
        <v>1</v>
      </c>
      <c r="O348" t="str">
        <v/>
      </c>
      <c r="Q348" t="b">
        <f ca="1">AND(IF(metadata!B348="",FALSE,TRUE),COUNTIF(metadata!B:B, metadata!B348) = 1,NOT(ISERROR(SUMPRODUCT(SEARCH(MID(metadata!B348,ROW(INDIRECT("1:"&amp;LEN(metadata!B348))), 1),"0123456789abcdefghijklmnopqrstuvwxyzABCDEFGHIJKLMNOPQRSTUVWXYZ.")))))</f>
        <v>0</v>
      </c>
      <c r="R348" t="b">
        <f>AND(IF(metadata!C348="",FALSE,TRUE),OR(EXACT(metadata!C348,"saline"),EXACT(metadata!C348,"non-saline")))</f>
        <v>0</v>
      </c>
      <c r="S348" t="b">
        <f>AND(IF(metadata!D348="",FALSE,TRUE),OR(EXACT(metadata!D348,"surface (non-saline)"),EXACT(metadata!D348,"aerosol (non-saline)"),EXACT(metadata!D348,"sediment (non-saline)"),EXACT(metadata!D348,"surface (saline)"),EXACT(metadata!D348,"aerosol (saline)"),EXACT(metadata!D348,"sediment (saline)")))</f>
        <v>0</v>
      </c>
      <c r="T348" t="b">
        <f>AND(IF(metadata!E348="",FALSE,TRUE),EXACT(metadata!E348,"built environment"))</f>
        <v>0</v>
      </c>
      <c r="U348" t="b">
        <f>OR(AND(IF(metadata!F348="",FALSE,TRUE),EXACT(metadata!F348,"not applicable")),AND(IF(metadata!F348="",FALSE,TRUE),EXACT(metadata!F348,"anaerobic digester content")))</f>
        <v>0</v>
      </c>
    </row>
    <row r="349" spans="1:21" x14ac:dyDescent="0.2">
      <c r="A349" s="4" t="str">
        <f ca="1">IF(B349=" "," ",HYPERLINK(CONCATENATE("#metadata!",ADDRESS(INDEX($L$2:$L$1001,MATCH(ROWS($J$2:J349),$J$2:$J$1001,0),0),1)),INDEX($O$2:$O$1001,MATCH(ROWS($J$2:J349),$J$2:$J$1001,0),0)))</f>
        <v xml:space="preserve"> </v>
      </c>
      <c r="B349" s="3" t="str">
        <f ca="1">IF(OR(INDEX($K$2:$K$1001,MATCH(ROWS($J$2:J349),$J$2:$J$1001,0),1)&gt;=100000,INDEX($Q$1005:$U$1005,1,MATCH(COLUMNS($Q$1006:Q1006),$Q$1006:$U$1006,0))&gt;=100000), " ",IF(INDEX($Q$2:$U$1001,MATCH(ROWS($J$2:J349),$J$2:$J$1001,0),MATCH(COLUMNS($Q$1006:Q1006),$Q$1006:$U$1006,0)), HYPERLINK("#",""), HYPERLINK(CONCATENATE("#metadata!", ADDRESS(INDEX($L$2:$L$1001,MATCH(ROWS($J$2:J349),$J$2:$J$1001,0),0), INDEX($Q$1004:$U$1004,1,MATCH(COLUMNS($Q$1006:Q1006),$Q$1006:$U$1006,0)))),"Fix")))</f>
        <v xml:space="preserve"> </v>
      </c>
      <c r="C349" s="3" t="str">
        <f ca="1">IF(OR(INDEX($K$2:$K$1001,MATCH(ROWS($J$2:J349),$J$2:$J$1001,0),1)&gt;=100000,INDEX($Q$1005:$U$1005,1,MATCH(COLUMNS($Q$1006:R1006),$Q$1006:$U$1006,0))&gt;=100000), " ",IF(INDEX($Q$2:$U$1001,MATCH(ROWS($J$2:J349),$J$2:$J$1001,0),MATCH(COLUMNS($Q$1006:R1006),$Q$1006:$U$1006,0)), HYPERLINK("#",""), HYPERLINK(CONCATENATE("#metadata!", ADDRESS(INDEX($L$2:$L$1001,MATCH(ROWS($J$2:J349),$J$2:$J$1001,0),0), INDEX($Q$1004:$U$1004,1,MATCH(COLUMNS($Q$1006:R1006),$Q$1006:$U$1006,0)))),"Fix")))</f>
        <v xml:space="preserve"> </v>
      </c>
      <c r="D349" s="3" t="str">
        <f ca="1">IF(OR(INDEX($K$2:$K$1001,MATCH(ROWS($J$2:J349),$J$2:$J$1001,0),1)&gt;=100000,INDEX($Q$1005:$U$1005,1,MATCH(COLUMNS($Q$1006:S1006),$Q$1006:$U$1006,0))&gt;=100000), " ",IF(INDEX($Q$2:$U$1001,MATCH(ROWS($J$2:J349),$J$2:$J$1001,0),MATCH(COLUMNS($Q$1006:S1006),$Q$1006:$U$1006,0)), HYPERLINK("#",""), HYPERLINK(CONCATENATE("#metadata!", ADDRESS(INDEX($L$2:$L$1001,MATCH(ROWS($J$2:J349),$J$2:$J$1001,0),0), INDEX($Q$1004:$U$1004,1,MATCH(COLUMNS($Q$1006:S1006),$Q$1006:$U$1006,0)))),"Fix")))</f>
        <v xml:space="preserve"> </v>
      </c>
      <c r="E349" s="3" t="str">
        <f ca="1">IF(OR(INDEX($K$2:$K$1001,MATCH(ROWS($J$2:J349),$J$2:$J$1001,0),1)&gt;=100000,INDEX($Q$1005:$U$1005,1,MATCH(COLUMNS($Q$1006:T1006),$Q$1006:$U$1006,0))&gt;=100000), " ",IF(INDEX($Q$2:$U$1001,MATCH(ROWS($J$2:J349),$J$2:$J$1001,0),MATCH(COLUMNS($Q$1006:T1006),$Q$1006:$U$1006,0)), HYPERLINK("#",""), HYPERLINK(CONCATENATE("#metadata!", ADDRESS(INDEX($L$2:$L$1001,MATCH(ROWS($J$2:J349),$J$2:$J$1001,0),0), INDEX($Q$1004:$U$1004,1,MATCH(COLUMNS($Q$1006:T1006),$Q$1006:$U$1006,0)))),"Fix")))</f>
        <v xml:space="preserve"> </v>
      </c>
      <c r="F349" s="3" t="str">
        <f ca="1">IF(OR(INDEX($K$2:$K$1001,MATCH(ROWS($J$2:J349),$J$2:$J$1001,0),1)&gt;=100000,INDEX($Q$1005:$U$1005,1,MATCH(COLUMNS($Q$1006:U1006),$Q$1006:$U$1006,0))&gt;=100000), " ",IF(INDEX($Q$2:$U$1001,MATCH(ROWS($J$2:J349),$J$2:$J$1001,0),MATCH(COLUMNS($Q$1006:U1006),$Q$1006:$U$1006,0)), HYPERLINK("#",""), HYPERLINK(CONCATENATE("#metadata!", ADDRESS(INDEX($L$2:$L$1001,MATCH(ROWS($J$2:J349),$J$2:$J$1001,0),0), INDEX($Q$1004:$U$1004,1,MATCH(COLUMNS($Q$1006:U1006),$Q$1006:$U$1006,0)))),"Fix")))</f>
        <v xml:space="preserve"> </v>
      </c>
      <c r="J349">
        <v>348</v>
      </c>
      <c r="K349">
        <v>100349</v>
      </c>
      <c r="L349">
        <v>349</v>
      </c>
      <c r="M349" t="b">
        <f t="shared" si="5"/>
        <v>1</v>
      </c>
      <c r="N349" t="b">
        <f>COUNTBLANK(metadata!B349:F349)=COLUMNS(metadata!B349:F349)</f>
        <v>1</v>
      </c>
      <c r="O349" t="str">
        <v/>
      </c>
      <c r="Q349" t="b">
        <f ca="1">AND(IF(metadata!B349="",FALSE,TRUE),COUNTIF(metadata!B:B, metadata!B349) = 1,NOT(ISERROR(SUMPRODUCT(SEARCH(MID(metadata!B349,ROW(INDIRECT("1:"&amp;LEN(metadata!B349))), 1),"0123456789abcdefghijklmnopqrstuvwxyzABCDEFGHIJKLMNOPQRSTUVWXYZ.")))))</f>
        <v>0</v>
      </c>
      <c r="R349" t="b">
        <f>AND(IF(metadata!C349="",FALSE,TRUE),OR(EXACT(metadata!C349,"saline"),EXACT(metadata!C349,"non-saline")))</f>
        <v>0</v>
      </c>
      <c r="S349" t="b">
        <f>AND(IF(metadata!D349="",FALSE,TRUE),OR(EXACT(metadata!D349,"surface (non-saline)"),EXACT(metadata!D349,"aerosol (non-saline)"),EXACT(metadata!D349,"sediment (non-saline)"),EXACT(metadata!D349,"surface (saline)"),EXACT(metadata!D349,"aerosol (saline)"),EXACT(metadata!D349,"sediment (saline)")))</f>
        <v>0</v>
      </c>
      <c r="T349" t="b">
        <f>AND(IF(metadata!E349="",FALSE,TRUE),EXACT(metadata!E349,"built environment"))</f>
        <v>0</v>
      </c>
      <c r="U349" t="b">
        <f>OR(AND(IF(metadata!F349="",FALSE,TRUE),EXACT(metadata!F349,"not applicable")),AND(IF(metadata!F349="",FALSE,TRUE),EXACT(metadata!F349,"anaerobic digester content")))</f>
        <v>0</v>
      </c>
    </row>
    <row r="350" spans="1:21" x14ac:dyDescent="0.2">
      <c r="A350" s="4" t="str">
        <f ca="1">IF(B350=" "," ",HYPERLINK(CONCATENATE("#metadata!",ADDRESS(INDEX($L$2:$L$1001,MATCH(ROWS($J$2:J350),$J$2:$J$1001,0),0),1)),INDEX($O$2:$O$1001,MATCH(ROWS($J$2:J350),$J$2:$J$1001,0),0)))</f>
        <v xml:space="preserve"> </v>
      </c>
      <c r="B350" s="3" t="str">
        <f ca="1">IF(OR(INDEX($K$2:$K$1001,MATCH(ROWS($J$2:J350),$J$2:$J$1001,0),1)&gt;=100000,INDEX($Q$1005:$U$1005,1,MATCH(COLUMNS($Q$1006:Q1006),$Q$1006:$U$1006,0))&gt;=100000), " ",IF(INDEX($Q$2:$U$1001,MATCH(ROWS($J$2:J350),$J$2:$J$1001,0),MATCH(COLUMNS($Q$1006:Q1006),$Q$1006:$U$1006,0)), HYPERLINK("#",""), HYPERLINK(CONCATENATE("#metadata!", ADDRESS(INDEX($L$2:$L$1001,MATCH(ROWS($J$2:J350),$J$2:$J$1001,0),0), INDEX($Q$1004:$U$1004,1,MATCH(COLUMNS($Q$1006:Q1006),$Q$1006:$U$1006,0)))),"Fix")))</f>
        <v xml:space="preserve"> </v>
      </c>
      <c r="C350" s="3" t="str">
        <f ca="1">IF(OR(INDEX($K$2:$K$1001,MATCH(ROWS($J$2:J350),$J$2:$J$1001,0),1)&gt;=100000,INDEX($Q$1005:$U$1005,1,MATCH(COLUMNS($Q$1006:R1006),$Q$1006:$U$1006,0))&gt;=100000), " ",IF(INDEX($Q$2:$U$1001,MATCH(ROWS($J$2:J350),$J$2:$J$1001,0),MATCH(COLUMNS($Q$1006:R1006),$Q$1006:$U$1006,0)), HYPERLINK("#",""), HYPERLINK(CONCATENATE("#metadata!", ADDRESS(INDEX($L$2:$L$1001,MATCH(ROWS($J$2:J350),$J$2:$J$1001,0),0), INDEX($Q$1004:$U$1004,1,MATCH(COLUMNS($Q$1006:R1006),$Q$1006:$U$1006,0)))),"Fix")))</f>
        <v xml:space="preserve"> </v>
      </c>
      <c r="D350" s="3" t="str">
        <f ca="1">IF(OR(INDEX($K$2:$K$1001,MATCH(ROWS($J$2:J350),$J$2:$J$1001,0),1)&gt;=100000,INDEX($Q$1005:$U$1005,1,MATCH(COLUMNS($Q$1006:S1006),$Q$1006:$U$1006,0))&gt;=100000), " ",IF(INDEX($Q$2:$U$1001,MATCH(ROWS($J$2:J350),$J$2:$J$1001,0),MATCH(COLUMNS($Q$1006:S1006),$Q$1006:$U$1006,0)), HYPERLINK("#",""), HYPERLINK(CONCATENATE("#metadata!", ADDRESS(INDEX($L$2:$L$1001,MATCH(ROWS($J$2:J350),$J$2:$J$1001,0),0), INDEX($Q$1004:$U$1004,1,MATCH(COLUMNS($Q$1006:S1006),$Q$1006:$U$1006,0)))),"Fix")))</f>
        <v xml:space="preserve"> </v>
      </c>
      <c r="E350" s="3" t="str">
        <f ca="1">IF(OR(INDEX($K$2:$K$1001,MATCH(ROWS($J$2:J350),$J$2:$J$1001,0),1)&gt;=100000,INDEX($Q$1005:$U$1005,1,MATCH(COLUMNS($Q$1006:T1006),$Q$1006:$U$1006,0))&gt;=100000), " ",IF(INDEX($Q$2:$U$1001,MATCH(ROWS($J$2:J350),$J$2:$J$1001,0),MATCH(COLUMNS($Q$1006:T1006),$Q$1006:$U$1006,0)), HYPERLINK("#",""), HYPERLINK(CONCATENATE("#metadata!", ADDRESS(INDEX($L$2:$L$1001,MATCH(ROWS($J$2:J350),$J$2:$J$1001,0),0), INDEX($Q$1004:$U$1004,1,MATCH(COLUMNS($Q$1006:T1006),$Q$1006:$U$1006,0)))),"Fix")))</f>
        <v xml:space="preserve"> </v>
      </c>
      <c r="F350" s="3" t="str">
        <f ca="1">IF(OR(INDEX($K$2:$K$1001,MATCH(ROWS($J$2:J350),$J$2:$J$1001,0),1)&gt;=100000,INDEX($Q$1005:$U$1005,1,MATCH(COLUMNS($Q$1006:U1006),$Q$1006:$U$1006,0))&gt;=100000), " ",IF(INDEX($Q$2:$U$1001,MATCH(ROWS($J$2:J350),$J$2:$J$1001,0),MATCH(COLUMNS($Q$1006:U1006),$Q$1006:$U$1006,0)), HYPERLINK("#",""), HYPERLINK(CONCATENATE("#metadata!", ADDRESS(INDEX($L$2:$L$1001,MATCH(ROWS($J$2:J350),$J$2:$J$1001,0),0), INDEX($Q$1004:$U$1004,1,MATCH(COLUMNS($Q$1006:U1006),$Q$1006:$U$1006,0)))),"Fix")))</f>
        <v xml:space="preserve"> </v>
      </c>
      <c r="J350">
        <v>349</v>
      </c>
      <c r="K350">
        <v>100350</v>
      </c>
      <c r="L350">
        <v>350</v>
      </c>
      <c r="M350" t="b">
        <f t="shared" si="5"/>
        <v>1</v>
      </c>
      <c r="N350" t="b">
        <f>COUNTBLANK(metadata!B350:F350)=COLUMNS(metadata!B350:F350)</f>
        <v>1</v>
      </c>
      <c r="O350" t="str">
        <v/>
      </c>
      <c r="Q350" t="b">
        <f ca="1">AND(IF(metadata!B350="",FALSE,TRUE),COUNTIF(metadata!B:B, metadata!B350) = 1,NOT(ISERROR(SUMPRODUCT(SEARCH(MID(metadata!B350,ROW(INDIRECT("1:"&amp;LEN(metadata!B350))), 1),"0123456789abcdefghijklmnopqrstuvwxyzABCDEFGHIJKLMNOPQRSTUVWXYZ.")))))</f>
        <v>0</v>
      </c>
      <c r="R350" t="b">
        <f>AND(IF(metadata!C350="",FALSE,TRUE),OR(EXACT(metadata!C350,"saline"),EXACT(metadata!C350,"non-saline")))</f>
        <v>0</v>
      </c>
      <c r="S350" t="b">
        <f>AND(IF(metadata!D350="",FALSE,TRUE),OR(EXACT(metadata!D350,"surface (non-saline)"),EXACT(metadata!D350,"aerosol (non-saline)"),EXACT(metadata!D350,"sediment (non-saline)"),EXACT(metadata!D350,"surface (saline)"),EXACT(metadata!D350,"aerosol (saline)"),EXACT(metadata!D350,"sediment (saline)")))</f>
        <v>0</v>
      </c>
      <c r="T350" t="b">
        <f>AND(IF(metadata!E350="",FALSE,TRUE),EXACT(metadata!E350,"built environment"))</f>
        <v>0</v>
      </c>
      <c r="U350" t="b">
        <f>OR(AND(IF(metadata!F350="",FALSE,TRUE),EXACT(metadata!F350,"not applicable")),AND(IF(metadata!F350="",FALSE,TRUE),EXACT(metadata!F350,"anaerobic digester content")))</f>
        <v>0</v>
      </c>
    </row>
    <row r="351" spans="1:21" x14ac:dyDescent="0.2">
      <c r="A351" s="4" t="str">
        <f ca="1">IF(B351=" "," ",HYPERLINK(CONCATENATE("#metadata!",ADDRESS(INDEX($L$2:$L$1001,MATCH(ROWS($J$2:J351),$J$2:$J$1001,0),0),1)),INDEX($O$2:$O$1001,MATCH(ROWS($J$2:J351),$J$2:$J$1001,0),0)))</f>
        <v xml:space="preserve"> </v>
      </c>
      <c r="B351" s="3" t="str">
        <f ca="1">IF(OR(INDEX($K$2:$K$1001,MATCH(ROWS($J$2:J351),$J$2:$J$1001,0),1)&gt;=100000,INDEX($Q$1005:$U$1005,1,MATCH(COLUMNS($Q$1006:Q1006),$Q$1006:$U$1006,0))&gt;=100000), " ",IF(INDEX($Q$2:$U$1001,MATCH(ROWS($J$2:J351),$J$2:$J$1001,0),MATCH(COLUMNS($Q$1006:Q1006),$Q$1006:$U$1006,0)), HYPERLINK("#",""), HYPERLINK(CONCATENATE("#metadata!", ADDRESS(INDEX($L$2:$L$1001,MATCH(ROWS($J$2:J351),$J$2:$J$1001,0),0), INDEX($Q$1004:$U$1004,1,MATCH(COLUMNS($Q$1006:Q1006),$Q$1006:$U$1006,0)))),"Fix")))</f>
        <v xml:space="preserve"> </v>
      </c>
      <c r="C351" s="3" t="str">
        <f ca="1">IF(OR(INDEX($K$2:$K$1001,MATCH(ROWS($J$2:J351),$J$2:$J$1001,0),1)&gt;=100000,INDEX($Q$1005:$U$1005,1,MATCH(COLUMNS($Q$1006:R1006),$Q$1006:$U$1006,0))&gt;=100000), " ",IF(INDEX($Q$2:$U$1001,MATCH(ROWS($J$2:J351),$J$2:$J$1001,0),MATCH(COLUMNS($Q$1006:R1006),$Q$1006:$U$1006,0)), HYPERLINK("#",""), HYPERLINK(CONCATENATE("#metadata!", ADDRESS(INDEX($L$2:$L$1001,MATCH(ROWS($J$2:J351),$J$2:$J$1001,0),0), INDEX($Q$1004:$U$1004,1,MATCH(COLUMNS($Q$1006:R1006),$Q$1006:$U$1006,0)))),"Fix")))</f>
        <v xml:space="preserve"> </v>
      </c>
      <c r="D351" s="3" t="str">
        <f ca="1">IF(OR(INDEX($K$2:$K$1001,MATCH(ROWS($J$2:J351),$J$2:$J$1001,0),1)&gt;=100000,INDEX($Q$1005:$U$1005,1,MATCH(COLUMNS($Q$1006:S1006),$Q$1006:$U$1006,0))&gt;=100000), " ",IF(INDEX($Q$2:$U$1001,MATCH(ROWS($J$2:J351),$J$2:$J$1001,0),MATCH(COLUMNS($Q$1006:S1006),$Q$1006:$U$1006,0)), HYPERLINK("#",""), HYPERLINK(CONCATENATE("#metadata!", ADDRESS(INDEX($L$2:$L$1001,MATCH(ROWS($J$2:J351),$J$2:$J$1001,0),0), INDEX($Q$1004:$U$1004,1,MATCH(COLUMNS($Q$1006:S1006),$Q$1006:$U$1006,0)))),"Fix")))</f>
        <v xml:space="preserve"> </v>
      </c>
      <c r="E351" s="3" t="str">
        <f ca="1">IF(OR(INDEX($K$2:$K$1001,MATCH(ROWS($J$2:J351),$J$2:$J$1001,0),1)&gt;=100000,INDEX($Q$1005:$U$1005,1,MATCH(COLUMNS($Q$1006:T1006),$Q$1006:$U$1006,0))&gt;=100000), " ",IF(INDEX($Q$2:$U$1001,MATCH(ROWS($J$2:J351),$J$2:$J$1001,0),MATCH(COLUMNS($Q$1006:T1006),$Q$1006:$U$1006,0)), HYPERLINK("#",""), HYPERLINK(CONCATENATE("#metadata!", ADDRESS(INDEX($L$2:$L$1001,MATCH(ROWS($J$2:J351),$J$2:$J$1001,0),0), INDEX($Q$1004:$U$1004,1,MATCH(COLUMNS($Q$1006:T1006),$Q$1006:$U$1006,0)))),"Fix")))</f>
        <v xml:space="preserve"> </v>
      </c>
      <c r="F351" s="3" t="str">
        <f ca="1">IF(OR(INDEX($K$2:$K$1001,MATCH(ROWS($J$2:J351),$J$2:$J$1001,0),1)&gt;=100000,INDEX($Q$1005:$U$1005,1,MATCH(COLUMNS($Q$1006:U1006),$Q$1006:$U$1006,0))&gt;=100000), " ",IF(INDEX($Q$2:$U$1001,MATCH(ROWS($J$2:J351),$J$2:$J$1001,0),MATCH(COLUMNS($Q$1006:U1006),$Q$1006:$U$1006,0)), HYPERLINK("#",""), HYPERLINK(CONCATENATE("#metadata!", ADDRESS(INDEX($L$2:$L$1001,MATCH(ROWS($J$2:J351),$J$2:$J$1001,0),0), INDEX($Q$1004:$U$1004,1,MATCH(COLUMNS($Q$1006:U1006),$Q$1006:$U$1006,0)))),"Fix")))</f>
        <v xml:space="preserve"> </v>
      </c>
      <c r="J351">
        <v>350</v>
      </c>
      <c r="K351">
        <v>100351</v>
      </c>
      <c r="L351">
        <v>351</v>
      </c>
      <c r="M351" t="b">
        <f t="shared" si="5"/>
        <v>1</v>
      </c>
      <c r="N351" t="b">
        <f>COUNTBLANK(metadata!B351:F351)=COLUMNS(metadata!B351:F351)</f>
        <v>1</v>
      </c>
      <c r="O351" t="str">
        <v/>
      </c>
      <c r="Q351" t="b">
        <f ca="1">AND(IF(metadata!B351="",FALSE,TRUE),COUNTIF(metadata!B:B, metadata!B351) = 1,NOT(ISERROR(SUMPRODUCT(SEARCH(MID(metadata!B351,ROW(INDIRECT("1:"&amp;LEN(metadata!B351))), 1),"0123456789abcdefghijklmnopqrstuvwxyzABCDEFGHIJKLMNOPQRSTUVWXYZ.")))))</f>
        <v>0</v>
      </c>
      <c r="R351" t="b">
        <f>AND(IF(metadata!C351="",FALSE,TRUE),OR(EXACT(metadata!C351,"saline"),EXACT(metadata!C351,"non-saline")))</f>
        <v>0</v>
      </c>
      <c r="S351" t="b">
        <f>AND(IF(metadata!D351="",FALSE,TRUE),OR(EXACT(metadata!D351,"surface (non-saline)"),EXACT(metadata!D351,"aerosol (non-saline)"),EXACT(metadata!D351,"sediment (non-saline)"),EXACT(metadata!D351,"surface (saline)"),EXACT(metadata!D351,"aerosol (saline)"),EXACT(metadata!D351,"sediment (saline)")))</f>
        <v>0</v>
      </c>
      <c r="T351" t="b">
        <f>AND(IF(metadata!E351="",FALSE,TRUE),EXACT(metadata!E351,"built environment"))</f>
        <v>0</v>
      </c>
      <c r="U351" t="b">
        <f>OR(AND(IF(metadata!F351="",FALSE,TRUE),EXACT(metadata!F351,"not applicable")),AND(IF(metadata!F351="",FALSE,TRUE),EXACT(metadata!F351,"anaerobic digester content")))</f>
        <v>0</v>
      </c>
    </row>
    <row r="352" spans="1:21" x14ac:dyDescent="0.2">
      <c r="A352" s="4" t="str">
        <f ca="1">IF(B352=" "," ",HYPERLINK(CONCATENATE("#metadata!",ADDRESS(INDEX($L$2:$L$1001,MATCH(ROWS($J$2:J352),$J$2:$J$1001,0),0),1)),INDEX($O$2:$O$1001,MATCH(ROWS($J$2:J352),$J$2:$J$1001,0),0)))</f>
        <v xml:space="preserve"> </v>
      </c>
      <c r="B352" s="3" t="str">
        <f ca="1">IF(OR(INDEX($K$2:$K$1001,MATCH(ROWS($J$2:J352),$J$2:$J$1001,0),1)&gt;=100000,INDEX($Q$1005:$U$1005,1,MATCH(COLUMNS($Q$1006:Q1006),$Q$1006:$U$1006,0))&gt;=100000), " ",IF(INDEX($Q$2:$U$1001,MATCH(ROWS($J$2:J352),$J$2:$J$1001,0),MATCH(COLUMNS($Q$1006:Q1006),$Q$1006:$U$1006,0)), HYPERLINK("#",""), HYPERLINK(CONCATENATE("#metadata!", ADDRESS(INDEX($L$2:$L$1001,MATCH(ROWS($J$2:J352),$J$2:$J$1001,0),0), INDEX($Q$1004:$U$1004,1,MATCH(COLUMNS($Q$1006:Q1006),$Q$1006:$U$1006,0)))),"Fix")))</f>
        <v xml:space="preserve"> </v>
      </c>
      <c r="C352" s="3" t="str">
        <f ca="1">IF(OR(INDEX($K$2:$K$1001,MATCH(ROWS($J$2:J352),$J$2:$J$1001,0),1)&gt;=100000,INDEX($Q$1005:$U$1005,1,MATCH(COLUMNS($Q$1006:R1006),$Q$1006:$U$1006,0))&gt;=100000), " ",IF(INDEX($Q$2:$U$1001,MATCH(ROWS($J$2:J352),$J$2:$J$1001,0),MATCH(COLUMNS($Q$1006:R1006),$Q$1006:$U$1006,0)), HYPERLINK("#",""), HYPERLINK(CONCATENATE("#metadata!", ADDRESS(INDEX($L$2:$L$1001,MATCH(ROWS($J$2:J352),$J$2:$J$1001,0),0), INDEX($Q$1004:$U$1004,1,MATCH(COLUMNS($Q$1006:R1006),$Q$1006:$U$1006,0)))),"Fix")))</f>
        <v xml:space="preserve"> </v>
      </c>
      <c r="D352" s="3" t="str">
        <f ca="1">IF(OR(INDEX($K$2:$K$1001,MATCH(ROWS($J$2:J352),$J$2:$J$1001,0),1)&gt;=100000,INDEX($Q$1005:$U$1005,1,MATCH(COLUMNS($Q$1006:S1006),$Q$1006:$U$1006,0))&gt;=100000), " ",IF(INDEX($Q$2:$U$1001,MATCH(ROWS($J$2:J352),$J$2:$J$1001,0),MATCH(COLUMNS($Q$1006:S1006),$Q$1006:$U$1006,0)), HYPERLINK("#",""), HYPERLINK(CONCATENATE("#metadata!", ADDRESS(INDEX($L$2:$L$1001,MATCH(ROWS($J$2:J352),$J$2:$J$1001,0),0), INDEX($Q$1004:$U$1004,1,MATCH(COLUMNS($Q$1006:S1006),$Q$1006:$U$1006,0)))),"Fix")))</f>
        <v xml:space="preserve"> </v>
      </c>
      <c r="E352" s="3" t="str">
        <f ca="1">IF(OR(INDEX($K$2:$K$1001,MATCH(ROWS($J$2:J352),$J$2:$J$1001,0),1)&gt;=100000,INDEX($Q$1005:$U$1005,1,MATCH(COLUMNS($Q$1006:T1006),$Q$1006:$U$1006,0))&gt;=100000), " ",IF(INDEX($Q$2:$U$1001,MATCH(ROWS($J$2:J352),$J$2:$J$1001,0),MATCH(COLUMNS($Q$1006:T1006),$Q$1006:$U$1006,0)), HYPERLINK("#",""), HYPERLINK(CONCATENATE("#metadata!", ADDRESS(INDEX($L$2:$L$1001,MATCH(ROWS($J$2:J352),$J$2:$J$1001,0),0), INDEX($Q$1004:$U$1004,1,MATCH(COLUMNS($Q$1006:T1006),$Q$1006:$U$1006,0)))),"Fix")))</f>
        <v xml:space="preserve"> </v>
      </c>
      <c r="F352" s="3" t="str">
        <f ca="1">IF(OR(INDEX($K$2:$K$1001,MATCH(ROWS($J$2:J352),$J$2:$J$1001,0),1)&gt;=100000,INDEX($Q$1005:$U$1005,1,MATCH(COLUMNS($Q$1006:U1006),$Q$1006:$U$1006,0))&gt;=100000), " ",IF(INDEX($Q$2:$U$1001,MATCH(ROWS($J$2:J352),$J$2:$J$1001,0),MATCH(COLUMNS($Q$1006:U1006),$Q$1006:$U$1006,0)), HYPERLINK("#",""), HYPERLINK(CONCATENATE("#metadata!", ADDRESS(INDEX($L$2:$L$1001,MATCH(ROWS($J$2:J352),$J$2:$J$1001,0),0), INDEX($Q$1004:$U$1004,1,MATCH(COLUMNS($Q$1006:U1006),$Q$1006:$U$1006,0)))),"Fix")))</f>
        <v xml:space="preserve"> </v>
      </c>
      <c r="J352">
        <v>351</v>
      </c>
      <c r="K352">
        <v>100352</v>
      </c>
      <c r="L352">
        <v>352</v>
      </c>
      <c r="M352" t="b">
        <f t="shared" si="5"/>
        <v>1</v>
      </c>
      <c r="N352" t="b">
        <f>COUNTBLANK(metadata!B352:F352)=COLUMNS(metadata!B352:F352)</f>
        <v>1</v>
      </c>
      <c r="O352" t="str">
        <v/>
      </c>
      <c r="Q352" t="b">
        <f ca="1">AND(IF(metadata!B352="",FALSE,TRUE),COUNTIF(metadata!B:B, metadata!B352) = 1,NOT(ISERROR(SUMPRODUCT(SEARCH(MID(metadata!B352,ROW(INDIRECT("1:"&amp;LEN(metadata!B352))), 1),"0123456789abcdefghijklmnopqrstuvwxyzABCDEFGHIJKLMNOPQRSTUVWXYZ.")))))</f>
        <v>0</v>
      </c>
      <c r="R352" t="b">
        <f>AND(IF(metadata!C352="",FALSE,TRUE),OR(EXACT(metadata!C352,"saline"),EXACT(metadata!C352,"non-saline")))</f>
        <v>0</v>
      </c>
      <c r="S352" t="b">
        <f>AND(IF(metadata!D352="",FALSE,TRUE),OR(EXACT(metadata!D352,"surface (non-saline)"),EXACT(metadata!D352,"aerosol (non-saline)"),EXACT(metadata!D352,"sediment (non-saline)"),EXACT(metadata!D352,"surface (saline)"),EXACT(metadata!D352,"aerosol (saline)"),EXACT(metadata!D352,"sediment (saline)")))</f>
        <v>0</v>
      </c>
      <c r="T352" t="b">
        <f>AND(IF(metadata!E352="",FALSE,TRUE),EXACT(metadata!E352,"built environment"))</f>
        <v>0</v>
      </c>
      <c r="U352" t="b">
        <f>OR(AND(IF(metadata!F352="",FALSE,TRUE),EXACT(metadata!F352,"not applicable")),AND(IF(metadata!F352="",FALSE,TRUE),EXACT(metadata!F352,"anaerobic digester content")))</f>
        <v>0</v>
      </c>
    </row>
    <row r="353" spans="1:21" x14ac:dyDescent="0.2">
      <c r="A353" s="4" t="str">
        <f ca="1">IF(B353=" "," ",HYPERLINK(CONCATENATE("#metadata!",ADDRESS(INDEX($L$2:$L$1001,MATCH(ROWS($J$2:J353),$J$2:$J$1001,0),0),1)),INDEX($O$2:$O$1001,MATCH(ROWS($J$2:J353),$J$2:$J$1001,0),0)))</f>
        <v xml:space="preserve"> </v>
      </c>
      <c r="B353" s="3" t="str">
        <f ca="1">IF(OR(INDEX($K$2:$K$1001,MATCH(ROWS($J$2:J353),$J$2:$J$1001,0),1)&gt;=100000,INDEX($Q$1005:$U$1005,1,MATCH(COLUMNS($Q$1006:Q1006),$Q$1006:$U$1006,0))&gt;=100000), " ",IF(INDEX($Q$2:$U$1001,MATCH(ROWS($J$2:J353),$J$2:$J$1001,0),MATCH(COLUMNS($Q$1006:Q1006),$Q$1006:$U$1006,0)), HYPERLINK("#",""), HYPERLINK(CONCATENATE("#metadata!", ADDRESS(INDEX($L$2:$L$1001,MATCH(ROWS($J$2:J353),$J$2:$J$1001,0),0), INDEX($Q$1004:$U$1004,1,MATCH(COLUMNS($Q$1006:Q1006),$Q$1006:$U$1006,0)))),"Fix")))</f>
        <v xml:space="preserve"> </v>
      </c>
      <c r="C353" s="3" t="str">
        <f ca="1">IF(OR(INDEX($K$2:$K$1001,MATCH(ROWS($J$2:J353),$J$2:$J$1001,0),1)&gt;=100000,INDEX($Q$1005:$U$1005,1,MATCH(COLUMNS($Q$1006:R1006),$Q$1006:$U$1006,0))&gt;=100000), " ",IF(INDEX($Q$2:$U$1001,MATCH(ROWS($J$2:J353),$J$2:$J$1001,0),MATCH(COLUMNS($Q$1006:R1006),$Q$1006:$U$1006,0)), HYPERLINK("#",""), HYPERLINK(CONCATENATE("#metadata!", ADDRESS(INDEX($L$2:$L$1001,MATCH(ROWS($J$2:J353),$J$2:$J$1001,0),0), INDEX($Q$1004:$U$1004,1,MATCH(COLUMNS($Q$1006:R1006),$Q$1006:$U$1006,0)))),"Fix")))</f>
        <v xml:space="preserve"> </v>
      </c>
      <c r="D353" s="3" t="str">
        <f ca="1">IF(OR(INDEX($K$2:$K$1001,MATCH(ROWS($J$2:J353),$J$2:$J$1001,0),1)&gt;=100000,INDEX($Q$1005:$U$1005,1,MATCH(COLUMNS($Q$1006:S1006),$Q$1006:$U$1006,0))&gt;=100000), " ",IF(INDEX($Q$2:$U$1001,MATCH(ROWS($J$2:J353),$J$2:$J$1001,0),MATCH(COLUMNS($Q$1006:S1006),$Q$1006:$U$1006,0)), HYPERLINK("#",""), HYPERLINK(CONCATENATE("#metadata!", ADDRESS(INDEX($L$2:$L$1001,MATCH(ROWS($J$2:J353),$J$2:$J$1001,0),0), INDEX($Q$1004:$U$1004,1,MATCH(COLUMNS($Q$1006:S1006),$Q$1006:$U$1006,0)))),"Fix")))</f>
        <v xml:space="preserve"> </v>
      </c>
      <c r="E353" s="3" t="str">
        <f ca="1">IF(OR(INDEX($K$2:$K$1001,MATCH(ROWS($J$2:J353),$J$2:$J$1001,0),1)&gt;=100000,INDEX($Q$1005:$U$1005,1,MATCH(COLUMNS($Q$1006:T1006),$Q$1006:$U$1006,0))&gt;=100000), " ",IF(INDEX($Q$2:$U$1001,MATCH(ROWS($J$2:J353),$J$2:$J$1001,0),MATCH(COLUMNS($Q$1006:T1006),$Q$1006:$U$1006,0)), HYPERLINK("#",""), HYPERLINK(CONCATENATE("#metadata!", ADDRESS(INDEX($L$2:$L$1001,MATCH(ROWS($J$2:J353),$J$2:$J$1001,0),0), INDEX($Q$1004:$U$1004,1,MATCH(COLUMNS($Q$1006:T1006),$Q$1006:$U$1006,0)))),"Fix")))</f>
        <v xml:space="preserve"> </v>
      </c>
      <c r="F353" s="3" t="str">
        <f ca="1">IF(OR(INDEX($K$2:$K$1001,MATCH(ROWS($J$2:J353),$J$2:$J$1001,0),1)&gt;=100000,INDEX($Q$1005:$U$1005,1,MATCH(COLUMNS($Q$1006:U1006),$Q$1006:$U$1006,0))&gt;=100000), " ",IF(INDEX($Q$2:$U$1001,MATCH(ROWS($J$2:J353),$J$2:$J$1001,0),MATCH(COLUMNS($Q$1006:U1006),$Q$1006:$U$1006,0)), HYPERLINK("#",""), HYPERLINK(CONCATENATE("#metadata!", ADDRESS(INDEX($L$2:$L$1001,MATCH(ROWS($J$2:J353),$J$2:$J$1001,0),0), INDEX($Q$1004:$U$1004,1,MATCH(COLUMNS($Q$1006:U1006),$Q$1006:$U$1006,0)))),"Fix")))</f>
        <v xml:space="preserve"> </v>
      </c>
      <c r="J353">
        <v>352</v>
      </c>
      <c r="K353">
        <v>100353</v>
      </c>
      <c r="L353">
        <v>353</v>
      </c>
      <c r="M353" t="b">
        <f t="shared" si="5"/>
        <v>1</v>
      </c>
      <c r="N353" t="b">
        <f>COUNTBLANK(metadata!B353:F353)=COLUMNS(metadata!B353:F353)</f>
        <v>1</v>
      </c>
      <c r="O353" t="str">
        <v/>
      </c>
      <c r="Q353" t="b">
        <f ca="1">AND(IF(metadata!B353="",FALSE,TRUE),COUNTIF(metadata!B:B, metadata!B353) = 1,NOT(ISERROR(SUMPRODUCT(SEARCH(MID(metadata!B353,ROW(INDIRECT("1:"&amp;LEN(metadata!B353))), 1),"0123456789abcdefghijklmnopqrstuvwxyzABCDEFGHIJKLMNOPQRSTUVWXYZ.")))))</f>
        <v>0</v>
      </c>
      <c r="R353" t="b">
        <f>AND(IF(metadata!C353="",FALSE,TRUE),OR(EXACT(metadata!C353,"saline"),EXACT(metadata!C353,"non-saline")))</f>
        <v>0</v>
      </c>
      <c r="S353" t="b">
        <f>AND(IF(metadata!D353="",FALSE,TRUE),OR(EXACT(metadata!D353,"surface (non-saline)"),EXACT(metadata!D353,"aerosol (non-saline)"),EXACT(metadata!D353,"sediment (non-saline)"),EXACT(metadata!D353,"surface (saline)"),EXACT(metadata!D353,"aerosol (saline)"),EXACT(metadata!D353,"sediment (saline)")))</f>
        <v>0</v>
      </c>
      <c r="T353" t="b">
        <f>AND(IF(metadata!E353="",FALSE,TRUE),EXACT(metadata!E353,"built environment"))</f>
        <v>0</v>
      </c>
      <c r="U353" t="b">
        <f>OR(AND(IF(metadata!F353="",FALSE,TRUE),EXACT(metadata!F353,"not applicable")),AND(IF(metadata!F353="",FALSE,TRUE),EXACT(metadata!F353,"anaerobic digester content")))</f>
        <v>0</v>
      </c>
    </row>
    <row r="354" spans="1:21" x14ac:dyDescent="0.2">
      <c r="A354" s="4" t="str">
        <f ca="1">IF(B354=" "," ",HYPERLINK(CONCATENATE("#metadata!",ADDRESS(INDEX($L$2:$L$1001,MATCH(ROWS($J$2:J354),$J$2:$J$1001,0),0),1)),INDEX($O$2:$O$1001,MATCH(ROWS($J$2:J354),$J$2:$J$1001,0),0)))</f>
        <v xml:space="preserve"> </v>
      </c>
      <c r="B354" s="3" t="str">
        <f ca="1">IF(OR(INDEX($K$2:$K$1001,MATCH(ROWS($J$2:J354),$J$2:$J$1001,0),1)&gt;=100000,INDEX($Q$1005:$U$1005,1,MATCH(COLUMNS($Q$1006:Q1006),$Q$1006:$U$1006,0))&gt;=100000), " ",IF(INDEX($Q$2:$U$1001,MATCH(ROWS($J$2:J354),$J$2:$J$1001,0),MATCH(COLUMNS($Q$1006:Q1006),$Q$1006:$U$1006,0)), HYPERLINK("#",""), HYPERLINK(CONCATENATE("#metadata!", ADDRESS(INDEX($L$2:$L$1001,MATCH(ROWS($J$2:J354),$J$2:$J$1001,0),0), INDEX($Q$1004:$U$1004,1,MATCH(COLUMNS($Q$1006:Q1006),$Q$1006:$U$1006,0)))),"Fix")))</f>
        <v xml:space="preserve"> </v>
      </c>
      <c r="C354" s="3" t="str">
        <f ca="1">IF(OR(INDEX($K$2:$K$1001,MATCH(ROWS($J$2:J354),$J$2:$J$1001,0),1)&gt;=100000,INDEX($Q$1005:$U$1005,1,MATCH(COLUMNS($Q$1006:R1006),$Q$1006:$U$1006,0))&gt;=100000), " ",IF(INDEX($Q$2:$U$1001,MATCH(ROWS($J$2:J354),$J$2:$J$1001,0),MATCH(COLUMNS($Q$1006:R1006),$Q$1006:$U$1006,0)), HYPERLINK("#",""), HYPERLINK(CONCATENATE("#metadata!", ADDRESS(INDEX($L$2:$L$1001,MATCH(ROWS($J$2:J354),$J$2:$J$1001,0),0), INDEX($Q$1004:$U$1004,1,MATCH(COLUMNS($Q$1006:R1006),$Q$1006:$U$1006,0)))),"Fix")))</f>
        <v xml:space="preserve"> </v>
      </c>
      <c r="D354" s="3" t="str">
        <f ca="1">IF(OR(INDEX($K$2:$K$1001,MATCH(ROWS($J$2:J354),$J$2:$J$1001,0),1)&gt;=100000,INDEX($Q$1005:$U$1005,1,MATCH(COLUMNS($Q$1006:S1006),$Q$1006:$U$1006,0))&gt;=100000), " ",IF(INDEX($Q$2:$U$1001,MATCH(ROWS($J$2:J354),$J$2:$J$1001,0),MATCH(COLUMNS($Q$1006:S1006),$Q$1006:$U$1006,0)), HYPERLINK("#",""), HYPERLINK(CONCATENATE("#metadata!", ADDRESS(INDEX($L$2:$L$1001,MATCH(ROWS($J$2:J354),$J$2:$J$1001,0),0), INDEX($Q$1004:$U$1004,1,MATCH(COLUMNS($Q$1006:S1006),$Q$1006:$U$1006,0)))),"Fix")))</f>
        <v xml:space="preserve"> </v>
      </c>
      <c r="E354" s="3" t="str">
        <f ca="1">IF(OR(INDEX($K$2:$K$1001,MATCH(ROWS($J$2:J354),$J$2:$J$1001,0),1)&gt;=100000,INDEX($Q$1005:$U$1005,1,MATCH(COLUMNS($Q$1006:T1006),$Q$1006:$U$1006,0))&gt;=100000), " ",IF(INDEX($Q$2:$U$1001,MATCH(ROWS($J$2:J354),$J$2:$J$1001,0),MATCH(COLUMNS($Q$1006:T1006),$Q$1006:$U$1006,0)), HYPERLINK("#",""), HYPERLINK(CONCATENATE("#metadata!", ADDRESS(INDEX($L$2:$L$1001,MATCH(ROWS($J$2:J354),$J$2:$J$1001,0),0), INDEX($Q$1004:$U$1004,1,MATCH(COLUMNS($Q$1006:T1006),$Q$1006:$U$1006,0)))),"Fix")))</f>
        <v xml:space="preserve"> </v>
      </c>
      <c r="F354" s="3" t="str">
        <f ca="1">IF(OR(INDEX($K$2:$K$1001,MATCH(ROWS($J$2:J354),$J$2:$J$1001,0),1)&gt;=100000,INDEX($Q$1005:$U$1005,1,MATCH(COLUMNS($Q$1006:U1006),$Q$1006:$U$1006,0))&gt;=100000), " ",IF(INDEX($Q$2:$U$1001,MATCH(ROWS($J$2:J354),$J$2:$J$1001,0),MATCH(COLUMNS($Q$1006:U1006),$Q$1006:$U$1006,0)), HYPERLINK("#",""), HYPERLINK(CONCATENATE("#metadata!", ADDRESS(INDEX($L$2:$L$1001,MATCH(ROWS($J$2:J354),$J$2:$J$1001,0),0), INDEX($Q$1004:$U$1004,1,MATCH(COLUMNS($Q$1006:U1006),$Q$1006:$U$1006,0)))),"Fix")))</f>
        <v xml:space="preserve"> </v>
      </c>
      <c r="J354">
        <v>353</v>
      </c>
      <c r="K354">
        <v>100354</v>
      </c>
      <c r="L354">
        <v>354</v>
      </c>
      <c r="M354" t="b">
        <f t="shared" si="5"/>
        <v>1</v>
      </c>
      <c r="N354" t="b">
        <f>COUNTBLANK(metadata!B354:F354)=COLUMNS(metadata!B354:F354)</f>
        <v>1</v>
      </c>
      <c r="O354" t="str">
        <v/>
      </c>
      <c r="Q354" t="b">
        <f ca="1">AND(IF(metadata!B354="",FALSE,TRUE),COUNTIF(metadata!B:B, metadata!B354) = 1,NOT(ISERROR(SUMPRODUCT(SEARCH(MID(metadata!B354,ROW(INDIRECT("1:"&amp;LEN(metadata!B354))), 1),"0123456789abcdefghijklmnopqrstuvwxyzABCDEFGHIJKLMNOPQRSTUVWXYZ.")))))</f>
        <v>0</v>
      </c>
      <c r="R354" t="b">
        <f>AND(IF(metadata!C354="",FALSE,TRUE),OR(EXACT(metadata!C354,"saline"),EXACT(metadata!C354,"non-saline")))</f>
        <v>0</v>
      </c>
      <c r="S354" t="b">
        <f>AND(IF(metadata!D354="",FALSE,TRUE),OR(EXACT(metadata!D354,"surface (non-saline)"),EXACT(metadata!D354,"aerosol (non-saline)"),EXACT(metadata!D354,"sediment (non-saline)"),EXACT(metadata!D354,"surface (saline)"),EXACT(metadata!D354,"aerosol (saline)"),EXACT(metadata!D354,"sediment (saline)")))</f>
        <v>0</v>
      </c>
      <c r="T354" t="b">
        <f>AND(IF(metadata!E354="",FALSE,TRUE),EXACT(metadata!E354,"built environment"))</f>
        <v>0</v>
      </c>
      <c r="U354" t="b">
        <f>OR(AND(IF(metadata!F354="",FALSE,TRUE),EXACT(metadata!F354,"not applicable")),AND(IF(metadata!F354="",FALSE,TRUE),EXACT(metadata!F354,"anaerobic digester content")))</f>
        <v>0</v>
      </c>
    </row>
    <row r="355" spans="1:21" x14ac:dyDescent="0.2">
      <c r="A355" s="4" t="str">
        <f ca="1">IF(B355=" "," ",HYPERLINK(CONCATENATE("#metadata!",ADDRESS(INDEX($L$2:$L$1001,MATCH(ROWS($J$2:J355),$J$2:$J$1001,0),0),1)),INDEX($O$2:$O$1001,MATCH(ROWS($J$2:J355),$J$2:$J$1001,0),0)))</f>
        <v xml:space="preserve"> </v>
      </c>
      <c r="B355" s="3" t="str">
        <f ca="1">IF(OR(INDEX($K$2:$K$1001,MATCH(ROWS($J$2:J355),$J$2:$J$1001,0),1)&gt;=100000,INDEX($Q$1005:$U$1005,1,MATCH(COLUMNS($Q$1006:Q1006),$Q$1006:$U$1006,0))&gt;=100000), " ",IF(INDEX($Q$2:$U$1001,MATCH(ROWS($J$2:J355),$J$2:$J$1001,0),MATCH(COLUMNS($Q$1006:Q1006),$Q$1006:$U$1006,0)), HYPERLINK("#",""), HYPERLINK(CONCATENATE("#metadata!", ADDRESS(INDEX($L$2:$L$1001,MATCH(ROWS($J$2:J355),$J$2:$J$1001,0),0), INDEX($Q$1004:$U$1004,1,MATCH(COLUMNS($Q$1006:Q1006),$Q$1006:$U$1006,0)))),"Fix")))</f>
        <v xml:space="preserve"> </v>
      </c>
      <c r="C355" s="3" t="str">
        <f ca="1">IF(OR(INDEX($K$2:$K$1001,MATCH(ROWS($J$2:J355),$J$2:$J$1001,0),1)&gt;=100000,INDEX($Q$1005:$U$1005,1,MATCH(COLUMNS($Q$1006:R1006),$Q$1006:$U$1006,0))&gt;=100000), " ",IF(INDEX($Q$2:$U$1001,MATCH(ROWS($J$2:J355),$J$2:$J$1001,0),MATCH(COLUMNS($Q$1006:R1006),$Q$1006:$U$1006,0)), HYPERLINK("#",""), HYPERLINK(CONCATENATE("#metadata!", ADDRESS(INDEX($L$2:$L$1001,MATCH(ROWS($J$2:J355),$J$2:$J$1001,0),0), INDEX($Q$1004:$U$1004,1,MATCH(COLUMNS($Q$1006:R1006),$Q$1006:$U$1006,0)))),"Fix")))</f>
        <v xml:space="preserve"> </v>
      </c>
      <c r="D355" s="3" t="str">
        <f ca="1">IF(OR(INDEX($K$2:$K$1001,MATCH(ROWS($J$2:J355),$J$2:$J$1001,0),1)&gt;=100000,INDEX($Q$1005:$U$1005,1,MATCH(COLUMNS($Q$1006:S1006),$Q$1006:$U$1006,0))&gt;=100000), " ",IF(INDEX($Q$2:$U$1001,MATCH(ROWS($J$2:J355),$J$2:$J$1001,0),MATCH(COLUMNS($Q$1006:S1006),$Q$1006:$U$1006,0)), HYPERLINK("#",""), HYPERLINK(CONCATENATE("#metadata!", ADDRESS(INDEX($L$2:$L$1001,MATCH(ROWS($J$2:J355),$J$2:$J$1001,0),0), INDEX($Q$1004:$U$1004,1,MATCH(COLUMNS($Q$1006:S1006),$Q$1006:$U$1006,0)))),"Fix")))</f>
        <v xml:space="preserve"> </v>
      </c>
      <c r="E355" s="3" t="str">
        <f ca="1">IF(OR(INDEX($K$2:$K$1001,MATCH(ROWS($J$2:J355),$J$2:$J$1001,0),1)&gt;=100000,INDEX($Q$1005:$U$1005,1,MATCH(COLUMNS($Q$1006:T1006),$Q$1006:$U$1006,0))&gt;=100000), " ",IF(INDEX($Q$2:$U$1001,MATCH(ROWS($J$2:J355),$J$2:$J$1001,0),MATCH(COLUMNS($Q$1006:T1006),$Q$1006:$U$1006,0)), HYPERLINK("#",""), HYPERLINK(CONCATENATE("#metadata!", ADDRESS(INDEX($L$2:$L$1001,MATCH(ROWS($J$2:J355),$J$2:$J$1001,0),0), INDEX($Q$1004:$U$1004,1,MATCH(COLUMNS($Q$1006:T1006),$Q$1006:$U$1006,0)))),"Fix")))</f>
        <v xml:space="preserve"> </v>
      </c>
      <c r="F355" s="3" t="str">
        <f ca="1">IF(OR(INDEX($K$2:$K$1001,MATCH(ROWS($J$2:J355),$J$2:$J$1001,0),1)&gt;=100000,INDEX($Q$1005:$U$1005,1,MATCH(COLUMNS($Q$1006:U1006),$Q$1006:$U$1006,0))&gt;=100000), " ",IF(INDEX($Q$2:$U$1001,MATCH(ROWS($J$2:J355),$J$2:$J$1001,0),MATCH(COLUMNS($Q$1006:U1006),$Q$1006:$U$1006,0)), HYPERLINK("#",""), HYPERLINK(CONCATENATE("#metadata!", ADDRESS(INDEX($L$2:$L$1001,MATCH(ROWS($J$2:J355),$J$2:$J$1001,0),0), INDEX($Q$1004:$U$1004,1,MATCH(COLUMNS($Q$1006:U1006),$Q$1006:$U$1006,0)))),"Fix")))</f>
        <v xml:space="preserve"> </v>
      </c>
      <c r="J355">
        <v>354</v>
      </c>
      <c r="K355">
        <v>100355</v>
      </c>
      <c r="L355">
        <v>355</v>
      </c>
      <c r="M355" t="b">
        <f t="shared" si="5"/>
        <v>1</v>
      </c>
      <c r="N355" t="b">
        <f>COUNTBLANK(metadata!B355:F355)=COLUMNS(metadata!B355:F355)</f>
        <v>1</v>
      </c>
      <c r="O355" t="str">
        <v/>
      </c>
      <c r="Q355" t="b">
        <f ca="1">AND(IF(metadata!B355="",FALSE,TRUE),COUNTIF(metadata!B:B, metadata!B355) = 1,NOT(ISERROR(SUMPRODUCT(SEARCH(MID(metadata!B355,ROW(INDIRECT("1:"&amp;LEN(metadata!B355))), 1),"0123456789abcdefghijklmnopqrstuvwxyzABCDEFGHIJKLMNOPQRSTUVWXYZ.")))))</f>
        <v>0</v>
      </c>
      <c r="R355" t="b">
        <f>AND(IF(metadata!C355="",FALSE,TRUE),OR(EXACT(metadata!C355,"saline"),EXACT(metadata!C355,"non-saline")))</f>
        <v>0</v>
      </c>
      <c r="S355" t="b">
        <f>AND(IF(metadata!D355="",FALSE,TRUE),OR(EXACT(metadata!D355,"surface (non-saline)"),EXACT(metadata!D355,"aerosol (non-saline)"),EXACT(metadata!D355,"sediment (non-saline)"),EXACT(metadata!D355,"surface (saline)"),EXACT(metadata!D355,"aerosol (saline)"),EXACT(metadata!D355,"sediment (saline)")))</f>
        <v>0</v>
      </c>
      <c r="T355" t="b">
        <f>AND(IF(metadata!E355="",FALSE,TRUE),EXACT(metadata!E355,"built environment"))</f>
        <v>0</v>
      </c>
      <c r="U355" t="b">
        <f>OR(AND(IF(metadata!F355="",FALSE,TRUE),EXACT(metadata!F355,"not applicable")),AND(IF(metadata!F355="",FALSE,TRUE),EXACT(metadata!F355,"anaerobic digester content")))</f>
        <v>0</v>
      </c>
    </row>
    <row r="356" spans="1:21" x14ac:dyDescent="0.2">
      <c r="A356" s="4" t="str">
        <f ca="1">IF(B356=" "," ",HYPERLINK(CONCATENATE("#metadata!",ADDRESS(INDEX($L$2:$L$1001,MATCH(ROWS($J$2:J356),$J$2:$J$1001,0),0),1)),INDEX($O$2:$O$1001,MATCH(ROWS($J$2:J356),$J$2:$J$1001,0),0)))</f>
        <v xml:space="preserve"> </v>
      </c>
      <c r="B356" s="3" t="str">
        <f ca="1">IF(OR(INDEX($K$2:$K$1001,MATCH(ROWS($J$2:J356),$J$2:$J$1001,0),1)&gt;=100000,INDEX($Q$1005:$U$1005,1,MATCH(COLUMNS($Q$1006:Q1006),$Q$1006:$U$1006,0))&gt;=100000), " ",IF(INDEX($Q$2:$U$1001,MATCH(ROWS($J$2:J356),$J$2:$J$1001,0),MATCH(COLUMNS($Q$1006:Q1006),$Q$1006:$U$1006,0)), HYPERLINK("#",""), HYPERLINK(CONCATENATE("#metadata!", ADDRESS(INDEX($L$2:$L$1001,MATCH(ROWS($J$2:J356),$J$2:$J$1001,0),0), INDEX($Q$1004:$U$1004,1,MATCH(COLUMNS($Q$1006:Q1006),$Q$1006:$U$1006,0)))),"Fix")))</f>
        <v xml:space="preserve"> </v>
      </c>
      <c r="C356" s="3" t="str">
        <f ca="1">IF(OR(INDEX($K$2:$K$1001,MATCH(ROWS($J$2:J356),$J$2:$J$1001,0),1)&gt;=100000,INDEX($Q$1005:$U$1005,1,MATCH(COLUMNS($Q$1006:R1006),$Q$1006:$U$1006,0))&gt;=100000), " ",IF(INDEX($Q$2:$U$1001,MATCH(ROWS($J$2:J356),$J$2:$J$1001,0),MATCH(COLUMNS($Q$1006:R1006),$Q$1006:$U$1006,0)), HYPERLINK("#",""), HYPERLINK(CONCATENATE("#metadata!", ADDRESS(INDEX($L$2:$L$1001,MATCH(ROWS($J$2:J356),$J$2:$J$1001,0),0), INDEX($Q$1004:$U$1004,1,MATCH(COLUMNS($Q$1006:R1006),$Q$1006:$U$1006,0)))),"Fix")))</f>
        <v xml:space="preserve"> </v>
      </c>
      <c r="D356" s="3" t="str">
        <f ca="1">IF(OR(INDEX($K$2:$K$1001,MATCH(ROWS($J$2:J356),$J$2:$J$1001,0),1)&gt;=100000,INDEX($Q$1005:$U$1005,1,MATCH(COLUMNS($Q$1006:S1006),$Q$1006:$U$1006,0))&gt;=100000), " ",IF(INDEX($Q$2:$U$1001,MATCH(ROWS($J$2:J356),$J$2:$J$1001,0),MATCH(COLUMNS($Q$1006:S1006),$Q$1006:$U$1006,0)), HYPERLINK("#",""), HYPERLINK(CONCATENATE("#metadata!", ADDRESS(INDEX($L$2:$L$1001,MATCH(ROWS($J$2:J356),$J$2:$J$1001,0),0), INDEX($Q$1004:$U$1004,1,MATCH(COLUMNS($Q$1006:S1006),$Q$1006:$U$1006,0)))),"Fix")))</f>
        <v xml:space="preserve"> </v>
      </c>
      <c r="E356" s="3" t="str">
        <f ca="1">IF(OR(INDEX($K$2:$K$1001,MATCH(ROWS($J$2:J356),$J$2:$J$1001,0),1)&gt;=100000,INDEX($Q$1005:$U$1005,1,MATCH(COLUMNS($Q$1006:T1006),$Q$1006:$U$1006,0))&gt;=100000), " ",IF(INDEX($Q$2:$U$1001,MATCH(ROWS($J$2:J356),$J$2:$J$1001,0),MATCH(COLUMNS($Q$1006:T1006),$Q$1006:$U$1006,0)), HYPERLINK("#",""), HYPERLINK(CONCATENATE("#metadata!", ADDRESS(INDEX($L$2:$L$1001,MATCH(ROWS($J$2:J356),$J$2:$J$1001,0),0), INDEX($Q$1004:$U$1004,1,MATCH(COLUMNS($Q$1006:T1006),$Q$1006:$U$1006,0)))),"Fix")))</f>
        <v xml:space="preserve"> </v>
      </c>
      <c r="F356" s="3" t="str">
        <f ca="1">IF(OR(INDEX($K$2:$K$1001,MATCH(ROWS($J$2:J356),$J$2:$J$1001,0),1)&gt;=100000,INDEX($Q$1005:$U$1005,1,MATCH(COLUMNS($Q$1006:U1006),$Q$1006:$U$1006,0))&gt;=100000), " ",IF(INDEX($Q$2:$U$1001,MATCH(ROWS($J$2:J356),$J$2:$J$1001,0),MATCH(COLUMNS($Q$1006:U1006),$Q$1006:$U$1006,0)), HYPERLINK("#",""), HYPERLINK(CONCATENATE("#metadata!", ADDRESS(INDEX($L$2:$L$1001,MATCH(ROWS($J$2:J356),$J$2:$J$1001,0),0), INDEX($Q$1004:$U$1004,1,MATCH(COLUMNS($Q$1006:U1006),$Q$1006:$U$1006,0)))),"Fix")))</f>
        <v xml:space="preserve"> </v>
      </c>
      <c r="J356">
        <v>355</v>
      </c>
      <c r="K356">
        <v>100356</v>
      </c>
      <c r="L356">
        <v>356</v>
      </c>
      <c r="M356" t="b">
        <f t="shared" si="5"/>
        <v>1</v>
      </c>
      <c r="N356" t="b">
        <f>COUNTBLANK(metadata!B356:F356)=COLUMNS(metadata!B356:F356)</f>
        <v>1</v>
      </c>
      <c r="O356" t="str">
        <v/>
      </c>
      <c r="Q356" t="b">
        <f ca="1">AND(IF(metadata!B356="",FALSE,TRUE),COUNTIF(metadata!B:B, metadata!B356) = 1,NOT(ISERROR(SUMPRODUCT(SEARCH(MID(metadata!B356,ROW(INDIRECT("1:"&amp;LEN(metadata!B356))), 1),"0123456789abcdefghijklmnopqrstuvwxyzABCDEFGHIJKLMNOPQRSTUVWXYZ.")))))</f>
        <v>0</v>
      </c>
      <c r="R356" t="b">
        <f>AND(IF(metadata!C356="",FALSE,TRUE),OR(EXACT(metadata!C356,"saline"),EXACT(metadata!C356,"non-saline")))</f>
        <v>0</v>
      </c>
      <c r="S356" t="b">
        <f>AND(IF(metadata!D356="",FALSE,TRUE),OR(EXACT(metadata!D356,"surface (non-saline)"),EXACT(metadata!D356,"aerosol (non-saline)"),EXACT(metadata!D356,"sediment (non-saline)"),EXACT(metadata!D356,"surface (saline)"),EXACT(metadata!D356,"aerosol (saline)"),EXACT(metadata!D356,"sediment (saline)")))</f>
        <v>0</v>
      </c>
      <c r="T356" t="b">
        <f>AND(IF(metadata!E356="",FALSE,TRUE),EXACT(metadata!E356,"built environment"))</f>
        <v>0</v>
      </c>
      <c r="U356" t="b">
        <f>OR(AND(IF(metadata!F356="",FALSE,TRUE),EXACT(metadata!F356,"not applicable")),AND(IF(metadata!F356="",FALSE,TRUE),EXACT(metadata!F356,"anaerobic digester content")))</f>
        <v>0</v>
      </c>
    </row>
    <row r="357" spans="1:21" x14ac:dyDescent="0.2">
      <c r="A357" s="4" t="str">
        <f ca="1">IF(B357=" "," ",HYPERLINK(CONCATENATE("#metadata!",ADDRESS(INDEX($L$2:$L$1001,MATCH(ROWS($J$2:J357),$J$2:$J$1001,0),0),1)),INDEX($O$2:$O$1001,MATCH(ROWS($J$2:J357),$J$2:$J$1001,0),0)))</f>
        <v xml:space="preserve"> </v>
      </c>
      <c r="B357" s="3" t="str">
        <f ca="1">IF(OR(INDEX($K$2:$K$1001,MATCH(ROWS($J$2:J357),$J$2:$J$1001,0),1)&gt;=100000,INDEX($Q$1005:$U$1005,1,MATCH(COLUMNS($Q$1006:Q1006),$Q$1006:$U$1006,0))&gt;=100000), " ",IF(INDEX($Q$2:$U$1001,MATCH(ROWS($J$2:J357),$J$2:$J$1001,0),MATCH(COLUMNS($Q$1006:Q1006),$Q$1006:$U$1006,0)), HYPERLINK("#",""), HYPERLINK(CONCATENATE("#metadata!", ADDRESS(INDEX($L$2:$L$1001,MATCH(ROWS($J$2:J357),$J$2:$J$1001,0),0), INDEX($Q$1004:$U$1004,1,MATCH(COLUMNS($Q$1006:Q1006),$Q$1006:$U$1006,0)))),"Fix")))</f>
        <v xml:space="preserve"> </v>
      </c>
      <c r="C357" s="3" t="str">
        <f ca="1">IF(OR(INDEX($K$2:$K$1001,MATCH(ROWS($J$2:J357),$J$2:$J$1001,0),1)&gt;=100000,INDEX($Q$1005:$U$1005,1,MATCH(COLUMNS($Q$1006:R1006),$Q$1006:$U$1006,0))&gt;=100000), " ",IF(INDEX($Q$2:$U$1001,MATCH(ROWS($J$2:J357),$J$2:$J$1001,0),MATCH(COLUMNS($Q$1006:R1006),$Q$1006:$U$1006,0)), HYPERLINK("#",""), HYPERLINK(CONCATENATE("#metadata!", ADDRESS(INDEX($L$2:$L$1001,MATCH(ROWS($J$2:J357),$J$2:$J$1001,0),0), INDEX($Q$1004:$U$1004,1,MATCH(COLUMNS($Q$1006:R1006),$Q$1006:$U$1006,0)))),"Fix")))</f>
        <v xml:space="preserve"> </v>
      </c>
      <c r="D357" s="3" t="str">
        <f ca="1">IF(OR(INDEX($K$2:$K$1001,MATCH(ROWS($J$2:J357),$J$2:$J$1001,0),1)&gt;=100000,INDEX($Q$1005:$U$1005,1,MATCH(COLUMNS($Q$1006:S1006),$Q$1006:$U$1006,0))&gt;=100000), " ",IF(INDEX($Q$2:$U$1001,MATCH(ROWS($J$2:J357),$J$2:$J$1001,0),MATCH(COLUMNS($Q$1006:S1006),$Q$1006:$U$1006,0)), HYPERLINK("#",""), HYPERLINK(CONCATENATE("#metadata!", ADDRESS(INDEX($L$2:$L$1001,MATCH(ROWS($J$2:J357),$J$2:$J$1001,0),0), INDEX($Q$1004:$U$1004,1,MATCH(COLUMNS($Q$1006:S1006),$Q$1006:$U$1006,0)))),"Fix")))</f>
        <v xml:space="preserve"> </v>
      </c>
      <c r="E357" s="3" t="str">
        <f ca="1">IF(OR(INDEX($K$2:$K$1001,MATCH(ROWS($J$2:J357),$J$2:$J$1001,0),1)&gt;=100000,INDEX($Q$1005:$U$1005,1,MATCH(COLUMNS($Q$1006:T1006),$Q$1006:$U$1006,0))&gt;=100000), " ",IF(INDEX($Q$2:$U$1001,MATCH(ROWS($J$2:J357),$J$2:$J$1001,0),MATCH(COLUMNS($Q$1006:T1006),$Q$1006:$U$1006,0)), HYPERLINK("#",""), HYPERLINK(CONCATENATE("#metadata!", ADDRESS(INDEX($L$2:$L$1001,MATCH(ROWS($J$2:J357),$J$2:$J$1001,0),0), INDEX($Q$1004:$U$1004,1,MATCH(COLUMNS($Q$1006:T1006),$Q$1006:$U$1006,0)))),"Fix")))</f>
        <v xml:space="preserve"> </v>
      </c>
      <c r="F357" s="3" t="str">
        <f ca="1">IF(OR(INDEX($K$2:$K$1001,MATCH(ROWS($J$2:J357),$J$2:$J$1001,0),1)&gt;=100000,INDEX($Q$1005:$U$1005,1,MATCH(COLUMNS($Q$1006:U1006),$Q$1006:$U$1006,0))&gt;=100000), " ",IF(INDEX($Q$2:$U$1001,MATCH(ROWS($J$2:J357),$J$2:$J$1001,0),MATCH(COLUMNS($Q$1006:U1006),$Q$1006:$U$1006,0)), HYPERLINK("#",""), HYPERLINK(CONCATENATE("#metadata!", ADDRESS(INDEX($L$2:$L$1001,MATCH(ROWS($J$2:J357),$J$2:$J$1001,0),0), INDEX($Q$1004:$U$1004,1,MATCH(COLUMNS($Q$1006:U1006),$Q$1006:$U$1006,0)))),"Fix")))</f>
        <v xml:space="preserve"> </v>
      </c>
      <c r="J357">
        <v>356</v>
      </c>
      <c r="K357">
        <v>100357</v>
      </c>
      <c r="L357">
        <v>357</v>
      </c>
      <c r="M357" t="b">
        <f t="shared" si="5"/>
        <v>1</v>
      </c>
      <c r="N357" t="b">
        <f>COUNTBLANK(metadata!B357:F357)=COLUMNS(metadata!B357:F357)</f>
        <v>1</v>
      </c>
      <c r="O357" t="str">
        <v/>
      </c>
      <c r="Q357" t="b">
        <f ca="1">AND(IF(metadata!B357="",FALSE,TRUE),COUNTIF(metadata!B:B, metadata!B357) = 1,NOT(ISERROR(SUMPRODUCT(SEARCH(MID(metadata!B357,ROW(INDIRECT("1:"&amp;LEN(metadata!B357))), 1),"0123456789abcdefghijklmnopqrstuvwxyzABCDEFGHIJKLMNOPQRSTUVWXYZ.")))))</f>
        <v>0</v>
      </c>
      <c r="R357" t="b">
        <f>AND(IF(metadata!C357="",FALSE,TRUE),OR(EXACT(metadata!C357,"saline"),EXACT(metadata!C357,"non-saline")))</f>
        <v>0</v>
      </c>
      <c r="S357" t="b">
        <f>AND(IF(metadata!D357="",FALSE,TRUE),OR(EXACT(metadata!D357,"surface (non-saline)"),EXACT(metadata!D357,"aerosol (non-saline)"),EXACT(metadata!D357,"sediment (non-saline)"),EXACT(metadata!D357,"surface (saline)"),EXACT(metadata!D357,"aerosol (saline)"),EXACT(metadata!D357,"sediment (saline)")))</f>
        <v>0</v>
      </c>
      <c r="T357" t="b">
        <f>AND(IF(metadata!E357="",FALSE,TRUE),EXACT(metadata!E357,"built environment"))</f>
        <v>0</v>
      </c>
      <c r="U357" t="b">
        <f>OR(AND(IF(metadata!F357="",FALSE,TRUE),EXACT(metadata!F357,"not applicable")),AND(IF(metadata!F357="",FALSE,TRUE),EXACT(metadata!F357,"anaerobic digester content")))</f>
        <v>0</v>
      </c>
    </row>
    <row r="358" spans="1:21" x14ac:dyDescent="0.2">
      <c r="A358" s="4" t="str">
        <f ca="1">IF(B358=" "," ",HYPERLINK(CONCATENATE("#metadata!",ADDRESS(INDEX($L$2:$L$1001,MATCH(ROWS($J$2:J358),$J$2:$J$1001,0),0),1)),INDEX($O$2:$O$1001,MATCH(ROWS($J$2:J358),$J$2:$J$1001,0),0)))</f>
        <v xml:space="preserve"> </v>
      </c>
      <c r="B358" s="3" t="str">
        <f ca="1">IF(OR(INDEX($K$2:$K$1001,MATCH(ROWS($J$2:J358),$J$2:$J$1001,0),1)&gt;=100000,INDEX($Q$1005:$U$1005,1,MATCH(COLUMNS($Q$1006:Q1006),$Q$1006:$U$1006,0))&gt;=100000), " ",IF(INDEX($Q$2:$U$1001,MATCH(ROWS($J$2:J358),$J$2:$J$1001,0),MATCH(COLUMNS($Q$1006:Q1006),$Q$1006:$U$1006,0)), HYPERLINK("#",""), HYPERLINK(CONCATENATE("#metadata!", ADDRESS(INDEX($L$2:$L$1001,MATCH(ROWS($J$2:J358),$J$2:$J$1001,0),0), INDEX($Q$1004:$U$1004,1,MATCH(COLUMNS($Q$1006:Q1006),$Q$1006:$U$1006,0)))),"Fix")))</f>
        <v xml:space="preserve"> </v>
      </c>
      <c r="C358" s="3" t="str">
        <f ca="1">IF(OR(INDEX($K$2:$K$1001,MATCH(ROWS($J$2:J358),$J$2:$J$1001,0),1)&gt;=100000,INDEX($Q$1005:$U$1005,1,MATCH(COLUMNS($Q$1006:R1006),$Q$1006:$U$1006,0))&gt;=100000), " ",IF(INDEX($Q$2:$U$1001,MATCH(ROWS($J$2:J358),$J$2:$J$1001,0),MATCH(COLUMNS($Q$1006:R1006),$Q$1006:$U$1006,0)), HYPERLINK("#",""), HYPERLINK(CONCATENATE("#metadata!", ADDRESS(INDEX($L$2:$L$1001,MATCH(ROWS($J$2:J358),$J$2:$J$1001,0),0), INDEX($Q$1004:$U$1004,1,MATCH(COLUMNS($Q$1006:R1006),$Q$1006:$U$1006,0)))),"Fix")))</f>
        <v xml:space="preserve"> </v>
      </c>
      <c r="D358" s="3" t="str">
        <f ca="1">IF(OR(INDEX($K$2:$K$1001,MATCH(ROWS($J$2:J358),$J$2:$J$1001,0),1)&gt;=100000,INDEX($Q$1005:$U$1005,1,MATCH(COLUMNS($Q$1006:S1006),$Q$1006:$U$1006,0))&gt;=100000), " ",IF(INDEX($Q$2:$U$1001,MATCH(ROWS($J$2:J358),$J$2:$J$1001,0),MATCH(COLUMNS($Q$1006:S1006),$Q$1006:$U$1006,0)), HYPERLINK("#",""), HYPERLINK(CONCATENATE("#metadata!", ADDRESS(INDEX($L$2:$L$1001,MATCH(ROWS($J$2:J358),$J$2:$J$1001,0),0), INDEX($Q$1004:$U$1004,1,MATCH(COLUMNS($Q$1006:S1006),$Q$1006:$U$1006,0)))),"Fix")))</f>
        <v xml:space="preserve"> </v>
      </c>
      <c r="E358" s="3" t="str">
        <f ca="1">IF(OR(INDEX($K$2:$K$1001,MATCH(ROWS($J$2:J358),$J$2:$J$1001,0),1)&gt;=100000,INDEX($Q$1005:$U$1005,1,MATCH(COLUMNS($Q$1006:T1006),$Q$1006:$U$1006,0))&gt;=100000), " ",IF(INDEX($Q$2:$U$1001,MATCH(ROWS($J$2:J358),$J$2:$J$1001,0),MATCH(COLUMNS($Q$1006:T1006),$Q$1006:$U$1006,0)), HYPERLINK("#",""), HYPERLINK(CONCATENATE("#metadata!", ADDRESS(INDEX($L$2:$L$1001,MATCH(ROWS($J$2:J358),$J$2:$J$1001,0),0), INDEX($Q$1004:$U$1004,1,MATCH(COLUMNS($Q$1006:T1006),$Q$1006:$U$1006,0)))),"Fix")))</f>
        <v xml:space="preserve"> </v>
      </c>
      <c r="F358" s="3" t="str">
        <f ca="1">IF(OR(INDEX($K$2:$K$1001,MATCH(ROWS($J$2:J358),$J$2:$J$1001,0),1)&gt;=100000,INDEX($Q$1005:$U$1005,1,MATCH(COLUMNS($Q$1006:U1006),$Q$1006:$U$1006,0))&gt;=100000), " ",IF(INDEX($Q$2:$U$1001,MATCH(ROWS($J$2:J358),$J$2:$J$1001,0),MATCH(COLUMNS($Q$1006:U1006),$Q$1006:$U$1006,0)), HYPERLINK("#",""), HYPERLINK(CONCATENATE("#metadata!", ADDRESS(INDEX($L$2:$L$1001,MATCH(ROWS($J$2:J358),$J$2:$J$1001,0),0), INDEX($Q$1004:$U$1004,1,MATCH(COLUMNS($Q$1006:U1006),$Q$1006:$U$1006,0)))),"Fix")))</f>
        <v xml:space="preserve"> </v>
      </c>
      <c r="J358">
        <v>357</v>
      </c>
      <c r="K358">
        <v>100358</v>
      </c>
      <c r="L358">
        <v>358</v>
      </c>
      <c r="M358" t="b">
        <f t="shared" si="5"/>
        <v>1</v>
      </c>
      <c r="N358" t="b">
        <f>COUNTBLANK(metadata!B358:F358)=COLUMNS(metadata!B358:F358)</f>
        <v>1</v>
      </c>
      <c r="O358" t="str">
        <v/>
      </c>
      <c r="Q358" t="b">
        <f ca="1">AND(IF(metadata!B358="",FALSE,TRUE),COUNTIF(metadata!B:B, metadata!B358) = 1,NOT(ISERROR(SUMPRODUCT(SEARCH(MID(metadata!B358,ROW(INDIRECT("1:"&amp;LEN(metadata!B358))), 1),"0123456789abcdefghijklmnopqrstuvwxyzABCDEFGHIJKLMNOPQRSTUVWXYZ.")))))</f>
        <v>0</v>
      </c>
      <c r="R358" t="b">
        <f>AND(IF(metadata!C358="",FALSE,TRUE),OR(EXACT(metadata!C358,"saline"),EXACT(metadata!C358,"non-saline")))</f>
        <v>0</v>
      </c>
      <c r="S358" t="b">
        <f>AND(IF(metadata!D358="",FALSE,TRUE),OR(EXACT(metadata!D358,"surface (non-saline)"),EXACT(metadata!D358,"aerosol (non-saline)"),EXACT(metadata!D358,"sediment (non-saline)"),EXACT(metadata!D358,"surface (saline)"),EXACT(metadata!D358,"aerosol (saline)"),EXACT(metadata!D358,"sediment (saline)")))</f>
        <v>0</v>
      </c>
      <c r="T358" t="b">
        <f>AND(IF(metadata!E358="",FALSE,TRUE),EXACT(metadata!E358,"built environment"))</f>
        <v>0</v>
      </c>
      <c r="U358" t="b">
        <f>OR(AND(IF(metadata!F358="",FALSE,TRUE),EXACT(metadata!F358,"not applicable")),AND(IF(metadata!F358="",FALSE,TRUE),EXACT(metadata!F358,"anaerobic digester content")))</f>
        <v>0</v>
      </c>
    </row>
    <row r="359" spans="1:21" x14ac:dyDescent="0.2">
      <c r="A359" s="4" t="str">
        <f ca="1">IF(B359=" "," ",HYPERLINK(CONCATENATE("#metadata!",ADDRESS(INDEX($L$2:$L$1001,MATCH(ROWS($J$2:J359),$J$2:$J$1001,0),0),1)),INDEX($O$2:$O$1001,MATCH(ROWS($J$2:J359),$J$2:$J$1001,0),0)))</f>
        <v xml:space="preserve"> </v>
      </c>
      <c r="B359" s="3" t="str">
        <f ca="1">IF(OR(INDEX($K$2:$K$1001,MATCH(ROWS($J$2:J359),$J$2:$J$1001,0),1)&gt;=100000,INDEX($Q$1005:$U$1005,1,MATCH(COLUMNS($Q$1006:Q1006),$Q$1006:$U$1006,0))&gt;=100000), " ",IF(INDEX($Q$2:$U$1001,MATCH(ROWS($J$2:J359),$J$2:$J$1001,0),MATCH(COLUMNS($Q$1006:Q1006),$Q$1006:$U$1006,0)), HYPERLINK("#",""), HYPERLINK(CONCATENATE("#metadata!", ADDRESS(INDEX($L$2:$L$1001,MATCH(ROWS($J$2:J359),$J$2:$J$1001,0),0), INDEX($Q$1004:$U$1004,1,MATCH(COLUMNS($Q$1006:Q1006),$Q$1006:$U$1006,0)))),"Fix")))</f>
        <v xml:space="preserve"> </v>
      </c>
      <c r="C359" s="3" t="str">
        <f ca="1">IF(OR(INDEX($K$2:$K$1001,MATCH(ROWS($J$2:J359),$J$2:$J$1001,0),1)&gt;=100000,INDEX($Q$1005:$U$1005,1,MATCH(COLUMNS($Q$1006:R1006),$Q$1006:$U$1006,0))&gt;=100000), " ",IF(INDEX($Q$2:$U$1001,MATCH(ROWS($J$2:J359),$J$2:$J$1001,0),MATCH(COLUMNS($Q$1006:R1006),$Q$1006:$U$1006,0)), HYPERLINK("#",""), HYPERLINK(CONCATENATE("#metadata!", ADDRESS(INDEX($L$2:$L$1001,MATCH(ROWS($J$2:J359),$J$2:$J$1001,0),0), INDEX($Q$1004:$U$1004,1,MATCH(COLUMNS($Q$1006:R1006),$Q$1006:$U$1006,0)))),"Fix")))</f>
        <v xml:space="preserve"> </v>
      </c>
      <c r="D359" s="3" t="str">
        <f ca="1">IF(OR(INDEX($K$2:$K$1001,MATCH(ROWS($J$2:J359),$J$2:$J$1001,0),1)&gt;=100000,INDEX($Q$1005:$U$1005,1,MATCH(COLUMNS($Q$1006:S1006),$Q$1006:$U$1006,0))&gt;=100000), " ",IF(INDEX($Q$2:$U$1001,MATCH(ROWS($J$2:J359),$J$2:$J$1001,0),MATCH(COLUMNS($Q$1006:S1006),$Q$1006:$U$1006,0)), HYPERLINK("#",""), HYPERLINK(CONCATENATE("#metadata!", ADDRESS(INDEX($L$2:$L$1001,MATCH(ROWS($J$2:J359),$J$2:$J$1001,0),0), INDEX($Q$1004:$U$1004,1,MATCH(COLUMNS($Q$1006:S1006),$Q$1006:$U$1006,0)))),"Fix")))</f>
        <v xml:space="preserve"> </v>
      </c>
      <c r="E359" s="3" t="str">
        <f ca="1">IF(OR(INDEX($K$2:$K$1001,MATCH(ROWS($J$2:J359),$J$2:$J$1001,0),1)&gt;=100000,INDEX($Q$1005:$U$1005,1,MATCH(COLUMNS($Q$1006:T1006),$Q$1006:$U$1006,0))&gt;=100000), " ",IF(INDEX($Q$2:$U$1001,MATCH(ROWS($J$2:J359),$J$2:$J$1001,0),MATCH(COLUMNS($Q$1006:T1006),$Q$1006:$U$1006,0)), HYPERLINK("#",""), HYPERLINK(CONCATENATE("#metadata!", ADDRESS(INDEX($L$2:$L$1001,MATCH(ROWS($J$2:J359),$J$2:$J$1001,0),0), INDEX($Q$1004:$U$1004,1,MATCH(COLUMNS($Q$1006:T1006),$Q$1006:$U$1006,0)))),"Fix")))</f>
        <v xml:space="preserve"> </v>
      </c>
      <c r="F359" s="3" t="str">
        <f ca="1">IF(OR(INDEX($K$2:$K$1001,MATCH(ROWS($J$2:J359),$J$2:$J$1001,0),1)&gt;=100000,INDEX($Q$1005:$U$1005,1,MATCH(COLUMNS($Q$1006:U1006),$Q$1006:$U$1006,0))&gt;=100000), " ",IF(INDEX($Q$2:$U$1001,MATCH(ROWS($J$2:J359),$J$2:$J$1001,0),MATCH(COLUMNS($Q$1006:U1006),$Q$1006:$U$1006,0)), HYPERLINK("#",""), HYPERLINK(CONCATENATE("#metadata!", ADDRESS(INDEX($L$2:$L$1001,MATCH(ROWS($J$2:J359),$J$2:$J$1001,0),0), INDEX($Q$1004:$U$1004,1,MATCH(COLUMNS($Q$1006:U1006),$Q$1006:$U$1006,0)))),"Fix")))</f>
        <v xml:space="preserve"> </v>
      </c>
      <c r="J359">
        <v>358</v>
      </c>
      <c r="K359">
        <v>100359</v>
      </c>
      <c r="L359">
        <v>359</v>
      </c>
      <c r="M359" t="b">
        <f t="shared" si="5"/>
        <v>1</v>
      </c>
      <c r="N359" t="b">
        <f>COUNTBLANK(metadata!B359:F359)=COLUMNS(metadata!B359:F359)</f>
        <v>1</v>
      </c>
      <c r="O359" t="str">
        <v/>
      </c>
      <c r="Q359" t="b">
        <f ca="1">AND(IF(metadata!B359="",FALSE,TRUE),COUNTIF(metadata!B:B, metadata!B359) = 1,NOT(ISERROR(SUMPRODUCT(SEARCH(MID(metadata!B359,ROW(INDIRECT("1:"&amp;LEN(metadata!B359))), 1),"0123456789abcdefghijklmnopqrstuvwxyzABCDEFGHIJKLMNOPQRSTUVWXYZ.")))))</f>
        <v>0</v>
      </c>
      <c r="R359" t="b">
        <f>AND(IF(metadata!C359="",FALSE,TRUE),OR(EXACT(metadata!C359,"saline"),EXACT(metadata!C359,"non-saline")))</f>
        <v>0</v>
      </c>
      <c r="S359" t="b">
        <f>AND(IF(metadata!D359="",FALSE,TRUE),OR(EXACT(metadata!D359,"surface (non-saline)"),EXACT(metadata!D359,"aerosol (non-saline)"),EXACT(metadata!D359,"sediment (non-saline)"),EXACT(metadata!D359,"surface (saline)"),EXACT(metadata!D359,"aerosol (saline)"),EXACT(metadata!D359,"sediment (saline)")))</f>
        <v>0</v>
      </c>
      <c r="T359" t="b">
        <f>AND(IF(metadata!E359="",FALSE,TRUE),EXACT(metadata!E359,"built environment"))</f>
        <v>0</v>
      </c>
      <c r="U359" t="b">
        <f>OR(AND(IF(metadata!F359="",FALSE,TRUE),EXACT(metadata!F359,"not applicable")),AND(IF(metadata!F359="",FALSE,TRUE),EXACT(metadata!F359,"anaerobic digester content")))</f>
        <v>0</v>
      </c>
    </row>
    <row r="360" spans="1:21" x14ac:dyDescent="0.2">
      <c r="A360" s="4" t="str">
        <f ca="1">IF(B360=" "," ",HYPERLINK(CONCATENATE("#metadata!",ADDRESS(INDEX($L$2:$L$1001,MATCH(ROWS($J$2:J360),$J$2:$J$1001,0),0),1)),INDEX($O$2:$O$1001,MATCH(ROWS($J$2:J360),$J$2:$J$1001,0),0)))</f>
        <v xml:space="preserve"> </v>
      </c>
      <c r="B360" s="3" t="str">
        <f ca="1">IF(OR(INDEX($K$2:$K$1001,MATCH(ROWS($J$2:J360),$J$2:$J$1001,0),1)&gt;=100000,INDEX($Q$1005:$U$1005,1,MATCH(COLUMNS($Q$1006:Q1006),$Q$1006:$U$1006,0))&gt;=100000), " ",IF(INDEX($Q$2:$U$1001,MATCH(ROWS($J$2:J360),$J$2:$J$1001,0),MATCH(COLUMNS($Q$1006:Q1006),$Q$1006:$U$1006,0)), HYPERLINK("#",""), HYPERLINK(CONCATENATE("#metadata!", ADDRESS(INDEX($L$2:$L$1001,MATCH(ROWS($J$2:J360),$J$2:$J$1001,0),0), INDEX($Q$1004:$U$1004,1,MATCH(COLUMNS($Q$1006:Q1006),$Q$1006:$U$1006,0)))),"Fix")))</f>
        <v xml:space="preserve"> </v>
      </c>
      <c r="C360" s="3" t="str">
        <f ca="1">IF(OR(INDEX($K$2:$K$1001,MATCH(ROWS($J$2:J360),$J$2:$J$1001,0),1)&gt;=100000,INDEX($Q$1005:$U$1005,1,MATCH(COLUMNS($Q$1006:R1006),$Q$1006:$U$1006,0))&gt;=100000), " ",IF(INDEX($Q$2:$U$1001,MATCH(ROWS($J$2:J360),$J$2:$J$1001,0),MATCH(COLUMNS($Q$1006:R1006),$Q$1006:$U$1006,0)), HYPERLINK("#",""), HYPERLINK(CONCATENATE("#metadata!", ADDRESS(INDEX($L$2:$L$1001,MATCH(ROWS($J$2:J360),$J$2:$J$1001,0),0), INDEX($Q$1004:$U$1004,1,MATCH(COLUMNS($Q$1006:R1006),$Q$1006:$U$1006,0)))),"Fix")))</f>
        <v xml:space="preserve"> </v>
      </c>
      <c r="D360" s="3" t="str">
        <f ca="1">IF(OR(INDEX($K$2:$K$1001,MATCH(ROWS($J$2:J360),$J$2:$J$1001,0),1)&gt;=100000,INDEX($Q$1005:$U$1005,1,MATCH(COLUMNS($Q$1006:S1006),$Q$1006:$U$1006,0))&gt;=100000), " ",IF(INDEX($Q$2:$U$1001,MATCH(ROWS($J$2:J360),$J$2:$J$1001,0),MATCH(COLUMNS($Q$1006:S1006),$Q$1006:$U$1006,0)), HYPERLINK("#",""), HYPERLINK(CONCATENATE("#metadata!", ADDRESS(INDEX($L$2:$L$1001,MATCH(ROWS($J$2:J360),$J$2:$J$1001,0),0), INDEX($Q$1004:$U$1004,1,MATCH(COLUMNS($Q$1006:S1006),$Q$1006:$U$1006,0)))),"Fix")))</f>
        <v xml:space="preserve"> </v>
      </c>
      <c r="E360" s="3" t="str">
        <f ca="1">IF(OR(INDEX($K$2:$K$1001,MATCH(ROWS($J$2:J360),$J$2:$J$1001,0),1)&gt;=100000,INDEX($Q$1005:$U$1005,1,MATCH(COLUMNS($Q$1006:T1006),$Q$1006:$U$1006,0))&gt;=100000), " ",IF(INDEX($Q$2:$U$1001,MATCH(ROWS($J$2:J360),$J$2:$J$1001,0),MATCH(COLUMNS($Q$1006:T1006),$Q$1006:$U$1006,0)), HYPERLINK("#",""), HYPERLINK(CONCATENATE("#metadata!", ADDRESS(INDEX($L$2:$L$1001,MATCH(ROWS($J$2:J360),$J$2:$J$1001,0),0), INDEX($Q$1004:$U$1004,1,MATCH(COLUMNS($Q$1006:T1006),$Q$1006:$U$1006,0)))),"Fix")))</f>
        <v xml:space="preserve"> </v>
      </c>
      <c r="F360" s="3" t="str">
        <f ca="1">IF(OR(INDEX($K$2:$K$1001,MATCH(ROWS($J$2:J360),$J$2:$J$1001,0),1)&gt;=100000,INDEX($Q$1005:$U$1005,1,MATCH(COLUMNS($Q$1006:U1006),$Q$1006:$U$1006,0))&gt;=100000), " ",IF(INDEX($Q$2:$U$1001,MATCH(ROWS($J$2:J360),$J$2:$J$1001,0),MATCH(COLUMNS($Q$1006:U1006),$Q$1006:$U$1006,0)), HYPERLINK("#",""), HYPERLINK(CONCATENATE("#metadata!", ADDRESS(INDEX($L$2:$L$1001,MATCH(ROWS($J$2:J360),$J$2:$J$1001,0),0), INDEX($Q$1004:$U$1004,1,MATCH(COLUMNS($Q$1006:U1006),$Q$1006:$U$1006,0)))),"Fix")))</f>
        <v xml:space="preserve"> </v>
      </c>
      <c r="J360">
        <v>359</v>
      </c>
      <c r="K360">
        <v>100360</v>
      </c>
      <c r="L360">
        <v>360</v>
      </c>
      <c r="M360" t="b">
        <f t="shared" si="5"/>
        <v>1</v>
      </c>
      <c r="N360" t="b">
        <f>COUNTBLANK(metadata!B360:F360)=COLUMNS(metadata!B360:F360)</f>
        <v>1</v>
      </c>
      <c r="O360" t="str">
        <v/>
      </c>
      <c r="Q360" t="b">
        <f ca="1">AND(IF(metadata!B360="",FALSE,TRUE),COUNTIF(metadata!B:B, metadata!B360) = 1,NOT(ISERROR(SUMPRODUCT(SEARCH(MID(metadata!B360,ROW(INDIRECT("1:"&amp;LEN(metadata!B360))), 1),"0123456789abcdefghijklmnopqrstuvwxyzABCDEFGHIJKLMNOPQRSTUVWXYZ.")))))</f>
        <v>0</v>
      </c>
      <c r="R360" t="b">
        <f>AND(IF(metadata!C360="",FALSE,TRUE),OR(EXACT(metadata!C360,"saline"),EXACT(metadata!C360,"non-saline")))</f>
        <v>0</v>
      </c>
      <c r="S360" t="b">
        <f>AND(IF(metadata!D360="",FALSE,TRUE),OR(EXACT(metadata!D360,"surface (non-saline)"),EXACT(metadata!D360,"aerosol (non-saline)"),EXACT(metadata!D360,"sediment (non-saline)"),EXACT(metadata!D360,"surface (saline)"),EXACT(metadata!D360,"aerosol (saline)"),EXACT(metadata!D360,"sediment (saline)")))</f>
        <v>0</v>
      </c>
      <c r="T360" t="b">
        <f>AND(IF(metadata!E360="",FALSE,TRUE),EXACT(metadata!E360,"built environment"))</f>
        <v>0</v>
      </c>
      <c r="U360" t="b">
        <f>OR(AND(IF(metadata!F360="",FALSE,TRUE),EXACT(metadata!F360,"not applicable")),AND(IF(metadata!F360="",FALSE,TRUE),EXACT(metadata!F360,"anaerobic digester content")))</f>
        <v>0</v>
      </c>
    </row>
    <row r="361" spans="1:21" x14ac:dyDescent="0.2">
      <c r="A361" s="4" t="str">
        <f ca="1">IF(B361=" "," ",HYPERLINK(CONCATENATE("#metadata!",ADDRESS(INDEX($L$2:$L$1001,MATCH(ROWS($J$2:J361),$J$2:$J$1001,0),0),1)),INDEX($O$2:$O$1001,MATCH(ROWS($J$2:J361),$J$2:$J$1001,0),0)))</f>
        <v xml:space="preserve"> </v>
      </c>
      <c r="B361" s="3" t="str">
        <f ca="1">IF(OR(INDEX($K$2:$K$1001,MATCH(ROWS($J$2:J361),$J$2:$J$1001,0),1)&gt;=100000,INDEX($Q$1005:$U$1005,1,MATCH(COLUMNS($Q$1006:Q1006),$Q$1006:$U$1006,0))&gt;=100000), " ",IF(INDEX($Q$2:$U$1001,MATCH(ROWS($J$2:J361),$J$2:$J$1001,0),MATCH(COLUMNS($Q$1006:Q1006),$Q$1006:$U$1006,0)), HYPERLINK("#",""), HYPERLINK(CONCATENATE("#metadata!", ADDRESS(INDEX($L$2:$L$1001,MATCH(ROWS($J$2:J361),$J$2:$J$1001,0),0), INDEX($Q$1004:$U$1004,1,MATCH(COLUMNS($Q$1006:Q1006),$Q$1006:$U$1006,0)))),"Fix")))</f>
        <v xml:space="preserve"> </v>
      </c>
      <c r="C361" s="3" t="str">
        <f ca="1">IF(OR(INDEX($K$2:$K$1001,MATCH(ROWS($J$2:J361),$J$2:$J$1001,0),1)&gt;=100000,INDEX($Q$1005:$U$1005,1,MATCH(COLUMNS($Q$1006:R1006),$Q$1006:$U$1006,0))&gt;=100000), " ",IF(INDEX($Q$2:$U$1001,MATCH(ROWS($J$2:J361),$J$2:$J$1001,0),MATCH(COLUMNS($Q$1006:R1006),$Q$1006:$U$1006,0)), HYPERLINK("#",""), HYPERLINK(CONCATENATE("#metadata!", ADDRESS(INDEX($L$2:$L$1001,MATCH(ROWS($J$2:J361),$J$2:$J$1001,0),0), INDEX($Q$1004:$U$1004,1,MATCH(COLUMNS($Q$1006:R1006),$Q$1006:$U$1006,0)))),"Fix")))</f>
        <v xml:space="preserve"> </v>
      </c>
      <c r="D361" s="3" t="str">
        <f ca="1">IF(OR(INDEX($K$2:$K$1001,MATCH(ROWS($J$2:J361),$J$2:$J$1001,0),1)&gt;=100000,INDEX($Q$1005:$U$1005,1,MATCH(COLUMNS($Q$1006:S1006),$Q$1006:$U$1006,0))&gt;=100000), " ",IF(INDEX($Q$2:$U$1001,MATCH(ROWS($J$2:J361),$J$2:$J$1001,0),MATCH(COLUMNS($Q$1006:S1006),$Q$1006:$U$1006,0)), HYPERLINK("#",""), HYPERLINK(CONCATENATE("#metadata!", ADDRESS(INDEX($L$2:$L$1001,MATCH(ROWS($J$2:J361),$J$2:$J$1001,0),0), INDEX($Q$1004:$U$1004,1,MATCH(COLUMNS($Q$1006:S1006),$Q$1006:$U$1006,0)))),"Fix")))</f>
        <v xml:space="preserve"> </v>
      </c>
      <c r="E361" s="3" t="str">
        <f ca="1">IF(OR(INDEX($K$2:$K$1001,MATCH(ROWS($J$2:J361),$J$2:$J$1001,0),1)&gt;=100000,INDEX($Q$1005:$U$1005,1,MATCH(COLUMNS($Q$1006:T1006),$Q$1006:$U$1006,0))&gt;=100000), " ",IF(INDEX($Q$2:$U$1001,MATCH(ROWS($J$2:J361),$J$2:$J$1001,0),MATCH(COLUMNS($Q$1006:T1006),$Q$1006:$U$1006,0)), HYPERLINK("#",""), HYPERLINK(CONCATENATE("#metadata!", ADDRESS(INDEX($L$2:$L$1001,MATCH(ROWS($J$2:J361),$J$2:$J$1001,0),0), INDEX($Q$1004:$U$1004,1,MATCH(COLUMNS($Q$1006:T1006),$Q$1006:$U$1006,0)))),"Fix")))</f>
        <v xml:space="preserve"> </v>
      </c>
      <c r="F361" s="3" t="str">
        <f ca="1">IF(OR(INDEX($K$2:$K$1001,MATCH(ROWS($J$2:J361),$J$2:$J$1001,0),1)&gt;=100000,INDEX($Q$1005:$U$1005,1,MATCH(COLUMNS($Q$1006:U1006),$Q$1006:$U$1006,0))&gt;=100000), " ",IF(INDEX($Q$2:$U$1001,MATCH(ROWS($J$2:J361),$J$2:$J$1001,0),MATCH(COLUMNS($Q$1006:U1006),$Q$1006:$U$1006,0)), HYPERLINK("#",""), HYPERLINK(CONCATENATE("#metadata!", ADDRESS(INDEX($L$2:$L$1001,MATCH(ROWS($J$2:J361),$J$2:$J$1001,0),0), INDEX($Q$1004:$U$1004,1,MATCH(COLUMNS($Q$1006:U1006),$Q$1006:$U$1006,0)))),"Fix")))</f>
        <v xml:space="preserve"> </v>
      </c>
      <c r="J361">
        <v>360</v>
      </c>
      <c r="K361">
        <v>100361</v>
      </c>
      <c r="L361">
        <v>361</v>
      </c>
      <c r="M361" t="b">
        <f t="shared" si="5"/>
        <v>1</v>
      </c>
      <c r="N361" t="b">
        <f>COUNTBLANK(metadata!B361:F361)=COLUMNS(metadata!B361:F361)</f>
        <v>1</v>
      </c>
      <c r="O361" t="str">
        <v/>
      </c>
      <c r="Q361" t="b">
        <f ca="1">AND(IF(metadata!B361="",FALSE,TRUE),COUNTIF(metadata!B:B, metadata!B361) = 1,NOT(ISERROR(SUMPRODUCT(SEARCH(MID(metadata!B361,ROW(INDIRECT("1:"&amp;LEN(metadata!B361))), 1),"0123456789abcdefghijklmnopqrstuvwxyzABCDEFGHIJKLMNOPQRSTUVWXYZ.")))))</f>
        <v>0</v>
      </c>
      <c r="R361" t="b">
        <f>AND(IF(metadata!C361="",FALSE,TRUE),OR(EXACT(metadata!C361,"saline"),EXACT(metadata!C361,"non-saline")))</f>
        <v>0</v>
      </c>
      <c r="S361" t="b">
        <f>AND(IF(metadata!D361="",FALSE,TRUE),OR(EXACT(metadata!D361,"surface (non-saline)"),EXACT(metadata!D361,"aerosol (non-saline)"),EXACT(metadata!D361,"sediment (non-saline)"),EXACT(metadata!D361,"surface (saline)"),EXACT(metadata!D361,"aerosol (saline)"),EXACT(metadata!D361,"sediment (saline)")))</f>
        <v>0</v>
      </c>
      <c r="T361" t="b">
        <f>AND(IF(metadata!E361="",FALSE,TRUE),EXACT(metadata!E361,"built environment"))</f>
        <v>0</v>
      </c>
      <c r="U361" t="b">
        <f>OR(AND(IF(metadata!F361="",FALSE,TRUE),EXACT(metadata!F361,"not applicable")),AND(IF(metadata!F361="",FALSE,TRUE),EXACT(metadata!F361,"anaerobic digester content")))</f>
        <v>0</v>
      </c>
    </row>
    <row r="362" spans="1:21" x14ac:dyDescent="0.2">
      <c r="A362" s="4" t="str">
        <f ca="1">IF(B362=" "," ",HYPERLINK(CONCATENATE("#metadata!",ADDRESS(INDEX($L$2:$L$1001,MATCH(ROWS($J$2:J362),$J$2:$J$1001,0),0),1)),INDEX($O$2:$O$1001,MATCH(ROWS($J$2:J362),$J$2:$J$1001,0),0)))</f>
        <v xml:space="preserve"> </v>
      </c>
      <c r="B362" s="3" t="str">
        <f ca="1">IF(OR(INDEX($K$2:$K$1001,MATCH(ROWS($J$2:J362),$J$2:$J$1001,0),1)&gt;=100000,INDEX($Q$1005:$U$1005,1,MATCH(COLUMNS($Q$1006:Q1006),$Q$1006:$U$1006,0))&gt;=100000), " ",IF(INDEX($Q$2:$U$1001,MATCH(ROWS($J$2:J362),$J$2:$J$1001,0),MATCH(COLUMNS($Q$1006:Q1006),$Q$1006:$U$1006,0)), HYPERLINK("#",""), HYPERLINK(CONCATENATE("#metadata!", ADDRESS(INDEX($L$2:$L$1001,MATCH(ROWS($J$2:J362),$J$2:$J$1001,0),0), INDEX($Q$1004:$U$1004,1,MATCH(COLUMNS($Q$1006:Q1006),$Q$1006:$U$1006,0)))),"Fix")))</f>
        <v xml:space="preserve"> </v>
      </c>
      <c r="C362" s="3" t="str">
        <f ca="1">IF(OR(INDEX($K$2:$K$1001,MATCH(ROWS($J$2:J362),$J$2:$J$1001,0),1)&gt;=100000,INDEX($Q$1005:$U$1005,1,MATCH(COLUMNS($Q$1006:R1006),$Q$1006:$U$1006,0))&gt;=100000), " ",IF(INDEX($Q$2:$U$1001,MATCH(ROWS($J$2:J362),$J$2:$J$1001,0),MATCH(COLUMNS($Q$1006:R1006),$Q$1006:$U$1006,0)), HYPERLINK("#",""), HYPERLINK(CONCATENATE("#metadata!", ADDRESS(INDEX($L$2:$L$1001,MATCH(ROWS($J$2:J362),$J$2:$J$1001,0),0), INDEX($Q$1004:$U$1004,1,MATCH(COLUMNS($Q$1006:R1006),$Q$1006:$U$1006,0)))),"Fix")))</f>
        <v xml:space="preserve"> </v>
      </c>
      <c r="D362" s="3" t="str">
        <f ca="1">IF(OR(INDEX($K$2:$K$1001,MATCH(ROWS($J$2:J362),$J$2:$J$1001,0),1)&gt;=100000,INDEX($Q$1005:$U$1005,1,MATCH(COLUMNS($Q$1006:S1006),$Q$1006:$U$1006,0))&gt;=100000), " ",IF(INDEX($Q$2:$U$1001,MATCH(ROWS($J$2:J362),$J$2:$J$1001,0),MATCH(COLUMNS($Q$1006:S1006),$Q$1006:$U$1006,0)), HYPERLINK("#",""), HYPERLINK(CONCATENATE("#metadata!", ADDRESS(INDEX($L$2:$L$1001,MATCH(ROWS($J$2:J362),$J$2:$J$1001,0),0), INDEX($Q$1004:$U$1004,1,MATCH(COLUMNS($Q$1006:S1006),$Q$1006:$U$1006,0)))),"Fix")))</f>
        <v xml:space="preserve"> </v>
      </c>
      <c r="E362" s="3" t="str">
        <f ca="1">IF(OR(INDEX($K$2:$K$1001,MATCH(ROWS($J$2:J362),$J$2:$J$1001,0),1)&gt;=100000,INDEX($Q$1005:$U$1005,1,MATCH(COLUMNS($Q$1006:T1006),$Q$1006:$U$1006,0))&gt;=100000), " ",IF(INDEX($Q$2:$U$1001,MATCH(ROWS($J$2:J362),$J$2:$J$1001,0),MATCH(COLUMNS($Q$1006:T1006),$Q$1006:$U$1006,0)), HYPERLINK("#",""), HYPERLINK(CONCATENATE("#metadata!", ADDRESS(INDEX($L$2:$L$1001,MATCH(ROWS($J$2:J362),$J$2:$J$1001,0),0), INDEX($Q$1004:$U$1004,1,MATCH(COLUMNS($Q$1006:T1006),$Q$1006:$U$1006,0)))),"Fix")))</f>
        <v xml:space="preserve"> </v>
      </c>
      <c r="F362" s="3" t="str">
        <f ca="1">IF(OR(INDEX($K$2:$K$1001,MATCH(ROWS($J$2:J362),$J$2:$J$1001,0),1)&gt;=100000,INDEX($Q$1005:$U$1005,1,MATCH(COLUMNS($Q$1006:U1006),$Q$1006:$U$1006,0))&gt;=100000), " ",IF(INDEX($Q$2:$U$1001,MATCH(ROWS($J$2:J362),$J$2:$J$1001,0),MATCH(COLUMNS($Q$1006:U1006),$Q$1006:$U$1006,0)), HYPERLINK("#",""), HYPERLINK(CONCATENATE("#metadata!", ADDRESS(INDEX($L$2:$L$1001,MATCH(ROWS($J$2:J362),$J$2:$J$1001,0),0), INDEX($Q$1004:$U$1004,1,MATCH(COLUMNS($Q$1006:U1006),$Q$1006:$U$1006,0)))),"Fix")))</f>
        <v xml:space="preserve"> </v>
      </c>
      <c r="J362">
        <v>361</v>
      </c>
      <c r="K362">
        <v>100362</v>
      </c>
      <c r="L362">
        <v>362</v>
      </c>
      <c r="M362" t="b">
        <f t="shared" si="5"/>
        <v>1</v>
      </c>
      <c r="N362" t="b">
        <f>COUNTBLANK(metadata!B362:F362)=COLUMNS(metadata!B362:F362)</f>
        <v>1</v>
      </c>
      <c r="O362" t="str">
        <v/>
      </c>
      <c r="Q362" t="b">
        <f ca="1">AND(IF(metadata!B362="",FALSE,TRUE),COUNTIF(metadata!B:B, metadata!B362) = 1,NOT(ISERROR(SUMPRODUCT(SEARCH(MID(metadata!B362,ROW(INDIRECT("1:"&amp;LEN(metadata!B362))), 1),"0123456789abcdefghijklmnopqrstuvwxyzABCDEFGHIJKLMNOPQRSTUVWXYZ.")))))</f>
        <v>0</v>
      </c>
      <c r="R362" t="b">
        <f>AND(IF(metadata!C362="",FALSE,TRUE),OR(EXACT(metadata!C362,"saline"),EXACT(metadata!C362,"non-saline")))</f>
        <v>0</v>
      </c>
      <c r="S362" t="b">
        <f>AND(IF(metadata!D362="",FALSE,TRUE),OR(EXACT(metadata!D362,"surface (non-saline)"),EXACT(metadata!D362,"aerosol (non-saline)"),EXACT(metadata!D362,"sediment (non-saline)"),EXACT(metadata!D362,"surface (saline)"),EXACT(metadata!D362,"aerosol (saline)"),EXACT(metadata!D362,"sediment (saline)")))</f>
        <v>0</v>
      </c>
      <c r="T362" t="b">
        <f>AND(IF(metadata!E362="",FALSE,TRUE),EXACT(metadata!E362,"built environment"))</f>
        <v>0</v>
      </c>
      <c r="U362" t="b">
        <f>OR(AND(IF(metadata!F362="",FALSE,TRUE),EXACT(metadata!F362,"not applicable")),AND(IF(metadata!F362="",FALSE,TRUE),EXACT(metadata!F362,"anaerobic digester content")))</f>
        <v>0</v>
      </c>
    </row>
    <row r="363" spans="1:21" x14ac:dyDescent="0.2">
      <c r="A363" s="4" t="str">
        <f ca="1">IF(B363=" "," ",HYPERLINK(CONCATENATE("#metadata!",ADDRESS(INDEX($L$2:$L$1001,MATCH(ROWS($J$2:J363),$J$2:$J$1001,0),0),1)),INDEX($O$2:$O$1001,MATCH(ROWS($J$2:J363),$J$2:$J$1001,0),0)))</f>
        <v xml:space="preserve"> </v>
      </c>
      <c r="B363" s="3" t="str">
        <f ca="1">IF(OR(INDEX($K$2:$K$1001,MATCH(ROWS($J$2:J363),$J$2:$J$1001,0),1)&gt;=100000,INDEX($Q$1005:$U$1005,1,MATCH(COLUMNS($Q$1006:Q1006),$Q$1006:$U$1006,0))&gt;=100000), " ",IF(INDEX($Q$2:$U$1001,MATCH(ROWS($J$2:J363),$J$2:$J$1001,0),MATCH(COLUMNS($Q$1006:Q1006),$Q$1006:$U$1006,0)), HYPERLINK("#",""), HYPERLINK(CONCATENATE("#metadata!", ADDRESS(INDEX($L$2:$L$1001,MATCH(ROWS($J$2:J363),$J$2:$J$1001,0),0), INDEX($Q$1004:$U$1004,1,MATCH(COLUMNS($Q$1006:Q1006),$Q$1006:$U$1006,0)))),"Fix")))</f>
        <v xml:space="preserve"> </v>
      </c>
      <c r="C363" s="3" t="str">
        <f ca="1">IF(OR(INDEX($K$2:$K$1001,MATCH(ROWS($J$2:J363),$J$2:$J$1001,0),1)&gt;=100000,INDEX($Q$1005:$U$1005,1,MATCH(COLUMNS($Q$1006:R1006),$Q$1006:$U$1006,0))&gt;=100000), " ",IF(INDEX($Q$2:$U$1001,MATCH(ROWS($J$2:J363),$J$2:$J$1001,0),MATCH(COLUMNS($Q$1006:R1006),$Q$1006:$U$1006,0)), HYPERLINK("#",""), HYPERLINK(CONCATENATE("#metadata!", ADDRESS(INDEX($L$2:$L$1001,MATCH(ROWS($J$2:J363),$J$2:$J$1001,0),0), INDEX($Q$1004:$U$1004,1,MATCH(COLUMNS($Q$1006:R1006),$Q$1006:$U$1006,0)))),"Fix")))</f>
        <v xml:space="preserve"> </v>
      </c>
      <c r="D363" s="3" t="str">
        <f ca="1">IF(OR(INDEX($K$2:$K$1001,MATCH(ROWS($J$2:J363),$J$2:$J$1001,0),1)&gt;=100000,INDEX($Q$1005:$U$1005,1,MATCH(COLUMNS($Q$1006:S1006),$Q$1006:$U$1006,0))&gt;=100000), " ",IF(INDEX($Q$2:$U$1001,MATCH(ROWS($J$2:J363),$J$2:$J$1001,0),MATCH(COLUMNS($Q$1006:S1006),$Q$1006:$U$1006,0)), HYPERLINK("#",""), HYPERLINK(CONCATENATE("#metadata!", ADDRESS(INDEX($L$2:$L$1001,MATCH(ROWS($J$2:J363),$J$2:$J$1001,0),0), INDEX($Q$1004:$U$1004,1,MATCH(COLUMNS($Q$1006:S1006),$Q$1006:$U$1006,0)))),"Fix")))</f>
        <v xml:space="preserve"> </v>
      </c>
      <c r="E363" s="3" t="str">
        <f ca="1">IF(OR(INDEX($K$2:$K$1001,MATCH(ROWS($J$2:J363),$J$2:$J$1001,0),1)&gt;=100000,INDEX($Q$1005:$U$1005,1,MATCH(COLUMNS($Q$1006:T1006),$Q$1006:$U$1006,0))&gt;=100000), " ",IF(INDEX($Q$2:$U$1001,MATCH(ROWS($J$2:J363),$J$2:$J$1001,0),MATCH(COLUMNS($Q$1006:T1006),$Q$1006:$U$1006,0)), HYPERLINK("#",""), HYPERLINK(CONCATENATE("#metadata!", ADDRESS(INDEX($L$2:$L$1001,MATCH(ROWS($J$2:J363),$J$2:$J$1001,0),0), INDEX($Q$1004:$U$1004,1,MATCH(COLUMNS($Q$1006:T1006),$Q$1006:$U$1006,0)))),"Fix")))</f>
        <v xml:space="preserve"> </v>
      </c>
      <c r="F363" s="3" t="str">
        <f ca="1">IF(OR(INDEX($K$2:$K$1001,MATCH(ROWS($J$2:J363),$J$2:$J$1001,0),1)&gt;=100000,INDEX($Q$1005:$U$1005,1,MATCH(COLUMNS($Q$1006:U1006),$Q$1006:$U$1006,0))&gt;=100000), " ",IF(INDEX($Q$2:$U$1001,MATCH(ROWS($J$2:J363),$J$2:$J$1001,0),MATCH(COLUMNS($Q$1006:U1006),$Q$1006:$U$1006,0)), HYPERLINK("#",""), HYPERLINK(CONCATENATE("#metadata!", ADDRESS(INDEX($L$2:$L$1001,MATCH(ROWS($J$2:J363),$J$2:$J$1001,0),0), INDEX($Q$1004:$U$1004,1,MATCH(COLUMNS($Q$1006:U1006),$Q$1006:$U$1006,0)))),"Fix")))</f>
        <v xml:space="preserve"> </v>
      </c>
      <c r="J363">
        <v>362</v>
      </c>
      <c r="K363">
        <v>100363</v>
      </c>
      <c r="L363">
        <v>363</v>
      </c>
      <c r="M363" t="b">
        <f t="shared" si="5"/>
        <v>1</v>
      </c>
      <c r="N363" t="b">
        <f>COUNTBLANK(metadata!B363:F363)=COLUMNS(metadata!B363:F363)</f>
        <v>1</v>
      </c>
      <c r="O363" t="str">
        <v/>
      </c>
      <c r="Q363" t="b">
        <f ca="1">AND(IF(metadata!B363="",FALSE,TRUE),COUNTIF(metadata!B:B, metadata!B363) = 1,NOT(ISERROR(SUMPRODUCT(SEARCH(MID(metadata!B363,ROW(INDIRECT("1:"&amp;LEN(metadata!B363))), 1),"0123456789abcdefghijklmnopqrstuvwxyzABCDEFGHIJKLMNOPQRSTUVWXYZ.")))))</f>
        <v>0</v>
      </c>
      <c r="R363" t="b">
        <f>AND(IF(metadata!C363="",FALSE,TRUE),OR(EXACT(metadata!C363,"saline"),EXACT(metadata!C363,"non-saline")))</f>
        <v>0</v>
      </c>
      <c r="S363" t="b">
        <f>AND(IF(metadata!D363="",FALSE,TRUE),OR(EXACT(metadata!D363,"surface (non-saline)"),EXACT(metadata!D363,"aerosol (non-saline)"),EXACT(metadata!D363,"sediment (non-saline)"),EXACT(metadata!D363,"surface (saline)"),EXACT(metadata!D363,"aerosol (saline)"),EXACT(metadata!D363,"sediment (saline)")))</f>
        <v>0</v>
      </c>
      <c r="T363" t="b">
        <f>AND(IF(metadata!E363="",FALSE,TRUE),EXACT(metadata!E363,"built environment"))</f>
        <v>0</v>
      </c>
      <c r="U363" t="b">
        <f>OR(AND(IF(metadata!F363="",FALSE,TRUE),EXACT(metadata!F363,"not applicable")),AND(IF(metadata!F363="",FALSE,TRUE),EXACT(metadata!F363,"anaerobic digester content")))</f>
        <v>0</v>
      </c>
    </row>
    <row r="364" spans="1:21" x14ac:dyDescent="0.2">
      <c r="A364" s="4" t="str">
        <f ca="1">IF(B364=" "," ",HYPERLINK(CONCATENATE("#metadata!",ADDRESS(INDEX($L$2:$L$1001,MATCH(ROWS($J$2:J364),$J$2:$J$1001,0),0),1)),INDEX($O$2:$O$1001,MATCH(ROWS($J$2:J364),$J$2:$J$1001,0),0)))</f>
        <v xml:space="preserve"> </v>
      </c>
      <c r="B364" s="3" t="str">
        <f ca="1">IF(OR(INDEX($K$2:$K$1001,MATCH(ROWS($J$2:J364),$J$2:$J$1001,0),1)&gt;=100000,INDEX($Q$1005:$U$1005,1,MATCH(COLUMNS($Q$1006:Q1006),$Q$1006:$U$1006,0))&gt;=100000), " ",IF(INDEX($Q$2:$U$1001,MATCH(ROWS($J$2:J364),$J$2:$J$1001,0),MATCH(COLUMNS($Q$1006:Q1006),$Q$1006:$U$1006,0)), HYPERLINK("#",""), HYPERLINK(CONCATENATE("#metadata!", ADDRESS(INDEX($L$2:$L$1001,MATCH(ROWS($J$2:J364),$J$2:$J$1001,0),0), INDEX($Q$1004:$U$1004,1,MATCH(COLUMNS($Q$1006:Q1006),$Q$1006:$U$1006,0)))),"Fix")))</f>
        <v xml:space="preserve"> </v>
      </c>
      <c r="C364" s="3" t="str">
        <f ca="1">IF(OR(INDEX($K$2:$K$1001,MATCH(ROWS($J$2:J364),$J$2:$J$1001,0),1)&gt;=100000,INDEX($Q$1005:$U$1005,1,MATCH(COLUMNS($Q$1006:R1006),$Q$1006:$U$1006,0))&gt;=100000), " ",IF(INDEX($Q$2:$U$1001,MATCH(ROWS($J$2:J364),$J$2:$J$1001,0),MATCH(COLUMNS($Q$1006:R1006),$Q$1006:$U$1006,0)), HYPERLINK("#",""), HYPERLINK(CONCATENATE("#metadata!", ADDRESS(INDEX($L$2:$L$1001,MATCH(ROWS($J$2:J364),$J$2:$J$1001,0),0), INDEX($Q$1004:$U$1004,1,MATCH(COLUMNS($Q$1006:R1006),$Q$1006:$U$1006,0)))),"Fix")))</f>
        <v xml:space="preserve"> </v>
      </c>
      <c r="D364" s="3" t="str">
        <f ca="1">IF(OR(INDEX($K$2:$K$1001,MATCH(ROWS($J$2:J364),$J$2:$J$1001,0),1)&gt;=100000,INDEX($Q$1005:$U$1005,1,MATCH(COLUMNS($Q$1006:S1006),$Q$1006:$U$1006,0))&gt;=100000), " ",IF(INDEX($Q$2:$U$1001,MATCH(ROWS($J$2:J364),$J$2:$J$1001,0),MATCH(COLUMNS($Q$1006:S1006),$Q$1006:$U$1006,0)), HYPERLINK("#",""), HYPERLINK(CONCATENATE("#metadata!", ADDRESS(INDEX($L$2:$L$1001,MATCH(ROWS($J$2:J364),$J$2:$J$1001,0),0), INDEX($Q$1004:$U$1004,1,MATCH(COLUMNS($Q$1006:S1006),$Q$1006:$U$1006,0)))),"Fix")))</f>
        <v xml:space="preserve"> </v>
      </c>
      <c r="E364" s="3" t="str">
        <f ca="1">IF(OR(INDEX($K$2:$K$1001,MATCH(ROWS($J$2:J364),$J$2:$J$1001,0),1)&gt;=100000,INDEX($Q$1005:$U$1005,1,MATCH(COLUMNS($Q$1006:T1006),$Q$1006:$U$1006,0))&gt;=100000), " ",IF(INDEX($Q$2:$U$1001,MATCH(ROWS($J$2:J364),$J$2:$J$1001,0),MATCH(COLUMNS($Q$1006:T1006),$Q$1006:$U$1006,0)), HYPERLINK("#",""), HYPERLINK(CONCATENATE("#metadata!", ADDRESS(INDEX($L$2:$L$1001,MATCH(ROWS($J$2:J364),$J$2:$J$1001,0),0), INDEX($Q$1004:$U$1004,1,MATCH(COLUMNS($Q$1006:T1006),$Q$1006:$U$1006,0)))),"Fix")))</f>
        <v xml:space="preserve"> </v>
      </c>
      <c r="F364" s="3" t="str">
        <f ca="1">IF(OR(INDEX($K$2:$K$1001,MATCH(ROWS($J$2:J364),$J$2:$J$1001,0),1)&gt;=100000,INDEX($Q$1005:$U$1005,1,MATCH(COLUMNS($Q$1006:U1006),$Q$1006:$U$1006,0))&gt;=100000), " ",IF(INDEX($Q$2:$U$1001,MATCH(ROWS($J$2:J364),$J$2:$J$1001,0),MATCH(COLUMNS($Q$1006:U1006),$Q$1006:$U$1006,0)), HYPERLINK("#",""), HYPERLINK(CONCATENATE("#metadata!", ADDRESS(INDEX($L$2:$L$1001,MATCH(ROWS($J$2:J364),$J$2:$J$1001,0),0), INDEX($Q$1004:$U$1004,1,MATCH(COLUMNS($Q$1006:U1006),$Q$1006:$U$1006,0)))),"Fix")))</f>
        <v xml:space="preserve"> </v>
      </c>
      <c r="J364">
        <v>363</v>
      </c>
      <c r="K364">
        <v>100364</v>
      </c>
      <c r="L364">
        <v>364</v>
      </c>
      <c r="M364" t="b">
        <f t="shared" si="5"/>
        <v>1</v>
      </c>
      <c r="N364" t="b">
        <f>COUNTBLANK(metadata!B364:F364)=COLUMNS(metadata!B364:F364)</f>
        <v>1</v>
      </c>
      <c r="O364" t="str">
        <v/>
      </c>
      <c r="Q364" t="b">
        <f ca="1">AND(IF(metadata!B364="",FALSE,TRUE),COUNTIF(metadata!B:B, metadata!B364) = 1,NOT(ISERROR(SUMPRODUCT(SEARCH(MID(metadata!B364,ROW(INDIRECT("1:"&amp;LEN(metadata!B364))), 1),"0123456789abcdefghijklmnopqrstuvwxyzABCDEFGHIJKLMNOPQRSTUVWXYZ.")))))</f>
        <v>0</v>
      </c>
      <c r="R364" t="b">
        <f>AND(IF(metadata!C364="",FALSE,TRUE),OR(EXACT(metadata!C364,"saline"),EXACT(metadata!C364,"non-saline")))</f>
        <v>0</v>
      </c>
      <c r="S364" t="b">
        <f>AND(IF(metadata!D364="",FALSE,TRUE),OR(EXACT(metadata!D364,"surface (non-saline)"),EXACT(metadata!D364,"aerosol (non-saline)"),EXACT(metadata!D364,"sediment (non-saline)"),EXACT(metadata!D364,"surface (saline)"),EXACT(metadata!D364,"aerosol (saline)"),EXACT(metadata!D364,"sediment (saline)")))</f>
        <v>0</v>
      </c>
      <c r="T364" t="b">
        <f>AND(IF(metadata!E364="",FALSE,TRUE),EXACT(metadata!E364,"built environment"))</f>
        <v>0</v>
      </c>
      <c r="U364" t="b">
        <f>OR(AND(IF(metadata!F364="",FALSE,TRUE),EXACT(metadata!F364,"not applicable")),AND(IF(metadata!F364="",FALSE,TRUE),EXACT(metadata!F364,"anaerobic digester content")))</f>
        <v>0</v>
      </c>
    </row>
    <row r="365" spans="1:21" x14ac:dyDescent="0.2">
      <c r="A365" s="4" t="str">
        <f ca="1">IF(B365=" "," ",HYPERLINK(CONCATENATE("#metadata!",ADDRESS(INDEX($L$2:$L$1001,MATCH(ROWS($J$2:J365),$J$2:$J$1001,0),0),1)),INDEX($O$2:$O$1001,MATCH(ROWS($J$2:J365),$J$2:$J$1001,0),0)))</f>
        <v xml:space="preserve"> </v>
      </c>
      <c r="B365" s="3" t="str">
        <f ca="1">IF(OR(INDEX($K$2:$K$1001,MATCH(ROWS($J$2:J365),$J$2:$J$1001,0),1)&gt;=100000,INDEX($Q$1005:$U$1005,1,MATCH(COLUMNS($Q$1006:Q1006),$Q$1006:$U$1006,0))&gt;=100000), " ",IF(INDEX($Q$2:$U$1001,MATCH(ROWS($J$2:J365),$J$2:$J$1001,0),MATCH(COLUMNS($Q$1006:Q1006),$Q$1006:$U$1006,0)), HYPERLINK("#",""), HYPERLINK(CONCATENATE("#metadata!", ADDRESS(INDEX($L$2:$L$1001,MATCH(ROWS($J$2:J365),$J$2:$J$1001,0),0), INDEX($Q$1004:$U$1004,1,MATCH(COLUMNS($Q$1006:Q1006),$Q$1006:$U$1006,0)))),"Fix")))</f>
        <v xml:space="preserve"> </v>
      </c>
      <c r="C365" s="3" t="str">
        <f ca="1">IF(OR(INDEX($K$2:$K$1001,MATCH(ROWS($J$2:J365),$J$2:$J$1001,0),1)&gt;=100000,INDEX($Q$1005:$U$1005,1,MATCH(COLUMNS($Q$1006:R1006),$Q$1006:$U$1006,0))&gt;=100000), " ",IF(INDEX($Q$2:$U$1001,MATCH(ROWS($J$2:J365),$J$2:$J$1001,0),MATCH(COLUMNS($Q$1006:R1006),$Q$1006:$U$1006,0)), HYPERLINK("#",""), HYPERLINK(CONCATENATE("#metadata!", ADDRESS(INDEX($L$2:$L$1001,MATCH(ROWS($J$2:J365),$J$2:$J$1001,0),0), INDEX($Q$1004:$U$1004,1,MATCH(COLUMNS($Q$1006:R1006),$Q$1006:$U$1006,0)))),"Fix")))</f>
        <v xml:space="preserve"> </v>
      </c>
      <c r="D365" s="3" t="str">
        <f ca="1">IF(OR(INDEX($K$2:$K$1001,MATCH(ROWS($J$2:J365),$J$2:$J$1001,0),1)&gt;=100000,INDEX($Q$1005:$U$1005,1,MATCH(COLUMNS($Q$1006:S1006),$Q$1006:$U$1006,0))&gt;=100000), " ",IF(INDEX($Q$2:$U$1001,MATCH(ROWS($J$2:J365),$J$2:$J$1001,0),MATCH(COLUMNS($Q$1006:S1006),$Q$1006:$U$1006,0)), HYPERLINK("#",""), HYPERLINK(CONCATENATE("#metadata!", ADDRESS(INDEX($L$2:$L$1001,MATCH(ROWS($J$2:J365),$J$2:$J$1001,0),0), INDEX($Q$1004:$U$1004,1,MATCH(COLUMNS($Q$1006:S1006),$Q$1006:$U$1006,0)))),"Fix")))</f>
        <v xml:space="preserve"> </v>
      </c>
      <c r="E365" s="3" t="str">
        <f ca="1">IF(OR(INDEX($K$2:$K$1001,MATCH(ROWS($J$2:J365),$J$2:$J$1001,0),1)&gt;=100000,INDEX($Q$1005:$U$1005,1,MATCH(COLUMNS($Q$1006:T1006),$Q$1006:$U$1006,0))&gt;=100000), " ",IF(INDEX($Q$2:$U$1001,MATCH(ROWS($J$2:J365),$J$2:$J$1001,0),MATCH(COLUMNS($Q$1006:T1006),$Q$1006:$U$1006,0)), HYPERLINK("#",""), HYPERLINK(CONCATENATE("#metadata!", ADDRESS(INDEX($L$2:$L$1001,MATCH(ROWS($J$2:J365),$J$2:$J$1001,0),0), INDEX($Q$1004:$U$1004,1,MATCH(COLUMNS($Q$1006:T1006),$Q$1006:$U$1006,0)))),"Fix")))</f>
        <v xml:space="preserve"> </v>
      </c>
      <c r="F365" s="3" t="str">
        <f ca="1">IF(OR(INDEX($K$2:$K$1001,MATCH(ROWS($J$2:J365),$J$2:$J$1001,0),1)&gt;=100000,INDEX($Q$1005:$U$1005,1,MATCH(COLUMNS($Q$1006:U1006),$Q$1006:$U$1006,0))&gt;=100000), " ",IF(INDEX($Q$2:$U$1001,MATCH(ROWS($J$2:J365),$J$2:$J$1001,0),MATCH(COLUMNS($Q$1006:U1006),$Q$1006:$U$1006,0)), HYPERLINK("#",""), HYPERLINK(CONCATENATE("#metadata!", ADDRESS(INDEX($L$2:$L$1001,MATCH(ROWS($J$2:J365),$J$2:$J$1001,0),0), INDEX($Q$1004:$U$1004,1,MATCH(COLUMNS($Q$1006:U1006),$Q$1006:$U$1006,0)))),"Fix")))</f>
        <v xml:space="preserve"> </v>
      </c>
      <c r="J365">
        <v>364</v>
      </c>
      <c r="K365">
        <v>100365</v>
      </c>
      <c r="L365">
        <v>365</v>
      </c>
      <c r="M365" t="b">
        <f t="shared" si="5"/>
        <v>1</v>
      </c>
      <c r="N365" t="b">
        <f>COUNTBLANK(metadata!B365:F365)=COLUMNS(metadata!B365:F365)</f>
        <v>1</v>
      </c>
      <c r="O365" t="str">
        <v/>
      </c>
      <c r="Q365" t="b">
        <f ca="1">AND(IF(metadata!B365="",FALSE,TRUE),COUNTIF(metadata!B:B, metadata!B365) = 1,NOT(ISERROR(SUMPRODUCT(SEARCH(MID(metadata!B365,ROW(INDIRECT("1:"&amp;LEN(metadata!B365))), 1),"0123456789abcdefghijklmnopqrstuvwxyzABCDEFGHIJKLMNOPQRSTUVWXYZ.")))))</f>
        <v>0</v>
      </c>
      <c r="R365" t="b">
        <f>AND(IF(metadata!C365="",FALSE,TRUE),OR(EXACT(metadata!C365,"saline"),EXACT(metadata!C365,"non-saline")))</f>
        <v>0</v>
      </c>
      <c r="S365" t="b">
        <f>AND(IF(metadata!D365="",FALSE,TRUE),OR(EXACT(metadata!D365,"surface (non-saline)"),EXACT(metadata!D365,"aerosol (non-saline)"),EXACT(metadata!D365,"sediment (non-saline)"),EXACT(metadata!D365,"surface (saline)"),EXACT(metadata!D365,"aerosol (saline)"),EXACT(metadata!D365,"sediment (saline)")))</f>
        <v>0</v>
      </c>
      <c r="T365" t="b">
        <f>AND(IF(metadata!E365="",FALSE,TRUE),EXACT(metadata!E365,"built environment"))</f>
        <v>0</v>
      </c>
      <c r="U365" t="b">
        <f>OR(AND(IF(metadata!F365="",FALSE,TRUE),EXACT(metadata!F365,"not applicable")),AND(IF(metadata!F365="",FALSE,TRUE),EXACT(metadata!F365,"anaerobic digester content")))</f>
        <v>0</v>
      </c>
    </row>
    <row r="366" spans="1:21" x14ac:dyDescent="0.2">
      <c r="A366" s="4" t="str">
        <f ca="1">IF(B366=" "," ",HYPERLINK(CONCATENATE("#metadata!",ADDRESS(INDEX($L$2:$L$1001,MATCH(ROWS($J$2:J366),$J$2:$J$1001,0),0),1)),INDEX($O$2:$O$1001,MATCH(ROWS($J$2:J366),$J$2:$J$1001,0),0)))</f>
        <v xml:space="preserve"> </v>
      </c>
      <c r="B366" s="3" t="str">
        <f ca="1">IF(OR(INDEX($K$2:$K$1001,MATCH(ROWS($J$2:J366),$J$2:$J$1001,0),1)&gt;=100000,INDEX($Q$1005:$U$1005,1,MATCH(COLUMNS($Q$1006:Q1006),$Q$1006:$U$1006,0))&gt;=100000), " ",IF(INDEX($Q$2:$U$1001,MATCH(ROWS($J$2:J366),$J$2:$J$1001,0),MATCH(COLUMNS($Q$1006:Q1006),$Q$1006:$U$1006,0)), HYPERLINK("#",""), HYPERLINK(CONCATENATE("#metadata!", ADDRESS(INDEX($L$2:$L$1001,MATCH(ROWS($J$2:J366),$J$2:$J$1001,0),0), INDEX($Q$1004:$U$1004,1,MATCH(COLUMNS($Q$1006:Q1006),$Q$1006:$U$1006,0)))),"Fix")))</f>
        <v xml:space="preserve"> </v>
      </c>
      <c r="C366" s="3" t="str">
        <f ca="1">IF(OR(INDEX($K$2:$K$1001,MATCH(ROWS($J$2:J366),$J$2:$J$1001,0),1)&gt;=100000,INDEX($Q$1005:$U$1005,1,MATCH(COLUMNS($Q$1006:R1006),$Q$1006:$U$1006,0))&gt;=100000), " ",IF(INDEX($Q$2:$U$1001,MATCH(ROWS($J$2:J366),$J$2:$J$1001,0),MATCH(COLUMNS($Q$1006:R1006),$Q$1006:$U$1006,0)), HYPERLINK("#",""), HYPERLINK(CONCATENATE("#metadata!", ADDRESS(INDEX($L$2:$L$1001,MATCH(ROWS($J$2:J366),$J$2:$J$1001,0),0), INDEX($Q$1004:$U$1004,1,MATCH(COLUMNS($Q$1006:R1006),$Q$1006:$U$1006,0)))),"Fix")))</f>
        <v xml:space="preserve"> </v>
      </c>
      <c r="D366" s="3" t="str">
        <f ca="1">IF(OR(INDEX($K$2:$K$1001,MATCH(ROWS($J$2:J366),$J$2:$J$1001,0),1)&gt;=100000,INDEX($Q$1005:$U$1005,1,MATCH(COLUMNS($Q$1006:S1006),$Q$1006:$U$1006,0))&gt;=100000), " ",IF(INDEX($Q$2:$U$1001,MATCH(ROWS($J$2:J366),$J$2:$J$1001,0),MATCH(COLUMNS($Q$1006:S1006),$Q$1006:$U$1006,0)), HYPERLINK("#",""), HYPERLINK(CONCATENATE("#metadata!", ADDRESS(INDEX($L$2:$L$1001,MATCH(ROWS($J$2:J366),$J$2:$J$1001,0),0), INDEX($Q$1004:$U$1004,1,MATCH(COLUMNS($Q$1006:S1006),$Q$1006:$U$1006,0)))),"Fix")))</f>
        <v xml:space="preserve"> </v>
      </c>
      <c r="E366" s="3" t="str">
        <f ca="1">IF(OR(INDEX($K$2:$K$1001,MATCH(ROWS($J$2:J366),$J$2:$J$1001,0),1)&gt;=100000,INDEX($Q$1005:$U$1005,1,MATCH(COLUMNS($Q$1006:T1006),$Q$1006:$U$1006,0))&gt;=100000), " ",IF(INDEX($Q$2:$U$1001,MATCH(ROWS($J$2:J366),$J$2:$J$1001,0),MATCH(COLUMNS($Q$1006:T1006),$Q$1006:$U$1006,0)), HYPERLINK("#",""), HYPERLINK(CONCATENATE("#metadata!", ADDRESS(INDEX($L$2:$L$1001,MATCH(ROWS($J$2:J366),$J$2:$J$1001,0),0), INDEX($Q$1004:$U$1004,1,MATCH(COLUMNS($Q$1006:T1006),$Q$1006:$U$1006,0)))),"Fix")))</f>
        <v xml:space="preserve"> </v>
      </c>
      <c r="F366" s="3" t="str">
        <f ca="1">IF(OR(INDEX($K$2:$K$1001,MATCH(ROWS($J$2:J366),$J$2:$J$1001,0),1)&gt;=100000,INDEX($Q$1005:$U$1005,1,MATCH(COLUMNS($Q$1006:U1006),$Q$1006:$U$1006,0))&gt;=100000), " ",IF(INDEX($Q$2:$U$1001,MATCH(ROWS($J$2:J366),$J$2:$J$1001,0),MATCH(COLUMNS($Q$1006:U1006),$Q$1006:$U$1006,0)), HYPERLINK("#",""), HYPERLINK(CONCATENATE("#metadata!", ADDRESS(INDEX($L$2:$L$1001,MATCH(ROWS($J$2:J366),$J$2:$J$1001,0),0), INDEX($Q$1004:$U$1004,1,MATCH(COLUMNS($Q$1006:U1006),$Q$1006:$U$1006,0)))),"Fix")))</f>
        <v xml:space="preserve"> </v>
      </c>
      <c r="J366">
        <v>365</v>
      </c>
      <c r="K366">
        <v>100366</v>
      </c>
      <c r="L366">
        <v>366</v>
      </c>
      <c r="M366" t="b">
        <f t="shared" si="5"/>
        <v>1</v>
      </c>
      <c r="N366" t="b">
        <f>COUNTBLANK(metadata!B366:F366)=COLUMNS(metadata!B366:F366)</f>
        <v>1</v>
      </c>
      <c r="O366" t="str">
        <v/>
      </c>
      <c r="Q366" t="b">
        <f ca="1">AND(IF(metadata!B366="",FALSE,TRUE),COUNTIF(metadata!B:B, metadata!B366) = 1,NOT(ISERROR(SUMPRODUCT(SEARCH(MID(metadata!B366,ROW(INDIRECT("1:"&amp;LEN(metadata!B366))), 1),"0123456789abcdefghijklmnopqrstuvwxyzABCDEFGHIJKLMNOPQRSTUVWXYZ.")))))</f>
        <v>0</v>
      </c>
      <c r="R366" t="b">
        <f>AND(IF(metadata!C366="",FALSE,TRUE),OR(EXACT(metadata!C366,"saline"),EXACT(metadata!C366,"non-saline")))</f>
        <v>0</v>
      </c>
      <c r="S366" t="b">
        <f>AND(IF(metadata!D366="",FALSE,TRUE),OR(EXACT(metadata!D366,"surface (non-saline)"),EXACT(metadata!D366,"aerosol (non-saline)"),EXACT(metadata!D366,"sediment (non-saline)"),EXACT(metadata!D366,"surface (saline)"),EXACT(metadata!D366,"aerosol (saline)"),EXACT(metadata!D366,"sediment (saline)")))</f>
        <v>0</v>
      </c>
      <c r="T366" t="b">
        <f>AND(IF(metadata!E366="",FALSE,TRUE),EXACT(metadata!E366,"built environment"))</f>
        <v>0</v>
      </c>
      <c r="U366" t="b">
        <f>OR(AND(IF(metadata!F366="",FALSE,TRUE),EXACT(metadata!F366,"not applicable")),AND(IF(metadata!F366="",FALSE,TRUE),EXACT(metadata!F366,"anaerobic digester content")))</f>
        <v>0</v>
      </c>
    </row>
    <row r="367" spans="1:21" x14ac:dyDescent="0.2">
      <c r="A367" s="4" t="str">
        <f ca="1">IF(B367=" "," ",HYPERLINK(CONCATENATE("#metadata!",ADDRESS(INDEX($L$2:$L$1001,MATCH(ROWS($J$2:J367),$J$2:$J$1001,0),0),1)),INDEX($O$2:$O$1001,MATCH(ROWS($J$2:J367),$J$2:$J$1001,0),0)))</f>
        <v xml:space="preserve"> </v>
      </c>
      <c r="B367" s="3" t="str">
        <f ca="1">IF(OR(INDEX($K$2:$K$1001,MATCH(ROWS($J$2:J367),$J$2:$J$1001,0),1)&gt;=100000,INDEX($Q$1005:$U$1005,1,MATCH(COLUMNS($Q$1006:Q1006),$Q$1006:$U$1006,0))&gt;=100000), " ",IF(INDEX($Q$2:$U$1001,MATCH(ROWS($J$2:J367),$J$2:$J$1001,0),MATCH(COLUMNS($Q$1006:Q1006),$Q$1006:$U$1006,0)), HYPERLINK("#",""), HYPERLINK(CONCATENATE("#metadata!", ADDRESS(INDEX($L$2:$L$1001,MATCH(ROWS($J$2:J367),$J$2:$J$1001,0),0), INDEX($Q$1004:$U$1004,1,MATCH(COLUMNS($Q$1006:Q1006),$Q$1006:$U$1006,0)))),"Fix")))</f>
        <v xml:space="preserve"> </v>
      </c>
      <c r="C367" s="3" t="str">
        <f ca="1">IF(OR(INDEX($K$2:$K$1001,MATCH(ROWS($J$2:J367),$J$2:$J$1001,0),1)&gt;=100000,INDEX($Q$1005:$U$1005,1,MATCH(COLUMNS($Q$1006:R1006),$Q$1006:$U$1006,0))&gt;=100000), " ",IF(INDEX($Q$2:$U$1001,MATCH(ROWS($J$2:J367),$J$2:$J$1001,0),MATCH(COLUMNS($Q$1006:R1006),$Q$1006:$U$1006,0)), HYPERLINK("#",""), HYPERLINK(CONCATENATE("#metadata!", ADDRESS(INDEX($L$2:$L$1001,MATCH(ROWS($J$2:J367),$J$2:$J$1001,0),0), INDEX($Q$1004:$U$1004,1,MATCH(COLUMNS($Q$1006:R1006),$Q$1006:$U$1006,0)))),"Fix")))</f>
        <v xml:space="preserve"> </v>
      </c>
      <c r="D367" s="3" t="str">
        <f ca="1">IF(OR(INDEX($K$2:$K$1001,MATCH(ROWS($J$2:J367),$J$2:$J$1001,0),1)&gt;=100000,INDEX($Q$1005:$U$1005,1,MATCH(COLUMNS($Q$1006:S1006),$Q$1006:$U$1006,0))&gt;=100000), " ",IF(INDEX($Q$2:$U$1001,MATCH(ROWS($J$2:J367),$J$2:$J$1001,0),MATCH(COLUMNS($Q$1006:S1006),$Q$1006:$U$1006,0)), HYPERLINK("#",""), HYPERLINK(CONCATENATE("#metadata!", ADDRESS(INDEX($L$2:$L$1001,MATCH(ROWS($J$2:J367),$J$2:$J$1001,0),0), INDEX($Q$1004:$U$1004,1,MATCH(COLUMNS($Q$1006:S1006),$Q$1006:$U$1006,0)))),"Fix")))</f>
        <v xml:space="preserve"> </v>
      </c>
      <c r="E367" s="3" t="str">
        <f ca="1">IF(OR(INDEX($K$2:$K$1001,MATCH(ROWS($J$2:J367),$J$2:$J$1001,0),1)&gt;=100000,INDEX($Q$1005:$U$1005,1,MATCH(COLUMNS($Q$1006:T1006),$Q$1006:$U$1006,0))&gt;=100000), " ",IF(INDEX($Q$2:$U$1001,MATCH(ROWS($J$2:J367),$J$2:$J$1001,0),MATCH(COLUMNS($Q$1006:T1006),$Q$1006:$U$1006,0)), HYPERLINK("#",""), HYPERLINK(CONCATENATE("#metadata!", ADDRESS(INDEX($L$2:$L$1001,MATCH(ROWS($J$2:J367),$J$2:$J$1001,0),0), INDEX($Q$1004:$U$1004,1,MATCH(COLUMNS($Q$1006:T1006),$Q$1006:$U$1006,0)))),"Fix")))</f>
        <v xml:space="preserve"> </v>
      </c>
      <c r="F367" s="3" t="str">
        <f ca="1">IF(OR(INDEX($K$2:$K$1001,MATCH(ROWS($J$2:J367),$J$2:$J$1001,0),1)&gt;=100000,INDEX($Q$1005:$U$1005,1,MATCH(COLUMNS($Q$1006:U1006),$Q$1006:$U$1006,0))&gt;=100000), " ",IF(INDEX($Q$2:$U$1001,MATCH(ROWS($J$2:J367),$J$2:$J$1001,0),MATCH(COLUMNS($Q$1006:U1006),$Q$1006:$U$1006,0)), HYPERLINK("#",""), HYPERLINK(CONCATENATE("#metadata!", ADDRESS(INDEX($L$2:$L$1001,MATCH(ROWS($J$2:J367),$J$2:$J$1001,0),0), INDEX($Q$1004:$U$1004,1,MATCH(COLUMNS($Q$1006:U1006),$Q$1006:$U$1006,0)))),"Fix")))</f>
        <v xml:space="preserve"> </v>
      </c>
      <c r="J367">
        <v>366</v>
      </c>
      <c r="K367">
        <v>100367</v>
      </c>
      <c r="L367">
        <v>367</v>
      </c>
      <c r="M367" t="b">
        <f t="shared" si="5"/>
        <v>1</v>
      </c>
      <c r="N367" t="b">
        <f>COUNTBLANK(metadata!B367:F367)=COLUMNS(metadata!B367:F367)</f>
        <v>1</v>
      </c>
      <c r="O367" t="str">
        <v/>
      </c>
      <c r="Q367" t="b">
        <f ca="1">AND(IF(metadata!B367="",FALSE,TRUE),COUNTIF(metadata!B:B, metadata!B367) = 1,NOT(ISERROR(SUMPRODUCT(SEARCH(MID(metadata!B367,ROW(INDIRECT("1:"&amp;LEN(metadata!B367))), 1),"0123456789abcdefghijklmnopqrstuvwxyzABCDEFGHIJKLMNOPQRSTUVWXYZ.")))))</f>
        <v>0</v>
      </c>
      <c r="R367" t="b">
        <f>AND(IF(metadata!C367="",FALSE,TRUE),OR(EXACT(metadata!C367,"saline"),EXACT(metadata!C367,"non-saline")))</f>
        <v>0</v>
      </c>
      <c r="S367" t="b">
        <f>AND(IF(metadata!D367="",FALSE,TRUE),OR(EXACT(metadata!D367,"surface (non-saline)"),EXACT(metadata!D367,"aerosol (non-saline)"),EXACT(metadata!D367,"sediment (non-saline)"),EXACT(metadata!D367,"surface (saline)"),EXACT(metadata!D367,"aerosol (saline)"),EXACT(metadata!D367,"sediment (saline)")))</f>
        <v>0</v>
      </c>
      <c r="T367" t="b">
        <f>AND(IF(metadata!E367="",FALSE,TRUE),EXACT(metadata!E367,"built environment"))</f>
        <v>0</v>
      </c>
      <c r="U367" t="b">
        <f>OR(AND(IF(metadata!F367="",FALSE,TRUE),EXACT(metadata!F367,"not applicable")),AND(IF(metadata!F367="",FALSE,TRUE),EXACT(metadata!F367,"anaerobic digester content")))</f>
        <v>0</v>
      </c>
    </row>
    <row r="368" spans="1:21" x14ac:dyDescent="0.2">
      <c r="A368" s="4" t="str">
        <f ca="1">IF(B368=" "," ",HYPERLINK(CONCATENATE("#metadata!",ADDRESS(INDEX($L$2:$L$1001,MATCH(ROWS($J$2:J368),$J$2:$J$1001,0),0),1)),INDEX($O$2:$O$1001,MATCH(ROWS($J$2:J368),$J$2:$J$1001,0),0)))</f>
        <v xml:space="preserve"> </v>
      </c>
      <c r="B368" s="3" t="str">
        <f ca="1">IF(OR(INDEX($K$2:$K$1001,MATCH(ROWS($J$2:J368),$J$2:$J$1001,0),1)&gt;=100000,INDEX($Q$1005:$U$1005,1,MATCH(COLUMNS($Q$1006:Q1006),$Q$1006:$U$1006,0))&gt;=100000), " ",IF(INDEX($Q$2:$U$1001,MATCH(ROWS($J$2:J368),$J$2:$J$1001,0),MATCH(COLUMNS($Q$1006:Q1006),$Q$1006:$U$1006,0)), HYPERLINK("#",""), HYPERLINK(CONCATENATE("#metadata!", ADDRESS(INDEX($L$2:$L$1001,MATCH(ROWS($J$2:J368),$J$2:$J$1001,0),0), INDEX($Q$1004:$U$1004,1,MATCH(COLUMNS($Q$1006:Q1006),$Q$1006:$U$1006,0)))),"Fix")))</f>
        <v xml:space="preserve"> </v>
      </c>
      <c r="C368" s="3" t="str">
        <f ca="1">IF(OR(INDEX($K$2:$K$1001,MATCH(ROWS($J$2:J368),$J$2:$J$1001,0),1)&gt;=100000,INDEX($Q$1005:$U$1005,1,MATCH(COLUMNS($Q$1006:R1006),$Q$1006:$U$1006,0))&gt;=100000), " ",IF(INDEX($Q$2:$U$1001,MATCH(ROWS($J$2:J368),$J$2:$J$1001,0),MATCH(COLUMNS($Q$1006:R1006),$Q$1006:$U$1006,0)), HYPERLINK("#",""), HYPERLINK(CONCATENATE("#metadata!", ADDRESS(INDEX($L$2:$L$1001,MATCH(ROWS($J$2:J368),$J$2:$J$1001,0),0), INDEX($Q$1004:$U$1004,1,MATCH(COLUMNS($Q$1006:R1006),$Q$1006:$U$1006,0)))),"Fix")))</f>
        <v xml:space="preserve"> </v>
      </c>
      <c r="D368" s="3" t="str">
        <f ca="1">IF(OR(INDEX($K$2:$K$1001,MATCH(ROWS($J$2:J368),$J$2:$J$1001,0),1)&gt;=100000,INDEX($Q$1005:$U$1005,1,MATCH(COLUMNS($Q$1006:S1006),$Q$1006:$U$1006,0))&gt;=100000), " ",IF(INDEX($Q$2:$U$1001,MATCH(ROWS($J$2:J368),$J$2:$J$1001,0),MATCH(COLUMNS($Q$1006:S1006),$Q$1006:$U$1006,0)), HYPERLINK("#",""), HYPERLINK(CONCATENATE("#metadata!", ADDRESS(INDEX($L$2:$L$1001,MATCH(ROWS($J$2:J368),$J$2:$J$1001,0),0), INDEX($Q$1004:$U$1004,1,MATCH(COLUMNS($Q$1006:S1006),$Q$1006:$U$1006,0)))),"Fix")))</f>
        <v xml:space="preserve"> </v>
      </c>
      <c r="E368" s="3" t="str">
        <f ca="1">IF(OR(INDEX($K$2:$K$1001,MATCH(ROWS($J$2:J368),$J$2:$J$1001,0),1)&gt;=100000,INDEX($Q$1005:$U$1005,1,MATCH(COLUMNS($Q$1006:T1006),$Q$1006:$U$1006,0))&gt;=100000), " ",IF(INDEX($Q$2:$U$1001,MATCH(ROWS($J$2:J368),$J$2:$J$1001,0),MATCH(COLUMNS($Q$1006:T1006),$Q$1006:$U$1006,0)), HYPERLINK("#",""), HYPERLINK(CONCATENATE("#metadata!", ADDRESS(INDEX($L$2:$L$1001,MATCH(ROWS($J$2:J368),$J$2:$J$1001,0),0), INDEX($Q$1004:$U$1004,1,MATCH(COLUMNS($Q$1006:T1006),$Q$1006:$U$1006,0)))),"Fix")))</f>
        <v xml:space="preserve"> </v>
      </c>
      <c r="F368" s="3" t="str">
        <f ca="1">IF(OR(INDEX($K$2:$K$1001,MATCH(ROWS($J$2:J368),$J$2:$J$1001,0),1)&gt;=100000,INDEX($Q$1005:$U$1005,1,MATCH(COLUMNS($Q$1006:U1006),$Q$1006:$U$1006,0))&gt;=100000), " ",IF(INDEX($Q$2:$U$1001,MATCH(ROWS($J$2:J368),$J$2:$J$1001,0),MATCH(COLUMNS($Q$1006:U1006),$Q$1006:$U$1006,0)), HYPERLINK("#",""), HYPERLINK(CONCATENATE("#metadata!", ADDRESS(INDEX($L$2:$L$1001,MATCH(ROWS($J$2:J368),$J$2:$J$1001,0),0), INDEX($Q$1004:$U$1004,1,MATCH(COLUMNS($Q$1006:U1006),$Q$1006:$U$1006,0)))),"Fix")))</f>
        <v xml:space="preserve"> </v>
      </c>
      <c r="J368">
        <v>367</v>
      </c>
      <c r="K368">
        <v>100368</v>
      </c>
      <c r="L368">
        <v>368</v>
      </c>
      <c r="M368" t="b">
        <f t="shared" si="5"/>
        <v>1</v>
      </c>
      <c r="N368" t="b">
        <f>COUNTBLANK(metadata!B368:F368)=COLUMNS(metadata!B368:F368)</f>
        <v>1</v>
      </c>
      <c r="O368" t="str">
        <v/>
      </c>
      <c r="Q368" t="b">
        <f ca="1">AND(IF(metadata!B368="",FALSE,TRUE),COUNTIF(metadata!B:B, metadata!B368) = 1,NOT(ISERROR(SUMPRODUCT(SEARCH(MID(metadata!B368,ROW(INDIRECT("1:"&amp;LEN(metadata!B368))), 1),"0123456789abcdefghijklmnopqrstuvwxyzABCDEFGHIJKLMNOPQRSTUVWXYZ.")))))</f>
        <v>0</v>
      </c>
      <c r="R368" t="b">
        <f>AND(IF(metadata!C368="",FALSE,TRUE),OR(EXACT(metadata!C368,"saline"),EXACT(metadata!C368,"non-saline")))</f>
        <v>0</v>
      </c>
      <c r="S368" t="b">
        <f>AND(IF(metadata!D368="",FALSE,TRUE),OR(EXACT(metadata!D368,"surface (non-saline)"),EXACT(metadata!D368,"aerosol (non-saline)"),EXACT(metadata!D368,"sediment (non-saline)"),EXACT(metadata!D368,"surface (saline)"),EXACT(metadata!D368,"aerosol (saline)"),EXACT(metadata!D368,"sediment (saline)")))</f>
        <v>0</v>
      </c>
      <c r="T368" t="b">
        <f>AND(IF(metadata!E368="",FALSE,TRUE),EXACT(metadata!E368,"built environment"))</f>
        <v>0</v>
      </c>
      <c r="U368" t="b">
        <f>OR(AND(IF(metadata!F368="",FALSE,TRUE),EXACT(metadata!F368,"not applicable")),AND(IF(metadata!F368="",FALSE,TRUE),EXACT(metadata!F368,"anaerobic digester content")))</f>
        <v>0</v>
      </c>
    </row>
    <row r="369" spans="1:21" x14ac:dyDescent="0.2">
      <c r="A369" s="4" t="str">
        <f ca="1">IF(B369=" "," ",HYPERLINK(CONCATENATE("#metadata!",ADDRESS(INDEX($L$2:$L$1001,MATCH(ROWS($J$2:J369),$J$2:$J$1001,0),0),1)),INDEX($O$2:$O$1001,MATCH(ROWS($J$2:J369),$J$2:$J$1001,0),0)))</f>
        <v xml:space="preserve"> </v>
      </c>
      <c r="B369" s="3" t="str">
        <f ca="1">IF(OR(INDEX($K$2:$K$1001,MATCH(ROWS($J$2:J369),$J$2:$J$1001,0),1)&gt;=100000,INDEX($Q$1005:$U$1005,1,MATCH(COLUMNS($Q$1006:Q1006),$Q$1006:$U$1006,0))&gt;=100000), " ",IF(INDEX($Q$2:$U$1001,MATCH(ROWS($J$2:J369),$J$2:$J$1001,0),MATCH(COLUMNS($Q$1006:Q1006),$Q$1006:$U$1006,0)), HYPERLINK("#",""), HYPERLINK(CONCATENATE("#metadata!", ADDRESS(INDEX($L$2:$L$1001,MATCH(ROWS($J$2:J369),$J$2:$J$1001,0),0), INDEX($Q$1004:$U$1004,1,MATCH(COLUMNS($Q$1006:Q1006),$Q$1006:$U$1006,0)))),"Fix")))</f>
        <v xml:space="preserve"> </v>
      </c>
      <c r="C369" s="3" t="str">
        <f ca="1">IF(OR(INDEX($K$2:$K$1001,MATCH(ROWS($J$2:J369),$J$2:$J$1001,0),1)&gt;=100000,INDEX($Q$1005:$U$1005,1,MATCH(COLUMNS($Q$1006:R1006),$Q$1006:$U$1006,0))&gt;=100000), " ",IF(INDEX($Q$2:$U$1001,MATCH(ROWS($J$2:J369),$J$2:$J$1001,0),MATCH(COLUMNS($Q$1006:R1006),$Q$1006:$U$1006,0)), HYPERLINK("#",""), HYPERLINK(CONCATENATE("#metadata!", ADDRESS(INDEX($L$2:$L$1001,MATCH(ROWS($J$2:J369),$J$2:$J$1001,0),0), INDEX($Q$1004:$U$1004,1,MATCH(COLUMNS($Q$1006:R1006),$Q$1006:$U$1006,0)))),"Fix")))</f>
        <v xml:space="preserve"> </v>
      </c>
      <c r="D369" s="3" t="str">
        <f ca="1">IF(OR(INDEX($K$2:$K$1001,MATCH(ROWS($J$2:J369),$J$2:$J$1001,0),1)&gt;=100000,INDEX($Q$1005:$U$1005,1,MATCH(COLUMNS($Q$1006:S1006),$Q$1006:$U$1006,0))&gt;=100000), " ",IF(INDEX($Q$2:$U$1001,MATCH(ROWS($J$2:J369),$J$2:$J$1001,0),MATCH(COLUMNS($Q$1006:S1006),$Q$1006:$U$1006,0)), HYPERLINK("#",""), HYPERLINK(CONCATENATE("#metadata!", ADDRESS(INDEX($L$2:$L$1001,MATCH(ROWS($J$2:J369),$J$2:$J$1001,0),0), INDEX($Q$1004:$U$1004,1,MATCH(COLUMNS($Q$1006:S1006),$Q$1006:$U$1006,0)))),"Fix")))</f>
        <v xml:space="preserve"> </v>
      </c>
      <c r="E369" s="3" t="str">
        <f ca="1">IF(OR(INDEX($K$2:$K$1001,MATCH(ROWS($J$2:J369),$J$2:$J$1001,0),1)&gt;=100000,INDEX($Q$1005:$U$1005,1,MATCH(COLUMNS($Q$1006:T1006),$Q$1006:$U$1006,0))&gt;=100000), " ",IF(INDEX($Q$2:$U$1001,MATCH(ROWS($J$2:J369),$J$2:$J$1001,0),MATCH(COLUMNS($Q$1006:T1006),$Q$1006:$U$1006,0)), HYPERLINK("#",""), HYPERLINK(CONCATENATE("#metadata!", ADDRESS(INDEX($L$2:$L$1001,MATCH(ROWS($J$2:J369),$J$2:$J$1001,0),0), INDEX($Q$1004:$U$1004,1,MATCH(COLUMNS($Q$1006:T1006),$Q$1006:$U$1006,0)))),"Fix")))</f>
        <v xml:space="preserve"> </v>
      </c>
      <c r="F369" s="3" t="str">
        <f ca="1">IF(OR(INDEX($K$2:$K$1001,MATCH(ROWS($J$2:J369),$J$2:$J$1001,0),1)&gt;=100000,INDEX($Q$1005:$U$1005,1,MATCH(COLUMNS($Q$1006:U1006),$Q$1006:$U$1006,0))&gt;=100000), " ",IF(INDEX($Q$2:$U$1001,MATCH(ROWS($J$2:J369),$J$2:$J$1001,0),MATCH(COLUMNS($Q$1006:U1006),$Q$1006:$U$1006,0)), HYPERLINK("#",""), HYPERLINK(CONCATENATE("#metadata!", ADDRESS(INDEX($L$2:$L$1001,MATCH(ROWS($J$2:J369),$J$2:$J$1001,0),0), INDEX($Q$1004:$U$1004,1,MATCH(COLUMNS($Q$1006:U1006),$Q$1006:$U$1006,0)))),"Fix")))</f>
        <v xml:space="preserve"> </v>
      </c>
      <c r="J369">
        <v>368</v>
      </c>
      <c r="K369">
        <v>100369</v>
      </c>
      <c r="L369">
        <v>369</v>
      </c>
      <c r="M369" t="b">
        <f t="shared" si="5"/>
        <v>1</v>
      </c>
      <c r="N369" t="b">
        <f>COUNTBLANK(metadata!B369:F369)=COLUMNS(metadata!B369:F369)</f>
        <v>1</v>
      </c>
      <c r="O369" t="str">
        <v/>
      </c>
      <c r="Q369" t="b">
        <f ca="1">AND(IF(metadata!B369="",FALSE,TRUE),COUNTIF(metadata!B:B, metadata!B369) = 1,NOT(ISERROR(SUMPRODUCT(SEARCH(MID(metadata!B369,ROW(INDIRECT("1:"&amp;LEN(metadata!B369))), 1),"0123456789abcdefghijklmnopqrstuvwxyzABCDEFGHIJKLMNOPQRSTUVWXYZ.")))))</f>
        <v>0</v>
      </c>
      <c r="R369" t="b">
        <f>AND(IF(metadata!C369="",FALSE,TRUE),OR(EXACT(metadata!C369,"saline"),EXACT(metadata!C369,"non-saline")))</f>
        <v>0</v>
      </c>
      <c r="S369" t="b">
        <f>AND(IF(metadata!D369="",FALSE,TRUE),OR(EXACT(metadata!D369,"surface (non-saline)"),EXACT(metadata!D369,"aerosol (non-saline)"),EXACT(metadata!D369,"sediment (non-saline)"),EXACT(metadata!D369,"surface (saline)"),EXACT(metadata!D369,"aerosol (saline)"),EXACT(metadata!D369,"sediment (saline)")))</f>
        <v>0</v>
      </c>
      <c r="T369" t="b">
        <f>AND(IF(metadata!E369="",FALSE,TRUE),EXACT(metadata!E369,"built environment"))</f>
        <v>0</v>
      </c>
      <c r="U369" t="b">
        <f>OR(AND(IF(metadata!F369="",FALSE,TRUE),EXACT(metadata!F369,"not applicable")),AND(IF(metadata!F369="",FALSE,TRUE),EXACT(metadata!F369,"anaerobic digester content")))</f>
        <v>0</v>
      </c>
    </row>
    <row r="370" spans="1:21" x14ac:dyDescent="0.2">
      <c r="A370" s="4" t="str">
        <f ca="1">IF(B370=" "," ",HYPERLINK(CONCATENATE("#metadata!",ADDRESS(INDEX($L$2:$L$1001,MATCH(ROWS($J$2:J370),$J$2:$J$1001,0),0),1)),INDEX($O$2:$O$1001,MATCH(ROWS($J$2:J370),$J$2:$J$1001,0),0)))</f>
        <v xml:space="preserve"> </v>
      </c>
      <c r="B370" s="3" t="str">
        <f ca="1">IF(OR(INDEX($K$2:$K$1001,MATCH(ROWS($J$2:J370),$J$2:$J$1001,0),1)&gt;=100000,INDEX($Q$1005:$U$1005,1,MATCH(COLUMNS($Q$1006:Q1006),$Q$1006:$U$1006,0))&gt;=100000), " ",IF(INDEX($Q$2:$U$1001,MATCH(ROWS($J$2:J370),$J$2:$J$1001,0),MATCH(COLUMNS($Q$1006:Q1006),$Q$1006:$U$1006,0)), HYPERLINK("#",""), HYPERLINK(CONCATENATE("#metadata!", ADDRESS(INDEX($L$2:$L$1001,MATCH(ROWS($J$2:J370),$J$2:$J$1001,0),0), INDEX($Q$1004:$U$1004,1,MATCH(COLUMNS($Q$1006:Q1006),$Q$1006:$U$1006,0)))),"Fix")))</f>
        <v xml:space="preserve"> </v>
      </c>
      <c r="C370" s="3" t="str">
        <f ca="1">IF(OR(INDEX($K$2:$K$1001,MATCH(ROWS($J$2:J370),$J$2:$J$1001,0),1)&gt;=100000,INDEX($Q$1005:$U$1005,1,MATCH(COLUMNS($Q$1006:R1006),$Q$1006:$U$1006,0))&gt;=100000), " ",IF(INDEX($Q$2:$U$1001,MATCH(ROWS($J$2:J370),$J$2:$J$1001,0),MATCH(COLUMNS($Q$1006:R1006),$Q$1006:$U$1006,0)), HYPERLINK("#",""), HYPERLINK(CONCATENATE("#metadata!", ADDRESS(INDEX($L$2:$L$1001,MATCH(ROWS($J$2:J370),$J$2:$J$1001,0),0), INDEX($Q$1004:$U$1004,1,MATCH(COLUMNS($Q$1006:R1006),$Q$1006:$U$1006,0)))),"Fix")))</f>
        <v xml:space="preserve"> </v>
      </c>
      <c r="D370" s="3" t="str">
        <f ca="1">IF(OR(INDEX($K$2:$K$1001,MATCH(ROWS($J$2:J370),$J$2:$J$1001,0),1)&gt;=100000,INDEX($Q$1005:$U$1005,1,MATCH(COLUMNS($Q$1006:S1006),$Q$1006:$U$1006,0))&gt;=100000), " ",IF(INDEX($Q$2:$U$1001,MATCH(ROWS($J$2:J370),$J$2:$J$1001,0),MATCH(COLUMNS($Q$1006:S1006),$Q$1006:$U$1006,0)), HYPERLINK("#",""), HYPERLINK(CONCATENATE("#metadata!", ADDRESS(INDEX($L$2:$L$1001,MATCH(ROWS($J$2:J370),$J$2:$J$1001,0),0), INDEX($Q$1004:$U$1004,1,MATCH(COLUMNS($Q$1006:S1006),$Q$1006:$U$1006,0)))),"Fix")))</f>
        <v xml:space="preserve"> </v>
      </c>
      <c r="E370" s="3" t="str">
        <f ca="1">IF(OR(INDEX($K$2:$K$1001,MATCH(ROWS($J$2:J370),$J$2:$J$1001,0),1)&gt;=100000,INDEX($Q$1005:$U$1005,1,MATCH(COLUMNS($Q$1006:T1006),$Q$1006:$U$1006,0))&gt;=100000), " ",IF(INDEX($Q$2:$U$1001,MATCH(ROWS($J$2:J370),$J$2:$J$1001,0),MATCH(COLUMNS($Q$1006:T1006),$Q$1006:$U$1006,0)), HYPERLINK("#",""), HYPERLINK(CONCATENATE("#metadata!", ADDRESS(INDEX($L$2:$L$1001,MATCH(ROWS($J$2:J370),$J$2:$J$1001,0),0), INDEX($Q$1004:$U$1004,1,MATCH(COLUMNS($Q$1006:T1006),$Q$1006:$U$1006,0)))),"Fix")))</f>
        <v xml:space="preserve"> </v>
      </c>
      <c r="F370" s="3" t="str">
        <f ca="1">IF(OR(INDEX($K$2:$K$1001,MATCH(ROWS($J$2:J370),$J$2:$J$1001,0),1)&gt;=100000,INDEX($Q$1005:$U$1005,1,MATCH(COLUMNS($Q$1006:U1006),$Q$1006:$U$1006,0))&gt;=100000), " ",IF(INDEX($Q$2:$U$1001,MATCH(ROWS($J$2:J370),$J$2:$J$1001,0),MATCH(COLUMNS($Q$1006:U1006),$Q$1006:$U$1006,0)), HYPERLINK("#",""), HYPERLINK(CONCATENATE("#metadata!", ADDRESS(INDEX($L$2:$L$1001,MATCH(ROWS($J$2:J370),$J$2:$J$1001,0),0), INDEX($Q$1004:$U$1004,1,MATCH(COLUMNS($Q$1006:U1006),$Q$1006:$U$1006,0)))),"Fix")))</f>
        <v xml:space="preserve"> </v>
      </c>
      <c r="J370">
        <v>369</v>
      </c>
      <c r="K370">
        <v>100370</v>
      </c>
      <c r="L370">
        <v>370</v>
      </c>
      <c r="M370" t="b">
        <f t="shared" si="5"/>
        <v>1</v>
      </c>
      <c r="N370" t="b">
        <f>COUNTBLANK(metadata!B370:F370)=COLUMNS(metadata!B370:F370)</f>
        <v>1</v>
      </c>
      <c r="O370" t="str">
        <v/>
      </c>
      <c r="Q370" t="b">
        <f ca="1">AND(IF(metadata!B370="",FALSE,TRUE),COUNTIF(metadata!B:B, metadata!B370) = 1,NOT(ISERROR(SUMPRODUCT(SEARCH(MID(metadata!B370,ROW(INDIRECT("1:"&amp;LEN(metadata!B370))), 1),"0123456789abcdefghijklmnopqrstuvwxyzABCDEFGHIJKLMNOPQRSTUVWXYZ.")))))</f>
        <v>0</v>
      </c>
      <c r="R370" t="b">
        <f>AND(IF(metadata!C370="",FALSE,TRUE),OR(EXACT(metadata!C370,"saline"),EXACT(metadata!C370,"non-saline")))</f>
        <v>0</v>
      </c>
      <c r="S370" t="b">
        <f>AND(IF(metadata!D370="",FALSE,TRUE),OR(EXACT(metadata!D370,"surface (non-saline)"),EXACT(metadata!D370,"aerosol (non-saline)"),EXACT(metadata!D370,"sediment (non-saline)"),EXACT(metadata!D370,"surface (saline)"),EXACT(metadata!D370,"aerosol (saline)"),EXACT(metadata!D370,"sediment (saline)")))</f>
        <v>0</v>
      </c>
      <c r="T370" t="b">
        <f>AND(IF(metadata!E370="",FALSE,TRUE),EXACT(metadata!E370,"built environment"))</f>
        <v>0</v>
      </c>
      <c r="U370" t="b">
        <f>OR(AND(IF(metadata!F370="",FALSE,TRUE),EXACT(metadata!F370,"not applicable")),AND(IF(metadata!F370="",FALSE,TRUE),EXACT(metadata!F370,"anaerobic digester content")))</f>
        <v>0</v>
      </c>
    </row>
    <row r="371" spans="1:21" x14ac:dyDescent="0.2">
      <c r="A371" s="4" t="str">
        <f ca="1">IF(B371=" "," ",HYPERLINK(CONCATENATE("#metadata!",ADDRESS(INDEX($L$2:$L$1001,MATCH(ROWS($J$2:J371),$J$2:$J$1001,0),0),1)),INDEX($O$2:$O$1001,MATCH(ROWS($J$2:J371),$J$2:$J$1001,0),0)))</f>
        <v xml:space="preserve"> </v>
      </c>
      <c r="B371" s="3" t="str">
        <f ca="1">IF(OR(INDEX($K$2:$K$1001,MATCH(ROWS($J$2:J371),$J$2:$J$1001,0),1)&gt;=100000,INDEX($Q$1005:$U$1005,1,MATCH(COLUMNS($Q$1006:Q1006),$Q$1006:$U$1006,0))&gt;=100000), " ",IF(INDEX($Q$2:$U$1001,MATCH(ROWS($J$2:J371),$J$2:$J$1001,0),MATCH(COLUMNS($Q$1006:Q1006),$Q$1006:$U$1006,0)), HYPERLINK("#",""), HYPERLINK(CONCATENATE("#metadata!", ADDRESS(INDEX($L$2:$L$1001,MATCH(ROWS($J$2:J371),$J$2:$J$1001,0),0), INDEX($Q$1004:$U$1004,1,MATCH(COLUMNS($Q$1006:Q1006),$Q$1006:$U$1006,0)))),"Fix")))</f>
        <v xml:space="preserve"> </v>
      </c>
      <c r="C371" s="3" t="str">
        <f ca="1">IF(OR(INDEX($K$2:$K$1001,MATCH(ROWS($J$2:J371),$J$2:$J$1001,0),1)&gt;=100000,INDEX($Q$1005:$U$1005,1,MATCH(COLUMNS($Q$1006:R1006),$Q$1006:$U$1006,0))&gt;=100000), " ",IF(INDEX($Q$2:$U$1001,MATCH(ROWS($J$2:J371),$J$2:$J$1001,0),MATCH(COLUMNS($Q$1006:R1006),$Q$1006:$U$1006,0)), HYPERLINK("#",""), HYPERLINK(CONCATENATE("#metadata!", ADDRESS(INDEX($L$2:$L$1001,MATCH(ROWS($J$2:J371),$J$2:$J$1001,0),0), INDEX($Q$1004:$U$1004,1,MATCH(COLUMNS($Q$1006:R1006),$Q$1006:$U$1006,0)))),"Fix")))</f>
        <v xml:space="preserve"> </v>
      </c>
      <c r="D371" s="3" t="str">
        <f ca="1">IF(OR(INDEX($K$2:$K$1001,MATCH(ROWS($J$2:J371),$J$2:$J$1001,0),1)&gt;=100000,INDEX($Q$1005:$U$1005,1,MATCH(COLUMNS($Q$1006:S1006),$Q$1006:$U$1006,0))&gt;=100000), " ",IF(INDEX($Q$2:$U$1001,MATCH(ROWS($J$2:J371),$J$2:$J$1001,0),MATCH(COLUMNS($Q$1006:S1006),$Q$1006:$U$1006,0)), HYPERLINK("#",""), HYPERLINK(CONCATENATE("#metadata!", ADDRESS(INDEX($L$2:$L$1001,MATCH(ROWS($J$2:J371),$J$2:$J$1001,0),0), INDEX($Q$1004:$U$1004,1,MATCH(COLUMNS($Q$1006:S1006),$Q$1006:$U$1006,0)))),"Fix")))</f>
        <v xml:space="preserve"> </v>
      </c>
      <c r="E371" s="3" t="str">
        <f ca="1">IF(OR(INDEX($K$2:$K$1001,MATCH(ROWS($J$2:J371),$J$2:$J$1001,0),1)&gt;=100000,INDEX($Q$1005:$U$1005,1,MATCH(COLUMNS($Q$1006:T1006),$Q$1006:$U$1006,0))&gt;=100000), " ",IF(INDEX($Q$2:$U$1001,MATCH(ROWS($J$2:J371),$J$2:$J$1001,0),MATCH(COLUMNS($Q$1006:T1006),$Q$1006:$U$1006,0)), HYPERLINK("#",""), HYPERLINK(CONCATENATE("#metadata!", ADDRESS(INDEX($L$2:$L$1001,MATCH(ROWS($J$2:J371),$J$2:$J$1001,0),0), INDEX($Q$1004:$U$1004,1,MATCH(COLUMNS($Q$1006:T1006),$Q$1006:$U$1006,0)))),"Fix")))</f>
        <v xml:space="preserve"> </v>
      </c>
      <c r="F371" s="3" t="str">
        <f ca="1">IF(OR(INDEX($K$2:$K$1001,MATCH(ROWS($J$2:J371),$J$2:$J$1001,0),1)&gt;=100000,INDEX($Q$1005:$U$1005,1,MATCH(COLUMNS($Q$1006:U1006),$Q$1006:$U$1006,0))&gt;=100000), " ",IF(INDEX($Q$2:$U$1001,MATCH(ROWS($J$2:J371),$J$2:$J$1001,0),MATCH(COLUMNS($Q$1006:U1006),$Q$1006:$U$1006,0)), HYPERLINK("#",""), HYPERLINK(CONCATENATE("#metadata!", ADDRESS(INDEX($L$2:$L$1001,MATCH(ROWS($J$2:J371),$J$2:$J$1001,0),0), INDEX($Q$1004:$U$1004,1,MATCH(COLUMNS($Q$1006:U1006),$Q$1006:$U$1006,0)))),"Fix")))</f>
        <v xml:space="preserve"> </v>
      </c>
      <c r="J371">
        <v>370</v>
      </c>
      <c r="K371">
        <v>100371</v>
      </c>
      <c r="L371">
        <v>371</v>
      </c>
      <c r="M371" t="b">
        <f t="shared" si="5"/>
        <v>1</v>
      </c>
      <c r="N371" t="b">
        <f>COUNTBLANK(metadata!B371:F371)=COLUMNS(metadata!B371:F371)</f>
        <v>1</v>
      </c>
      <c r="O371" t="str">
        <v/>
      </c>
      <c r="Q371" t="b">
        <f ca="1">AND(IF(metadata!B371="",FALSE,TRUE),COUNTIF(metadata!B:B, metadata!B371) = 1,NOT(ISERROR(SUMPRODUCT(SEARCH(MID(metadata!B371,ROW(INDIRECT("1:"&amp;LEN(metadata!B371))), 1),"0123456789abcdefghijklmnopqrstuvwxyzABCDEFGHIJKLMNOPQRSTUVWXYZ.")))))</f>
        <v>0</v>
      </c>
      <c r="R371" t="b">
        <f>AND(IF(metadata!C371="",FALSE,TRUE),OR(EXACT(metadata!C371,"saline"),EXACT(metadata!C371,"non-saline")))</f>
        <v>0</v>
      </c>
      <c r="S371" t="b">
        <f>AND(IF(metadata!D371="",FALSE,TRUE),OR(EXACT(metadata!D371,"surface (non-saline)"),EXACT(metadata!D371,"aerosol (non-saline)"),EXACT(metadata!D371,"sediment (non-saline)"),EXACT(metadata!D371,"surface (saline)"),EXACT(metadata!D371,"aerosol (saline)"),EXACT(metadata!D371,"sediment (saline)")))</f>
        <v>0</v>
      </c>
      <c r="T371" t="b">
        <f>AND(IF(metadata!E371="",FALSE,TRUE),EXACT(metadata!E371,"built environment"))</f>
        <v>0</v>
      </c>
      <c r="U371" t="b">
        <f>OR(AND(IF(metadata!F371="",FALSE,TRUE),EXACT(metadata!F371,"not applicable")),AND(IF(metadata!F371="",FALSE,TRUE),EXACT(metadata!F371,"anaerobic digester content")))</f>
        <v>0</v>
      </c>
    </row>
    <row r="372" spans="1:21" x14ac:dyDescent="0.2">
      <c r="A372" s="4" t="str">
        <f ca="1">IF(B372=" "," ",HYPERLINK(CONCATENATE("#metadata!",ADDRESS(INDEX($L$2:$L$1001,MATCH(ROWS($J$2:J372),$J$2:$J$1001,0),0),1)),INDEX($O$2:$O$1001,MATCH(ROWS($J$2:J372),$J$2:$J$1001,0),0)))</f>
        <v xml:space="preserve"> </v>
      </c>
      <c r="B372" s="3" t="str">
        <f ca="1">IF(OR(INDEX($K$2:$K$1001,MATCH(ROWS($J$2:J372),$J$2:$J$1001,0),1)&gt;=100000,INDEX($Q$1005:$U$1005,1,MATCH(COLUMNS($Q$1006:Q1006),$Q$1006:$U$1006,0))&gt;=100000), " ",IF(INDEX($Q$2:$U$1001,MATCH(ROWS($J$2:J372),$J$2:$J$1001,0),MATCH(COLUMNS($Q$1006:Q1006),$Q$1006:$U$1006,0)), HYPERLINK("#",""), HYPERLINK(CONCATENATE("#metadata!", ADDRESS(INDEX($L$2:$L$1001,MATCH(ROWS($J$2:J372),$J$2:$J$1001,0),0), INDEX($Q$1004:$U$1004,1,MATCH(COLUMNS($Q$1006:Q1006),$Q$1006:$U$1006,0)))),"Fix")))</f>
        <v xml:space="preserve"> </v>
      </c>
      <c r="C372" s="3" t="str">
        <f ca="1">IF(OR(INDEX($K$2:$K$1001,MATCH(ROWS($J$2:J372),$J$2:$J$1001,0),1)&gt;=100000,INDEX($Q$1005:$U$1005,1,MATCH(COLUMNS($Q$1006:R1006),$Q$1006:$U$1006,0))&gt;=100000), " ",IF(INDEX($Q$2:$U$1001,MATCH(ROWS($J$2:J372),$J$2:$J$1001,0),MATCH(COLUMNS($Q$1006:R1006),$Q$1006:$U$1006,0)), HYPERLINK("#",""), HYPERLINK(CONCATENATE("#metadata!", ADDRESS(INDEX($L$2:$L$1001,MATCH(ROWS($J$2:J372),$J$2:$J$1001,0),0), INDEX($Q$1004:$U$1004,1,MATCH(COLUMNS($Q$1006:R1006),$Q$1006:$U$1006,0)))),"Fix")))</f>
        <v xml:space="preserve"> </v>
      </c>
      <c r="D372" s="3" t="str">
        <f ca="1">IF(OR(INDEX($K$2:$K$1001,MATCH(ROWS($J$2:J372),$J$2:$J$1001,0),1)&gt;=100000,INDEX($Q$1005:$U$1005,1,MATCH(COLUMNS($Q$1006:S1006),$Q$1006:$U$1006,0))&gt;=100000), " ",IF(INDEX($Q$2:$U$1001,MATCH(ROWS($J$2:J372),$J$2:$J$1001,0),MATCH(COLUMNS($Q$1006:S1006),$Q$1006:$U$1006,0)), HYPERLINK("#",""), HYPERLINK(CONCATENATE("#metadata!", ADDRESS(INDEX($L$2:$L$1001,MATCH(ROWS($J$2:J372),$J$2:$J$1001,0),0), INDEX($Q$1004:$U$1004,1,MATCH(COLUMNS($Q$1006:S1006),$Q$1006:$U$1006,0)))),"Fix")))</f>
        <v xml:space="preserve"> </v>
      </c>
      <c r="E372" s="3" t="str">
        <f ca="1">IF(OR(INDEX($K$2:$K$1001,MATCH(ROWS($J$2:J372),$J$2:$J$1001,0),1)&gt;=100000,INDEX($Q$1005:$U$1005,1,MATCH(COLUMNS($Q$1006:T1006),$Q$1006:$U$1006,0))&gt;=100000), " ",IF(INDEX($Q$2:$U$1001,MATCH(ROWS($J$2:J372),$J$2:$J$1001,0),MATCH(COLUMNS($Q$1006:T1006),$Q$1006:$U$1006,0)), HYPERLINK("#",""), HYPERLINK(CONCATENATE("#metadata!", ADDRESS(INDEX($L$2:$L$1001,MATCH(ROWS($J$2:J372),$J$2:$J$1001,0),0), INDEX($Q$1004:$U$1004,1,MATCH(COLUMNS($Q$1006:T1006),$Q$1006:$U$1006,0)))),"Fix")))</f>
        <v xml:space="preserve"> </v>
      </c>
      <c r="F372" s="3" t="str">
        <f ca="1">IF(OR(INDEX($K$2:$K$1001,MATCH(ROWS($J$2:J372),$J$2:$J$1001,0),1)&gt;=100000,INDEX($Q$1005:$U$1005,1,MATCH(COLUMNS($Q$1006:U1006),$Q$1006:$U$1006,0))&gt;=100000), " ",IF(INDEX($Q$2:$U$1001,MATCH(ROWS($J$2:J372),$J$2:$J$1001,0),MATCH(COLUMNS($Q$1006:U1006),$Q$1006:$U$1006,0)), HYPERLINK("#",""), HYPERLINK(CONCATENATE("#metadata!", ADDRESS(INDEX($L$2:$L$1001,MATCH(ROWS($J$2:J372),$J$2:$J$1001,0),0), INDEX($Q$1004:$U$1004,1,MATCH(COLUMNS($Q$1006:U1006),$Q$1006:$U$1006,0)))),"Fix")))</f>
        <v xml:space="preserve"> </v>
      </c>
      <c r="J372">
        <v>371</v>
      </c>
      <c r="K372">
        <v>100372</v>
      </c>
      <c r="L372">
        <v>372</v>
      </c>
      <c r="M372" t="b">
        <f t="shared" si="5"/>
        <v>1</v>
      </c>
      <c r="N372" t="b">
        <f>COUNTBLANK(metadata!B372:F372)=COLUMNS(metadata!B372:F372)</f>
        <v>1</v>
      </c>
      <c r="O372" t="str">
        <v/>
      </c>
      <c r="Q372" t="b">
        <f ca="1">AND(IF(metadata!B372="",FALSE,TRUE),COUNTIF(metadata!B:B, metadata!B372) = 1,NOT(ISERROR(SUMPRODUCT(SEARCH(MID(metadata!B372,ROW(INDIRECT("1:"&amp;LEN(metadata!B372))), 1),"0123456789abcdefghijklmnopqrstuvwxyzABCDEFGHIJKLMNOPQRSTUVWXYZ.")))))</f>
        <v>0</v>
      </c>
      <c r="R372" t="b">
        <f>AND(IF(metadata!C372="",FALSE,TRUE),OR(EXACT(metadata!C372,"saline"),EXACT(metadata!C372,"non-saline")))</f>
        <v>0</v>
      </c>
      <c r="S372" t="b">
        <f>AND(IF(metadata!D372="",FALSE,TRUE),OR(EXACT(metadata!D372,"surface (non-saline)"),EXACT(metadata!D372,"aerosol (non-saline)"),EXACT(metadata!D372,"sediment (non-saline)"),EXACT(metadata!D372,"surface (saline)"),EXACT(metadata!D372,"aerosol (saline)"),EXACT(metadata!D372,"sediment (saline)")))</f>
        <v>0</v>
      </c>
      <c r="T372" t="b">
        <f>AND(IF(metadata!E372="",FALSE,TRUE),EXACT(metadata!E372,"built environment"))</f>
        <v>0</v>
      </c>
      <c r="U372" t="b">
        <f>OR(AND(IF(metadata!F372="",FALSE,TRUE),EXACT(metadata!F372,"not applicable")),AND(IF(metadata!F372="",FALSE,TRUE),EXACT(metadata!F372,"anaerobic digester content")))</f>
        <v>0</v>
      </c>
    </row>
    <row r="373" spans="1:21" x14ac:dyDescent="0.2">
      <c r="A373" s="4" t="str">
        <f ca="1">IF(B373=" "," ",HYPERLINK(CONCATENATE("#metadata!",ADDRESS(INDEX($L$2:$L$1001,MATCH(ROWS($J$2:J373),$J$2:$J$1001,0),0),1)),INDEX($O$2:$O$1001,MATCH(ROWS($J$2:J373),$J$2:$J$1001,0),0)))</f>
        <v xml:space="preserve"> </v>
      </c>
      <c r="B373" s="3" t="str">
        <f ca="1">IF(OR(INDEX($K$2:$K$1001,MATCH(ROWS($J$2:J373),$J$2:$J$1001,0),1)&gt;=100000,INDEX($Q$1005:$U$1005,1,MATCH(COLUMNS($Q$1006:Q1006),$Q$1006:$U$1006,0))&gt;=100000), " ",IF(INDEX($Q$2:$U$1001,MATCH(ROWS($J$2:J373),$J$2:$J$1001,0),MATCH(COLUMNS($Q$1006:Q1006),$Q$1006:$U$1006,0)), HYPERLINK("#",""), HYPERLINK(CONCATENATE("#metadata!", ADDRESS(INDEX($L$2:$L$1001,MATCH(ROWS($J$2:J373),$J$2:$J$1001,0),0), INDEX($Q$1004:$U$1004,1,MATCH(COLUMNS($Q$1006:Q1006),$Q$1006:$U$1006,0)))),"Fix")))</f>
        <v xml:space="preserve"> </v>
      </c>
      <c r="C373" s="3" t="str">
        <f ca="1">IF(OR(INDEX($K$2:$K$1001,MATCH(ROWS($J$2:J373),$J$2:$J$1001,0),1)&gt;=100000,INDEX($Q$1005:$U$1005,1,MATCH(COLUMNS($Q$1006:R1006),$Q$1006:$U$1006,0))&gt;=100000), " ",IF(INDEX($Q$2:$U$1001,MATCH(ROWS($J$2:J373),$J$2:$J$1001,0),MATCH(COLUMNS($Q$1006:R1006),$Q$1006:$U$1006,0)), HYPERLINK("#",""), HYPERLINK(CONCATENATE("#metadata!", ADDRESS(INDEX($L$2:$L$1001,MATCH(ROWS($J$2:J373),$J$2:$J$1001,0),0), INDEX($Q$1004:$U$1004,1,MATCH(COLUMNS($Q$1006:R1006),$Q$1006:$U$1006,0)))),"Fix")))</f>
        <v xml:space="preserve"> </v>
      </c>
      <c r="D373" s="3" t="str">
        <f ca="1">IF(OR(INDEX($K$2:$K$1001,MATCH(ROWS($J$2:J373),$J$2:$J$1001,0),1)&gt;=100000,INDEX($Q$1005:$U$1005,1,MATCH(COLUMNS($Q$1006:S1006),$Q$1006:$U$1006,0))&gt;=100000), " ",IF(INDEX($Q$2:$U$1001,MATCH(ROWS($J$2:J373),$J$2:$J$1001,0),MATCH(COLUMNS($Q$1006:S1006),$Q$1006:$U$1006,0)), HYPERLINK("#",""), HYPERLINK(CONCATENATE("#metadata!", ADDRESS(INDEX($L$2:$L$1001,MATCH(ROWS($J$2:J373),$J$2:$J$1001,0),0), INDEX($Q$1004:$U$1004,1,MATCH(COLUMNS($Q$1006:S1006),$Q$1006:$U$1006,0)))),"Fix")))</f>
        <v xml:space="preserve"> </v>
      </c>
      <c r="E373" s="3" t="str">
        <f ca="1">IF(OR(INDEX($K$2:$K$1001,MATCH(ROWS($J$2:J373),$J$2:$J$1001,0),1)&gt;=100000,INDEX($Q$1005:$U$1005,1,MATCH(COLUMNS($Q$1006:T1006),$Q$1006:$U$1006,0))&gt;=100000), " ",IF(INDEX($Q$2:$U$1001,MATCH(ROWS($J$2:J373),$J$2:$J$1001,0),MATCH(COLUMNS($Q$1006:T1006),$Q$1006:$U$1006,0)), HYPERLINK("#",""), HYPERLINK(CONCATENATE("#metadata!", ADDRESS(INDEX($L$2:$L$1001,MATCH(ROWS($J$2:J373),$J$2:$J$1001,0),0), INDEX($Q$1004:$U$1004,1,MATCH(COLUMNS($Q$1006:T1006),$Q$1006:$U$1006,0)))),"Fix")))</f>
        <v xml:space="preserve"> </v>
      </c>
      <c r="F373" s="3" t="str">
        <f ca="1">IF(OR(INDEX($K$2:$K$1001,MATCH(ROWS($J$2:J373),$J$2:$J$1001,0),1)&gt;=100000,INDEX($Q$1005:$U$1005,1,MATCH(COLUMNS($Q$1006:U1006),$Q$1006:$U$1006,0))&gt;=100000), " ",IF(INDEX($Q$2:$U$1001,MATCH(ROWS($J$2:J373),$J$2:$J$1001,0),MATCH(COLUMNS($Q$1006:U1006),$Q$1006:$U$1006,0)), HYPERLINK("#",""), HYPERLINK(CONCATENATE("#metadata!", ADDRESS(INDEX($L$2:$L$1001,MATCH(ROWS($J$2:J373),$J$2:$J$1001,0),0), INDEX($Q$1004:$U$1004,1,MATCH(COLUMNS($Q$1006:U1006),$Q$1006:$U$1006,0)))),"Fix")))</f>
        <v xml:space="preserve"> </v>
      </c>
      <c r="J373">
        <v>372</v>
      </c>
      <c r="K373">
        <v>100373</v>
      </c>
      <c r="L373">
        <v>373</v>
      </c>
      <c r="M373" t="b">
        <f t="shared" si="5"/>
        <v>1</v>
      </c>
      <c r="N373" t="b">
        <f>COUNTBLANK(metadata!B373:F373)=COLUMNS(metadata!B373:F373)</f>
        <v>1</v>
      </c>
      <c r="O373" t="str">
        <v/>
      </c>
      <c r="Q373" t="b">
        <f ca="1">AND(IF(metadata!B373="",FALSE,TRUE),COUNTIF(metadata!B:B, metadata!B373) = 1,NOT(ISERROR(SUMPRODUCT(SEARCH(MID(metadata!B373,ROW(INDIRECT("1:"&amp;LEN(metadata!B373))), 1),"0123456789abcdefghijklmnopqrstuvwxyzABCDEFGHIJKLMNOPQRSTUVWXYZ.")))))</f>
        <v>0</v>
      </c>
      <c r="R373" t="b">
        <f>AND(IF(metadata!C373="",FALSE,TRUE),OR(EXACT(metadata!C373,"saline"),EXACT(metadata!C373,"non-saline")))</f>
        <v>0</v>
      </c>
      <c r="S373" t="b">
        <f>AND(IF(metadata!D373="",FALSE,TRUE),OR(EXACT(metadata!D373,"surface (non-saline)"),EXACT(metadata!D373,"aerosol (non-saline)"),EXACT(metadata!D373,"sediment (non-saline)"),EXACT(metadata!D373,"surface (saline)"),EXACT(metadata!D373,"aerosol (saline)"),EXACT(metadata!D373,"sediment (saline)")))</f>
        <v>0</v>
      </c>
      <c r="T373" t="b">
        <f>AND(IF(metadata!E373="",FALSE,TRUE),EXACT(metadata!E373,"built environment"))</f>
        <v>0</v>
      </c>
      <c r="U373" t="b">
        <f>OR(AND(IF(metadata!F373="",FALSE,TRUE),EXACT(metadata!F373,"not applicable")),AND(IF(metadata!F373="",FALSE,TRUE),EXACT(metadata!F373,"anaerobic digester content")))</f>
        <v>0</v>
      </c>
    </row>
    <row r="374" spans="1:21" x14ac:dyDescent="0.2">
      <c r="A374" s="4" t="str">
        <f ca="1">IF(B374=" "," ",HYPERLINK(CONCATENATE("#metadata!",ADDRESS(INDEX($L$2:$L$1001,MATCH(ROWS($J$2:J374),$J$2:$J$1001,0),0),1)),INDEX($O$2:$O$1001,MATCH(ROWS($J$2:J374),$J$2:$J$1001,0),0)))</f>
        <v xml:space="preserve"> </v>
      </c>
      <c r="B374" s="3" t="str">
        <f ca="1">IF(OR(INDEX($K$2:$K$1001,MATCH(ROWS($J$2:J374),$J$2:$J$1001,0),1)&gt;=100000,INDEX($Q$1005:$U$1005,1,MATCH(COLUMNS($Q$1006:Q1006),$Q$1006:$U$1006,0))&gt;=100000), " ",IF(INDEX($Q$2:$U$1001,MATCH(ROWS($J$2:J374),$J$2:$J$1001,0),MATCH(COLUMNS($Q$1006:Q1006),$Q$1006:$U$1006,0)), HYPERLINK("#",""), HYPERLINK(CONCATENATE("#metadata!", ADDRESS(INDEX($L$2:$L$1001,MATCH(ROWS($J$2:J374),$J$2:$J$1001,0),0), INDEX($Q$1004:$U$1004,1,MATCH(COLUMNS($Q$1006:Q1006),$Q$1006:$U$1006,0)))),"Fix")))</f>
        <v xml:space="preserve"> </v>
      </c>
      <c r="C374" s="3" t="str">
        <f ca="1">IF(OR(INDEX($K$2:$K$1001,MATCH(ROWS($J$2:J374),$J$2:$J$1001,0),1)&gt;=100000,INDEX($Q$1005:$U$1005,1,MATCH(COLUMNS($Q$1006:R1006),$Q$1006:$U$1006,0))&gt;=100000), " ",IF(INDEX($Q$2:$U$1001,MATCH(ROWS($J$2:J374),$J$2:$J$1001,0),MATCH(COLUMNS($Q$1006:R1006),$Q$1006:$U$1006,0)), HYPERLINK("#",""), HYPERLINK(CONCATENATE("#metadata!", ADDRESS(INDEX($L$2:$L$1001,MATCH(ROWS($J$2:J374),$J$2:$J$1001,0),0), INDEX($Q$1004:$U$1004,1,MATCH(COLUMNS($Q$1006:R1006),$Q$1006:$U$1006,0)))),"Fix")))</f>
        <v xml:space="preserve"> </v>
      </c>
      <c r="D374" s="3" t="str">
        <f ca="1">IF(OR(INDEX($K$2:$K$1001,MATCH(ROWS($J$2:J374),$J$2:$J$1001,0),1)&gt;=100000,INDEX($Q$1005:$U$1005,1,MATCH(COLUMNS($Q$1006:S1006),$Q$1006:$U$1006,0))&gt;=100000), " ",IF(INDEX($Q$2:$U$1001,MATCH(ROWS($J$2:J374),$J$2:$J$1001,0),MATCH(COLUMNS($Q$1006:S1006),$Q$1006:$U$1006,0)), HYPERLINK("#",""), HYPERLINK(CONCATENATE("#metadata!", ADDRESS(INDEX($L$2:$L$1001,MATCH(ROWS($J$2:J374),$J$2:$J$1001,0),0), INDEX($Q$1004:$U$1004,1,MATCH(COLUMNS($Q$1006:S1006),$Q$1006:$U$1006,0)))),"Fix")))</f>
        <v xml:space="preserve"> </v>
      </c>
      <c r="E374" s="3" t="str">
        <f ca="1">IF(OR(INDEX($K$2:$K$1001,MATCH(ROWS($J$2:J374),$J$2:$J$1001,0),1)&gt;=100000,INDEX($Q$1005:$U$1005,1,MATCH(COLUMNS($Q$1006:T1006),$Q$1006:$U$1006,0))&gt;=100000), " ",IF(INDEX($Q$2:$U$1001,MATCH(ROWS($J$2:J374),$J$2:$J$1001,0),MATCH(COLUMNS($Q$1006:T1006),$Q$1006:$U$1006,0)), HYPERLINK("#",""), HYPERLINK(CONCATENATE("#metadata!", ADDRESS(INDEX($L$2:$L$1001,MATCH(ROWS($J$2:J374),$J$2:$J$1001,0),0), INDEX($Q$1004:$U$1004,1,MATCH(COLUMNS($Q$1006:T1006),$Q$1006:$U$1006,0)))),"Fix")))</f>
        <v xml:space="preserve"> </v>
      </c>
      <c r="F374" s="3" t="str">
        <f ca="1">IF(OR(INDEX($K$2:$K$1001,MATCH(ROWS($J$2:J374),$J$2:$J$1001,0),1)&gt;=100000,INDEX($Q$1005:$U$1005,1,MATCH(COLUMNS($Q$1006:U1006),$Q$1006:$U$1006,0))&gt;=100000), " ",IF(INDEX($Q$2:$U$1001,MATCH(ROWS($J$2:J374),$J$2:$J$1001,0),MATCH(COLUMNS($Q$1006:U1006),$Q$1006:$U$1006,0)), HYPERLINK("#",""), HYPERLINK(CONCATENATE("#metadata!", ADDRESS(INDEX($L$2:$L$1001,MATCH(ROWS($J$2:J374),$J$2:$J$1001,0),0), INDEX($Q$1004:$U$1004,1,MATCH(COLUMNS($Q$1006:U1006),$Q$1006:$U$1006,0)))),"Fix")))</f>
        <v xml:space="preserve"> </v>
      </c>
      <c r="J374">
        <v>373</v>
      </c>
      <c r="K374">
        <v>100374</v>
      </c>
      <c r="L374">
        <v>374</v>
      </c>
      <c r="M374" t="b">
        <f t="shared" si="5"/>
        <v>1</v>
      </c>
      <c r="N374" t="b">
        <f>COUNTBLANK(metadata!B374:F374)=COLUMNS(metadata!B374:F374)</f>
        <v>1</v>
      </c>
      <c r="O374" t="str">
        <v/>
      </c>
      <c r="Q374" t="b">
        <f ca="1">AND(IF(metadata!B374="",FALSE,TRUE),COUNTIF(metadata!B:B, metadata!B374) = 1,NOT(ISERROR(SUMPRODUCT(SEARCH(MID(metadata!B374,ROW(INDIRECT("1:"&amp;LEN(metadata!B374))), 1),"0123456789abcdefghijklmnopqrstuvwxyzABCDEFGHIJKLMNOPQRSTUVWXYZ.")))))</f>
        <v>0</v>
      </c>
      <c r="R374" t="b">
        <f>AND(IF(metadata!C374="",FALSE,TRUE),OR(EXACT(metadata!C374,"saline"),EXACT(metadata!C374,"non-saline")))</f>
        <v>0</v>
      </c>
      <c r="S374" t="b">
        <f>AND(IF(metadata!D374="",FALSE,TRUE),OR(EXACT(metadata!D374,"surface (non-saline)"),EXACT(metadata!D374,"aerosol (non-saline)"),EXACT(metadata!D374,"sediment (non-saline)"),EXACT(metadata!D374,"surface (saline)"),EXACT(metadata!D374,"aerosol (saline)"),EXACT(metadata!D374,"sediment (saline)")))</f>
        <v>0</v>
      </c>
      <c r="T374" t="b">
        <f>AND(IF(metadata!E374="",FALSE,TRUE),EXACT(metadata!E374,"built environment"))</f>
        <v>0</v>
      </c>
      <c r="U374" t="b">
        <f>OR(AND(IF(metadata!F374="",FALSE,TRUE),EXACT(metadata!F374,"not applicable")),AND(IF(metadata!F374="",FALSE,TRUE),EXACT(metadata!F374,"anaerobic digester content")))</f>
        <v>0</v>
      </c>
    </row>
    <row r="375" spans="1:21" x14ac:dyDescent="0.2">
      <c r="A375" s="4" t="str">
        <f ca="1">IF(B375=" "," ",HYPERLINK(CONCATENATE("#metadata!",ADDRESS(INDEX($L$2:$L$1001,MATCH(ROWS($J$2:J375),$J$2:$J$1001,0),0),1)),INDEX($O$2:$O$1001,MATCH(ROWS($J$2:J375),$J$2:$J$1001,0),0)))</f>
        <v xml:space="preserve"> </v>
      </c>
      <c r="B375" s="3" t="str">
        <f ca="1">IF(OR(INDEX($K$2:$K$1001,MATCH(ROWS($J$2:J375),$J$2:$J$1001,0),1)&gt;=100000,INDEX($Q$1005:$U$1005,1,MATCH(COLUMNS($Q$1006:Q1006),$Q$1006:$U$1006,0))&gt;=100000), " ",IF(INDEX($Q$2:$U$1001,MATCH(ROWS($J$2:J375),$J$2:$J$1001,0),MATCH(COLUMNS($Q$1006:Q1006),$Q$1006:$U$1006,0)), HYPERLINK("#",""), HYPERLINK(CONCATENATE("#metadata!", ADDRESS(INDEX($L$2:$L$1001,MATCH(ROWS($J$2:J375),$J$2:$J$1001,0),0), INDEX($Q$1004:$U$1004,1,MATCH(COLUMNS($Q$1006:Q1006),$Q$1006:$U$1006,0)))),"Fix")))</f>
        <v xml:space="preserve"> </v>
      </c>
      <c r="C375" s="3" t="str">
        <f ca="1">IF(OR(INDEX($K$2:$K$1001,MATCH(ROWS($J$2:J375),$J$2:$J$1001,0),1)&gt;=100000,INDEX($Q$1005:$U$1005,1,MATCH(COLUMNS($Q$1006:R1006),$Q$1006:$U$1006,0))&gt;=100000), " ",IF(INDEX($Q$2:$U$1001,MATCH(ROWS($J$2:J375),$J$2:$J$1001,0),MATCH(COLUMNS($Q$1006:R1006),$Q$1006:$U$1006,0)), HYPERLINK("#",""), HYPERLINK(CONCATENATE("#metadata!", ADDRESS(INDEX($L$2:$L$1001,MATCH(ROWS($J$2:J375),$J$2:$J$1001,0),0), INDEX($Q$1004:$U$1004,1,MATCH(COLUMNS($Q$1006:R1006),$Q$1006:$U$1006,0)))),"Fix")))</f>
        <v xml:space="preserve"> </v>
      </c>
      <c r="D375" s="3" t="str">
        <f ca="1">IF(OR(INDEX($K$2:$K$1001,MATCH(ROWS($J$2:J375),$J$2:$J$1001,0),1)&gt;=100000,INDEX($Q$1005:$U$1005,1,MATCH(COLUMNS($Q$1006:S1006),$Q$1006:$U$1006,0))&gt;=100000), " ",IF(INDEX($Q$2:$U$1001,MATCH(ROWS($J$2:J375),$J$2:$J$1001,0),MATCH(COLUMNS($Q$1006:S1006),$Q$1006:$U$1006,0)), HYPERLINK("#",""), HYPERLINK(CONCATENATE("#metadata!", ADDRESS(INDEX($L$2:$L$1001,MATCH(ROWS($J$2:J375),$J$2:$J$1001,0),0), INDEX($Q$1004:$U$1004,1,MATCH(COLUMNS($Q$1006:S1006),$Q$1006:$U$1006,0)))),"Fix")))</f>
        <v xml:space="preserve"> </v>
      </c>
      <c r="E375" s="3" t="str">
        <f ca="1">IF(OR(INDEX($K$2:$K$1001,MATCH(ROWS($J$2:J375),$J$2:$J$1001,0),1)&gt;=100000,INDEX($Q$1005:$U$1005,1,MATCH(COLUMNS($Q$1006:T1006),$Q$1006:$U$1006,0))&gt;=100000), " ",IF(INDEX($Q$2:$U$1001,MATCH(ROWS($J$2:J375),$J$2:$J$1001,0),MATCH(COLUMNS($Q$1006:T1006),$Q$1006:$U$1006,0)), HYPERLINK("#",""), HYPERLINK(CONCATENATE("#metadata!", ADDRESS(INDEX($L$2:$L$1001,MATCH(ROWS($J$2:J375),$J$2:$J$1001,0),0), INDEX($Q$1004:$U$1004,1,MATCH(COLUMNS($Q$1006:T1006),$Q$1006:$U$1006,0)))),"Fix")))</f>
        <v xml:space="preserve"> </v>
      </c>
      <c r="F375" s="3" t="str">
        <f ca="1">IF(OR(INDEX($K$2:$K$1001,MATCH(ROWS($J$2:J375),$J$2:$J$1001,0),1)&gt;=100000,INDEX($Q$1005:$U$1005,1,MATCH(COLUMNS($Q$1006:U1006),$Q$1006:$U$1006,0))&gt;=100000), " ",IF(INDEX($Q$2:$U$1001,MATCH(ROWS($J$2:J375),$J$2:$J$1001,0),MATCH(COLUMNS($Q$1006:U1006),$Q$1006:$U$1006,0)), HYPERLINK("#",""), HYPERLINK(CONCATENATE("#metadata!", ADDRESS(INDEX($L$2:$L$1001,MATCH(ROWS($J$2:J375),$J$2:$J$1001,0),0), INDEX($Q$1004:$U$1004,1,MATCH(COLUMNS($Q$1006:U1006),$Q$1006:$U$1006,0)))),"Fix")))</f>
        <v xml:space="preserve"> </v>
      </c>
      <c r="J375">
        <v>374</v>
      </c>
      <c r="K375">
        <v>100375</v>
      </c>
      <c r="L375">
        <v>375</v>
      </c>
      <c r="M375" t="b">
        <f t="shared" si="5"/>
        <v>1</v>
      </c>
      <c r="N375" t="b">
        <f>COUNTBLANK(metadata!B375:F375)=COLUMNS(metadata!B375:F375)</f>
        <v>1</v>
      </c>
      <c r="O375" t="str">
        <v/>
      </c>
      <c r="Q375" t="b">
        <f ca="1">AND(IF(metadata!B375="",FALSE,TRUE),COUNTIF(metadata!B:B, metadata!B375) = 1,NOT(ISERROR(SUMPRODUCT(SEARCH(MID(metadata!B375,ROW(INDIRECT("1:"&amp;LEN(metadata!B375))), 1),"0123456789abcdefghijklmnopqrstuvwxyzABCDEFGHIJKLMNOPQRSTUVWXYZ.")))))</f>
        <v>0</v>
      </c>
      <c r="R375" t="b">
        <f>AND(IF(metadata!C375="",FALSE,TRUE),OR(EXACT(metadata!C375,"saline"),EXACT(metadata!C375,"non-saline")))</f>
        <v>0</v>
      </c>
      <c r="S375" t="b">
        <f>AND(IF(metadata!D375="",FALSE,TRUE),OR(EXACT(metadata!D375,"surface (non-saline)"),EXACT(metadata!D375,"aerosol (non-saline)"),EXACT(metadata!D375,"sediment (non-saline)"),EXACT(metadata!D375,"surface (saline)"),EXACT(metadata!D375,"aerosol (saline)"),EXACT(metadata!D375,"sediment (saline)")))</f>
        <v>0</v>
      </c>
      <c r="T375" t="b">
        <f>AND(IF(metadata!E375="",FALSE,TRUE),EXACT(metadata!E375,"built environment"))</f>
        <v>0</v>
      </c>
      <c r="U375" t="b">
        <f>OR(AND(IF(metadata!F375="",FALSE,TRUE),EXACT(metadata!F375,"not applicable")),AND(IF(metadata!F375="",FALSE,TRUE),EXACT(metadata!F375,"anaerobic digester content")))</f>
        <v>0</v>
      </c>
    </row>
    <row r="376" spans="1:21" x14ac:dyDescent="0.2">
      <c r="A376" s="4" t="str">
        <f ca="1">IF(B376=" "," ",HYPERLINK(CONCATENATE("#metadata!",ADDRESS(INDEX($L$2:$L$1001,MATCH(ROWS($J$2:J376),$J$2:$J$1001,0),0),1)),INDEX($O$2:$O$1001,MATCH(ROWS($J$2:J376),$J$2:$J$1001,0),0)))</f>
        <v xml:space="preserve"> </v>
      </c>
      <c r="B376" s="3" t="str">
        <f ca="1">IF(OR(INDEX($K$2:$K$1001,MATCH(ROWS($J$2:J376),$J$2:$J$1001,0),1)&gt;=100000,INDEX($Q$1005:$U$1005,1,MATCH(COLUMNS($Q$1006:Q1006),$Q$1006:$U$1006,0))&gt;=100000), " ",IF(INDEX($Q$2:$U$1001,MATCH(ROWS($J$2:J376),$J$2:$J$1001,0),MATCH(COLUMNS($Q$1006:Q1006),$Q$1006:$U$1006,0)), HYPERLINK("#",""), HYPERLINK(CONCATENATE("#metadata!", ADDRESS(INDEX($L$2:$L$1001,MATCH(ROWS($J$2:J376),$J$2:$J$1001,0),0), INDEX($Q$1004:$U$1004,1,MATCH(COLUMNS($Q$1006:Q1006),$Q$1006:$U$1006,0)))),"Fix")))</f>
        <v xml:space="preserve"> </v>
      </c>
      <c r="C376" s="3" t="str">
        <f ca="1">IF(OR(INDEX($K$2:$K$1001,MATCH(ROWS($J$2:J376),$J$2:$J$1001,0),1)&gt;=100000,INDEX($Q$1005:$U$1005,1,MATCH(COLUMNS($Q$1006:R1006),$Q$1006:$U$1006,0))&gt;=100000), " ",IF(INDEX($Q$2:$U$1001,MATCH(ROWS($J$2:J376),$J$2:$J$1001,0),MATCH(COLUMNS($Q$1006:R1006),$Q$1006:$U$1006,0)), HYPERLINK("#",""), HYPERLINK(CONCATENATE("#metadata!", ADDRESS(INDEX($L$2:$L$1001,MATCH(ROWS($J$2:J376),$J$2:$J$1001,0),0), INDEX($Q$1004:$U$1004,1,MATCH(COLUMNS($Q$1006:R1006),$Q$1006:$U$1006,0)))),"Fix")))</f>
        <v xml:space="preserve"> </v>
      </c>
      <c r="D376" s="3" t="str">
        <f ca="1">IF(OR(INDEX($K$2:$K$1001,MATCH(ROWS($J$2:J376),$J$2:$J$1001,0),1)&gt;=100000,INDEX($Q$1005:$U$1005,1,MATCH(COLUMNS($Q$1006:S1006),$Q$1006:$U$1006,0))&gt;=100000), " ",IF(INDEX($Q$2:$U$1001,MATCH(ROWS($J$2:J376),$J$2:$J$1001,0),MATCH(COLUMNS($Q$1006:S1006),$Q$1006:$U$1006,0)), HYPERLINK("#",""), HYPERLINK(CONCATENATE("#metadata!", ADDRESS(INDEX($L$2:$L$1001,MATCH(ROWS($J$2:J376),$J$2:$J$1001,0),0), INDEX($Q$1004:$U$1004,1,MATCH(COLUMNS($Q$1006:S1006),$Q$1006:$U$1006,0)))),"Fix")))</f>
        <v xml:space="preserve"> </v>
      </c>
      <c r="E376" s="3" t="str">
        <f ca="1">IF(OR(INDEX($K$2:$K$1001,MATCH(ROWS($J$2:J376),$J$2:$J$1001,0),1)&gt;=100000,INDEX($Q$1005:$U$1005,1,MATCH(COLUMNS($Q$1006:T1006),$Q$1006:$U$1006,0))&gt;=100000), " ",IF(INDEX($Q$2:$U$1001,MATCH(ROWS($J$2:J376),$J$2:$J$1001,0),MATCH(COLUMNS($Q$1006:T1006),$Q$1006:$U$1006,0)), HYPERLINK("#",""), HYPERLINK(CONCATENATE("#metadata!", ADDRESS(INDEX($L$2:$L$1001,MATCH(ROWS($J$2:J376),$J$2:$J$1001,0),0), INDEX($Q$1004:$U$1004,1,MATCH(COLUMNS($Q$1006:T1006),$Q$1006:$U$1006,0)))),"Fix")))</f>
        <v xml:space="preserve"> </v>
      </c>
      <c r="F376" s="3" t="str">
        <f ca="1">IF(OR(INDEX($K$2:$K$1001,MATCH(ROWS($J$2:J376),$J$2:$J$1001,0),1)&gt;=100000,INDEX($Q$1005:$U$1005,1,MATCH(COLUMNS($Q$1006:U1006),$Q$1006:$U$1006,0))&gt;=100000), " ",IF(INDEX($Q$2:$U$1001,MATCH(ROWS($J$2:J376),$J$2:$J$1001,0),MATCH(COLUMNS($Q$1006:U1006),$Q$1006:$U$1006,0)), HYPERLINK("#",""), HYPERLINK(CONCATENATE("#metadata!", ADDRESS(INDEX($L$2:$L$1001,MATCH(ROWS($J$2:J376),$J$2:$J$1001,0),0), INDEX($Q$1004:$U$1004,1,MATCH(COLUMNS($Q$1006:U1006),$Q$1006:$U$1006,0)))),"Fix")))</f>
        <v xml:space="preserve"> </v>
      </c>
      <c r="J376">
        <v>375</v>
      </c>
      <c r="K376">
        <v>100376</v>
      </c>
      <c r="L376">
        <v>376</v>
      </c>
      <c r="M376" t="b">
        <f t="shared" si="5"/>
        <v>1</v>
      </c>
      <c r="N376" t="b">
        <f>COUNTBLANK(metadata!B376:F376)=COLUMNS(metadata!B376:F376)</f>
        <v>1</v>
      </c>
      <c r="O376" t="str">
        <v/>
      </c>
      <c r="Q376" t="b">
        <f ca="1">AND(IF(metadata!B376="",FALSE,TRUE),COUNTIF(metadata!B:B, metadata!B376) = 1,NOT(ISERROR(SUMPRODUCT(SEARCH(MID(metadata!B376,ROW(INDIRECT("1:"&amp;LEN(metadata!B376))), 1),"0123456789abcdefghijklmnopqrstuvwxyzABCDEFGHIJKLMNOPQRSTUVWXYZ.")))))</f>
        <v>0</v>
      </c>
      <c r="R376" t="b">
        <f>AND(IF(metadata!C376="",FALSE,TRUE),OR(EXACT(metadata!C376,"saline"),EXACT(metadata!C376,"non-saline")))</f>
        <v>0</v>
      </c>
      <c r="S376" t="b">
        <f>AND(IF(metadata!D376="",FALSE,TRUE),OR(EXACT(metadata!D376,"surface (non-saline)"),EXACT(metadata!D376,"aerosol (non-saline)"),EXACT(metadata!D376,"sediment (non-saline)"),EXACT(metadata!D376,"surface (saline)"),EXACT(metadata!D376,"aerosol (saline)"),EXACT(metadata!D376,"sediment (saline)")))</f>
        <v>0</v>
      </c>
      <c r="T376" t="b">
        <f>AND(IF(metadata!E376="",FALSE,TRUE),EXACT(metadata!E376,"built environment"))</f>
        <v>0</v>
      </c>
      <c r="U376" t="b">
        <f>OR(AND(IF(metadata!F376="",FALSE,TRUE),EXACT(metadata!F376,"not applicable")),AND(IF(metadata!F376="",FALSE,TRUE),EXACT(metadata!F376,"anaerobic digester content")))</f>
        <v>0</v>
      </c>
    </row>
    <row r="377" spans="1:21" x14ac:dyDescent="0.2">
      <c r="A377" s="4" t="str">
        <f ca="1">IF(B377=" "," ",HYPERLINK(CONCATENATE("#metadata!",ADDRESS(INDEX($L$2:$L$1001,MATCH(ROWS($J$2:J377),$J$2:$J$1001,0),0),1)),INDEX($O$2:$O$1001,MATCH(ROWS($J$2:J377),$J$2:$J$1001,0),0)))</f>
        <v xml:space="preserve"> </v>
      </c>
      <c r="B377" s="3" t="str">
        <f ca="1">IF(OR(INDEX($K$2:$K$1001,MATCH(ROWS($J$2:J377),$J$2:$J$1001,0),1)&gt;=100000,INDEX($Q$1005:$U$1005,1,MATCH(COLUMNS($Q$1006:Q1006),$Q$1006:$U$1006,0))&gt;=100000), " ",IF(INDEX($Q$2:$U$1001,MATCH(ROWS($J$2:J377),$J$2:$J$1001,0),MATCH(COLUMNS($Q$1006:Q1006),$Q$1006:$U$1006,0)), HYPERLINK("#",""), HYPERLINK(CONCATENATE("#metadata!", ADDRESS(INDEX($L$2:$L$1001,MATCH(ROWS($J$2:J377),$J$2:$J$1001,0),0), INDEX($Q$1004:$U$1004,1,MATCH(COLUMNS($Q$1006:Q1006),$Q$1006:$U$1006,0)))),"Fix")))</f>
        <v xml:space="preserve"> </v>
      </c>
      <c r="C377" s="3" t="str">
        <f ca="1">IF(OR(INDEX($K$2:$K$1001,MATCH(ROWS($J$2:J377),$J$2:$J$1001,0),1)&gt;=100000,INDEX($Q$1005:$U$1005,1,MATCH(COLUMNS($Q$1006:R1006),$Q$1006:$U$1006,0))&gt;=100000), " ",IF(INDEX($Q$2:$U$1001,MATCH(ROWS($J$2:J377),$J$2:$J$1001,0),MATCH(COLUMNS($Q$1006:R1006),$Q$1006:$U$1006,0)), HYPERLINK("#",""), HYPERLINK(CONCATENATE("#metadata!", ADDRESS(INDEX($L$2:$L$1001,MATCH(ROWS($J$2:J377),$J$2:$J$1001,0),0), INDEX($Q$1004:$U$1004,1,MATCH(COLUMNS($Q$1006:R1006),$Q$1006:$U$1006,0)))),"Fix")))</f>
        <v xml:space="preserve"> </v>
      </c>
      <c r="D377" s="3" t="str">
        <f ca="1">IF(OR(INDEX($K$2:$K$1001,MATCH(ROWS($J$2:J377),$J$2:$J$1001,0),1)&gt;=100000,INDEX($Q$1005:$U$1005,1,MATCH(COLUMNS($Q$1006:S1006),$Q$1006:$U$1006,0))&gt;=100000), " ",IF(INDEX($Q$2:$U$1001,MATCH(ROWS($J$2:J377),$J$2:$J$1001,0),MATCH(COLUMNS($Q$1006:S1006),$Q$1006:$U$1006,0)), HYPERLINK("#",""), HYPERLINK(CONCATENATE("#metadata!", ADDRESS(INDEX($L$2:$L$1001,MATCH(ROWS($J$2:J377),$J$2:$J$1001,0),0), INDEX($Q$1004:$U$1004,1,MATCH(COLUMNS($Q$1006:S1006),$Q$1006:$U$1006,0)))),"Fix")))</f>
        <v xml:space="preserve"> </v>
      </c>
      <c r="E377" s="3" t="str">
        <f ca="1">IF(OR(INDEX($K$2:$K$1001,MATCH(ROWS($J$2:J377),$J$2:$J$1001,0),1)&gt;=100000,INDEX($Q$1005:$U$1005,1,MATCH(COLUMNS($Q$1006:T1006),$Q$1006:$U$1006,0))&gt;=100000), " ",IF(INDEX($Q$2:$U$1001,MATCH(ROWS($J$2:J377),$J$2:$J$1001,0),MATCH(COLUMNS($Q$1006:T1006),$Q$1006:$U$1006,0)), HYPERLINK("#",""), HYPERLINK(CONCATENATE("#metadata!", ADDRESS(INDEX($L$2:$L$1001,MATCH(ROWS($J$2:J377),$J$2:$J$1001,0),0), INDEX($Q$1004:$U$1004,1,MATCH(COLUMNS($Q$1006:T1006),$Q$1006:$U$1006,0)))),"Fix")))</f>
        <v xml:space="preserve"> </v>
      </c>
      <c r="F377" s="3" t="str">
        <f ca="1">IF(OR(INDEX($K$2:$K$1001,MATCH(ROWS($J$2:J377),$J$2:$J$1001,0),1)&gt;=100000,INDEX($Q$1005:$U$1005,1,MATCH(COLUMNS($Q$1006:U1006),$Q$1006:$U$1006,0))&gt;=100000), " ",IF(INDEX($Q$2:$U$1001,MATCH(ROWS($J$2:J377),$J$2:$J$1001,0),MATCH(COLUMNS($Q$1006:U1006),$Q$1006:$U$1006,0)), HYPERLINK("#",""), HYPERLINK(CONCATENATE("#metadata!", ADDRESS(INDEX($L$2:$L$1001,MATCH(ROWS($J$2:J377),$J$2:$J$1001,0),0), INDEX($Q$1004:$U$1004,1,MATCH(COLUMNS($Q$1006:U1006),$Q$1006:$U$1006,0)))),"Fix")))</f>
        <v xml:space="preserve"> </v>
      </c>
      <c r="J377">
        <v>376</v>
      </c>
      <c r="K377">
        <v>100377</v>
      </c>
      <c r="L377">
        <v>377</v>
      </c>
      <c r="M377" t="b">
        <f t="shared" si="5"/>
        <v>1</v>
      </c>
      <c r="N377" t="b">
        <f>COUNTBLANK(metadata!B377:F377)=COLUMNS(metadata!B377:F377)</f>
        <v>1</v>
      </c>
      <c r="O377" t="str">
        <v/>
      </c>
      <c r="Q377" t="b">
        <f ca="1">AND(IF(metadata!B377="",FALSE,TRUE),COUNTIF(metadata!B:B, metadata!B377) = 1,NOT(ISERROR(SUMPRODUCT(SEARCH(MID(metadata!B377,ROW(INDIRECT("1:"&amp;LEN(metadata!B377))), 1),"0123456789abcdefghijklmnopqrstuvwxyzABCDEFGHIJKLMNOPQRSTUVWXYZ.")))))</f>
        <v>0</v>
      </c>
      <c r="R377" t="b">
        <f>AND(IF(metadata!C377="",FALSE,TRUE),OR(EXACT(metadata!C377,"saline"),EXACT(metadata!C377,"non-saline")))</f>
        <v>0</v>
      </c>
      <c r="S377" t="b">
        <f>AND(IF(metadata!D377="",FALSE,TRUE),OR(EXACT(metadata!D377,"surface (non-saline)"),EXACT(metadata!D377,"aerosol (non-saline)"),EXACT(metadata!D377,"sediment (non-saline)"),EXACT(metadata!D377,"surface (saline)"),EXACT(metadata!D377,"aerosol (saline)"),EXACT(metadata!D377,"sediment (saline)")))</f>
        <v>0</v>
      </c>
      <c r="T377" t="b">
        <f>AND(IF(metadata!E377="",FALSE,TRUE),EXACT(metadata!E377,"built environment"))</f>
        <v>0</v>
      </c>
      <c r="U377" t="b">
        <f>OR(AND(IF(metadata!F377="",FALSE,TRUE),EXACT(metadata!F377,"not applicable")),AND(IF(metadata!F377="",FALSE,TRUE),EXACT(metadata!F377,"anaerobic digester content")))</f>
        <v>0</v>
      </c>
    </row>
    <row r="378" spans="1:21" x14ac:dyDescent="0.2">
      <c r="A378" s="4" t="str">
        <f ca="1">IF(B378=" "," ",HYPERLINK(CONCATENATE("#metadata!",ADDRESS(INDEX($L$2:$L$1001,MATCH(ROWS($J$2:J378),$J$2:$J$1001,0),0),1)),INDEX($O$2:$O$1001,MATCH(ROWS($J$2:J378),$J$2:$J$1001,0),0)))</f>
        <v xml:space="preserve"> </v>
      </c>
      <c r="B378" s="3" t="str">
        <f ca="1">IF(OR(INDEX($K$2:$K$1001,MATCH(ROWS($J$2:J378),$J$2:$J$1001,0),1)&gt;=100000,INDEX($Q$1005:$U$1005,1,MATCH(COLUMNS($Q$1006:Q1006),$Q$1006:$U$1006,0))&gt;=100000), " ",IF(INDEX($Q$2:$U$1001,MATCH(ROWS($J$2:J378),$J$2:$J$1001,0),MATCH(COLUMNS($Q$1006:Q1006),$Q$1006:$U$1006,0)), HYPERLINK("#",""), HYPERLINK(CONCATENATE("#metadata!", ADDRESS(INDEX($L$2:$L$1001,MATCH(ROWS($J$2:J378),$J$2:$J$1001,0),0), INDEX($Q$1004:$U$1004,1,MATCH(COLUMNS($Q$1006:Q1006),$Q$1006:$U$1006,0)))),"Fix")))</f>
        <v xml:space="preserve"> </v>
      </c>
      <c r="C378" s="3" t="str">
        <f ca="1">IF(OR(INDEX($K$2:$K$1001,MATCH(ROWS($J$2:J378),$J$2:$J$1001,0),1)&gt;=100000,INDEX($Q$1005:$U$1005,1,MATCH(COLUMNS($Q$1006:R1006),$Q$1006:$U$1006,0))&gt;=100000), " ",IF(INDEX($Q$2:$U$1001,MATCH(ROWS($J$2:J378),$J$2:$J$1001,0),MATCH(COLUMNS($Q$1006:R1006),$Q$1006:$U$1006,0)), HYPERLINK("#",""), HYPERLINK(CONCATENATE("#metadata!", ADDRESS(INDEX($L$2:$L$1001,MATCH(ROWS($J$2:J378),$J$2:$J$1001,0),0), INDEX($Q$1004:$U$1004,1,MATCH(COLUMNS($Q$1006:R1006),$Q$1006:$U$1006,0)))),"Fix")))</f>
        <v xml:space="preserve"> </v>
      </c>
      <c r="D378" s="3" t="str">
        <f ca="1">IF(OR(INDEX($K$2:$K$1001,MATCH(ROWS($J$2:J378),$J$2:$J$1001,0),1)&gt;=100000,INDEX($Q$1005:$U$1005,1,MATCH(COLUMNS($Q$1006:S1006),$Q$1006:$U$1006,0))&gt;=100000), " ",IF(INDEX($Q$2:$U$1001,MATCH(ROWS($J$2:J378),$J$2:$J$1001,0),MATCH(COLUMNS($Q$1006:S1006),$Q$1006:$U$1006,0)), HYPERLINK("#",""), HYPERLINK(CONCATENATE("#metadata!", ADDRESS(INDEX($L$2:$L$1001,MATCH(ROWS($J$2:J378),$J$2:$J$1001,0),0), INDEX($Q$1004:$U$1004,1,MATCH(COLUMNS($Q$1006:S1006),$Q$1006:$U$1006,0)))),"Fix")))</f>
        <v xml:space="preserve"> </v>
      </c>
      <c r="E378" s="3" t="str">
        <f ca="1">IF(OR(INDEX($K$2:$K$1001,MATCH(ROWS($J$2:J378),$J$2:$J$1001,0),1)&gt;=100000,INDEX($Q$1005:$U$1005,1,MATCH(COLUMNS($Q$1006:T1006),$Q$1006:$U$1006,0))&gt;=100000), " ",IF(INDEX($Q$2:$U$1001,MATCH(ROWS($J$2:J378),$J$2:$J$1001,0),MATCH(COLUMNS($Q$1006:T1006),$Q$1006:$U$1006,0)), HYPERLINK("#",""), HYPERLINK(CONCATENATE("#metadata!", ADDRESS(INDEX($L$2:$L$1001,MATCH(ROWS($J$2:J378),$J$2:$J$1001,0),0), INDEX($Q$1004:$U$1004,1,MATCH(COLUMNS($Q$1006:T1006),$Q$1006:$U$1006,0)))),"Fix")))</f>
        <v xml:space="preserve"> </v>
      </c>
      <c r="F378" s="3" t="str">
        <f ca="1">IF(OR(INDEX($K$2:$K$1001,MATCH(ROWS($J$2:J378),$J$2:$J$1001,0),1)&gt;=100000,INDEX($Q$1005:$U$1005,1,MATCH(COLUMNS($Q$1006:U1006),$Q$1006:$U$1006,0))&gt;=100000), " ",IF(INDEX($Q$2:$U$1001,MATCH(ROWS($J$2:J378),$J$2:$J$1001,0),MATCH(COLUMNS($Q$1006:U1006),$Q$1006:$U$1006,0)), HYPERLINK("#",""), HYPERLINK(CONCATENATE("#metadata!", ADDRESS(INDEX($L$2:$L$1001,MATCH(ROWS($J$2:J378),$J$2:$J$1001,0),0), INDEX($Q$1004:$U$1004,1,MATCH(COLUMNS($Q$1006:U1006),$Q$1006:$U$1006,0)))),"Fix")))</f>
        <v xml:space="preserve"> </v>
      </c>
      <c r="J378">
        <v>377</v>
      </c>
      <c r="K378">
        <v>100378</v>
      </c>
      <c r="L378">
        <v>378</v>
      </c>
      <c r="M378" t="b">
        <f t="shared" si="5"/>
        <v>1</v>
      </c>
      <c r="N378" t="b">
        <f>COUNTBLANK(metadata!B378:F378)=COLUMNS(metadata!B378:F378)</f>
        <v>1</v>
      </c>
      <c r="O378" t="str">
        <v/>
      </c>
      <c r="Q378" t="b">
        <f ca="1">AND(IF(metadata!B378="",FALSE,TRUE),COUNTIF(metadata!B:B, metadata!B378) = 1,NOT(ISERROR(SUMPRODUCT(SEARCH(MID(metadata!B378,ROW(INDIRECT("1:"&amp;LEN(metadata!B378))), 1),"0123456789abcdefghijklmnopqrstuvwxyzABCDEFGHIJKLMNOPQRSTUVWXYZ.")))))</f>
        <v>0</v>
      </c>
      <c r="R378" t="b">
        <f>AND(IF(metadata!C378="",FALSE,TRUE),OR(EXACT(metadata!C378,"saline"),EXACT(metadata!C378,"non-saline")))</f>
        <v>0</v>
      </c>
      <c r="S378" t="b">
        <f>AND(IF(metadata!D378="",FALSE,TRUE),OR(EXACT(metadata!D378,"surface (non-saline)"),EXACT(metadata!D378,"aerosol (non-saline)"),EXACT(metadata!D378,"sediment (non-saline)"),EXACT(metadata!D378,"surface (saline)"),EXACT(metadata!D378,"aerosol (saline)"),EXACT(metadata!D378,"sediment (saline)")))</f>
        <v>0</v>
      </c>
      <c r="T378" t="b">
        <f>AND(IF(metadata!E378="",FALSE,TRUE),EXACT(metadata!E378,"built environment"))</f>
        <v>0</v>
      </c>
      <c r="U378" t="b">
        <f>OR(AND(IF(metadata!F378="",FALSE,TRUE),EXACT(metadata!F378,"not applicable")),AND(IF(metadata!F378="",FALSE,TRUE),EXACT(metadata!F378,"anaerobic digester content")))</f>
        <v>0</v>
      </c>
    </row>
    <row r="379" spans="1:21" x14ac:dyDescent="0.2">
      <c r="A379" s="4" t="str">
        <f ca="1">IF(B379=" "," ",HYPERLINK(CONCATENATE("#metadata!",ADDRESS(INDEX($L$2:$L$1001,MATCH(ROWS($J$2:J379),$J$2:$J$1001,0),0),1)),INDEX($O$2:$O$1001,MATCH(ROWS($J$2:J379),$J$2:$J$1001,0),0)))</f>
        <v xml:space="preserve"> </v>
      </c>
      <c r="B379" s="3" t="str">
        <f ca="1">IF(OR(INDEX($K$2:$K$1001,MATCH(ROWS($J$2:J379),$J$2:$J$1001,0),1)&gt;=100000,INDEX($Q$1005:$U$1005,1,MATCH(COLUMNS($Q$1006:Q1006),$Q$1006:$U$1006,0))&gt;=100000), " ",IF(INDEX($Q$2:$U$1001,MATCH(ROWS($J$2:J379),$J$2:$J$1001,0),MATCH(COLUMNS($Q$1006:Q1006),$Q$1006:$U$1006,0)), HYPERLINK("#",""), HYPERLINK(CONCATENATE("#metadata!", ADDRESS(INDEX($L$2:$L$1001,MATCH(ROWS($J$2:J379),$J$2:$J$1001,0),0), INDEX($Q$1004:$U$1004,1,MATCH(COLUMNS($Q$1006:Q1006),$Q$1006:$U$1006,0)))),"Fix")))</f>
        <v xml:space="preserve"> </v>
      </c>
      <c r="C379" s="3" t="str">
        <f ca="1">IF(OR(INDEX($K$2:$K$1001,MATCH(ROWS($J$2:J379),$J$2:$J$1001,0),1)&gt;=100000,INDEX($Q$1005:$U$1005,1,MATCH(COLUMNS($Q$1006:R1006),$Q$1006:$U$1006,0))&gt;=100000), " ",IF(INDEX($Q$2:$U$1001,MATCH(ROWS($J$2:J379),$J$2:$J$1001,0),MATCH(COLUMNS($Q$1006:R1006),$Q$1006:$U$1006,0)), HYPERLINK("#",""), HYPERLINK(CONCATENATE("#metadata!", ADDRESS(INDEX($L$2:$L$1001,MATCH(ROWS($J$2:J379),$J$2:$J$1001,0),0), INDEX($Q$1004:$U$1004,1,MATCH(COLUMNS($Q$1006:R1006),$Q$1006:$U$1006,0)))),"Fix")))</f>
        <v xml:space="preserve"> </v>
      </c>
      <c r="D379" s="3" t="str">
        <f ca="1">IF(OR(INDEX($K$2:$K$1001,MATCH(ROWS($J$2:J379),$J$2:$J$1001,0),1)&gt;=100000,INDEX($Q$1005:$U$1005,1,MATCH(COLUMNS($Q$1006:S1006),$Q$1006:$U$1006,0))&gt;=100000), " ",IF(INDEX($Q$2:$U$1001,MATCH(ROWS($J$2:J379),$J$2:$J$1001,0),MATCH(COLUMNS($Q$1006:S1006),$Q$1006:$U$1006,0)), HYPERLINK("#",""), HYPERLINK(CONCATENATE("#metadata!", ADDRESS(INDEX($L$2:$L$1001,MATCH(ROWS($J$2:J379),$J$2:$J$1001,0),0), INDEX($Q$1004:$U$1004,1,MATCH(COLUMNS($Q$1006:S1006),$Q$1006:$U$1006,0)))),"Fix")))</f>
        <v xml:space="preserve"> </v>
      </c>
      <c r="E379" s="3" t="str">
        <f ca="1">IF(OR(INDEX($K$2:$K$1001,MATCH(ROWS($J$2:J379),$J$2:$J$1001,0),1)&gt;=100000,INDEX($Q$1005:$U$1005,1,MATCH(COLUMNS($Q$1006:T1006),$Q$1006:$U$1006,0))&gt;=100000), " ",IF(INDEX($Q$2:$U$1001,MATCH(ROWS($J$2:J379),$J$2:$J$1001,0),MATCH(COLUMNS($Q$1006:T1006),$Q$1006:$U$1006,0)), HYPERLINK("#",""), HYPERLINK(CONCATENATE("#metadata!", ADDRESS(INDEX($L$2:$L$1001,MATCH(ROWS($J$2:J379),$J$2:$J$1001,0),0), INDEX($Q$1004:$U$1004,1,MATCH(COLUMNS($Q$1006:T1006),$Q$1006:$U$1006,0)))),"Fix")))</f>
        <v xml:space="preserve"> </v>
      </c>
      <c r="F379" s="3" t="str">
        <f ca="1">IF(OR(INDEX($K$2:$K$1001,MATCH(ROWS($J$2:J379),$J$2:$J$1001,0),1)&gt;=100000,INDEX($Q$1005:$U$1005,1,MATCH(COLUMNS($Q$1006:U1006),$Q$1006:$U$1006,0))&gt;=100000), " ",IF(INDEX($Q$2:$U$1001,MATCH(ROWS($J$2:J379),$J$2:$J$1001,0),MATCH(COLUMNS($Q$1006:U1006),$Q$1006:$U$1006,0)), HYPERLINK("#",""), HYPERLINK(CONCATENATE("#metadata!", ADDRESS(INDEX($L$2:$L$1001,MATCH(ROWS($J$2:J379),$J$2:$J$1001,0),0), INDEX($Q$1004:$U$1004,1,MATCH(COLUMNS($Q$1006:U1006),$Q$1006:$U$1006,0)))),"Fix")))</f>
        <v xml:space="preserve"> </v>
      </c>
      <c r="J379">
        <v>378</v>
      </c>
      <c r="K379">
        <v>100379</v>
      </c>
      <c r="L379">
        <v>379</v>
      </c>
      <c r="M379" t="b">
        <f t="shared" si="5"/>
        <v>1</v>
      </c>
      <c r="N379" t="b">
        <f>COUNTBLANK(metadata!B379:F379)=COLUMNS(metadata!B379:F379)</f>
        <v>1</v>
      </c>
      <c r="O379" t="str">
        <v/>
      </c>
      <c r="Q379" t="b">
        <f ca="1">AND(IF(metadata!B379="",FALSE,TRUE),COUNTIF(metadata!B:B, metadata!B379) = 1,NOT(ISERROR(SUMPRODUCT(SEARCH(MID(metadata!B379,ROW(INDIRECT("1:"&amp;LEN(metadata!B379))), 1),"0123456789abcdefghijklmnopqrstuvwxyzABCDEFGHIJKLMNOPQRSTUVWXYZ.")))))</f>
        <v>0</v>
      </c>
      <c r="R379" t="b">
        <f>AND(IF(metadata!C379="",FALSE,TRUE),OR(EXACT(metadata!C379,"saline"),EXACT(metadata!C379,"non-saline")))</f>
        <v>0</v>
      </c>
      <c r="S379" t="b">
        <f>AND(IF(metadata!D379="",FALSE,TRUE),OR(EXACT(metadata!D379,"surface (non-saline)"),EXACT(metadata!D379,"aerosol (non-saline)"),EXACT(metadata!D379,"sediment (non-saline)"),EXACT(metadata!D379,"surface (saline)"),EXACT(metadata!D379,"aerosol (saline)"),EXACT(metadata!D379,"sediment (saline)")))</f>
        <v>0</v>
      </c>
      <c r="T379" t="b">
        <f>AND(IF(metadata!E379="",FALSE,TRUE),EXACT(metadata!E379,"built environment"))</f>
        <v>0</v>
      </c>
      <c r="U379" t="b">
        <f>OR(AND(IF(metadata!F379="",FALSE,TRUE),EXACT(metadata!F379,"not applicable")),AND(IF(metadata!F379="",FALSE,TRUE),EXACT(metadata!F379,"anaerobic digester content")))</f>
        <v>0</v>
      </c>
    </row>
    <row r="380" spans="1:21" x14ac:dyDescent="0.2">
      <c r="A380" s="4" t="str">
        <f ca="1">IF(B380=" "," ",HYPERLINK(CONCATENATE("#metadata!",ADDRESS(INDEX($L$2:$L$1001,MATCH(ROWS($J$2:J380),$J$2:$J$1001,0),0),1)),INDEX($O$2:$O$1001,MATCH(ROWS($J$2:J380),$J$2:$J$1001,0),0)))</f>
        <v xml:space="preserve"> </v>
      </c>
      <c r="B380" s="3" t="str">
        <f ca="1">IF(OR(INDEX($K$2:$K$1001,MATCH(ROWS($J$2:J380),$J$2:$J$1001,0),1)&gt;=100000,INDEX($Q$1005:$U$1005,1,MATCH(COLUMNS($Q$1006:Q1006),$Q$1006:$U$1006,0))&gt;=100000), " ",IF(INDEX($Q$2:$U$1001,MATCH(ROWS($J$2:J380),$J$2:$J$1001,0),MATCH(COLUMNS($Q$1006:Q1006),$Q$1006:$U$1006,0)), HYPERLINK("#",""), HYPERLINK(CONCATENATE("#metadata!", ADDRESS(INDEX($L$2:$L$1001,MATCH(ROWS($J$2:J380),$J$2:$J$1001,0),0), INDEX($Q$1004:$U$1004,1,MATCH(COLUMNS($Q$1006:Q1006),$Q$1006:$U$1006,0)))),"Fix")))</f>
        <v xml:space="preserve"> </v>
      </c>
      <c r="C380" s="3" t="str">
        <f ca="1">IF(OR(INDEX($K$2:$K$1001,MATCH(ROWS($J$2:J380),$J$2:$J$1001,0),1)&gt;=100000,INDEX($Q$1005:$U$1005,1,MATCH(COLUMNS($Q$1006:R1006),$Q$1006:$U$1006,0))&gt;=100000), " ",IF(INDEX($Q$2:$U$1001,MATCH(ROWS($J$2:J380),$J$2:$J$1001,0),MATCH(COLUMNS($Q$1006:R1006),$Q$1006:$U$1006,0)), HYPERLINK("#",""), HYPERLINK(CONCATENATE("#metadata!", ADDRESS(INDEX($L$2:$L$1001,MATCH(ROWS($J$2:J380),$J$2:$J$1001,0),0), INDEX($Q$1004:$U$1004,1,MATCH(COLUMNS($Q$1006:R1006),$Q$1006:$U$1006,0)))),"Fix")))</f>
        <v xml:space="preserve"> </v>
      </c>
      <c r="D380" s="3" t="str">
        <f ca="1">IF(OR(INDEX($K$2:$K$1001,MATCH(ROWS($J$2:J380),$J$2:$J$1001,0),1)&gt;=100000,INDEX($Q$1005:$U$1005,1,MATCH(COLUMNS($Q$1006:S1006),$Q$1006:$U$1006,0))&gt;=100000), " ",IF(INDEX($Q$2:$U$1001,MATCH(ROWS($J$2:J380),$J$2:$J$1001,0),MATCH(COLUMNS($Q$1006:S1006),$Q$1006:$U$1006,0)), HYPERLINK("#",""), HYPERLINK(CONCATENATE("#metadata!", ADDRESS(INDEX($L$2:$L$1001,MATCH(ROWS($J$2:J380),$J$2:$J$1001,0),0), INDEX($Q$1004:$U$1004,1,MATCH(COLUMNS($Q$1006:S1006),$Q$1006:$U$1006,0)))),"Fix")))</f>
        <v xml:space="preserve"> </v>
      </c>
      <c r="E380" s="3" t="str">
        <f ca="1">IF(OR(INDEX($K$2:$K$1001,MATCH(ROWS($J$2:J380),$J$2:$J$1001,0),1)&gt;=100000,INDEX($Q$1005:$U$1005,1,MATCH(COLUMNS($Q$1006:T1006),$Q$1006:$U$1006,0))&gt;=100000), " ",IF(INDEX($Q$2:$U$1001,MATCH(ROWS($J$2:J380),$J$2:$J$1001,0),MATCH(COLUMNS($Q$1006:T1006),$Q$1006:$U$1006,0)), HYPERLINK("#",""), HYPERLINK(CONCATENATE("#metadata!", ADDRESS(INDEX($L$2:$L$1001,MATCH(ROWS($J$2:J380),$J$2:$J$1001,0),0), INDEX($Q$1004:$U$1004,1,MATCH(COLUMNS($Q$1006:T1006),$Q$1006:$U$1006,0)))),"Fix")))</f>
        <v xml:space="preserve"> </v>
      </c>
      <c r="F380" s="3" t="str">
        <f ca="1">IF(OR(INDEX($K$2:$K$1001,MATCH(ROWS($J$2:J380),$J$2:$J$1001,0),1)&gt;=100000,INDEX($Q$1005:$U$1005,1,MATCH(COLUMNS($Q$1006:U1006),$Q$1006:$U$1006,0))&gt;=100000), " ",IF(INDEX($Q$2:$U$1001,MATCH(ROWS($J$2:J380),$J$2:$J$1001,0),MATCH(COLUMNS($Q$1006:U1006),$Q$1006:$U$1006,0)), HYPERLINK("#",""), HYPERLINK(CONCATENATE("#metadata!", ADDRESS(INDEX($L$2:$L$1001,MATCH(ROWS($J$2:J380),$J$2:$J$1001,0),0), INDEX($Q$1004:$U$1004,1,MATCH(COLUMNS($Q$1006:U1006),$Q$1006:$U$1006,0)))),"Fix")))</f>
        <v xml:space="preserve"> </v>
      </c>
      <c r="J380">
        <v>379</v>
      </c>
      <c r="K380">
        <v>100380</v>
      </c>
      <c r="L380">
        <v>380</v>
      </c>
      <c r="M380" t="b">
        <f t="shared" si="5"/>
        <v>1</v>
      </c>
      <c r="N380" t="b">
        <f>COUNTBLANK(metadata!B380:F380)=COLUMNS(metadata!B380:F380)</f>
        <v>1</v>
      </c>
      <c r="O380" t="str">
        <v/>
      </c>
      <c r="Q380" t="b">
        <f ca="1">AND(IF(metadata!B380="",FALSE,TRUE),COUNTIF(metadata!B:B, metadata!B380) = 1,NOT(ISERROR(SUMPRODUCT(SEARCH(MID(metadata!B380,ROW(INDIRECT("1:"&amp;LEN(metadata!B380))), 1),"0123456789abcdefghijklmnopqrstuvwxyzABCDEFGHIJKLMNOPQRSTUVWXYZ.")))))</f>
        <v>0</v>
      </c>
      <c r="R380" t="b">
        <f>AND(IF(metadata!C380="",FALSE,TRUE),OR(EXACT(metadata!C380,"saline"),EXACT(metadata!C380,"non-saline")))</f>
        <v>0</v>
      </c>
      <c r="S380" t="b">
        <f>AND(IF(metadata!D380="",FALSE,TRUE),OR(EXACT(metadata!D380,"surface (non-saline)"),EXACT(metadata!D380,"aerosol (non-saline)"),EXACT(metadata!D380,"sediment (non-saline)"),EXACT(metadata!D380,"surface (saline)"),EXACT(metadata!D380,"aerosol (saline)"),EXACT(metadata!D380,"sediment (saline)")))</f>
        <v>0</v>
      </c>
      <c r="T380" t="b">
        <f>AND(IF(metadata!E380="",FALSE,TRUE),EXACT(metadata!E380,"built environment"))</f>
        <v>0</v>
      </c>
      <c r="U380" t="b">
        <f>OR(AND(IF(metadata!F380="",FALSE,TRUE),EXACT(metadata!F380,"not applicable")),AND(IF(metadata!F380="",FALSE,TRUE),EXACT(metadata!F380,"anaerobic digester content")))</f>
        <v>0</v>
      </c>
    </row>
    <row r="381" spans="1:21" x14ac:dyDescent="0.2">
      <c r="A381" s="4" t="str">
        <f ca="1">IF(B381=" "," ",HYPERLINK(CONCATENATE("#metadata!",ADDRESS(INDEX($L$2:$L$1001,MATCH(ROWS($J$2:J381),$J$2:$J$1001,0),0),1)),INDEX($O$2:$O$1001,MATCH(ROWS($J$2:J381),$J$2:$J$1001,0),0)))</f>
        <v xml:space="preserve"> </v>
      </c>
      <c r="B381" s="3" t="str">
        <f ca="1">IF(OR(INDEX($K$2:$K$1001,MATCH(ROWS($J$2:J381),$J$2:$J$1001,0),1)&gt;=100000,INDEX($Q$1005:$U$1005,1,MATCH(COLUMNS($Q$1006:Q1006),$Q$1006:$U$1006,0))&gt;=100000), " ",IF(INDEX($Q$2:$U$1001,MATCH(ROWS($J$2:J381),$J$2:$J$1001,0),MATCH(COLUMNS($Q$1006:Q1006),$Q$1006:$U$1006,0)), HYPERLINK("#",""), HYPERLINK(CONCATENATE("#metadata!", ADDRESS(INDEX($L$2:$L$1001,MATCH(ROWS($J$2:J381),$J$2:$J$1001,0),0), INDEX($Q$1004:$U$1004,1,MATCH(COLUMNS($Q$1006:Q1006),$Q$1006:$U$1006,0)))),"Fix")))</f>
        <v xml:space="preserve"> </v>
      </c>
      <c r="C381" s="3" t="str">
        <f ca="1">IF(OR(INDEX($K$2:$K$1001,MATCH(ROWS($J$2:J381),$J$2:$J$1001,0),1)&gt;=100000,INDEX($Q$1005:$U$1005,1,MATCH(COLUMNS($Q$1006:R1006),$Q$1006:$U$1006,0))&gt;=100000), " ",IF(INDEX($Q$2:$U$1001,MATCH(ROWS($J$2:J381),$J$2:$J$1001,0),MATCH(COLUMNS($Q$1006:R1006),$Q$1006:$U$1006,0)), HYPERLINK("#",""), HYPERLINK(CONCATENATE("#metadata!", ADDRESS(INDEX($L$2:$L$1001,MATCH(ROWS($J$2:J381),$J$2:$J$1001,0),0), INDEX($Q$1004:$U$1004,1,MATCH(COLUMNS($Q$1006:R1006),$Q$1006:$U$1006,0)))),"Fix")))</f>
        <v xml:space="preserve"> </v>
      </c>
      <c r="D381" s="3" t="str">
        <f ca="1">IF(OR(INDEX($K$2:$K$1001,MATCH(ROWS($J$2:J381),$J$2:$J$1001,0),1)&gt;=100000,INDEX($Q$1005:$U$1005,1,MATCH(COLUMNS($Q$1006:S1006),$Q$1006:$U$1006,0))&gt;=100000), " ",IF(INDEX($Q$2:$U$1001,MATCH(ROWS($J$2:J381),$J$2:$J$1001,0),MATCH(COLUMNS($Q$1006:S1006),$Q$1006:$U$1006,0)), HYPERLINK("#",""), HYPERLINK(CONCATENATE("#metadata!", ADDRESS(INDEX($L$2:$L$1001,MATCH(ROWS($J$2:J381),$J$2:$J$1001,0),0), INDEX($Q$1004:$U$1004,1,MATCH(COLUMNS($Q$1006:S1006),$Q$1006:$U$1006,0)))),"Fix")))</f>
        <v xml:space="preserve"> </v>
      </c>
      <c r="E381" s="3" t="str">
        <f ca="1">IF(OR(INDEX($K$2:$K$1001,MATCH(ROWS($J$2:J381),$J$2:$J$1001,0),1)&gt;=100000,INDEX($Q$1005:$U$1005,1,MATCH(COLUMNS($Q$1006:T1006),$Q$1006:$U$1006,0))&gt;=100000), " ",IF(INDEX($Q$2:$U$1001,MATCH(ROWS($J$2:J381),$J$2:$J$1001,0),MATCH(COLUMNS($Q$1006:T1006),$Q$1006:$U$1006,0)), HYPERLINK("#",""), HYPERLINK(CONCATENATE("#metadata!", ADDRESS(INDEX($L$2:$L$1001,MATCH(ROWS($J$2:J381),$J$2:$J$1001,0),0), INDEX($Q$1004:$U$1004,1,MATCH(COLUMNS($Q$1006:T1006),$Q$1006:$U$1006,0)))),"Fix")))</f>
        <v xml:space="preserve"> </v>
      </c>
      <c r="F381" s="3" t="str">
        <f ca="1">IF(OR(INDEX($K$2:$K$1001,MATCH(ROWS($J$2:J381),$J$2:$J$1001,0),1)&gt;=100000,INDEX($Q$1005:$U$1005,1,MATCH(COLUMNS($Q$1006:U1006),$Q$1006:$U$1006,0))&gt;=100000), " ",IF(INDEX($Q$2:$U$1001,MATCH(ROWS($J$2:J381),$J$2:$J$1001,0),MATCH(COLUMNS($Q$1006:U1006),$Q$1006:$U$1006,0)), HYPERLINK("#",""), HYPERLINK(CONCATENATE("#metadata!", ADDRESS(INDEX($L$2:$L$1001,MATCH(ROWS($J$2:J381),$J$2:$J$1001,0),0), INDEX($Q$1004:$U$1004,1,MATCH(COLUMNS($Q$1006:U1006),$Q$1006:$U$1006,0)))),"Fix")))</f>
        <v xml:space="preserve"> </v>
      </c>
      <c r="J381">
        <v>380</v>
      </c>
      <c r="K381">
        <v>100381</v>
      </c>
      <c r="L381">
        <v>381</v>
      </c>
      <c r="M381" t="b">
        <f t="shared" si="5"/>
        <v>1</v>
      </c>
      <c r="N381" t="b">
        <f>COUNTBLANK(metadata!B381:F381)=COLUMNS(metadata!B381:F381)</f>
        <v>1</v>
      </c>
      <c r="O381" t="str">
        <v/>
      </c>
      <c r="Q381" t="b">
        <f ca="1">AND(IF(metadata!B381="",FALSE,TRUE),COUNTIF(metadata!B:B, metadata!B381) = 1,NOT(ISERROR(SUMPRODUCT(SEARCH(MID(metadata!B381,ROW(INDIRECT("1:"&amp;LEN(metadata!B381))), 1),"0123456789abcdefghijklmnopqrstuvwxyzABCDEFGHIJKLMNOPQRSTUVWXYZ.")))))</f>
        <v>0</v>
      </c>
      <c r="R381" t="b">
        <f>AND(IF(metadata!C381="",FALSE,TRUE),OR(EXACT(metadata!C381,"saline"),EXACT(metadata!C381,"non-saline")))</f>
        <v>0</v>
      </c>
      <c r="S381" t="b">
        <f>AND(IF(metadata!D381="",FALSE,TRUE),OR(EXACT(metadata!D381,"surface (non-saline)"),EXACT(metadata!D381,"aerosol (non-saline)"),EXACT(metadata!D381,"sediment (non-saline)"),EXACT(metadata!D381,"surface (saline)"),EXACT(metadata!D381,"aerosol (saline)"),EXACT(metadata!D381,"sediment (saline)")))</f>
        <v>0</v>
      </c>
      <c r="T381" t="b">
        <f>AND(IF(metadata!E381="",FALSE,TRUE),EXACT(metadata!E381,"built environment"))</f>
        <v>0</v>
      </c>
      <c r="U381" t="b">
        <f>OR(AND(IF(metadata!F381="",FALSE,TRUE),EXACT(metadata!F381,"not applicable")),AND(IF(metadata!F381="",FALSE,TRUE),EXACT(metadata!F381,"anaerobic digester content")))</f>
        <v>0</v>
      </c>
    </row>
    <row r="382" spans="1:21" x14ac:dyDescent="0.2">
      <c r="A382" s="4" t="str">
        <f ca="1">IF(B382=" "," ",HYPERLINK(CONCATENATE("#metadata!",ADDRESS(INDEX($L$2:$L$1001,MATCH(ROWS($J$2:J382),$J$2:$J$1001,0),0),1)),INDEX($O$2:$O$1001,MATCH(ROWS($J$2:J382),$J$2:$J$1001,0),0)))</f>
        <v xml:space="preserve"> </v>
      </c>
      <c r="B382" s="3" t="str">
        <f ca="1">IF(OR(INDEX($K$2:$K$1001,MATCH(ROWS($J$2:J382),$J$2:$J$1001,0),1)&gt;=100000,INDEX($Q$1005:$U$1005,1,MATCH(COLUMNS($Q$1006:Q1006),$Q$1006:$U$1006,0))&gt;=100000), " ",IF(INDEX($Q$2:$U$1001,MATCH(ROWS($J$2:J382),$J$2:$J$1001,0),MATCH(COLUMNS($Q$1006:Q1006),$Q$1006:$U$1006,0)), HYPERLINK("#",""), HYPERLINK(CONCATENATE("#metadata!", ADDRESS(INDEX($L$2:$L$1001,MATCH(ROWS($J$2:J382),$J$2:$J$1001,0),0), INDEX($Q$1004:$U$1004,1,MATCH(COLUMNS($Q$1006:Q1006),$Q$1006:$U$1006,0)))),"Fix")))</f>
        <v xml:space="preserve"> </v>
      </c>
      <c r="C382" s="3" t="str">
        <f ca="1">IF(OR(INDEX($K$2:$K$1001,MATCH(ROWS($J$2:J382),$J$2:$J$1001,0),1)&gt;=100000,INDEX($Q$1005:$U$1005,1,MATCH(COLUMNS($Q$1006:R1006),$Q$1006:$U$1006,0))&gt;=100000), " ",IF(INDEX($Q$2:$U$1001,MATCH(ROWS($J$2:J382),$J$2:$J$1001,0),MATCH(COLUMNS($Q$1006:R1006),$Q$1006:$U$1006,0)), HYPERLINK("#",""), HYPERLINK(CONCATENATE("#metadata!", ADDRESS(INDEX($L$2:$L$1001,MATCH(ROWS($J$2:J382),$J$2:$J$1001,0),0), INDEX($Q$1004:$U$1004,1,MATCH(COLUMNS($Q$1006:R1006),$Q$1006:$U$1006,0)))),"Fix")))</f>
        <v xml:space="preserve"> </v>
      </c>
      <c r="D382" s="3" t="str">
        <f ca="1">IF(OR(INDEX($K$2:$K$1001,MATCH(ROWS($J$2:J382),$J$2:$J$1001,0),1)&gt;=100000,INDEX($Q$1005:$U$1005,1,MATCH(COLUMNS($Q$1006:S1006),$Q$1006:$U$1006,0))&gt;=100000), " ",IF(INDEX($Q$2:$U$1001,MATCH(ROWS($J$2:J382),$J$2:$J$1001,0),MATCH(COLUMNS($Q$1006:S1006),$Q$1006:$U$1006,0)), HYPERLINK("#",""), HYPERLINK(CONCATENATE("#metadata!", ADDRESS(INDEX($L$2:$L$1001,MATCH(ROWS($J$2:J382),$J$2:$J$1001,0),0), INDEX($Q$1004:$U$1004,1,MATCH(COLUMNS($Q$1006:S1006),$Q$1006:$U$1006,0)))),"Fix")))</f>
        <v xml:space="preserve"> </v>
      </c>
      <c r="E382" s="3" t="str">
        <f ca="1">IF(OR(INDEX($K$2:$K$1001,MATCH(ROWS($J$2:J382),$J$2:$J$1001,0),1)&gt;=100000,INDEX($Q$1005:$U$1005,1,MATCH(COLUMNS($Q$1006:T1006),$Q$1006:$U$1006,0))&gt;=100000), " ",IF(INDEX($Q$2:$U$1001,MATCH(ROWS($J$2:J382),$J$2:$J$1001,0),MATCH(COLUMNS($Q$1006:T1006),$Q$1006:$U$1006,0)), HYPERLINK("#",""), HYPERLINK(CONCATENATE("#metadata!", ADDRESS(INDEX($L$2:$L$1001,MATCH(ROWS($J$2:J382),$J$2:$J$1001,0),0), INDEX($Q$1004:$U$1004,1,MATCH(COLUMNS($Q$1006:T1006),$Q$1006:$U$1006,0)))),"Fix")))</f>
        <v xml:space="preserve"> </v>
      </c>
      <c r="F382" s="3" t="str">
        <f ca="1">IF(OR(INDEX($K$2:$K$1001,MATCH(ROWS($J$2:J382),$J$2:$J$1001,0),1)&gt;=100000,INDEX($Q$1005:$U$1005,1,MATCH(COLUMNS($Q$1006:U1006),$Q$1006:$U$1006,0))&gt;=100000), " ",IF(INDEX($Q$2:$U$1001,MATCH(ROWS($J$2:J382),$J$2:$J$1001,0),MATCH(COLUMNS($Q$1006:U1006),$Q$1006:$U$1006,0)), HYPERLINK("#",""), HYPERLINK(CONCATENATE("#metadata!", ADDRESS(INDEX($L$2:$L$1001,MATCH(ROWS($J$2:J382),$J$2:$J$1001,0),0), INDEX($Q$1004:$U$1004,1,MATCH(COLUMNS($Q$1006:U1006),$Q$1006:$U$1006,0)))),"Fix")))</f>
        <v xml:space="preserve"> </v>
      </c>
      <c r="J382">
        <v>381</v>
      </c>
      <c r="K382">
        <v>100382</v>
      </c>
      <c r="L382">
        <v>382</v>
      </c>
      <c r="M382" t="b">
        <f t="shared" si="5"/>
        <v>1</v>
      </c>
      <c r="N382" t="b">
        <f>COUNTBLANK(metadata!B382:F382)=COLUMNS(metadata!B382:F382)</f>
        <v>1</v>
      </c>
      <c r="O382" t="str">
        <v/>
      </c>
      <c r="Q382" t="b">
        <f ca="1">AND(IF(metadata!B382="",FALSE,TRUE),COUNTIF(metadata!B:B, metadata!B382) = 1,NOT(ISERROR(SUMPRODUCT(SEARCH(MID(metadata!B382,ROW(INDIRECT("1:"&amp;LEN(metadata!B382))), 1),"0123456789abcdefghijklmnopqrstuvwxyzABCDEFGHIJKLMNOPQRSTUVWXYZ.")))))</f>
        <v>0</v>
      </c>
      <c r="R382" t="b">
        <f>AND(IF(metadata!C382="",FALSE,TRUE),OR(EXACT(metadata!C382,"saline"),EXACT(metadata!C382,"non-saline")))</f>
        <v>0</v>
      </c>
      <c r="S382" t="b">
        <f>AND(IF(metadata!D382="",FALSE,TRUE),OR(EXACT(metadata!D382,"surface (non-saline)"),EXACT(metadata!D382,"aerosol (non-saline)"),EXACT(metadata!D382,"sediment (non-saline)"),EXACT(metadata!D382,"surface (saline)"),EXACT(metadata!D382,"aerosol (saline)"),EXACT(metadata!D382,"sediment (saline)")))</f>
        <v>0</v>
      </c>
      <c r="T382" t="b">
        <f>AND(IF(metadata!E382="",FALSE,TRUE),EXACT(metadata!E382,"built environment"))</f>
        <v>0</v>
      </c>
      <c r="U382" t="b">
        <f>OR(AND(IF(metadata!F382="",FALSE,TRUE),EXACT(metadata!F382,"not applicable")),AND(IF(metadata!F382="",FALSE,TRUE),EXACT(metadata!F382,"anaerobic digester content")))</f>
        <v>0</v>
      </c>
    </row>
    <row r="383" spans="1:21" x14ac:dyDescent="0.2">
      <c r="A383" s="4" t="str">
        <f ca="1">IF(B383=" "," ",HYPERLINK(CONCATENATE("#metadata!",ADDRESS(INDEX($L$2:$L$1001,MATCH(ROWS($J$2:J383),$J$2:$J$1001,0),0),1)),INDEX($O$2:$O$1001,MATCH(ROWS($J$2:J383),$J$2:$J$1001,0),0)))</f>
        <v xml:space="preserve"> </v>
      </c>
      <c r="B383" s="3" t="str">
        <f ca="1">IF(OR(INDEX($K$2:$K$1001,MATCH(ROWS($J$2:J383),$J$2:$J$1001,0),1)&gt;=100000,INDEX($Q$1005:$U$1005,1,MATCH(COLUMNS($Q$1006:Q1006),$Q$1006:$U$1006,0))&gt;=100000), " ",IF(INDEX($Q$2:$U$1001,MATCH(ROWS($J$2:J383),$J$2:$J$1001,0),MATCH(COLUMNS($Q$1006:Q1006),$Q$1006:$U$1006,0)), HYPERLINK("#",""), HYPERLINK(CONCATENATE("#metadata!", ADDRESS(INDEX($L$2:$L$1001,MATCH(ROWS($J$2:J383),$J$2:$J$1001,0),0), INDEX($Q$1004:$U$1004,1,MATCH(COLUMNS($Q$1006:Q1006),$Q$1006:$U$1006,0)))),"Fix")))</f>
        <v xml:space="preserve"> </v>
      </c>
      <c r="C383" s="3" t="str">
        <f ca="1">IF(OR(INDEX($K$2:$K$1001,MATCH(ROWS($J$2:J383),$J$2:$J$1001,0),1)&gt;=100000,INDEX($Q$1005:$U$1005,1,MATCH(COLUMNS($Q$1006:R1006),$Q$1006:$U$1006,0))&gt;=100000), " ",IF(INDEX($Q$2:$U$1001,MATCH(ROWS($J$2:J383),$J$2:$J$1001,0),MATCH(COLUMNS($Q$1006:R1006),$Q$1006:$U$1006,0)), HYPERLINK("#",""), HYPERLINK(CONCATENATE("#metadata!", ADDRESS(INDEX($L$2:$L$1001,MATCH(ROWS($J$2:J383),$J$2:$J$1001,0),0), INDEX($Q$1004:$U$1004,1,MATCH(COLUMNS($Q$1006:R1006),$Q$1006:$U$1006,0)))),"Fix")))</f>
        <v xml:space="preserve"> </v>
      </c>
      <c r="D383" s="3" t="str">
        <f ca="1">IF(OR(INDEX($K$2:$K$1001,MATCH(ROWS($J$2:J383),$J$2:$J$1001,0),1)&gt;=100000,INDEX($Q$1005:$U$1005,1,MATCH(COLUMNS($Q$1006:S1006),$Q$1006:$U$1006,0))&gt;=100000), " ",IF(INDEX($Q$2:$U$1001,MATCH(ROWS($J$2:J383),$J$2:$J$1001,0),MATCH(COLUMNS($Q$1006:S1006),$Q$1006:$U$1006,0)), HYPERLINK("#",""), HYPERLINK(CONCATENATE("#metadata!", ADDRESS(INDEX($L$2:$L$1001,MATCH(ROWS($J$2:J383),$J$2:$J$1001,0),0), INDEX($Q$1004:$U$1004,1,MATCH(COLUMNS($Q$1006:S1006),$Q$1006:$U$1006,0)))),"Fix")))</f>
        <v xml:space="preserve"> </v>
      </c>
      <c r="E383" s="3" t="str">
        <f ca="1">IF(OR(INDEX($K$2:$K$1001,MATCH(ROWS($J$2:J383),$J$2:$J$1001,0),1)&gt;=100000,INDEX($Q$1005:$U$1005,1,MATCH(COLUMNS($Q$1006:T1006),$Q$1006:$U$1006,0))&gt;=100000), " ",IF(INDEX($Q$2:$U$1001,MATCH(ROWS($J$2:J383),$J$2:$J$1001,0),MATCH(COLUMNS($Q$1006:T1006),$Q$1006:$U$1006,0)), HYPERLINK("#",""), HYPERLINK(CONCATENATE("#metadata!", ADDRESS(INDEX($L$2:$L$1001,MATCH(ROWS($J$2:J383),$J$2:$J$1001,0),0), INDEX($Q$1004:$U$1004,1,MATCH(COLUMNS($Q$1006:T1006),$Q$1006:$U$1006,0)))),"Fix")))</f>
        <v xml:space="preserve"> </v>
      </c>
      <c r="F383" s="3" t="str">
        <f ca="1">IF(OR(INDEX($K$2:$K$1001,MATCH(ROWS($J$2:J383),$J$2:$J$1001,0),1)&gt;=100000,INDEX($Q$1005:$U$1005,1,MATCH(COLUMNS($Q$1006:U1006),$Q$1006:$U$1006,0))&gt;=100000), " ",IF(INDEX($Q$2:$U$1001,MATCH(ROWS($J$2:J383),$J$2:$J$1001,0),MATCH(COLUMNS($Q$1006:U1006),$Q$1006:$U$1006,0)), HYPERLINK("#",""), HYPERLINK(CONCATENATE("#metadata!", ADDRESS(INDEX($L$2:$L$1001,MATCH(ROWS($J$2:J383),$J$2:$J$1001,0),0), INDEX($Q$1004:$U$1004,1,MATCH(COLUMNS($Q$1006:U1006),$Q$1006:$U$1006,0)))),"Fix")))</f>
        <v xml:space="preserve"> </v>
      </c>
      <c r="J383">
        <v>382</v>
      </c>
      <c r="K383">
        <v>100383</v>
      </c>
      <c r="L383">
        <v>383</v>
      </c>
      <c r="M383" t="b">
        <f t="shared" si="5"/>
        <v>1</v>
      </c>
      <c r="N383" t="b">
        <f>COUNTBLANK(metadata!B383:F383)=COLUMNS(metadata!B383:F383)</f>
        <v>1</v>
      </c>
      <c r="O383" t="str">
        <v/>
      </c>
      <c r="Q383" t="b">
        <f ca="1">AND(IF(metadata!B383="",FALSE,TRUE),COUNTIF(metadata!B:B, metadata!B383) = 1,NOT(ISERROR(SUMPRODUCT(SEARCH(MID(metadata!B383,ROW(INDIRECT("1:"&amp;LEN(metadata!B383))), 1),"0123456789abcdefghijklmnopqrstuvwxyzABCDEFGHIJKLMNOPQRSTUVWXYZ.")))))</f>
        <v>0</v>
      </c>
      <c r="R383" t="b">
        <f>AND(IF(metadata!C383="",FALSE,TRUE),OR(EXACT(metadata!C383,"saline"),EXACT(metadata!C383,"non-saline")))</f>
        <v>0</v>
      </c>
      <c r="S383" t="b">
        <f>AND(IF(metadata!D383="",FALSE,TRUE),OR(EXACT(metadata!D383,"surface (non-saline)"),EXACT(metadata!D383,"aerosol (non-saline)"),EXACT(metadata!D383,"sediment (non-saline)"),EXACT(metadata!D383,"surface (saline)"),EXACT(metadata!D383,"aerosol (saline)"),EXACT(metadata!D383,"sediment (saline)")))</f>
        <v>0</v>
      </c>
      <c r="T383" t="b">
        <f>AND(IF(metadata!E383="",FALSE,TRUE),EXACT(metadata!E383,"built environment"))</f>
        <v>0</v>
      </c>
      <c r="U383" t="b">
        <f>OR(AND(IF(metadata!F383="",FALSE,TRUE),EXACT(metadata!F383,"not applicable")),AND(IF(metadata!F383="",FALSE,TRUE),EXACT(metadata!F383,"anaerobic digester content")))</f>
        <v>0</v>
      </c>
    </row>
    <row r="384" spans="1:21" x14ac:dyDescent="0.2">
      <c r="A384" s="4" t="str">
        <f ca="1">IF(B384=" "," ",HYPERLINK(CONCATENATE("#metadata!",ADDRESS(INDEX($L$2:$L$1001,MATCH(ROWS($J$2:J384),$J$2:$J$1001,0),0),1)),INDEX($O$2:$O$1001,MATCH(ROWS($J$2:J384),$J$2:$J$1001,0),0)))</f>
        <v xml:space="preserve"> </v>
      </c>
      <c r="B384" s="3" t="str">
        <f ca="1">IF(OR(INDEX($K$2:$K$1001,MATCH(ROWS($J$2:J384),$J$2:$J$1001,0),1)&gt;=100000,INDEX($Q$1005:$U$1005,1,MATCH(COLUMNS($Q$1006:Q1006),$Q$1006:$U$1006,0))&gt;=100000), " ",IF(INDEX($Q$2:$U$1001,MATCH(ROWS($J$2:J384),$J$2:$J$1001,0),MATCH(COLUMNS($Q$1006:Q1006),$Q$1006:$U$1006,0)), HYPERLINK("#",""), HYPERLINK(CONCATENATE("#metadata!", ADDRESS(INDEX($L$2:$L$1001,MATCH(ROWS($J$2:J384),$J$2:$J$1001,0),0), INDEX($Q$1004:$U$1004,1,MATCH(COLUMNS($Q$1006:Q1006),$Q$1006:$U$1006,0)))),"Fix")))</f>
        <v xml:space="preserve"> </v>
      </c>
      <c r="C384" s="3" t="str">
        <f ca="1">IF(OR(INDEX($K$2:$K$1001,MATCH(ROWS($J$2:J384),$J$2:$J$1001,0),1)&gt;=100000,INDEX($Q$1005:$U$1005,1,MATCH(COLUMNS($Q$1006:R1006),$Q$1006:$U$1006,0))&gt;=100000), " ",IF(INDEX($Q$2:$U$1001,MATCH(ROWS($J$2:J384),$J$2:$J$1001,0),MATCH(COLUMNS($Q$1006:R1006),$Q$1006:$U$1006,0)), HYPERLINK("#",""), HYPERLINK(CONCATENATE("#metadata!", ADDRESS(INDEX($L$2:$L$1001,MATCH(ROWS($J$2:J384),$J$2:$J$1001,0),0), INDEX($Q$1004:$U$1004,1,MATCH(COLUMNS($Q$1006:R1006),$Q$1006:$U$1006,0)))),"Fix")))</f>
        <v xml:space="preserve"> </v>
      </c>
      <c r="D384" s="3" t="str">
        <f ca="1">IF(OR(INDEX($K$2:$K$1001,MATCH(ROWS($J$2:J384),$J$2:$J$1001,0),1)&gt;=100000,INDEX($Q$1005:$U$1005,1,MATCH(COLUMNS($Q$1006:S1006),$Q$1006:$U$1006,0))&gt;=100000), " ",IF(INDEX($Q$2:$U$1001,MATCH(ROWS($J$2:J384),$J$2:$J$1001,0),MATCH(COLUMNS($Q$1006:S1006),$Q$1006:$U$1006,0)), HYPERLINK("#",""), HYPERLINK(CONCATENATE("#metadata!", ADDRESS(INDEX($L$2:$L$1001,MATCH(ROWS($J$2:J384),$J$2:$J$1001,0),0), INDEX($Q$1004:$U$1004,1,MATCH(COLUMNS($Q$1006:S1006),$Q$1006:$U$1006,0)))),"Fix")))</f>
        <v xml:space="preserve"> </v>
      </c>
      <c r="E384" s="3" t="str">
        <f ca="1">IF(OR(INDEX($K$2:$K$1001,MATCH(ROWS($J$2:J384),$J$2:$J$1001,0),1)&gt;=100000,INDEX($Q$1005:$U$1005,1,MATCH(COLUMNS($Q$1006:T1006),$Q$1006:$U$1006,0))&gt;=100000), " ",IF(INDEX($Q$2:$U$1001,MATCH(ROWS($J$2:J384),$J$2:$J$1001,0),MATCH(COLUMNS($Q$1006:T1006),$Q$1006:$U$1006,0)), HYPERLINK("#",""), HYPERLINK(CONCATENATE("#metadata!", ADDRESS(INDEX($L$2:$L$1001,MATCH(ROWS($J$2:J384),$J$2:$J$1001,0),0), INDEX($Q$1004:$U$1004,1,MATCH(COLUMNS($Q$1006:T1006),$Q$1006:$U$1006,0)))),"Fix")))</f>
        <v xml:space="preserve"> </v>
      </c>
      <c r="F384" s="3" t="str">
        <f ca="1">IF(OR(INDEX($K$2:$K$1001,MATCH(ROWS($J$2:J384),$J$2:$J$1001,0),1)&gt;=100000,INDEX($Q$1005:$U$1005,1,MATCH(COLUMNS($Q$1006:U1006),$Q$1006:$U$1006,0))&gt;=100000), " ",IF(INDEX($Q$2:$U$1001,MATCH(ROWS($J$2:J384),$J$2:$J$1001,0),MATCH(COLUMNS($Q$1006:U1006),$Q$1006:$U$1006,0)), HYPERLINK("#",""), HYPERLINK(CONCATENATE("#metadata!", ADDRESS(INDEX($L$2:$L$1001,MATCH(ROWS($J$2:J384),$J$2:$J$1001,0),0), INDEX($Q$1004:$U$1004,1,MATCH(COLUMNS($Q$1006:U1006),$Q$1006:$U$1006,0)))),"Fix")))</f>
        <v xml:space="preserve"> </v>
      </c>
      <c r="J384">
        <v>383</v>
      </c>
      <c r="K384">
        <v>100384</v>
      </c>
      <c r="L384">
        <v>384</v>
      </c>
      <c r="M384" t="b">
        <f t="shared" si="5"/>
        <v>1</v>
      </c>
      <c r="N384" t="b">
        <f>COUNTBLANK(metadata!B384:F384)=COLUMNS(metadata!B384:F384)</f>
        <v>1</v>
      </c>
      <c r="O384" t="str">
        <v/>
      </c>
      <c r="Q384" t="b">
        <f ca="1">AND(IF(metadata!B384="",FALSE,TRUE),COUNTIF(metadata!B:B, metadata!B384) = 1,NOT(ISERROR(SUMPRODUCT(SEARCH(MID(metadata!B384,ROW(INDIRECT("1:"&amp;LEN(metadata!B384))), 1),"0123456789abcdefghijklmnopqrstuvwxyzABCDEFGHIJKLMNOPQRSTUVWXYZ.")))))</f>
        <v>0</v>
      </c>
      <c r="R384" t="b">
        <f>AND(IF(metadata!C384="",FALSE,TRUE),OR(EXACT(metadata!C384,"saline"),EXACT(metadata!C384,"non-saline")))</f>
        <v>0</v>
      </c>
      <c r="S384" t="b">
        <f>AND(IF(metadata!D384="",FALSE,TRUE),OR(EXACT(metadata!D384,"surface (non-saline)"),EXACT(metadata!D384,"aerosol (non-saline)"),EXACT(metadata!D384,"sediment (non-saline)"),EXACT(metadata!D384,"surface (saline)"),EXACT(metadata!D384,"aerosol (saline)"),EXACT(metadata!D384,"sediment (saline)")))</f>
        <v>0</v>
      </c>
      <c r="T384" t="b">
        <f>AND(IF(metadata!E384="",FALSE,TRUE),EXACT(metadata!E384,"built environment"))</f>
        <v>0</v>
      </c>
      <c r="U384" t="b">
        <f>OR(AND(IF(metadata!F384="",FALSE,TRUE),EXACT(metadata!F384,"not applicable")),AND(IF(metadata!F384="",FALSE,TRUE),EXACT(metadata!F384,"anaerobic digester content")))</f>
        <v>0</v>
      </c>
    </row>
    <row r="385" spans="1:21" x14ac:dyDescent="0.2">
      <c r="A385" s="4" t="str">
        <f ca="1">IF(B385=" "," ",HYPERLINK(CONCATENATE("#metadata!",ADDRESS(INDEX($L$2:$L$1001,MATCH(ROWS($J$2:J385),$J$2:$J$1001,0),0),1)),INDEX($O$2:$O$1001,MATCH(ROWS($J$2:J385),$J$2:$J$1001,0),0)))</f>
        <v xml:space="preserve"> </v>
      </c>
      <c r="B385" s="3" t="str">
        <f ca="1">IF(OR(INDEX($K$2:$K$1001,MATCH(ROWS($J$2:J385),$J$2:$J$1001,0),1)&gt;=100000,INDEX($Q$1005:$U$1005,1,MATCH(COLUMNS($Q$1006:Q1006),$Q$1006:$U$1006,0))&gt;=100000), " ",IF(INDEX($Q$2:$U$1001,MATCH(ROWS($J$2:J385),$J$2:$J$1001,0),MATCH(COLUMNS($Q$1006:Q1006),$Q$1006:$U$1006,0)), HYPERLINK("#",""), HYPERLINK(CONCATENATE("#metadata!", ADDRESS(INDEX($L$2:$L$1001,MATCH(ROWS($J$2:J385),$J$2:$J$1001,0),0), INDEX($Q$1004:$U$1004,1,MATCH(COLUMNS($Q$1006:Q1006),$Q$1006:$U$1006,0)))),"Fix")))</f>
        <v xml:space="preserve"> </v>
      </c>
      <c r="C385" s="3" t="str">
        <f ca="1">IF(OR(INDEX($K$2:$K$1001,MATCH(ROWS($J$2:J385),$J$2:$J$1001,0),1)&gt;=100000,INDEX($Q$1005:$U$1005,1,MATCH(COLUMNS($Q$1006:R1006),$Q$1006:$U$1006,0))&gt;=100000), " ",IF(INDEX($Q$2:$U$1001,MATCH(ROWS($J$2:J385),$J$2:$J$1001,0),MATCH(COLUMNS($Q$1006:R1006),$Q$1006:$U$1006,0)), HYPERLINK("#",""), HYPERLINK(CONCATENATE("#metadata!", ADDRESS(INDEX($L$2:$L$1001,MATCH(ROWS($J$2:J385),$J$2:$J$1001,0),0), INDEX($Q$1004:$U$1004,1,MATCH(COLUMNS($Q$1006:R1006),$Q$1006:$U$1006,0)))),"Fix")))</f>
        <v xml:space="preserve"> </v>
      </c>
      <c r="D385" s="3" t="str">
        <f ca="1">IF(OR(INDEX($K$2:$K$1001,MATCH(ROWS($J$2:J385),$J$2:$J$1001,0),1)&gt;=100000,INDEX($Q$1005:$U$1005,1,MATCH(COLUMNS($Q$1006:S1006),$Q$1006:$U$1006,0))&gt;=100000), " ",IF(INDEX($Q$2:$U$1001,MATCH(ROWS($J$2:J385),$J$2:$J$1001,0),MATCH(COLUMNS($Q$1006:S1006),$Q$1006:$U$1006,0)), HYPERLINK("#",""), HYPERLINK(CONCATENATE("#metadata!", ADDRESS(INDEX($L$2:$L$1001,MATCH(ROWS($J$2:J385),$J$2:$J$1001,0),0), INDEX($Q$1004:$U$1004,1,MATCH(COLUMNS($Q$1006:S1006),$Q$1006:$U$1006,0)))),"Fix")))</f>
        <v xml:space="preserve"> </v>
      </c>
      <c r="E385" s="3" t="str">
        <f ca="1">IF(OR(INDEX($K$2:$K$1001,MATCH(ROWS($J$2:J385),$J$2:$J$1001,0),1)&gt;=100000,INDEX($Q$1005:$U$1005,1,MATCH(COLUMNS($Q$1006:T1006),$Q$1006:$U$1006,0))&gt;=100000), " ",IF(INDEX($Q$2:$U$1001,MATCH(ROWS($J$2:J385),$J$2:$J$1001,0),MATCH(COLUMNS($Q$1006:T1006),$Q$1006:$U$1006,0)), HYPERLINK("#",""), HYPERLINK(CONCATENATE("#metadata!", ADDRESS(INDEX($L$2:$L$1001,MATCH(ROWS($J$2:J385),$J$2:$J$1001,0),0), INDEX($Q$1004:$U$1004,1,MATCH(COLUMNS($Q$1006:T1006),$Q$1006:$U$1006,0)))),"Fix")))</f>
        <v xml:space="preserve"> </v>
      </c>
      <c r="F385" s="3" t="str">
        <f ca="1">IF(OR(INDEX($K$2:$K$1001,MATCH(ROWS($J$2:J385),$J$2:$J$1001,0),1)&gt;=100000,INDEX($Q$1005:$U$1005,1,MATCH(COLUMNS($Q$1006:U1006),$Q$1006:$U$1006,0))&gt;=100000), " ",IF(INDEX($Q$2:$U$1001,MATCH(ROWS($J$2:J385),$J$2:$J$1001,0),MATCH(COLUMNS($Q$1006:U1006),$Q$1006:$U$1006,0)), HYPERLINK("#",""), HYPERLINK(CONCATENATE("#metadata!", ADDRESS(INDEX($L$2:$L$1001,MATCH(ROWS($J$2:J385),$J$2:$J$1001,0),0), INDEX($Q$1004:$U$1004,1,MATCH(COLUMNS($Q$1006:U1006),$Q$1006:$U$1006,0)))),"Fix")))</f>
        <v xml:space="preserve"> </v>
      </c>
      <c r="J385">
        <v>384</v>
      </c>
      <c r="K385">
        <v>100385</v>
      </c>
      <c r="L385">
        <v>385</v>
      </c>
      <c r="M385" t="b">
        <f t="shared" si="5"/>
        <v>1</v>
      </c>
      <c r="N385" t="b">
        <f>COUNTBLANK(metadata!B385:F385)=COLUMNS(metadata!B385:F385)</f>
        <v>1</v>
      </c>
      <c r="O385" t="str">
        <v/>
      </c>
      <c r="Q385" t="b">
        <f ca="1">AND(IF(metadata!B385="",FALSE,TRUE),COUNTIF(metadata!B:B, metadata!B385) = 1,NOT(ISERROR(SUMPRODUCT(SEARCH(MID(metadata!B385,ROW(INDIRECT("1:"&amp;LEN(metadata!B385))), 1),"0123456789abcdefghijklmnopqrstuvwxyzABCDEFGHIJKLMNOPQRSTUVWXYZ.")))))</f>
        <v>0</v>
      </c>
      <c r="R385" t="b">
        <f>AND(IF(metadata!C385="",FALSE,TRUE),OR(EXACT(metadata!C385,"saline"),EXACT(metadata!C385,"non-saline")))</f>
        <v>0</v>
      </c>
      <c r="S385" t="b">
        <f>AND(IF(metadata!D385="",FALSE,TRUE),OR(EXACT(metadata!D385,"surface (non-saline)"),EXACT(metadata!D385,"aerosol (non-saline)"),EXACT(metadata!D385,"sediment (non-saline)"),EXACT(metadata!D385,"surface (saline)"),EXACT(metadata!D385,"aerosol (saline)"),EXACT(metadata!D385,"sediment (saline)")))</f>
        <v>0</v>
      </c>
      <c r="T385" t="b">
        <f>AND(IF(metadata!E385="",FALSE,TRUE),EXACT(metadata!E385,"built environment"))</f>
        <v>0</v>
      </c>
      <c r="U385" t="b">
        <f>OR(AND(IF(metadata!F385="",FALSE,TRUE),EXACT(metadata!F385,"not applicable")),AND(IF(metadata!F385="",FALSE,TRUE),EXACT(metadata!F385,"anaerobic digester content")))</f>
        <v>0</v>
      </c>
    </row>
    <row r="386" spans="1:21" x14ac:dyDescent="0.2">
      <c r="A386" s="4" t="str">
        <f ca="1">IF(B386=" "," ",HYPERLINK(CONCATENATE("#metadata!",ADDRESS(INDEX($L$2:$L$1001,MATCH(ROWS($J$2:J386),$J$2:$J$1001,0),0),1)),INDEX($O$2:$O$1001,MATCH(ROWS($J$2:J386),$J$2:$J$1001,0),0)))</f>
        <v xml:space="preserve"> </v>
      </c>
      <c r="B386" s="3" t="str">
        <f ca="1">IF(OR(INDEX($K$2:$K$1001,MATCH(ROWS($J$2:J386),$J$2:$J$1001,0),1)&gt;=100000,INDEX($Q$1005:$U$1005,1,MATCH(COLUMNS($Q$1006:Q1006),$Q$1006:$U$1006,0))&gt;=100000), " ",IF(INDEX($Q$2:$U$1001,MATCH(ROWS($J$2:J386),$J$2:$J$1001,0),MATCH(COLUMNS($Q$1006:Q1006),$Q$1006:$U$1006,0)), HYPERLINK("#",""), HYPERLINK(CONCATENATE("#metadata!", ADDRESS(INDEX($L$2:$L$1001,MATCH(ROWS($J$2:J386),$J$2:$J$1001,0),0), INDEX($Q$1004:$U$1004,1,MATCH(COLUMNS($Q$1006:Q1006),$Q$1006:$U$1006,0)))),"Fix")))</f>
        <v xml:space="preserve"> </v>
      </c>
      <c r="C386" s="3" t="str">
        <f ca="1">IF(OR(INDEX($K$2:$K$1001,MATCH(ROWS($J$2:J386),$J$2:$J$1001,0),1)&gt;=100000,INDEX($Q$1005:$U$1005,1,MATCH(COLUMNS($Q$1006:R1006),$Q$1006:$U$1006,0))&gt;=100000), " ",IF(INDEX($Q$2:$U$1001,MATCH(ROWS($J$2:J386),$J$2:$J$1001,0),MATCH(COLUMNS($Q$1006:R1006),$Q$1006:$U$1006,0)), HYPERLINK("#",""), HYPERLINK(CONCATENATE("#metadata!", ADDRESS(INDEX($L$2:$L$1001,MATCH(ROWS($J$2:J386),$J$2:$J$1001,0),0), INDEX($Q$1004:$U$1004,1,MATCH(COLUMNS($Q$1006:R1006),$Q$1006:$U$1006,0)))),"Fix")))</f>
        <v xml:space="preserve"> </v>
      </c>
      <c r="D386" s="3" t="str">
        <f ca="1">IF(OR(INDEX($K$2:$K$1001,MATCH(ROWS($J$2:J386),$J$2:$J$1001,0),1)&gt;=100000,INDEX($Q$1005:$U$1005,1,MATCH(COLUMNS($Q$1006:S1006),$Q$1006:$U$1006,0))&gt;=100000), " ",IF(INDEX($Q$2:$U$1001,MATCH(ROWS($J$2:J386),$J$2:$J$1001,0),MATCH(COLUMNS($Q$1006:S1006),$Q$1006:$U$1006,0)), HYPERLINK("#",""), HYPERLINK(CONCATENATE("#metadata!", ADDRESS(INDEX($L$2:$L$1001,MATCH(ROWS($J$2:J386),$J$2:$J$1001,0),0), INDEX($Q$1004:$U$1004,1,MATCH(COLUMNS($Q$1006:S1006),$Q$1006:$U$1006,0)))),"Fix")))</f>
        <v xml:space="preserve"> </v>
      </c>
      <c r="E386" s="3" t="str">
        <f ca="1">IF(OR(INDEX($K$2:$K$1001,MATCH(ROWS($J$2:J386),$J$2:$J$1001,0),1)&gt;=100000,INDEX($Q$1005:$U$1005,1,MATCH(COLUMNS($Q$1006:T1006),$Q$1006:$U$1006,0))&gt;=100000), " ",IF(INDEX($Q$2:$U$1001,MATCH(ROWS($J$2:J386),$J$2:$J$1001,0),MATCH(COLUMNS($Q$1006:T1006),$Q$1006:$U$1006,0)), HYPERLINK("#",""), HYPERLINK(CONCATENATE("#metadata!", ADDRESS(INDEX($L$2:$L$1001,MATCH(ROWS($J$2:J386),$J$2:$J$1001,0),0), INDEX($Q$1004:$U$1004,1,MATCH(COLUMNS($Q$1006:T1006),$Q$1006:$U$1006,0)))),"Fix")))</f>
        <v xml:space="preserve"> </v>
      </c>
      <c r="F386" s="3" t="str">
        <f ca="1">IF(OR(INDEX($K$2:$K$1001,MATCH(ROWS($J$2:J386),$J$2:$J$1001,0),1)&gt;=100000,INDEX($Q$1005:$U$1005,1,MATCH(COLUMNS($Q$1006:U1006),$Q$1006:$U$1006,0))&gt;=100000), " ",IF(INDEX($Q$2:$U$1001,MATCH(ROWS($J$2:J386),$J$2:$J$1001,0),MATCH(COLUMNS($Q$1006:U1006),$Q$1006:$U$1006,0)), HYPERLINK("#",""), HYPERLINK(CONCATENATE("#metadata!", ADDRESS(INDEX($L$2:$L$1001,MATCH(ROWS($J$2:J386),$J$2:$J$1001,0),0), INDEX($Q$1004:$U$1004,1,MATCH(COLUMNS($Q$1006:U1006),$Q$1006:$U$1006,0)))),"Fix")))</f>
        <v xml:space="preserve"> </v>
      </c>
      <c r="J386">
        <v>385</v>
      </c>
      <c r="K386">
        <v>100386</v>
      </c>
      <c r="L386">
        <v>386</v>
      </c>
      <c r="M386" t="b">
        <f t="shared" ref="M386:M449" si="6">IF(N386,TRUE,AND(Q386:U386))</f>
        <v>1</v>
      </c>
      <c r="N386" t="b">
        <f>COUNTBLANK(metadata!B386:F386)=COLUMNS(metadata!B386:F386)</f>
        <v>1</v>
      </c>
      <c r="O386" t="str">
        <v/>
      </c>
      <c r="Q386" t="b">
        <f ca="1">AND(IF(metadata!B386="",FALSE,TRUE),COUNTIF(metadata!B:B, metadata!B386) = 1,NOT(ISERROR(SUMPRODUCT(SEARCH(MID(metadata!B386,ROW(INDIRECT("1:"&amp;LEN(metadata!B386))), 1),"0123456789abcdefghijklmnopqrstuvwxyzABCDEFGHIJKLMNOPQRSTUVWXYZ.")))))</f>
        <v>0</v>
      </c>
      <c r="R386" t="b">
        <f>AND(IF(metadata!C386="",FALSE,TRUE),OR(EXACT(metadata!C386,"saline"),EXACT(metadata!C386,"non-saline")))</f>
        <v>0</v>
      </c>
      <c r="S386" t="b">
        <f>AND(IF(metadata!D386="",FALSE,TRUE),OR(EXACT(metadata!D386,"surface (non-saline)"),EXACT(metadata!D386,"aerosol (non-saline)"),EXACT(metadata!D386,"sediment (non-saline)"),EXACT(metadata!D386,"surface (saline)"),EXACT(metadata!D386,"aerosol (saline)"),EXACT(metadata!D386,"sediment (saline)")))</f>
        <v>0</v>
      </c>
      <c r="T386" t="b">
        <f>AND(IF(metadata!E386="",FALSE,TRUE),EXACT(metadata!E386,"built environment"))</f>
        <v>0</v>
      </c>
      <c r="U386" t="b">
        <f>OR(AND(IF(metadata!F386="",FALSE,TRUE),EXACT(metadata!F386,"not applicable")),AND(IF(metadata!F386="",FALSE,TRUE),EXACT(metadata!F386,"anaerobic digester content")))</f>
        <v>0</v>
      </c>
    </row>
    <row r="387" spans="1:21" x14ac:dyDescent="0.2">
      <c r="A387" s="4" t="str">
        <f ca="1">IF(B387=" "," ",HYPERLINK(CONCATENATE("#metadata!",ADDRESS(INDEX($L$2:$L$1001,MATCH(ROWS($J$2:J387),$J$2:$J$1001,0),0),1)),INDEX($O$2:$O$1001,MATCH(ROWS($J$2:J387),$J$2:$J$1001,0),0)))</f>
        <v xml:space="preserve"> </v>
      </c>
      <c r="B387" s="3" t="str">
        <f ca="1">IF(OR(INDEX($K$2:$K$1001,MATCH(ROWS($J$2:J387),$J$2:$J$1001,0),1)&gt;=100000,INDEX($Q$1005:$U$1005,1,MATCH(COLUMNS($Q$1006:Q1006),$Q$1006:$U$1006,0))&gt;=100000), " ",IF(INDEX($Q$2:$U$1001,MATCH(ROWS($J$2:J387),$J$2:$J$1001,0),MATCH(COLUMNS($Q$1006:Q1006),$Q$1006:$U$1006,0)), HYPERLINK("#",""), HYPERLINK(CONCATENATE("#metadata!", ADDRESS(INDEX($L$2:$L$1001,MATCH(ROWS($J$2:J387),$J$2:$J$1001,0),0), INDEX($Q$1004:$U$1004,1,MATCH(COLUMNS($Q$1006:Q1006),$Q$1006:$U$1006,0)))),"Fix")))</f>
        <v xml:space="preserve"> </v>
      </c>
      <c r="C387" s="3" t="str">
        <f ca="1">IF(OR(INDEX($K$2:$K$1001,MATCH(ROWS($J$2:J387),$J$2:$J$1001,0),1)&gt;=100000,INDEX($Q$1005:$U$1005,1,MATCH(COLUMNS($Q$1006:R1006),$Q$1006:$U$1006,0))&gt;=100000), " ",IF(INDEX($Q$2:$U$1001,MATCH(ROWS($J$2:J387),$J$2:$J$1001,0),MATCH(COLUMNS($Q$1006:R1006),$Q$1006:$U$1006,0)), HYPERLINK("#",""), HYPERLINK(CONCATENATE("#metadata!", ADDRESS(INDEX($L$2:$L$1001,MATCH(ROWS($J$2:J387),$J$2:$J$1001,0),0), INDEX($Q$1004:$U$1004,1,MATCH(COLUMNS($Q$1006:R1006),$Q$1006:$U$1006,0)))),"Fix")))</f>
        <v xml:space="preserve"> </v>
      </c>
      <c r="D387" s="3" t="str">
        <f ca="1">IF(OR(INDEX($K$2:$K$1001,MATCH(ROWS($J$2:J387),$J$2:$J$1001,0),1)&gt;=100000,INDEX($Q$1005:$U$1005,1,MATCH(COLUMNS($Q$1006:S1006),$Q$1006:$U$1006,0))&gt;=100000), " ",IF(INDEX($Q$2:$U$1001,MATCH(ROWS($J$2:J387),$J$2:$J$1001,0),MATCH(COLUMNS($Q$1006:S1006),$Q$1006:$U$1006,0)), HYPERLINK("#",""), HYPERLINK(CONCATENATE("#metadata!", ADDRESS(INDEX($L$2:$L$1001,MATCH(ROWS($J$2:J387),$J$2:$J$1001,0),0), INDEX($Q$1004:$U$1004,1,MATCH(COLUMNS($Q$1006:S1006),$Q$1006:$U$1006,0)))),"Fix")))</f>
        <v xml:space="preserve"> </v>
      </c>
      <c r="E387" s="3" t="str">
        <f ca="1">IF(OR(INDEX($K$2:$K$1001,MATCH(ROWS($J$2:J387),$J$2:$J$1001,0),1)&gt;=100000,INDEX($Q$1005:$U$1005,1,MATCH(COLUMNS($Q$1006:T1006),$Q$1006:$U$1006,0))&gt;=100000), " ",IF(INDEX($Q$2:$U$1001,MATCH(ROWS($J$2:J387),$J$2:$J$1001,0),MATCH(COLUMNS($Q$1006:T1006),$Q$1006:$U$1006,0)), HYPERLINK("#",""), HYPERLINK(CONCATENATE("#metadata!", ADDRESS(INDEX($L$2:$L$1001,MATCH(ROWS($J$2:J387),$J$2:$J$1001,0),0), INDEX($Q$1004:$U$1004,1,MATCH(COLUMNS($Q$1006:T1006),$Q$1006:$U$1006,0)))),"Fix")))</f>
        <v xml:space="preserve"> </v>
      </c>
      <c r="F387" s="3" t="str">
        <f ca="1">IF(OR(INDEX($K$2:$K$1001,MATCH(ROWS($J$2:J387),$J$2:$J$1001,0),1)&gt;=100000,INDEX($Q$1005:$U$1005,1,MATCH(COLUMNS($Q$1006:U1006),$Q$1006:$U$1006,0))&gt;=100000), " ",IF(INDEX($Q$2:$U$1001,MATCH(ROWS($J$2:J387),$J$2:$J$1001,0),MATCH(COLUMNS($Q$1006:U1006),$Q$1006:$U$1006,0)), HYPERLINK("#",""), HYPERLINK(CONCATENATE("#metadata!", ADDRESS(INDEX($L$2:$L$1001,MATCH(ROWS($J$2:J387),$J$2:$J$1001,0),0), INDEX($Q$1004:$U$1004,1,MATCH(COLUMNS($Q$1006:U1006),$Q$1006:$U$1006,0)))),"Fix")))</f>
        <v xml:space="preserve"> </v>
      </c>
      <c r="J387">
        <v>386</v>
      </c>
      <c r="K387">
        <v>100387</v>
      </c>
      <c r="L387">
        <v>387</v>
      </c>
      <c r="M387" t="b">
        <f t="shared" si="6"/>
        <v>1</v>
      </c>
      <c r="N387" t="b">
        <f>COUNTBLANK(metadata!B387:F387)=COLUMNS(metadata!B387:F387)</f>
        <v>1</v>
      </c>
      <c r="O387" t="str">
        <v/>
      </c>
      <c r="Q387" t="b">
        <f ca="1">AND(IF(metadata!B387="",FALSE,TRUE),COUNTIF(metadata!B:B, metadata!B387) = 1,NOT(ISERROR(SUMPRODUCT(SEARCH(MID(metadata!B387,ROW(INDIRECT("1:"&amp;LEN(metadata!B387))), 1),"0123456789abcdefghijklmnopqrstuvwxyzABCDEFGHIJKLMNOPQRSTUVWXYZ.")))))</f>
        <v>0</v>
      </c>
      <c r="R387" t="b">
        <f>AND(IF(metadata!C387="",FALSE,TRUE),OR(EXACT(metadata!C387,"saline"),EXACT(metadata!C387,"non-saline")))</f>
        <v>0</v>
      </c>
      <c r="S387" t="b">
        <f>AND(IF(metadata!D387="",FALSE,TRUE),OR(EXACT(metadata!D387,"surface (non-saline)"),EXACT(metadata!D387,"aerosol (non-saline)"),EXACT(metadata!D387,"sediment (non-saline)"),EXACT(metadata!D387,"surface (saline)"),EXACT(metadata!D387,"aerosol (saline)"),EXACT(metadata!D387,"sediment (saline)")))</f>
        <v>0</v>
      </c>
      <c r="T387" t="b">
        <f>AND(IF(metadata!E387="",FALSE,TRUE),EXACT(metadata!E387,"built environment"))</f>
        <v>0</v>
      </c>
      <c r="U387" t="b">
        <f>OR(AND(IF(metadata!F387="",FALSE,TRUE),EXACT(metadata!F387,"not applicable")),AND(IF(metadata!F387="",FALSE,TRUE),EXACT(metadata!F387,"anaerobic digester content")))</f>
        <v>0</v>
      </c>
    </row>
    <row r="388" spans="1:21" x14ac:dyDescent="0.2">
      <c r="A388" s="4" t="str">
        <f ca="1">IF(B388=" "," ",HYPERLINK(CONCATENATE("#metadata!",ADDRESS(INDEX($L$2:$L$1001,MATCH(ROWS($J$2:J388),$J$2:$J$1001,0),0),1)),INDEX($O$2:$O$1001,MATCH(ROWS($J$2:J388),$J$2:$J$1001,0),0)))</f>
        <v xml:space="preserve"> </v>
      </c>
      <c r="B388" s="3" t="str">
        <f ca="1">IF(OR(INDEX($K$2:$K$1001,MATCH(ROWS($J$2:J388),$J$2:$J$1001,0),1)&gt;=100000,INDEX($Q$1005:$U$1005,1,MATCH(COLUMNS($Q$1006:Q1006),$Q$1006:$U$1006,0))&gt;=100000), " ",IF(INDEX($Q$2:$U$1001,MATCH(ROWS($J$2:J388),$J$2:$J$1001,0),MATCH(COLUMNS($Q$1006:Q1006),$Q$1006:$U$1006,0)), HYPERLINK("#",""), HYPERLINK(CONCATENATE("#metadata!", ADDRESS(INDEX($L$2:$L$1001,MATCH(ROWS($J$2:J388),$J$2:$J$1001,0),0), INDEX($Q$1004:$U$1004,1,MATCH(COLUMNS($Q$1006:Q1006),$Q$1006:$U$1006,0)))),"Fix")))</f>
        <v xml:space="preserve"> </v>
      </c>
      <c r="C388" s="3" t="str">
        <f ca="1">IF(OR(INDEX($K$2:$K$1001,MATCH(ROWS($J$2:J388),$J$2:$J$1001,0),1)&gt;=100000,INDEX($Q$1005:$U$1005,1,MATCH(COLUMNS($Q$1006:R1006),$Q$1006:$U$1006,0))&gt;=100000), " ",IF(INDEX($Q$2:$U$1001,MATCH(ROWS($J$2:J388),$J$2:$J$1001,0),MATCH(COLUMNS($Q$1006:R1006),$Q$1006:$U$1006,0)), HYPERLINK("#",""), HYPERLINK(CONCATENATE("#metadata!", ADDRESS(INDEX($L$2:$L$1001,MATCH(ROWS($J$2:J388),$J$2:$J$1001,0),0), INDEX($Q$1004:$U$1004,1,MATCH(COLUMNS($Q$1006:R1006),$Q$1006:$U$1006,0)))),"Fix")))</f>
        <v xml:space="preserve"> </v>
      </c>
      <c r="D388" s="3" t="str">
        <f ca="1">IF(OR(INDEX($K$2:$K$1001,MATCH(ROWS($J$2:J388),$J$2:$J$1001,0),1)&gt;=100000,INDEX($Q$1005:$U$1005,1,MATCH(COLUMNS($Q$1006:S1006),$Q$1006:$U$1006,0))&gt;=100000), " ",IF(INDEX($Q$2:$U$1001,MATCH(ROWS($J$2:J388),$J$2:$J$1001,0),MATCH(COLUMNS($Q$1006:S1006),$Q$1006:$U$1006,0)), HYPERLINK("#",""), HYPERLINK(CONCATENATE("#metadata!", ADDRESS(INDEX($L$2:$L$1001,MATCH(ROWS($J$2:J388),$J$2:$J$1001,0),0), INDEX($Q$1004:$U$1004,1,MATCH(COLUMNS($Q$1006:S1006),$Q$1006:$U$1006,0)))),"Fix")))</f>
        <v xml:space="preserve"> </v>
      </c>
      <c r="E388" s="3" t="str">
        <f ca="1">IF(OR(INDEX($K$2:$K$1001,MATCH(ROWS($J$2:J388),$J$2:$J$1001,0),1)&gt;=100000,INDEX($Q$1005:$U$1005,1,MATCH(COLUMNS($Q$1006:T1006),$Q$1006:$U$1006,0))&gt;=100000), " ",IF(INDEX($Q$2:$U$1001,MATCH(ROWS($J$2:J388),$J$2:$J$1001,0),MATCH(COLUMNS($Q$1006:T1006),$Q$1006:$U$1006,0)), HYPERLINK("#",""), HYPERLINK(CONCATENATE("#metadata!", ADDRESS(INDEX($L$2:$L$1001,MATCH(ROWS($J$2:J388),$J$2:$J$1001,0),0), INDEX($Q$1004:$U$1004,1,MATCH(COLUMNS($Q$1006:T1006),$Q$1006:$U$1006,0)))),"Fix")))</f>
        <v xml:space="preserve"> </v>
      </c>
      <c r="F388" s="3" t="str">
        <f ca="1">IF(OR(INDEX($K$2:$K$1001,MATCH(ROWS($J$2:J388),$J$2:$J$1001,0),1)&gt;=100000,INDEX($Q$1005:$U$1005,1,MATCH(COLUMNS($Q$1006:U1006),$Q$1006:$U$1006,0))&gt;=100000), " ",IF(INDEX($Q$2:$U$1001,MATCH(ROWS($J$2:J388),$J$2:$J$1001,0),MATCH(COLUMNS($Q$1006:U1006),$Q$1006:$U$1006,0)), HYPERLINK("#",""), HYPERLINK(CONCATENATE("#metadata!", ADDRESS(INDEX($L$2:$L$1001,MATCH(ROWS($J$2:J388),$J$2:$J$1001,0),0), INDEX($Q$1004:$U$1004,1,MATCH(COLUMNS($Q$1006:U1006),$Q$1006:$U$1006,0)))),"Fix")))</f>
        <v xml:space="preserve"> </v>
      </c>
      <c r="J388">
        <v>387</v>
      </c>
      <c r="K388">
        <v>100388</v>
      </c>
      <c r="L388">
        <v>388</v>
      </c>
      <c r="M388" t="b">
        <f t="shared" si="6"/>
        <v>1</v>
      </c>
      <c r="N388" t="b">
        <f>COUNTBLANK(metadata!B388:F388)=COLUMNS(metadata!B388:F388)</f>
        <v>1</v>
      </c>
      <c r="O388" t="str">
        <v/>
      </c>
      <c r="Q388" t="b">
        <f ca="1">AND(IF(metadata!B388="",FALSE,TRUE),COUNTIF(metadata!B:B, metadata!B388) = 1,NOT(ISERROR(SUMPRODUCT(SEARCH(MID(metadata!B388,ROW(INDIRECT("1:"&amp;LEN(metadata!B388))), 1),"0123456789abcdefghijklmnopqrstuvwxyzABCDEFGHIJKLMNOPQRSTUVWXYZ.")))))</f>
        <v>0</v>
      </c>
      <c r="R388" t="b">
        <f>AND(IF(metadata!C388="",FALSE,TRUE),OR(EXACT(metadata!C388,"saline"),EXACT(metadata!C388,"non-saline")))</f>
        <v>0</v>
      </c>
      <c r="S388" t="b">
        <f>AND(IF(metadata!D388="",FALSE,TRUE),OR(EXACT(metadata!D388,"surface (non-saline)"),EXACT(metadata!D388,"aerosol (non-saline)"),EXACT(metadata!D388,"sediment (non-saline)"),EXACT(metadata!D388,"surface (saline)"),EXACT(metadata!D388,"aerosol (saline)"),EXACT(metadata!D388,"sediment (saline)")))</f>
        <v>0</v>
      </c>
      <c r="T388" t="b">
        <f>AND(IF(metadata!E388="",FALSE,TRUE),EXACT(metadata!E388,"built environment"))</f>
        <v>0</v>
      </c>
      <c r="U388" t="b">
        <f>OR(AND(IF(metadata!F388="",FALSE,TRUE),EXACT(metadata!F388,"not applicable")),AND(IF(metadata!F388="",FALSE,TRUE),EXACT(metadata!F388,"anaerobic digester content")))</f>
        <v>0</v>
      </c>
    </row>
    <row r="389" spans="1:21" x14ac:dyDescent="0.2">
      <c r="A389" s="4" t="str">
        <f ca="1">IF(B389=" "," ",HYPERLINK(CONCATENATE("#metadata!",ADDRESS(INDEX($L$2:$L$1001,MATCH(ROWS($J$2:J389),$J$2:$J$1001,0),0),1)),INDEX($O$2:$O$1001,MATCH(ROWS($J$2:J389),$J$2:$J$1001,0),0)))</f>
        <v xml:space="preserve"> </v>
      </c>
      <c r="B389" s="3" t="str">
        <f ca="1">IF(OR(INDEX($K$2:$K$1001,MATCH(ROWS($J$2:J389),$J$2:$J$1001,0),1)&gt;=100000,INDEX($Q$1005:$U$1005,1,MATCH(COLUMNS($Q$1006:Q1006),$Q$1006:$U$1006,0))&gt;=100000), " ",IF(INDEX($Q$2:$U$1001,MATCH(ROWS($J$2:J389),$J$2:$J$1001,0),MATCH(COLUMNS($Q$1006:Q1006),$Q$1006:$U$1006,0)), HYPERLINK("#",""), HYPERLINK(CONCATENATE("#metadata!", ADDRESS(INDEX($L$2:$L$1001,MATCH(ROWS($J$2:J389),$J$2:$J$1001,0),0), INDEX($Q$1004:$U$1004,1,MATCH(COLUMNS($Q$1006:Q1006),$Q$1006:$U$1006,0)))),"Fix")))</f>
        <v xml:space="preserve"> </v>
      </c>
      <c r="C389" s="3" t="str">
        <f ca="1">IF(OR(INDEX($K$2:$K$1001,MATCH(ROWS($J$2:J389),$J$2:$J$1001,0),1)&gt;=100000,INDEX($Q$1005:$U$1005,1,MATCH(COLUMNS($Q$1006:R1006),$Q$1006:$U$1006,0))&gt;=100000), " ",IF(INDEX($Q$2:$U$1001,MATCH(ROWS($J$2:J389),$J$2:$J$1001,0),MATCH(COLUMNS($Q$1006:R1006),$Q$1006:$U$1006,0)), HYPERLINK("#",""), HYPERLINK(CONCATENATE("#metadata!", ADDRESS(INDEX($L$2:$L$1001,MATCH(ROWS($J$2:J389),$J$2:$J$1001,0),0), INDEX($Q$1004:$U$1004,1,MATCH(COLUMNS($Q$1006:R1006),$Q$1006:$U$1006,0)))),"Fix")))</f>
        <v xml:space="preserve"> </v>
      </c>
      <c r="D389" s="3" t="str">
        <f ca="1">IF(OR(INDEX($K$2:$K$1001,MATCH(ROWS($J$2:J389),$J$2:$J$1001,0),1)&gt;=100000,INDEX($Q$1005:$U$1005,1,MATCH(COLUMNS($Q$1006:S1006),$Q$1006:$U$1006,0))&gt;=100000), " ",IF(INDEX($Q$2:$U$1001,MATCH(ROWS($J$2:J389),$J$2:$J$1001,0),MATCH(COLUMNS($Q$1006:S1006),$Q$1006:$U$1006,0)), HYPERLINK("#",""), HYPERLINK(CONCATENATE("#metadata!", ADDRESS(INDEX($L$2:$L$1001,MATCH(ROWS($J$2:J389),$J$2:$J$1001,0),0), INDEX($Q$1004:$U$1004,1,MATCH(COLUMNS($Q$1006:S1006),$Q$1006:$U$1006,0)))),"Fix")))</f>
        <v xml:space="preserve"> </v>
      </c>
      <c r="E389" s="3" t="str">
        <f ca="1">IF(OR(INDEX($K$2:$K$1001,MATCH(ROWS($J$2:J389),$J$2:$J$1001,0),1)&gt;=100000,INDEX($Q$1005:$U$1005,1,MATCH(COLUMNS($Q$1006:T1006),$Q$1006:$U$1006,0))&gt;=100000), " ",IF(INDEX($Q$2:$U$1001,MATCH(ROWS($J$2:J389),$J$2:$J$1001,0),MATCH(COLUMNS($Q$1006:T1006),$Q$1006:$U$1006,0)), HYPERLINK("#",""), HYPERLINK(CONCATENATE("#metadata!", ADDRESS(INDEX($L$2:$L$1001,MATCH(ROWS($J$2:J389),$J$2:$J$1001,0),0), INDEX($Q$1004:$U$1004,1,MATCH(COLUMNS($Q$1006:T1006),$Q$1006:$U$1006,0)))),"Fix")))</f>
        <v xml:space="preserve"> </v>
      </c>
      <c r="F389" s="3" t="str">
        <f ca="1">IF(OR(INDEX($K$2:$K$1001,MATCH(ROWS($J$2:J389),$J$2:$J$1001,0),1)&gt;=100000,INDEX($Q$1005:$U$1005,1,MATCH(COLUMNS($Q$1006:U1006),$Q$1006:$U$1006,0))&gt;=100000), " ",IF(INDEX($Q$2:$U$1001,MATCH(ROWS($J$2:J389),$J$2:$J$1001,0),MATCH(COLUMNS($Q$1006:U1006),$Q$1006:$U$1006,0)), HYPERLINK("#",""), HYPERLINK(CONCATENATE("#metadata!", ADDRESS(INDEX($L$2:$L$1001,MATCH(ROWS($J$2:J389),$J$2:$J$1001,0),0), INDEX($Q$1004:$U$1004,1,MATCH(COLUMNS($Q$1006:U1006),$Q$1006:$U$1006,0)))),"Fix")))</f>
        <v xml:space="preserve"> </v>
      </c>
      <c r="J389">
        <v>388</v>
      </c>
      <c r="K389">
        <v>100389</v>
      </c>
      <c r="L389">
        <v>389</v>
      </c>
      <c r="M389" t="b">
        <f t="shared" si="6"/>
        <v>1</v>
      </c>
      <c r="N389" t="b">
        <f>COUNTBLANK(metadata!B389:F389)=COLUMNS(metadata!B389:F389)</f>
        <v>1</v>
      </c>
      <c r="O389" t="str">
        <v/>
      </c>
      <c r="Q389" t="b">
        <f ca="1">AND(IF(metadata!B389="",FALSE,TRUE),COUNTIF(metadata!B:B, metadata!B389) = 1,NOT(ISERROR(SUMPRODUCT(SEARCH(MID(metadata!B389,ROW(INDIRECT("1:"&amp;LEN(metadata!B389))), 1),"0123456789abcdefghijklmnopqrstuvwxyzABCDEFGHIJKLMNOPQRSTUVWXYZ.")))))</f>
        <v>0</v>
      </c>
      <c r="R389" t="b">
        <f>AND(IF(metadata!C389="",FALSE,TRUE),OR(EXACT(metadata!C389,"saline"),EXACT(metadata!C389,"non-saline")))</f>
        <v>0</v>
      </c>
      <c r="S389" t="b">
        <f>AND(IF(metadata!D389="",FALSE,TRUE),OR(EXACT(metadata!D389,"surface (non-saline)"),EXACT(metadata!D389,"aerosol (non-saline)"),EXACT(metadata!D389,"sediment (non-saline)"),EXACT(metadata!D389,"surface (saline)"),EXACT(metadata!D389,"aerosol (saline)"),EXACT(metadata!D389,"sediment (saline)")))</f>
        <v>0</v>
      </c>
      <c r="T389" t="b">
        <f>AND(IF(metadata!E389="",FALSE,TRUE),EXACT(metadata!E389,"built environment"))</f>
        <v>0</v>
      </c>
      <c r="U389" t="b">
        <f>OR(AND(IF(metadata!F389="",FALSE,TRUE),EXACT(metadata!F389,"not applicable")),AND(IF(metadata!F389="",FALSE,TRUE),EXACT(metadata!F389,"anaerobic digester content")))</f>
        <v>0</v>
      </c>
    </row>
    <row r="390" spans="1:21" x14ac:dyDescent="0.2">
      <c r="A390" s="4" t="str">
        <f ca="1">IF(B390=" "," ",HYPERLINK(CONCATENATE("#metadata!",ADDRESS(INDEX($L$2:$L$1001,MATCH(ROWS($J$2:J390),$J$2:$J$1001,0),0),1)),INDEX($O$2:$O$1001,MATCH(ROWS($J$2:J390),$J$2:$J$1001,0),0)))</f>
        <v xml:space="preserve"> </v>
      </c>
      <c r="B390" s="3" t="str">
        <f ca="1">IF(OR(INDEX($K$2:$K$1001,MATCH(ROWS($J$2:J390),$J$2:$J$1001,0),1)&gt;=100000,INDEX($Q$1005:$U$1005,1,MATCH(COLUMNS($Q$1006:Q1006),$Q$1006:$U$1006,0))&gt;=100000), " ",IF(INDEX($Q$2:$U$1001,MATCH(ROWS($J$2:J390),$J$2:$J$1001,0),MATCH(COLUMNS($Q$1006:Q1006),$Q$1006:$U$1006,0)), HYPERLINK("#",""), HYPERLINK(CONCATENATE("#metadata!", ADDRESS(INDEX($L$2:$L$1001,MATCH(ROWS($J$2:J390),$J$2:$J$1001,0),0), INDEX($Q$1004:$U$1004,1,MATCH(COLUMNS($Q$1006:Q1006),$Q$1006:$U$1006,0)))),"Fix")))</f>
        <v xml:space="preserve"> </v>
      </c>
      <c r="C390" s="3" t="str">
        <f ca="1">IF(OR(INDEX($K$2:$K$1001,MATCH(ROWS($J$2:J390),$J$2:$J$1001,0),1)&gt;=100000,INDEX($Q$1005:$U$1005,1,MATCH(COLUMNS($Q$1006:R1006),$Q$1006:$U$1006,0))&gt;=100000), " ",IF(INDEX($Q$2:$U$1001,MATCH(ROWS($J$2:J390),$J$2:$J$1001,0),MATCH(COLUMNS($Q$1006:R1006),$Q$1006:$U$1006,0)), HYPERLINK("#",""), HYPERLINK(CONCATENATE("#metadata!", ADDRESS(INDEX($L$2:$L$1001,MATCH(ROWS($J$2:J390),$J$2:$J$1001,0),0), INDEX($Q$1004:$U$1004,1,MATCH(COLUMNS($Q$1006:R1006),$Q$1006:$U$1006,0)))),"Fix")))</f>
        <v xml:space="preserve"> </v>
      </c>
      <c r="D390" s="3" t="str">
        <f ca="1">IF(OR(INDEX($K$2:$K$1001,MATCH(ROWS($J$2:J390),$J$2:$J$1001,0),1)&gt;=100000,INDEX($Q$1005:$U$1005,1,MATCH(COLUMNS($Q$1006:S1006),$Q$1006:$U$1006,0))&gt;=100000), " ",IF(INDEX($Q$2:$U$1001,MATCH(ROWS($J$2:J390),$J$2:$J$1001,0),MATCH(COLUMNS($Q$1006:S1006),$Q$1006:$U$1006,0)), HYPERLINK("#",""), HYPERLINK(CONCATENATE("#metadata!", ADDRESS(INDEX($L$2:$L$1001,MATCH(ROWS($J$2:J390),$J$2:$J$1001,0),0), INDEX($Q$1004:$U$1004,1,MATCH(COLUMNS($Q$1006:S1006),$Q$1006:$U$1006,0)))),"Fix")))</f>
        <v xml:space="preserve"> </v>
      </c>
      <c r="E390" s="3" t="str">
        <f ca="1">IF(OR(INDEX($K$2:$K$1001,MATCH(ROWS($J$2:J390),$J$2:$J$1001,0),1)&gt;=100000,INDEX($Q$1005:$U$1005,1,MATCH(COLUMNS($Q$1006:T1006),$Q$1006:$U$1006,0))&gt;=100000), " ",IF(INDEX($Q$2:$U$1001,MATCH(ROWS($J$2:J390),$J$2:$J$1001,0),MATCH(COLUMNS($Q$1006:T1006),$Q$1006:$U$1006,0)), HYPERLINK("#",""), HYPERLINK(CONCATENATE("#metadata!", ADDRESS(INDEX($L$2:$L$1001,MATCH(ROWS($J$2:J390),$J$2:$J$1001,0),0), INDEX($Q$1004:$U$1004,1,MATCH(COLUMNS($Q$1006:T1006),$Q$1006:$U$1006,0)))),"Fix")))</f>
        <v xml:space="preserve"> </v>
      </c>
      <c r="F390" s="3" t="str">
        <f ca="1">IF(OR(INDEX($K$2:$K$1001,MATCH(ROWS($J$2:J390),$J$2:$J$1001,0),1)&gt;=100000,INDEX($Q$1005:$U$1005,1,MATCH(COLUMNS($Q$1006:U1006),$Q$1006:$U$1006,0))&gt;=100000), " ",IF(INDEX($Q$2:$U$1001,MATCH(ROWS($J$2:J390),$J$2:$J$1001,0),MATCH(COLUMNS($Q$1006:U1006),$Q$1006:$U$1006,0)), HYPERLINK("#",""), HYPERLINK(CONCATENATE("#metadata!", ADDRESS(INDEX($L$2:$L$1001,MATCH(ROWS($J$2:J390),$J$2:$J$1001,0),0), INDEX($Q$1004:$U$1004,1,MATCH(COLUMNS($Q$1006:U1006),$Q$1006:$U$1006,0)))),"Fix")))</f>
        <v xml:space="preserve"> </v>
      </c>
      <c r="J390">
        <v>389</v>
      </c>
      <c r="K390">
        <v>100390</v>
      </c>
      <c r="L390">
        <v>390</v>
      </c>
      <c r="M390" t="b">
        <f t="shared" si="6"/>
        <v>1</v>
      </c>
      <c r="N390" t="b">
        <f>COUNTBLANK(metadata!B390:F390)=COLUMNS(metadata!B390:F390)</f>
        <v>1</v>
      </c>
      <c r="O390" t="str">
        <v/>
      </c>
      <c r="Q390" t="b">
        <f ca="1">AND(IF(metadata!B390="",FALSE,TRUE),COUNTIF(metadata!B:B, metadata!B390) = 1,NOT(ISERROR(SUMPRODUCT(SEARCH(MID(metadata!B390,ROW(INDIRECT("1:"&amp;LEN(metadata!B390))), 1),"0123456789abcdefghijklmnopqrstuvwxyzABCDEFGHIJKLMNOPQRSTUVWXYZ.")))))</f>
        <v>0</v>
      </c>
      <c r="R390" t="b">
        <f>AND(IF(metadata!C390="",FALSE,TRUE),OR(EXACT(metadata!C390,"saline"),EXACT(metadata!C390,"non-saline")))</f>
        <v>0</v>
      </c>
      <c r="S390" t="b">
        <f>AND(IF(metadata!D390="",FALSE,TRUE),OR(EXACT(metadata!D390,"surface (non-saline)"),EXACT(metadata!D390,"aerosol (non-saline)"),EXACT(metadata!D390,"sediment (non-saline)"),EXACT(metadata!D390,"surface (saline)"),EXACT(metadata!D390,"aerosol (saline)"),EXACT(metadata!D390,"sediment (saline)")))</f>
        <v>0</v>
      </c>
      <c r="T390" t="b">
        <f>AND(IF(metadata!E390="",FALSE,TRUE),EXACT(metadata!E390,"built environment"))</f>
        <v>0</v>
      </c>
      <c r="U390" t="b">
        <f>OR(AND(IF(metadata!F390="",FALSE,TRUE),EXACT(metadata!F390,"not applicable")),AND(IF(metadata!F390="",FALSE,TRUE),EXACT(metadata!F390,"anaerobic digester content")))</f>
        <v>0</v>
      </c>
    </row>
    <row r="391" spans="1:21" x14ac:dyDescent="0.2">
      <c r="A391" s="4" t="str">
        <f ca="1">IF(B391=" "," ",HYPERLINK(CONCATENATE("#metadata!",ADDRESS(INDEX($L$2:$L$1001,MATCH(ROWS($J$2:J391),$J$2:$J$1001,0),0),1)),INDEX($O$2:$O$1001,MATCH(ROWS($J$2:J391),$J$2:$J$1001,0),0)))</f>
        <v xml:space="preserve"> </v>
      </c>
      <c r="B391" s="3" t="str">
        <f ca="1">IF(OR(INDEX($K$2:$K$1001,MATCH(ROWS($J$2:J391),$J$2:$J$1001,0),1)&gt;=100000,INDEX($Q$1005:$U$1005,1,MATCH(COLUMNS($Q$1006:Q1006),$Q$1006:$U$1006,0))&gt;=100000), " ",IF(INDEX($Q$2:$U$1001,MATCH(ROWS($J$2:J391),$J$2:$J$1001,0),MATCH(COLUMNS($Q$1006:Q1006),$Q$1006:$U$1006,0)), HYPERLINK("#",""), HYPERLINK(CONCATENATE("#metadata!", ADDRESS(INDEX($L$2:$L$1001,MATCH(ROWS($J$2:J391),$J$2:$J$1001,0),0), INDEX($Q$1004:$U$1004,1,MATCH(COLUMNS($Q$1006:Q1006),$Q$1006:$U$1006,0)))),"Fix")))</f>
        <v xml:space="preserve"> </v>
      </c>
      <c r="C391" s="3" t="str">
        <f ca="1">IF(OR(INDEX($K$2:$K$1001,MATCH(ROWS($J$2:J391),$J$2:$J$1001,0),1)&gt;=100000,INDEX($Q$1005:$U$1005,1,MATCH(COLUMNS($Q$1006:R1006),$Q$1006:$U$1006,0))&gt;=100000), " ",IF(INDEX($Q$2:$U$1001,MATCH(ROWS($J$2:J391),$J$2:$J$1001,0),MATCH(COLUMNS($Q$1006:R1006),$Q$1006:$U$1006,0)), HYPERLINK("#",""), HYPERLINK(CONCATENATE("#metadata!", ADDRESS(INDEX($L$2:$L$1001,MATCH(ROWS($J$2:J391),$J$2:$J$1001,0),0), INDEX($Q$1004:$U$1004,1,MATCH(COLUMNS($Q$1006:R1006),$Q$1006:$U$1006,0)))),"Fix")))</f>
        <v xml:space="preserve"> </v>
      </c>
      <c r="D391" s="3" t="str">
        <f ca="1">IF(OR(INDEX($K$2:$K$1001,MATCH(ROWS($J$2:J391),$J$2:$J$1001,0),1)&gt;=100000,INDEX($Q$1005:$U$1005,1,MATCH(COLUMNS($Q$1006:S1006),$Q$1006:$U$1006,0))&gt;=100000), " ",IF(INDEX($Q$2:$U$1001,MATCH(ROWS($J$2:J391),$J$2:$J$1001,0),MATCH(COLUMNS($Q$1006:S1006),$Q$1006:$U$1006,0)), HYPERLINK("#",""), HYPERLINK(CONCATENATE("#metadata!", ADDRESS(INDEX($L$2:$L$1001,MATCH(ROWS($J$2:J391),$J$2:$J$1001,0),0), INDEX($Q$1004:$U$1004,1,MATCH(COLUMNS($Q$1006:S1006),$Q$1006:$U$1006,0)))),"Fix")))</f>
        <v xml:space="preserve"> </v>
      </c>
      <c r="E391" s="3" t="str">
        <f ca="1">IF(OR(INDEX($K$2:$K$1001,MATCH(ROWS($J$2:J391),$J$2:$J$1001,0),1)&gt;=100000,INDEX($Q$1005:$U$1005,1,MATCH(COLUMNS($Q$1006:T1006),$Q$1006:$U$1006,0))&gt;=100000), " ",IF(INDEX($Q$2:$U$1001,MATCH(ROWS($J$2:J391),$J$2:$J$1001,0),MATCH(COLUMNS($Q$1006:T1006),$Q$1006:$U$1006,0)), HYPERLINK("#",""), HYPERLINK(CONCATENATE("#metadata!", ADDRESS(INDEX($L$2:$L$1001,MATCH(ROWS($J$2:J391),$J$2:$J$1001,0),0), INDEX($Q$1004:$U$1004,1,MATCH(COLUMNS($Q$1006:T1006),$Q$1006:$U$1006,0)))),"Fix")))</f>
        <v xml:space="preserve"> </v>
      </c>
      <c r="F391" s="3" t="str">
        <f ca="1">IF(OR(INDEX($K$2:$K$1001,MATCH(ROWS($J$2:J391),$J$2:$J$1001,0),1)&gt;=100000,INDEX($Q$1005:$U$1005,1,MATCH(COLUMNS($Q$1006:U1006),$Q$1006:$U$1006,0))&gt;=100000), " ",IF(INDEX($Q$2:$U$1001,MATCH(ROWS($J$2:J391),$J$2:$J$1001,0),MATCH(COLUMNS($Q$1006:U1006),$Q$1006:$U$1006,0)), HYPERLINK("#",""), HYPERLINK(CONCATENATE("#metadata!", ADDRESS(INDEX($L$2:$L$1001,MATCH(ROWS($J$2:J391),$J$2:$J$1001,0),0), INDEX($Q$1004:$U$1004,1,MATCH(COLUMNS($Q$1006:U1006),$Q$1006:$U$1006,0)))),"Fix")))</f>
        <v xml:space="preserve"> </v>
      </c>
      <c r="J391">
        <v>390</v>
      </c>
      <c r="K391">
        <v>100391</v>
      </c>
      <c r="L391">
        <v>391</v>
      </c>
      <c r="M391" t="b">
        <f t="shared" si="6"/>
        <v>1</v>
      </c>
      <c r="N391" t="b">
        <f>COUNTBLANK(metadata!B391:F391)=COLUMNS(metadata!B391:F391)</f>
        <v>1</v>
      </c>
      <c r="O391" t="str">
        <v/>
      </c>
      <c r="Q391" t="b">
        <f ca="1">AND(IF(metadata!B391="",FALSE,TRUE),COUNTIF(metadata!B:B, metadata!B391) = 1,NOT(ISERROR(SUMPRODUCT(SEARCH(MID(metadata!B391,ROW(INDIRECT("1:"&amp;LEN(metadata!B391))), 1),"0123456789abcdefghijklmnopqrstuvwxyzABCDEFGHIJKLMNOPQRSTUVWXYZ.")))))</f>
        <v>0</v>
      </c>
      <c r="R391" t="b">
        <f>AND(IF(metadata!C391="",FALSE,TRUE),OR(EXACT(metadata!C391,"saline"),EXACT(metadata!C391,"non-saline")))</f>
        <v>0</v>
      </c>
      <c r="S391" t="b">
        <f>AND(IF(metadata!D391="",FALSE,TRUE),OR(EXACT(metadata!D391,"surface (non-saline)"),EXACT(metadata!D391,"aerosol (non-saline)"),EXACT(metadata!D391,"sediment (non-saline)"),EXACT(metadata!D391,"surface (saline)"),EXACT(metadata!D391,"aerosol (saline)"),EXACT(metadata!D391,"sediment (saline)")))</f>
        <v>0</v>
      </c>
      <c r="T391" t="b">
        <f>AND(IF(metadata!E391="",FALSE,TRUE),EXACT(metadata!E391,"built environment"))</f>
        <v>0</v>
      </c>
      <c r="U391" t="b">
        <f>OR(AND(IF(metadata!F391="",FALSE,TRUE),EXACT(metadata!F391,"not applicable")),AND(IF(metadata!F391="",FALSE,TRUE),EXACT(metadata!F391,"anaerobic digester content")))</f>
        <v>0</v>
      </c>
    </row>
    <row r="392" spans="1:21" x14ac:dyDescent="0.2">
      <c r="A392" s="4" t="str">
        <f ca="1">IF(B392=" "," ",HYPERLINK(CONCATENATE("#metadata!",ADDRESS(INDEX($L$2:$L$1001,MATCH(ROWS($J$2:J392),$J$2:$J$1001,0),0),1)),INDEX($O$2:$O$1001,MATCH(ROWS($J$2:J392),$J$2:$J$1001,0),0)))</f>
        <v xml:space="preserve"> </v>
      </c>
      <c r="B392" s="3" t="str">
        <f ca="1">IF(OR(INDEX($K$2:$K$1001,MATCH(ROWS($J$2:J392),$J$2:$J$1001,0),1)&gt;=100000,INDEX($Q$1005:$U$1005,1,MATCH(COLUMNS($Q$1006:Q1006),$Q$1006:$U$1006,0))&gt;=100000), " ",IF(INDEX($Q$2:$U$1001,MATCH(ROWS($J$2:J392),$J$2:$J$1001,0),MATCH(COLUMNS($Q$1006:Q1006),$Q$1006:$U$1006,0)), HYPERLINK("#",""), HYPERLINK(CONCATENATE("#metadata!", ADDRESS(INDEX($L$2:$L$1001,MATCH(ROWS($J$2:J392),$J$2:$J$1001,0),0), INDEX($Q$1004:$U$1004,1,MATCH(COLUMNS($Q$1006:Q1006),$Q$1006:$U$1006,0)))),"Fix")))</f>
        <v xml:space="preserve"> </v>
      </c>
      <c r="C392" s="3" t="str">
        <f ca="1">IF(OR(INDEX($K$2:$K$1001,MATCH(ROWS($J$2:J392),$J$2:$J$1001,0),1)&gt;=100000,INDEX($Q$1005:$U$1005,1,MATCH(COLUMNS($Q$1006:R1006),$Q$1006:$U$1006,0))&gt;=100000), " ",IF(INDEX($Q$2:$U$1001,MATCH(ROWS($J$2:J392),$J$2:$J$1001,0),MATCH(COLUMNS($Q$1006:R1006),$Q$1006:$U$1006,0)), HYPERLINK("#",""), HYPERLINK(CONCATENATE("#metadata!", ADDRESS(INDEX($L$2:$L$1001,MATCH(ROWS($J$2:J392),$J$2:$J$1001,0),0), INDEX($Q$1004:$U$1004,1,MATCH(COLUMNS($Q$1006:R1006),$Q$1006:$U$1006,0)))),"Fix")))</f>
        <v xml:space="preserve"> </v>
      </c>
      <c r="D392" s="3" t="str">
        <f ca="1">IF(OR(INDEX($K$2:$K$1001,MATCH(ROWS($J$2:J392),$J$2:$J$1001,0),1)&gt;=100000,INDEX($Q$1005:$U$1005,1,MATCH(COLUMNS($Q$1006:S1006),$Q$1006:$U$1006,0))&gt;=100000), " ",IF(INDEX($Q$2:$U$1001,MATCH(ROWS($J$2:J392),$J$2:$J$1001,0),MATCH(COLUMNS($Q$1006:S1006),$Q$1006:$U$1006,0)), HYPERLINK("#",""), HYPERLINK(CONCATENATE("#metadata!", ADDRESS(INDEX($L$2:$L$1001,MATCH(ROWS($J$2:J392),$J$2:$J$1001,0),0), INDEX($Q$1004:$U$1004,1,MATCH(COLUMNS($Q$1006:S1006),$Q$1006:$U$1006,0)))),"Fix")))</f>
        <v xml:space="preserve"> </v>
      </c>
      <c r="E392" s="3" t="str">
        <f ca="1">IF(OR(INDEX($K$2:$K$1001,MATCH(ROWS($J$2:J392),$J$2:$J$1001,0),1)&gt;=100000,INDEX($Q$1005:$U$1005,1,MATCH(COLUMNS($Q$1006:T1006),$Q$1006:$U$1006,0))&gt;=100000), " ",IF(INDEX($Q$2:$U$1001,MATCH(ROWS($J$2:J392),$J$2:$J$1001,0),MATCH(COLUMNS($Q$1006:T1006),$Q$1006:$U$1006,0)), HYPERLINK("#",""), HYPERLINK(CONCATENATE("#metadata!", ADDRESS(INDEX($L$2:$L$1001,MATCH(ROWS($J$2:J392),$J$2:$J$1001,0),0), INDEX($Q$1004:$U$1004,1,MATCH(COLUMNS($Q$1006:T1006),$Q$1006:$U$1006,0)))),"Fix")))</f>
        <v xml:space="preserve"> </v>
      </c>
      <c r="F392" s="3" t="str">
        <f ca="1">IF(OR(INDEX($K$2:$K$1001,MATCH(ROWS($J$2:J392),$J$2:$J$1001,0),1)&gt;=100000,INDEX($Q$1005:$U$1005,1,MATCH(COLUMNS($Q$1006:U1006),$Q$1006:$U$1006,0))&gt;=100000), " ",IF(INDEX($Q$2:$U$1001,MATCH(ROWS($J$2:J392),$J$2:$J$1001,0),MATCH(COLUMNS($Q$1006:U1006),$Q$1006:$U$1006,0)), HYPERLINK("#",""), HYPERLINK(CONCATENATE("#metadata!", ADDRESS(INDEX($L$2:$L$1001,MATCH(ROWS($J$2:J392),$J$2:$J$1001,0),0), INDEX($Q$1004:$U$1004,1,MATCH(COLUMNS($Q$1006:U1006),$Q$1006:$U$1006,0)))),"Fix")))</f>
        <v xml:space="preserve"> </v>
      </c>
      <c r="J392">
        <v>391</v>
      </c>
      <c r="K392">
        <v>100392</v>
      </c>
      <c r="L392">
        <v>392</v>
      </c>
      <c r="M392" t="b">
        <f t="shared" si="6"/>
        <v>1</v>
      </c>
      <c r="N392" t="b">
        <f>COUNTBLANK(metadata!B392:F392)=COLUMNS(metadata!B392:F392)</f>
        <v>1</v>
      </c>
      <c r="O392" t="str">
        <v/>
      </c>
      <c r="Q392" t="b">
        <f ca="1">AND(IF(metadata!B392="",FALSE,TRUE),COUNTIF(metadata!B:B, metadata!B392) = 1,NOT(ISERROR(SUMPRODUCT(SEARCH(MID(metadata!B392,ROW(INDIRECT("1:"&amp;LEN(metadata!B392))), 1),"0123456789abcdefghijklmnopqrstuvwxyzABCDEFGHIJKLMNOPQRSTUVWXYZ.")))))</f>
        <v>0</v>
      </c>
      <c r="R392" t="b">
        <f>AND(IF(metadata!C392="",FALSE,TRUE),OR(EXACT(metadata!C392,"saline"),EXACT(metadata!C392,"non-saline")))</f>
        <v>0</v>
      </c>
      <c r="S392" t="b">
        <f>AND(IF(metadata!D392="",FALSE,TRUE),OR(EXACT(metadata!D392,"surface (non-saline)"),EXACT(metadata!D392,"aerosol (non-saline)"),EXACT(metadata!D392,"sediment (non-saline)"),EXACT(metadata!D392,"surface (saline)"),EXACT(metadata!D392,"aerosol (saline)"),EXACT(metadata!D392,"sediment (saline)")))</f>
        <v>0</v>
      </c>
      <c r="T392" t="b">
        <f>AND(IF(metadata!E392="",FALSE,TRUE),EXACT(metadata!E392,"built environment"))</f>
        <v>0</v>
      </c>
      <c r="U392" t="b">
        <f>OR(AND(IF(metadata!F392="",FALSE,TRUE),EXACT(metadata!F392,"not applicable")),AND(IF(metadata!F392="",FALSE,TRUE),EXACT(metadata!F392,"anaerobic digester content")))</f>
        <v>0</v>
      </c>
    </row>
    <row r="393" spans="1:21" x14ac:dyDescent="0.2">
      <c r="A393" s="4" t="str">
        <f ca="1">IF(B393=" "," ",HYPERLINK(CONCATENATE("#metadata!",ADDRESS(INDEX($L$2:$L$1001,MATCH(ROWS($J$2:J393),$J$2:$J$1001,0),0),1)),INDEX($O$2:$O$1001,MATCH(ROWS($J$2:J393),$J$2:$J$1001,0),0)))</f>
        <v xml:space="preserve"> </v>
      </c>
      <c r="B393" s="3" t="str">
        <f ca="1">IF(OR(INDEX($K$2:$K$1001,MATCH(ROWS($J$2:J393),$J$2:$J$1001,0),1)&gt;=100000,INDEX($Q$1005:$U$1005,1,MATCH(COLUMNS($Q$1006:Q1006),$Q$1006:$U$1006,0))&gt;=100000), " ",IF(INDEX($Q$2:$U$1001,MATCH(ROWS($J$2:J393),$J$2:$J$1001,0),MATCH(COLUMNS($Q$1006:Q1006),$Q$1006:$U$1006,0)), HYPERLINK("#",""), HYPERLINK(CONCATENATE("#metadata!", ADDRESS(INDEX($L$2:$L$1001,MATCH(ROWS($J$2:J393),$J$2:$J$1001,0),0), INDEX($Q$1004:$U$1004,1,MATCH(COLUMNS($Q$1006:Q1006),$Q$1006:$U$1006,0)))),"Fix")))</f>
        <v xml:space="preserve"> </v>
      </c>
      <c r="C393" s="3" t="str">
        <f ca="1">IF(OR(INDEX($K$2:$K$1001,MATCH(ROWS($J$2:J393),$J$2:$J$1001,0),1)&gt;=100000,INDEX($Q$1005:$U$1005,1,MATCH(COLUMNS($Q$1006:R1006),$Q$1006:$U$1006,0))&gt;=100000), " ",IF(INDEX($Q$2:$U$1001,MATCH(ROWS($J$2:J393),$J$2:$J$1001,0),MATCH(COLUMNS($Q$1006:R1006),$Q$1006:$U$1006,0)), HYPERLINK("#",""), HYPERLINK(CONCATENATE("#metadata!", ADDRESS(INDEX($L$2:$L$1001,MATCH(ROWS($J$2:J393),$J$2:$J$1001,0),0), INDEX($Q$1004:$U$1004,1,MATCH(COLUMNS($Q$1006:R1006),$Q$1006:$U$1006,0)))),"Fix")))</f>
        <v xml:space="preserve"> </v>
      </c>
      <c r="D393" s="3" t="str">
        <f ca="1">IF(OR(INDEX($K$2:$K$1001,MATCH(ROWS($J$2:J393),$J$2:$J$1001,0),1)&gt;=100000,INDEX($Q$1005:$U$1005,1,MATCH(COLUMNS($Q$1006:S1006),$Q$1006:$U$1006,0))&gt;=100000), " ",IF(INDEX($Q$2:$U$1001,MATCH(ROWS($J$2:J393),$J$2:$J$1001,0),MATCH(COLUMNS($Q$1006:S1006),$Q$1006:$U$1006,0)), HYPERLINK("#",""), HYPERLINK(CONCATENATE("#metadata!", ADDRESS(INDEX($L$2:$L$1001,MATCH(ROWS($J$2:J393),$J$2:$J$1001,0),0), INDEX($Q$1004:$U$1004,1,MATCH(COLUMNS($Q$1006:S1006),$Q$1006:$U$1006,0)))),"Fix")))</f>
        <v xml:space="preserve"> </v>
      </c>
      <c r="E393" s="3" t="str">
        <f ca="1">IF(OR(INDEX($K$2:$K$1001,MATCH(ROWS($J$2:J393),$J$2:$J$1001,0),1)&gt;=100000,INDEX($Q$1005:$U$1005,1,MATCH(COLUMNS($Q$1006:T1006),$Q$1006:$U$1006,0))&gt;=100000), " ",IF(INDEX($Q$2:$U$1001,MATCH(ROWS($J$2:J393),$J$2:$J$1001,0),MATCH(COLUMNS($Q$1006:T1006),$Q$1006:$U$1006,0)), HYPERLINK("#",""), HYPERLINK(CONCATENATE("#metadata!", ADDRESS(INDEX($L$2:$L$1001,MATCH(ROWS($J$2:J393),$J$2:$J$1001,0),0), INDEX($Q$1004:$U$1004,1,MATCH(COLUMNS($Q$1006:T1006),$Q$1006:$U$1006,0)))),"Fix")))</f>
        <v xml:space="preserve"> </v>
      </c>
      <c r="F393" s="3" t="str">
        <f ca="1">IF(OR(INDEX($K$2:$K$1001,MATCH(ROWS($J$2:J393),$J$2:$J$1001,0),1)&gt;=100000,INDEX($Q$1005:$U$1005,1,MATCH(COLUMNS($Q$1006:U1006),$Q$1006:$U$1006,0))&gt;=100000), " ",IF(INDEX($Q$2:$U$1001,MATCH(ROWS($J$2:J393),$J$2:$J$1001,0),MATCH(COLUMNS($Q$1006:U1006),$Q$1006:$U$1006,0)), HYPERLINK("#",""), HYPERLINK(CONCATENATE("#metadata!", ADDRESS(INDEX($L$2:$L$1001,MATCH(ROWS($J$2:J393),$J$2:$J$1001,0),0), INDEX($Q$1004:$U$1004,1,MATCH(COLUMNS($Q$1006:U1006),$Q$1006:$U$1006,0)))),"Fix")))</f>
        <v xml:space="preserve"> </v>
      </c>
      <c r="J393">
        <v>392</v>
      </c>
      <c r="K393">
        <v>100393</v>
      </c>
      <c r="L393">
        <v>393</v>
      </c>
      <c r="M393" t="b">
        <f t="shared" si="6"/>
        <v>1</v>
      </c>
      <c r="N393" t="b">
        <f>COUNTBLANK(metadata!B393:F393)=COLUMNS(metadata!B393:F393)</f>
        <v>1</v>
      </c>
      <c r="O393" t="str">
        <v/>
      </c>
      <c r="Q393" t="b">
        <f ca="1">AND(IF(metadata!B393="",FALSE,TRUE),COUNTIF(metadata!B:B, metadata!B393) = 1,NOT(ISERROR(SUMPRODUCT(SEARCH(MID(metadata!B393,ROW(INDIRECT("1:"&amp;LEN(metadata!B393))), 1),"0123456789abcdefghijklmnopqrstuvwxyzABCDEFGHIJKLMNOPQRSTUVWXYZ.")))))</f>
        <v>0</v>
      </c>
      <c r="R393" t="b">
        <f>AND(IF(metadata!C393="",FALSE,TRUE),OR(EXACT(metadata!C393,"saline"),EXACT(metadata!C393,"non-saline")))</f>
        <v>0</v>
      </c>
      <c r="S393" t="b">
        <f>AND(IF(metadata!D393="",FALSE,TRUE),OR(EXACT(metadata!D393,"surface (non-saline)"),EXACT(metadata!D393,"aerosol (non-saline)"),EXACT(metadata!D393,"sediment (non-saline)"),EXACT(metadata!D393,"surface (saline)"),EXACT(metadata!D393,"aerosol (saline)"),EXACT(metadata!D393,"sediment (saline)")))</f>
        <v>0</v>
      </c>
      <c r="T393" t="b">
        <f>AND(IF(metadata!E393="",FALSE,TRUE),EXACT(metadata!E393,"built environment"))</f>
        <v>0</v>
      </c>
      <c r="U393" t="b">
        <f>OR(AND(IF(metadata!F393="",FALSE,TRUE),EXACT(metadata!F393,"not applicable")),AND(IF(metadata!F393="",FALSE,TRUE),EXACT(metadata!F393,"anaerobic digester content")))</f>
        <v>0</v>
      </c>
    </row>
    <row r="394" spans="1:21" x14ac:dyDescent="0.2">
      <c r="A394" s="4" t="str">
        <f ca="1">IF(B394=" "," ",HYPERLINK(CONCATENATE("#metadata!",ADDRESS(INDEX($L$2:$L$1001,MATCH(ROWS($J$2:J394),$J$2:$J$1001,0),0),1)),INDEX($O$2:$O$1001,MATCH(ROWS($J$2:J394),$J$2:$J$1001,0),0)))</f>
        <v xml:space="preserve"> </v>
      </c>
      <c r="B394" s="3" t="str">
        <f ca="1">IF(OR(INDEX($K$2:$K$1001,MATCH(ROWS($J$2:J394),$J$2:$J$1001,0),1)&gt;=100000,INDEX($Q$1005:$U$1005,1,MATCH(COLUMNS($Q$1006:Q1006),$Q$1006:$U$1006,0))&gt;=100000), " ",IF(INDEX($Q$2:$U$1001,MATCH(ROWS($J$2:J394),$J$2:$J$1001,0),MATCH(COLUMNS($Q$1006:Q1006),$Q$1006:$U$1006,0)), HYPERLINK("#",""), HYPERLINK(CONCATENATE("#metadata!", ADDRESS(INDEX($L$2:$L$1001,MATCH(ROWS($J$2:J394),$J$2:$J$1001,0),0), INDEX($Q$1004:$U$1004,1,MATCH(COLUMNS($Q$1006:Q1006),$Q$1006:$U$1006,0)))),"Fix")))</f>
        <v xml:space="preserve"> </v>
      </c>
      <c r="C394" s="3" t="str">
        <f ca="1">IF(OR(INDEX($K$2:$K$1001,MATCH(ROWS($J$2:J394),$J$2:$J$1001,0),1)&gt;=100000,INDEX($Q$1005:$U$1005,1,MATCH(COLUMNS($Q$1006:R1006),$Q$1006:$U$1006,0))&gt;=100000), " ",IF(INDEX($Q$2:$U$1001,MATCH(ROWS($J$2:J394),$J$2:$J$1001,0),MATCH(COLUMNS($Q$1006:R1006),$Q$1006:$U$1006,0)), HYPERLINK("#",""), HYPERLINK(CONCATENATE("#metadata!", ADDRESS(INDEX($L$2:$L$1001,MATCH(ROWS($J$2:J394),$J$2:$J$1001,0),0), INDEX($Q$1004:$U$1004,1,MATCH(COLUMNS($Q$1006:R1006),$Q$1006:$U$1006,0)))),"Fix")))</f>
        <v xml:space="preserve"> </v>
      </c>
      <c r="D394" s="3" t="str">
        <f ca="1">IF(OR(INDEX($K$2:$K$1001,MATCH(ROWS($J$2:J394),$J$2:$J$1001,0),1)&gt;=100000,INDEX($Q$1005:$U$1005,1,MATCH(COLUMNS($Q$1006:S1006),$Q$1006:$U$1006,0))&gt;=100000), " ",IF(INDEX($Q$2:$U$1001,MATCH(ROWS($J$2:J394),$J$2:$J$1001,0),MATCH(COLUMNS($Q$1006:S1006),$Q$1006:$U$1006,0)), HYPERLINK("#",""), HYPERLINK(CONCATENATE("#metadata!", ADDRESS(INDEX($L$2:$L$1001,MATCH(ROWS($J$2:J394),$J$2:$J$1001,0),0), INDEX($Q$1004:$U$1004,1,MATCH(COLUMNS($Q$1006:S1006),$Q$1006:$U$1006,0)))),"Fix")))</f>
        <v xml:space="preserve"> </v>
      </c>
      <c r="E394" s="3" t="str">
        <f ca="1">IF(OR(INDEX($K$2:$K$1001,MATCH(ROWS($J$2:J394),$J$2:$J$1001,0),1)&gt;=100000,INDEX($Q$1005:$U$1005,1,MATCH(COLUMNS($Q$1006:T1006),$Q$1006:$U$1006,0))&gt;=100000), " ",IF(INDEX($Q$2:$U$1001,MATCH(ROWS($J$2:J394),$J$2:$J$1001,0),MATCH(COLUMNS($Q$1006:T1006),$Q$1006:$U$1006,0)), HYPERLINK("#",""), HYPERLINK(CONCATENATE("#metadata!", ADDRESS(INDEX($L$2:$L$1001,MATCH(ROWS($J$2:J394),$J$2:$J$1001,0),0), INDEX($Q$1004:$U$1004,1,MATCH(COLUMNS($Q$1006:T1006),$Q$1006:$U$1006,0)))),"Fix")))</f>
        <v xml:space="preserve"> </v>
      </c>
      <c r="F394" s="3" t="str">
        <f ca="1">IF(OR(INDEX($K$2:$K$1001,MATCH(ROWS($J$2:J394),$J$2:$J$1001,0),1)&gt;=100000,INDEX($Q$1005:$U$1005,1,MATCH(COLUMNS($Q$1006:U1006),$Q$1006:$U$1006,0))&gt;=100000), " ",IF(INDEX($Q$2:$U$1001,MATCH(ROWS($J$2:J394),$J$2:$J$1001,0),MATCH(COLUMNS($Q$1006:U1006),$Q$1006:$U$1006,0)), HYPERLINK("#",""), HYPERLINK(CONCATENATE("#metadata!", ADDRESS(INDEX($L$2:$L$1001,MATCH(ROWS($J$2:J394),$J$2:$J$1001,0),0), INDEX($Q$1004:$U$1004,1,MATCH(COLUMNS($Q$1006:U1006),$Q$1006:$U$1006,0)))),"Fix")))</f>
        <v xml:space="preserve"> </v>
      </c>
      <c r="J394">
        <v>393</v>
      </c>
      <c r="K394">
        <v>100394</v>
      </c>
      <c r="L394">
        <v>394</v>
      </c>
      <c r="M394" t="b">
        <f t="shared" si="6"/>
        <v>1</v>
      </c>
      <c r="N394" t="b">
        <f>COUNTBLANK(metadata!B394:F394)=COLUMNS(metadata!B394:F394)</f>
        <v>1</v>
      </c>
      <c r="O394" t="str">
        <v/>
      </c>
      <c r="Q394" t="b">
        <f ca="1">AND(IF(metadata!B394="",FALSE,TRUE),COUNTIF(metadata!B:B, metadata!B394) = 1,NOT(ISERROR(SUMPRODUCT(SEARCH(MID(metadata!B394,ROW(INDIRECT("1:"&amp;LEN(metadata!B394))), 1),"0123456789abcdefghijklmnopqrstuvwxyzABCDEFGHIJKLMNOPQRSTUVWXYZ.")))))</f>
        <v>0</v>
      </c>
      <c r="R394" t="b">
        <f>AND(IF(metadata!C394="",FALSE,TRUE),OR(EXACT(metadata!C394,"saline"),EXACT(metadata!C394,"non-saline")))</f>
        <v>0</v>
      </c>
      <c r="S394" t="b">
        <f>AND(IF(metadata!D394="",FALSE,TRUE),OR(EXACT(metadata!D394,"surface (non-saline)"),EXACT(metadata!D394,"aerosol (non-saline)"),EXACT(metadata!D394,"sediment (non-saline)"),EXACT(metadata!D394,"surface (saline)"),EXACT(metadata!D394,"aerosol (saline)"),EXACT(metadata!D394,"sediment (saline)")))</f>
        <v>0</v>
      </c>
      <c r="T394" t="b">
        <f>AND(IF(metadata!E394="",FALSE,TRUE),EXACT(metadata!E394,"built environment"))</f>
        <v>0</v>
      </c>
      <c r="U394" t="b">
        <f>OR(AND(IF(metadata!F394="",FALSE,TRUE),EXACT(metadata!F394,"not applicable")),AND(IF(metadata!F394="",FALSE,TRUE),EXACT(metadata!F394,"anaerobic digester content")))</f>
        <v>0</v>
      </c>
    </row>
    <row r="395" spans="1:21" x14ac:dyDescent="0.2">
      <c r="A395" s="4" t="str">
        <f ca="1">IF(B395=" "," ",HYPERLINK(CONCATENATE("#metadata!",ADDRESS(INDEX($L$2:$L$1001,MATCH(ROWS($J$2:J395),$J$2:$J$1001,0),0),1)),INDEX($O$2:$O$1001,MATCH(ROWS($J$2:J395),$J$2:$J$1001,0),0)))</f>
        <v xml:space="preserve"> </v>
      </c>
      <c r="B395" s="3" t="str">
        <f ca="1">IF(OR(INDEX($K$2:$K$1001,MATCH(ROWS($J$2:J395),$J$2:$J$1001,0),1)&gt;=100000,INDEX($Q$1005:$U$1005,1,MATCH(COLUMNS($Q$1006:Q1006),$Q$1006:$U$1006,0))&gt;=100000), " ",IF(INDEX($Q$2:$U$1001,MATCH(ROWS($J$2:J395),$J$2:$J$1001,0),MATCH(COLUMNS($Q$1006:Q1006),$Q$1006:$U$1006,0)), HYPERLINK("#",""), HYPERLINK(CONCATENATE("#metadata!", ADDRESS(INDEX($L$2:$L$1001,MATCH(ROWS($J$2:J395),$J$2:$J$1001,0),0), INDEX($Q$1004:$U$1004,1,MATCH(COLUMNS($Q$1006:Q1006),$Q$1006:$U$1006,0)))),"Fix")))</f>
        <v xml:space="preserve"> </v>
      </c>
      <c r="C395" s="3" t="str">
        <f ca="1">IF(OR(INDEX($K$2:$K$1001,MATCH(ROWS($J$2:J395),$J$2:$J$1001,0),1)&gt;=100000,INDEX($Q$1005:$U$1005,1,MATCH(COLUMNS($Q$1006:R1006),$Q$1006:$U$1006,0))&gt;=100000), " ",IF(INDEX($Q$2:$U$1001,MATCH(ROWS($J$2:J395),$J$2:$J$1001,0),MATCH(COLUMNS($Q$1006:R1006),$Q$1006:$U$1006,0)), HYPERLINK("#",""), HYPERLINK(CONCATENATE("#metadata!", ADDRESS(INDEX($L$2:$L$1001,MATCH(ROWS($J$2:J395),$J$2:$J$1001,0),0), INDEX($Q$1004:$U$1004,1,MATCH(COLUMNS($Q$1006:R1006),$Q$1006:$U$1006,0)))),"Fix")))</f>
        <v xml:space="preserve"> </v>
      </c>
      <c r="D395" s="3" t="str">
        <f ca="1">IF(OR(INDEX($K$2:$K$1001,MATCH(ROWS($J$2:J395),$J$2:$J$1001,0),1)&gt;=100000,INDEX($Q$1005:$U$1005,1,MATCH(COLUMNS($Q$1006:S1006),$Q$1006:$U$1006,0))&gt;=100000), " ",IF(INDEX($Q$2:$U$1001,MATCH(ROWS($J$2:J395),$J$2:$J$1001,0),MATCH(COLUMNS($Q$1006:S1006),$Q$1006:$U$1006,0)), HYPERLINK("#",""), HYPERLINK(CONCATENATE("#metadata!", ADDRESS(INDEX($L$2:$L$1001,MATCH(ROWS($J$2:J395),$J$2:$J$1001,0),0), INDEX($Q$1004:$U$1004,1,MATCH(COLUMNS($Q$1006:S1006),$Q$1006:$U$1006,0)))),"Fix")))</f>
        <v xml:space="preserve"> </v>
      </c>
      <c r="E395" s="3" t="str">
        <f ca="1">IF(OR(INDEX($K$2:$K$1001,MATCH(ROWS($J$2:J395),$J$2:$J$1001,0),1)&gt;=100000,INDEX($Q$1005:$U$1005,1,MATCH(COLUMNS($Q$1006:T1006),$Q$1006:$U$1006,0))&gt;=100000), " ",IF(INDEX($Q$2:$U$1001,MATCH(ROWS($J$2:J395),$J$2:$J$1001,0),MATCH(COLUMNS($Q$1006:T1006),$Q$1006:$U$1006,0)), HYPERLINK("#",""), HYPERLINK(CONCATENATE("#metadata!", ADDRESS(INDEX($L$2:$L$1001,MATCH(ROWS($J$2:J395),$J$2:$J$1001,0),0), INDEX($Q$1004:$U$1004,1,MATCH(COLUMNS($Q$1006:T1006),$Q$1006:$U$1006,0)))),"Fix")))</f>
        <v xml:space="preserve"> </v>
      </c>
      <c r="F395" s="3" t="str">
        <f ca="1">IF(OR(INDEX($K$2:$K$1001,MATCH(ROWS($J$2:J395),$J$2:$J$1001,0),1)&gt;=100000,INDEX($Q$1005:$U$1005,1,MATCH(COLUMNS($Q$1006:U1006),$Q$1006:$U$1006,0))&gt;=100000), " ",IF(INDEX($Q$2:$U$1001,MATCH(ROWS($J$2:J395),$J$2:$J$1001,0),MATCH(COLUMNS($Q$1006:U1006),$Q$1006:$U$1006,0)), HYPERLINK("#",""), HYPERLINK(CONCATENATE("#metadata!", ADDRESS(INDEX($L$2:$L$1001,MATCH(ROWS($J$2:J395),$J$2:$J$1001,0),0), INDEX($Q$1004:$U$1004,1,MATCH(COLUMNS($Q$1006:U1006),$Q$1006:$U$1006,0)))),"Fix")))</f>
        <v xml:space="preserve"> </v>
      </c>
      <c r="J395">
        <v>394</v>
      </c>
      <c r="K395">
        <v>100395</v>
      </c>
      <c r="L395">
        <v>395</v>
      </c>
      <c r="M395" t="b">
        <f t="shared" si="6"/>
        <v>1</v>
      </c>
      <c r="N395" t="b">
        <f>COUNTBLANK(metadata!B395:F395)=COLUMNS(metadata!B395:F395)</f>
        <v>1</v>
      </c>
      <c r="O395" t="str">
        <v/>
      </c>
      <c r="Q395" t="b">
        <f ca="1">AND(IF(metadata!B395="",FALSE,TRUE),COUNTIF(metadata!B:B, metadata!B395) = 1,NOT(ISERROR(SUMPRODUCT(SEARCH(MID(metadata!B395,ROW(INDIRECT("1:"&amp;LEN(metadata!B395))), 1),"0123456789abcdefghijklmnopqrstuvwxyzABCDEFGHIJKLMNOPQRSTUVWXYZ.")))))</f>
        <v>0</v>
      </c>
      <c r="R395" t="b">
        <f>AND(IF(metadata!C395="",FALSE,TRUE),OR(EXACT(metadata!C395,"saline"),EXACT(metadata!C395,"non-saline")))</f>
        <v>0</v>
      </c>
      <c r="S395" t="b">
        <f>AND(IF(metadata!D395="",FALSE,TRUE),OR(EXACT(metadata!D395,"surface (non-saline)"),EXACT(metadata!D395,"aerosol (non-saline)"),EXACT(metadata!D395,"sediment (non-saline)"),EXACT(metadata!D395,"surface (saline)"),EXACT(metadata!D395,"aerosol (saline)"),EXACT(metadata!D395,"sediment (saline)")))</f>
        <v>0</v>
      </c>
      <c r="T395" t="b">
        <f>AND(IF(metadata!E395="",FALSE,TRUE),EXACT(metadata!E395,"built environment"))</f>
        <v>0</v>
      </c>
      <c r="U395" t="b">
        <f>OR(AND(IF(metadata!F395="",FALSE,TRUE),EXACT(metadata!F395,"not applicable")),AND(IF(metadata!F395="",FALSE,TRUE),EXACT(metadata!F395,"anaerobic digester content")))</f>
        <v>0</v>
      </c>
    </row>
    <row r="396" spans="1:21" x14ac:dyDescent="0.2">
      <c r="A396" s="4" t="str">
        <f ca="1">IF(B396=" "," ",HYPERLINK(CONCATENATE("#metadata!",ADDRESS(INDEX($L$2:$L$1001,MATCH(ROWS($J$2:J396),$J$2:$J$1001,0),0),1)),INDEX($O$2:$O$1001,MATCH(ROWS($J$2:J396),$J$2:$J$1001,0),0)))</f>
        <v xml:space="preserve"> </v>
      </c>
      <c r="B396" s="3" t="str">
        <f ca="1">IF(OR(INDEX($K$2:$K$1001,MATCH(ROWS($J$2:J396),$J$2:$J$1001,0),1)&gt;=100000,INDEX($Q$1005:$U$1005,1,MATCH(COLUMNS($Q$1006:Q1006),$Q$1006:$U$1006,0))&gt;=100000), " ",IF(INDEX($Q$2:$U$1001,MATCH(ROWS($J$2:J396),$J$2:$J$1001,0),MATCH(COLUMNS($Q$1006:Q1006),$Q$1006:$U$1006,0)), HYPERLINK("#",""), HYPERLINK(CONCATENATE("#metadata!", ADDRESS(INDEX($L$2:$L$1001,MATCH(ROWS($J$2:J396),$J$2:$J$1001,0),0), INDEX($Q$1004:$U$1004,1,MATCH(COLUMNS($Q$1006:Q1006),$Q$1006:$U$1006,0)))),"Fix")))</f>
        <v xml:space="preserve"> </v>
      </c>
      <c r="C396" s="3" t="str">
        <f ca="1">IF(OR(INDEX($K$2:$K$1001,MATCH(ROWS($J$2:J396),$J$2:$J$1001,0),1)&gt;=100000,INDEX($Q$1005:$U$1005,1,MATCH(COLUMNS($Q$1006:R1006),$Q$1006:$U$1006,0))&gt;=100000), " ",IF(INDEX($Q$2:$U$1001,MATCH(ROWS($J$2:J396),$J$2:$J$1001,0),MATCH(COLUMNS($Q$1006:R1006),$Q$1006:$U$1006,0)), HYPERLINK("#",""), HYPERLINK(CONCATENATE("#metadata!", ADDRESS(INDEX($L$2:$L$1001,MATCH(ROWS($J$2:J396),$J$2:$J$1001,0),0), INDEX($Q$1004:$U$1004,1,MATCH(COLUMNS($Q$1006:R1006),$Q$1006:$U$1006,0)))),"Fix")))</f>
        <v xml:space="preserve"> </v>
      </c>
      <c r="D396" s="3" t="str">
        <f ca="1">IF(OR(INDEX($K$2:$K$1001,MATCH(ROWS($J$2:J396),$J$2:$J$1001,0),1)&gt;=100000,INDEX($Q$1005:$U$1005,1,MATCH(COLUMNS($Q$1006:S1006),$Q$1006:$U$1006,0))&gt;=100000), " ",IF(INDEX($Q$2:$U$1001,MATCH(ROWS($J$2:J396),$J$2:$J$1001,0),MATCH(COLUMNS($Q$1006:S1006),$Q$1006:$U$1006,0)), HYPERLINK("#",""), HYPERLINK(CONCATENATE("#metadata!", ADDRESS(INDEX($L$2:$L$1001,MATCH(ROWS($J$2:J396),$J$2:$J$1001,0),0), INDEX($Q$1004:$U$1004,1,MATCH(COLUMNS($Q$1006:S1006),$Q$1006:$U$1006,0)))),"Fix")))</f>
        <v xml:space="preserve"> </v>
      </c>
      <c r="E396" s="3" t="str">
        <f ca="1">IF(OR(INDEX($K$2:$K$1001,MATCH(ROWS($J$2:J396),$J$2:$J$1001,0),1)&gt;=100000,INDEX($Q$1005:$U$1005,1,MATCH(COLUMNS($Q$1006:T1006),$Q$1006:$U$1006,0))&gt;=100000), " ",IF(INDEX($Q$2:$U$1001,MATCH(ROWS($J$2:J396),$J$2:$J$1001,0),MATCH(COLUMNS($Q$1006:T1006),$Q$1006:$U$1006,0)), HYPERLINK("#",""), HYPERLINK(CONCATENATE("#metadata!", ADDRESS(INDEX($L$2:$L$1001,MATCH(ROWS($J$2:J396),$J$2:$J$1001,0),0), INDEX($Q$1004:$U$1004,1,MATCH(COLUMNS($Q$1006:T1006),$Q$1006:$U$1006,0)))),"Fix")))</f>
        <v xml:space="preserve"> </v>
      </c>
      <c r="F396" s="3" t="str">
        <f ca="1">IF(OR(INDEX($K$2:$K$1001,MATCH(ROWS($J$2:J396),$J$2:$J$1001,0),1)&gt;=100000,INDEX($Q$1005:$U$1005,1,MATCH(COLUMNS($Q$1006:U1006),$Q$1006:$U$1006,0))&gt;=100000), " ",IF(INDEX($Q$2:$U$1001,MATCH(ROWS($J$2:J396),$J$2:$J$1001,0),MATCH(COLUMNS($Q$1006:U1006),$Q$1006:$U$1006,0)), HYPERLINK("#",""), HYPERLINK(CONCATENATE("#metadata!", ADDRESS(INDEX($L$2:$L$1001,MATCH(ROWS($J$2:J396),$J$2:$J$1001,0),0), INDEX($Q$1004:$U$1004,1,MATCH(COLUMNS($Q$1006:U1006),$Q$1006:$U$1006,0)))),"Fix")))</f>
        <v xml:space="preserve"> </v>
      </c>
      <c r="J396">
        <v>395</v>
      </c>
      <c r="K396">
        <v>100396</v>
      </c>
      <c r="L396">
        <v>396</v>
      </c>
      <c r="M396" t="b">
        <f t="shared" si="6"/>
        <v>1</v>
      </c>
      <c r="N396" t="b">
        <f>COUNTBLANK(metadata!B396:F396)=COLUMNS(metadata!B396:F396)</f>
        <v>1</v>
      </c>
      <c r="O396" t="str">
        <v/>
      </c>
      <c r="Q396" t="b">
        <f ca="1">AND(IF(metadata!B396="",FALSE,TRUE),COUNTIF(metadata!B:B, metadata!B396) = 1,NOT(ISERROR(SUMPRODUCT(SEARCH(MID(metadata!B396,ROW(INDIRECT("1:"&amp;LEN(metadata!B396))), 1),"0123456789abcdefghijklmnopqrstuvwxyzABCDEFGHIJKLMNOPQRSTUVWXYZ.")))))</f>
        <v>0</v>
      </c>
      <c r="R396" t="b">
        <f>AND(IF(metadata!C396="",FALSE,TRUE),OR(EXACT(metadata!C396,"saline"),EXACT(metadata!C396,"non-saline")))</f>
        <v>0</v>
      </c>
      <c r="S396" t="b">
        <f>AND(IF(metadata!D396="",FALSE,TRUE),OR(EXACT(metadata!D396,"surface (non-saline)"),EXACT(metadata!D396,"aerosol (non-saline)"),EXACT(metadata!D396,"sediment (non-saline)"),EXACT(metadata!D396,"surface (saline)"),EXACT(metadata!D396,"aerosol (saline)"),EXACT(metadata!D396,"sediment (saline)")))</f>
        <v>0</v>
      </c>
      <c r="T396" t="b">
        <f>AND(IF(metadata!E396="",FALSE,TRUE),EXACT(metadata!E396,"built environment"))</f>
        <v>0</v>
      </c>
      <c r="U396" t="b">
        <f>OR(AND(IF(metadata!F396="",FALSE,TRUE),EXACT(metadata!F396,"not applicable")),AND(IF(metadata!F396="",FALSE,TRUE),EXACT(metadata!F396,"anaerobic digester content")))</f>
        <v>0</v>
      </c>
    </row>
    <row r="397" spans="1:21" x14ac:dyDescent="0.2">
      <c r="A397" s="4" t="str">
        <f ca="1">IF(B397=" "," ",HYPERLINK(CONCATENATE("#metadata!",ADDRESS(INDEX($L$2:$L$1001,MATCH(ROWS($J$2:J397),$J$2:$J$1001,0),0),1)),INDEX($O$2:$O$1001,MATCH(ROWS($J$2:J397),$J$2:$J$1001,0),0)))</f>
        <v xml:space="preserve"> </v>
      </c>
      <c r="B397" s="3" t="str">
        <f ca="1">IF(OR(INDEX($K$2:$K$1001,MATCH(ROWS($J$2:J397),$J$2:$J$1001,0),1)&gt;=100000,INDEX($Q$1005:$U$1005,1,MATCH(COLUMNS($Q$1006:Q1006),$Q$1006:$U$1006,0))&gt;=100000), " ",IF(INDEX($Q$2:$U$1001,MATCH(ROWS($J$2:J397),$J$2:$J$1001,0),MATCH(COLUMNS($Q$1006:Q1006),$Q$1006:$U$1006,0)), HYPERLINK("#",""), HYPERLINK(CONCATENATE("#metadata!", ADDRESS(INDEX($L$2:$L$1001,MATCH(ROWS($J$2:J397),$J$2:$J$1001,0),0), INDEX($Q$1004:$U$1004,1,MATCH(COLUMNS($Q$1006:Q1006),$Q$1006:$U$1006,0)))),"Fix")))</f>
        <v xml:space="preserve"> </v>
      </c>
      <c r="C397" s="3" t="str">
        <f ca="1">IF(OR(INDEX($K$2:$K$1001,MATCH(ROWS($J$2:J397),$J$2:$J$1001,0),1)&gt;=100000,INDEX($Q$1005:$U$1005,1,MATCH(COLUMNS($Q$1006:R1006),$Q$1006:$U$1006,0))&gt;=100000), " ",IF(INDEX($Q$2:$U$1001,MATCH(ROWS($J$2:J397),$J$2:$J$1001,0),MATCH(COLUMNS($Q$1006:R1006),$Q$1006:$U$1006,0)), HYPERLINK("#",""), HYPERLINK(CONCATENATE("#metadata!", ADDRESS(INDEX($L$2:$L$1001,MATCH(ROWS($J$2:J397),$J$2:$J$1001,0),0), INDEX($Q$1004:$U$1004,1,MATCH(COLUMNS($Q$1006:R1006),$Q$1006:$U$1006,0)))),"Fix")))</f>
        <v xml:space="preserve"> </v>
      </c>
      <c r="D397" s="3" t="str">
        <f ca="1">IF(OR(INDEX($K$2:$K$1001,MATCH(ROWS($J$2:J397),$J$2:$J$1001,0),1)&gt;=100000,INDEX($Q$1005:$U$1005,1,MATCH(COLUMNS($Q$1006:S1006),$Q$1006:$U$1006,0))&gt;=100000), " ",IF(INDEX($Q$2:$U$1001,MATCH(ROWS($J$2:J397),$J$2:$J$1001,0),MATCH(COLUMNS($Q$1006:S1006),$Q$1006:$U$1006,0)), HYPERLINK("#",""), HYPERLINK(CONCATENATE("#metadata!", ADDRESS(INDEX($L$2:$L$1001,MATCH(ROWS($J$2:J397),$J$2:$J$1001,0),0), INDEX($Q$1004:$U$1004,1,MATCH(COLUMNS($Q$1006:S1006),$Q$1006:$U$1006,0)))),"Fix")))</f>
        <v xml:space="preserve"> </v>
      </c>
      <c r="E397" s="3" t="str">
        <f ca="1">IF(OR(INDEX($K$2:$K$1001,MATCH(ROWS($J$2:J397),$J$2:$J$1001,0),1)&gt;=100000,INDEX($Q$1005:$U$1005,1,MATCH(COLUMNS($Q$1006:T1006),$Q$1006:$U$1006,0))&gt;=100000), " ",IF(INDEX($Q$2:$U$1001,MATCH(ROWS($J$2:J397),$J$2:$J$1001,0),MATCH(COLUMNS($Q$1006:T1006),$Q$1006:$U$1006,0)), HYPERLINK("#",""), HYPERLINK(CONCATENATE("#metadata!", ADDRESS(INDEX($L$2:$L$1001,MATCH(ROWS($J$2:J397),$J$2:$J$1001,0),0), INDEX($Q$1004:$U$1004,1,MATCH(COLUMNS($Q$1006:T1006),$Q$1006:$U$1006,0)))),"Fix")))</f>
        <v xml:space="preserve"> </v>
      </c>
      <c r="F397" s="3" t="str">
        <f ca="1">IF(OR(INDEX($K$2:$K$1001,MATCH(ROWS($J$2:J397),$J$2:$J$1001,0),1)&gt;=100000,INDEX($Q$1005:$U$1005,1,MATCH(COLUMNS($Q$1006:U1006),$Q$1006:$U$1006,0))&gt;=100000), " ",IF(INDEX($Q$2:$U$1001,MATCH(ROWS($J$2:J397),$J$2:$J$1001,0),MATCH(COLUMNS($Q$1006:U1006),$Q$1006:$U$1006,0)), HYPERLINK("#",""), HYPERLINK(CONCATENATE("#metadata!", ADDRESS(INDEX($L$2:$L$1001,MATCH(ROWS($J$2:J397),$J$2:$J$1001,0),0), INDEX($Q$1004:$U$1004,1,MATCH(COLUMNS($Q$1006:U1006),$Q$1006:$U$1006,0)))),"Fix")))</f>
        <v xml:space="preserve"> </v>
      </c>
      <c r="J397">
        <v>396</v>
      </c>
      <c r="K397">
        <v>100397</v>
      </c>
      <c r="L397">
        <v>397</v>
      </c>
      <c r="M397" t="b">
        <f t="shared" si="6"/>
        <v>1</v>
      </c>
      <c r="N397" t="b">
        <f>COUNTBLANK(metadata!B397:F397)=COLUMNS(metadata!B397:F397)</f>
        <v>1</v>
      </c>
      <c r="O397" t="str">
        <v/>
      </c>
      <c r="Q397" t="b">
        <f ca="1">AND(IF(metadata!B397="",FALSE,TRUE),COUNTIF(metadata!B:B, metadata!B397) = 1,NOT(ISERROR(SUMPRODUCT(SEARCH(MID(metadata!B397,ROW(INDIRECT("1:"&amp;LEN(metadata!B397))), 1),"0123456789abcdefghijklmnopqrstuvwxyzABCDEFGHIJKLMNOPQRSTUVWXYZ.")))))</f>
        <v>0</v>
      </c>
      <c r="R397" t="b">
        <f>AND(IF(metadata!C397="",FALSE,TRUE),OR(EXACT(metadata!C397,"saline"),EXACT(metadata!C397,"non-saline")))</f>
        <v>0</v>
      </c>
      <c r="S397" t="b">
        <f>AND(IF(metadata!D397="",FALSE,TRUE),OR(EXACT(metadata!D397,"surface (non-saline)"),EXACT(metadata!D397,"aerosol (non-saline)"),EXACT(metadata!D397,"sediment (non-saline)"),EXACT(metadata!D397,"surface (saline)"),EXACT(metadata!D397,"aerosol (saline)"),EXACT(metadata!D397,"sediment (saline)")))</f>
        <v>0</v>
      </c>
      <c r="T397" t="b">
        <f>AND(IF(metadata!E397="",FALSE,TRUE),EXACT(metadata!E397,"built environment"))</f>
        <v>0</v>
      </c>
      <c r="U397" t="b">
        <f>OR(AND(IF(metadata!F397="",FALSE,TRUE),EXACT(metadata!F397,"not applicable")),AND(IF(metadata!F397="",FALSE,TRUE),EXACT(metadata!F397,"anaerobic digester content")))</f>
        <v>0</v>
      </c>
    </row>
    <row r="398" spans="1:21" x14ac:dyDescent="0.2">
      <c r="A398" s="4" t="str">
        <f ca="1">IF(B398=" "," ",HYPERLINK(CONCATENATE("#metadata!",ADDRESS(INDEX($L$2:$L$1001,MATCH(ROWS($J$2:J398),$J$2:$J$1001,0),0),1)),INDEX($O$2:$O$1001,MATCH(ROWS($J$2:J398),$J$2:$J$1001,0),0)))</f>
        <v xml:space="preserve"> </v>
      </c>
      <c r="B398" s="3" t="str">
        <f ca="1">IF(OR(INDEX($K$2:$K$1001,MATCH(ROWS($J$2:J398),$J$2:$J$1001,0),1)&gt;=100000,INDEX($Q$1005:$U$1005,1,MATCH(COLUMNS($Q$1006:Q1006),$Q$1006:$U$1006,0))&gt;=100000), " ",IF(INDEX($Q$2:$U$1001,MATCH(ROWS($J$2:J398),$J$2:$J$1001,0),MATCH(COLUMNS($Q$1006:Q1006),$Q$1006:$U$1006,0)), HYPERLINK("#",""), HYPERLINK(CONCATENATE("#metadata!", ADDRESS(INDEX($L$2:$L$1001,MATCH(ROWS($J$2:J398),$J$2:$J$1001,0),0), INDEX($Q$1004:$U$1004,1,MATCH(COLUMNS($Q$1006:Q1006),$Q$1006:$U$1006,0)))),"Fix")))</f>
        <v xml:space="preserve"> </v>
      </c>
      <c r="C398" s="3" t="str">
        <f ca="1">IF(OR(INDEX($K$2:$K$1001,MATCH(ROWS($J$2:J398),$J$2:$J$1001,0),1)&gt;=100000,INDEX($Q$1005:$U$1005,1,MATCH(COLUMNS($Q$1006:R1006),$Q$1006:$U$1006,0))&gt;=100000), " ",IF(INDEX($Q$2:$U$1001,MATCH(ROWS($J$2:J398),$J$2:$J$1001,0),MATCH(COLUMNS($Q$1006:R1006),$Q$1006:$U$1006,0)), HYPERLINK("#",""), HYPERLINK(CONCATENATE("#metadata!", ADDRESS(INDEX($L$2:$L$1001,MATCH(ROWS($J$2:J398),$J$2:$J$1001,0),0), INDEX($Q$1004:$U$1004,1,MATCH(COLUMNS($Q$1006:R1006),$Q$1006:$U$1006,0)))),"Fix")))</f>
        <v xml:space="preserve"> </v>
      </c>
      <c r="D398" s="3" t="str">
        <f ca="1">IF(OR(INDEX($K$2:$K$1001,MATCH(ROWS($J$2:J398),$J$2:$J$1001,0),1)&gt;=100000,INDEX($Q$1005:$U$1005,1,MATCH(COLUMNS($Q$1006:S1006),$Q$1006:$U$1006,0))&gt;=100000), " ",IF(INDEX($Q$2:$U$1001,MATCH(ROWS($J$2:J398),$J$2:$J$1001,0),MATCH(COLUMNS($Q$1006:S1006),$Q$1006:$U$1006,0)), HYPERLINK("#",""), HYPERLINK(CONCATENATE("#metadata!", ADDRESS(INDEX($L$2:$L$1001,MATCH(ROWS($J$2:J398),$J$2:$J$1001,0),0), INDEX($Q$1004:$U$1004,1,MATCH(COLUMNS($Q$1006:S1006),$Q$1006:$U$1006,0)))),"Fix")))</f>
        <v xml:space="preserve"> </v>
      </c>
      <c r="E398" s="3" t="str">
        <f ca="1">IF(OR(INDEX($K$2:$K$1001,MATCH(ROWS($J$2:J398),$J$2:$J$1001,0),1)&gt;=100000,INDEX($Q$1005:$U$1005,1,MATCH(COLUMNS($Q$1006:T1006),$Q$1006:$U$1006,0))&gt;=100000), " ",IF(INDEX($Q$2:$U$1001,MATCH(ROWS($J$2:J398),$J$2:$J$1001,0),MATCH(COLUMNS($Q$1006:T1006),$Q$1006:$U$1006,0)), HYPERLINK("#",""), HYPERLINK(CONCATENATE("#metadata!", ADDRESS(INDEX($L$2:$L$1001,MATCH(ROWS($J$2:J398),$J$2:$J$1001,0),0), INDEX($Q$1004:$U$1004,1,MATCH(COLUMNS($Q$1006:T1006),$Q$1006:$U$1006,0)))),"Fix")))</f>
        <v xml:space="preserve"> </v>
      </c>
      <c r="F398" s="3" t="str">
        <f ca="1">IF(OR(INDEX($K$2:$K$1001,MATCH(ROWS($J$2:J398),$J$2:$J$1001,0),1)&gt;=100000,INDEX($Q$1005:$U$1005,1,MATCH(COLUMNS($Q$1006:U1006),$Q$1006:$U$1006,0))&gt;=100000), " ",IF(INDEX($Q$2:$U$1001,MATCH(ROWS($J$2:J398),$J$2:$J$1001,0),MATCH(COLUMNS($Q$1006:U1006),$Q$1006:$U$1006,0)), HYPERLINK("#",""), HYPERLINK(CONCATENATE("#metadata!", ADDRESS(INDEX($L$2:$L$1001,MATCH(ROWS($J$2:J398),$J$2:$J$1001,0),0), INDEX($Q$1004:$U$1004,1,MATCH(COLUMNS($Q$1006:U1006),$Q$1006:$U$1006,0)))),"Fix")))</f>
        <v xml:space="preserve"> </v>
      </c>
      <c r="J398">
        <v>397</v>
      </c>
      <c r="K398">
        <v>100398</v>
      </c>
      <c r="L398">
        <v>398</v>
      </c>
      <c r="M398" t="b">
        <f t="shared" si="6"/>
        <v>1</v>
      </c>
      <c r="N398" t="b">
        <f>COUNTBLANK(metadata!B398:F398)=COLUMNS(metadata!B398:F398)</f>
        <v>1</v>
      </c>
      <c r="O398" t="str">
        <v/>
      </c>
      <c r="Q398" t="b">
        <f ca="1">AND(IF(metadata!B398="",FALSE,TRUE),COUNTIF(metadata!B:B, metadata!B398) = 1,NOT(ISERROR(SUMPRODUCT(SEARCH(MID(metadata!B398,ROW(INDIRECT("1:"&amp;LEN(metadata!B398))), 1),"0123456789abcdefghijklmnopqrstuvwxyzABCDEFGHIJKLMNOPQRSTUVWXYZ.")))))</f>
        <v>0</v>
      </c>
      <c r="R398" t="b">
        <f>AND(IF(metadata!C398="",FALSE,TRUE),OR(EXACT(metadata!C398,"saline"),EXACT(metadata!C398,"non-saline")))</f>
        <v>0</v>
      </c>
      <c r="S398" t="b">
        <f>AND(IF(metadata!D398="",FALSE,TRUE),OR(EXACT(metadata!D398,"surface (non-saline)"),EXACT(metadata!D398,"aerosol (non-saline)"),EXACT(metadata!D398,"sediment (non-saline)"),EXACT(metadata!D398,"surface (saline)"),EXACT(metadata!D398,"aerosol (saline)"),EXACT(metadata!D398,"sediment (saline)")))</f>
        <v>0</v>
      </c>
      <c r="T398" t="b">
        <f>AND(IF(metadata!E398="",FALSE,TRUE),EXACT(metadata!E398,"built environment"))</f>
        <v>0</v>
      </c>
      <c r="U398" t="b">
        <f>OR(AND(IF(metadata!F398="",FALSE,TRUE),EXACT(metadata!F398,"not applicable")),AND(IF(metadata!F398="",FALSE,TRUE),EXACT(metadata!F398,"anaerobic digester content")))</f>
        <v>0</v>
      </c>
    </row>
    <row r="399" spans="1:21" x14ac:dyDescent="0.2">
      <c r="A399" s="4" t="str">
        <f ca="1">IF(B399=" "," ",HYPERLINK(CONCATENATE("#metadata!",ADDRESS(INDEX($L$2:$L$1001,MATCH(ROWS($J$2:J399),$J$2:$J$1001,0),0),1)),INDEX($O$2:$O$1001,MATCH(ROWS($J$2:J399),$J$2:$J$1001,0),0)))</f>
        <v xml:space="preserve"> </v>
      </c>
      <c r="B399" s="3" t="str">
        <f ca="1">IF(OR(INDEX($K$2:$K$1001,MATCH(ROWS($J$2:J399),$J$2:$J$1001,0),1)&gt;=100000,INDEX($Q$1005:$U$1005,1,MATCH(COLUMNS($Q$1006:Q1006),$Q$1006:$U$1006,0))&gt;=100000), " ",IF(INDEX($Q$2:$U$1001,MATCH(ROWS($J$2:J399),$J$2:$J$1001,0),MATCH(COLUMNS($Q$1006:Q1006),$Q$1006:$U$1006,0)), HYPERLINK("#",""), HYPERLINK(CONCATENATE("#metadata!", ADDRESS(INDEX($L$2:$L$1001,MATCH(ROWS($J$2:J399),$J$2:$J$1001,0),0), INDEX($Q$1004:$U$1004,1,MATCH(COLUMNS($Q$1006:Q1006),$Q$1006:$U$1006,0)))),"Fix")))</f>
        <v xml:space="preserve"> </v>
      </c>
      <c r="C399" s="3" t="str">
        <f ca="1">IF(OR(INDEX($K$2:$K$1001,MATCH(ROWS($J$2:J399),$J$2:$J$1001,0),1)&gt;=100000,INDEX($Q$1005:$U$1005,1,MATCH(COLUMNS($Q$1006:R1006),$Q$1006:$U$1006,0))&gt;=100000), " ",IF(INDEX($Q$2:$U$1001,MATCH(ROWS($J$2:J399),$J$2:$J$1001,0),MATCH(COLUMNS($Q$1006:R1006),$Q$1006:$U$1006,0)), HYPERLINK("#",""), HYPERLINK(CONCATENATE("#metadata!", ADDRESS(INDEX($L$2:$L$1001,MATCH(ROWS($J$2:J399),$J$2:$J$1001,0),0), INDEX($Q$1004:$U$1004,1,MATCH(COLUMNS($Q$1006:R1006),$Q$1006:$U$1006,0)))),"Fix")))</f>
        <v xml:space="preserve"> </v>
      </c>
      <c r="D399" s="3" t="str">
        <f ca="1">IF(OR(INDEX($K$2:$K$1001,MATCH(ROWS($J$2:J399),$J$2:$J$1001,0),1)&gt;=100000,INDEX($Q$1005:$U$1005,1,MATCH(COLUMNS($Q$1006:S1006),$Q$1006:$U$1006,0))&gt;=100000), " ",IF(INDEX($Q$2:$U$1001,MATCH(ROWS($J$2:J399),$J$2:$J$1001,0),MATCH(COLUMNS($Q$1006:S1006),$Q$1006:$U$1006,0)), HYPERLINK("#",""), HYPERLINK(CONCATENATE("#metadata!", ADDRESS(INDEX($L$2:$L$1001,MATCH(ROWS($J$2:J399),$J$2:$J$1001,0),0), INDEX($Q$1004:$U$1004,1,MATCH(COLUMNS($Q$1006:S1006),$Q$1006:$U$1006,0)))),"Fix")))</f>
        <v xml:space="preserve"> </v>
      </c>
      <c r="E399" s="3" t="str">
        <f ca="1">IF(OR(INDEX($K$2:$K$1001,MATCH(ROWS($J$2:J399),$J$2:$J$1001,0),1)&gt;=100000,INDEX($Q$1005:$U$1005,1,MATCH(COLUMNS($Q$1006:T1006),$Q$1006:$U$1006,0))&gt;=100000), " ",IF(INDEX($Q$2:$U$1001,MATCH(ROWS($J$2:J399),$J$2:$J$1001,0),MATCH(COLUMNS($Q$1006:T1006),$Q$1006:$U$1006,0)), HYPERLINK("#",""), HYPERLINK(CONCATENATE("#metadata!", ADDRESS(INDEX($L$2:$L$1001,MATCH(ROWS($J$2:J399),$J$2:$J$1001,0),0), INDEX($Q$1004:$U$1004,1,MATCH(COLUMNS($Q$1006:T1006),$Q$1006:$U$1006,0)))),"Fix")))</f>
        <v xml:space="preserve"> </v>
      </c>
      <c r="F399" s="3" t="str">
        <f ca="1">IF(OR(INDEX($K$2:$K$1001,MATCH(ROWS($J$2:J399),$J$2:$J$1001,0),1)&gt;=100000,INDEX($Q$1005:$U$1005,1,MATCH(COLUMNS($Q$1006:U1006),$Q$1006:$U$1006,0))&gt;=100000), " ",IF(INDEX($Q$2:$U$1001,MATCH(ROWS($J$2:J399),$J$2:$J$1001,0),MATCH(COLUMNS($Q$1006:U1006),$Q$1006:$U$1006,0)), HYPERLINK("#",""), HYPERLINK(CONCATENATE("#metadata!", ADDRESS(INDEX($L$2:$L$1001,MATCH(ROWS($J$2:J399),$J$2:$J$1001,0),0), INDEX($Q$1004:$U$1004,1,MATCH(COLUMNS($Q$1006:U1006),$Q$1006:$U$1006,0)))),"Fix")))</f>
        <v xml:space="preserve"> </v>
      </c>
      <c r="J399">
        <v>398</v>
      </c>
      <c r="K399">
        <v>100399</v>
      </c>
      <c r="L399">
        <v>399</v>
      </c>
      <c r="M399" t="b">
        <f t="shared" si="6"/>
        <v>1</v>
      </c>
      <c r="N399" t="b">
        <f>COUNTBLANK(metadata!B399:F399)=COLUMNS(metadata!B399:F399)</f>
        <v>1</v>
      </c>
      <c r="O399" t="str">
        <v/>
      </c>
      <c r="Q399" t="b">
        <f ca="1">AND(IF(metadata!B399="",FALSE,TRUE),COUNTIF(metadata!B:B, metadata!B399) = 1,NOT(ISERROR(SUMPRODUCT(SEARCH(MID(metadata!B399,ROW(INDIRECT("1:"&amp;LEN(metadata!B399))), 1),"0123456789abcdefghijklmnopqrstuvwxyzABCDEFGHIJKLMNOPQRSTUVWXYZ.")))))</f>
        <v>0</v>
      </c>
      <c r="R399" t="b">
        <f>AND(IF(metadata!C399="",FALSE,TRUE),OR(EXACT(metadata!C399,"saline"),EXACT(metadata!C399,"non-saline")))</f>
        <v>0</v>
      </c>
      <c r="S399" t="b">
        <f>AND(IF(metadata!D399="",FALSE,TRUE),OR(EXACT(metadata!D399,"surface (non-saline)"),EXACT(metadata!D399,"aerosol (non-saline)"),EXACT(metadata!D399,"sediment (non-saline)"),EXACT(metadata!D399,"surface (saline)"),EXACT(metadata!D399,"aerosol (saline)"),EXACT(metadata!D399,"sediment (saline)")))</f>
        <v>0</v>
      </c>
      <c r="T399" t="b">
        <f>AND(IF(metadata!E399="",FALSE,TRUE),EXACT(metadata!E399,"built environment"))</f>
        <v>0</v>
      </c>
      <c r="U399" t="b">
        <f>OR(AND(IF(metadata!F399="",FALSE,TRUE),EXACT(metadata!F399,"not applicable")),AND(IF(metadata!F399="",FALSE,TRUE),EXACT(metadata!F399,"anaerobic digester content")))</f>
        <v>0</v>
      </c>
    </row>
    <row r="400" spans="1:21" x14ac:dyDescent="0.2">
      <c r="A400" s="4" t="str">
        <f ca="1">IF(B400=" "," ",HYPERLINK(CONCATENATE("#metadata!",ADDRESS(INDEX($L$2:$L$1001,MATCH(ROWS($J$2:J400),$J$2:$J$1001,0),0),1)),INDEX($O$2:$O$1001,MATCH(ROWS($J$2:J400),$J$2:$J$1001,0),0)))</f>
        <v xml:space="preserve"> </v>
      </c>
      <c r="B400" s="3" t="str">
        <f ca="1">IF(OR(INDEX($K$2:$K$1001,MATCH(ROWS($J$2:J400),$J$2:$J$1001,0),1)&gt;=100000,INDEX($Q$1005:$U$1005,1,MATCH(COLUMNS($Q$1006:Q1006),$Q$1006:$U$1006,0))&gt;=100000), " ",IF(INDEX($Q$2:$U$1001,MATCH(ROWS($J$2:J400),$J$2:$J$1001,0),MATCH(COLUMNS($Q$1006:Q1006),$Q$1006:$U$1006,0)), HYPERLINK("#",""), HYPERLINK(CONCATENATE("#metadata!", ADDRESS(INDEX($L$2:$L$1001,MATCH(ROWS($J$2:J400),$J$2:$J$1001,0),0), INDEX($Q$1004:$U$1004,1,MATCH(COLUMNS($Q$1006:Q1006),$Q$1006:$U$1006,0)))),"Fix")))</f>
        <v xml:space="preserve"> </v>
      </c>
      <c r="C400" s="3" t="str">
        <f ca="1">IF(OR(INDEX($K$2:$K$1001,MATCH(ROWS($J$2:J400),$J$2:$J$1001,0),1)&gt;=100000,INDEX($Q$1005:$U$1005,1,MATCH(COLUMNS($Q$1006:R1006),$Q$1006:$U$1006,0))&gt;=100000), " ",IF(INDEX($Q$2:$U$1001,MATCH(ROWS($J$2:J400),$J$2:$J$1001,0),MATCH(COLUMNS($Q$1006:R1006),$Q$1006:$U$1006,0)), HYPERLINK("#",""), HYPERLINK(CONCATENATE("#metadata!", ADDRESS(INDEX($L$2:$L$1001,MATCH(ROWS($J$2:J400),$J$2:$J$1001,0),0), INDEX($Q$1004:$U$1004,1,MATCH(COLUMNS($Q$1006:R1006),$Q$1006:$U$1006,0)))),"Fix")))</f>
        <v xml:space="preserve"> </v>
      </c>
      <c r="D400" s="3" t="str">
        <f ca="1">IF(OR(INDEX($K$2:$K$1001,MATCH(ROWS($J$2:J400),$J$2:$J$1001,0),1)&gt;=100000,INDEX($Q$1005:$U$1005,1,MATCH(COLUMNS($Q$1006:S1006),$Q$1006:$U$1006,0))&gt;=100000), " ",IF(INDEX($Q$2:$U$1001,MATCH(ROWS($J$2:J400),$J$2:$J$1001,0),MATCH(COLUMNS($Q$1006:S1006),$Q$1006:$U$1006,0)), HYPERLINK("#",""), HYPERLINK(CONCATENATE("#metadata!", ADDRESS(INDEX($L$2:$L$1001,MATCH(ROWS($J$2:J400),$J$2:$J$1001,0),0), INDEX($Q$1004:$U$1004,1,MATCH(COLUMNS($Q$1006:S1006),$Q$1006:$U$1006,0)))),"Fix")))</f>
        <v xml:space="preserve"> </v>
      </c>
      <c r="E400" s="3" t="str">
        <f ca="1">IF(OR(INDEX($K$2:$K$1001,MATCH(ROWS($J$2:J400),$J$2:$J$1001,0),1)&gt;=100000,INDEX($Q$1005:$U$1005,1,MATCH(COLUMNS($Q$1006:T1006),$Q$1006:$U$1006,0))&gt;=100000), " ",IF(INDEX($Q$2:$U$1001,MATCH(ROWS($J$2:J400),$J$2:$J$1001,0),MATCH(COLUMNS($Q$1006:T1006),$Q$1006:$U$1006,0)), HYPERLINK("#",""), HYPERLINK(CONCATENATE("#metadata!", ADDRESS(INDEX($L$2:$L$1001,MATCH(ROWS($J$2:J400),$J$2:$J$1001,0),0), INDEX($Q$1004:$U$1004,1,MATCH(COLUMNS($Q$1006:T1006),$Q$1006:$U$1006,0)))),"Fix")))</f>
        <v xml:space="preserve"> </v>
      </c>
      <c r="F400" s="3" t="str">
        <f ca="1">IF(OR(INDEX($K$2:$K$1001,MATCH(ROWS($J$2:J400),$J$2:$J$1001,0),1)&gt;=100000,INDEX($Q$1005:$U$1005,1,MATCH(COLUMNS($Q$1006:U1006),$Q$1006:$U$1006,0))&gt;=100000), " ",IF(INDEX($Q$2:$U$1001,MATCH(ROWS($J$2:J400),$J$2:$J$1001,0),MATCH(COLUMNS($Q$1006:U1006),$Q$1006:$U$1006,0)), HYPERLINK("#",""), HYPERLINK(CONCATENATE("#metadata!", ADDRESS(INDEX($L$2:$L$1001,MATCH(ROWS($J$2:J400),$J$2:$J$1001,0),0), INDEX($Q$1004:$U$1004,1,MATCH(COLUMNS($Q$1006:U1006),$Q$1006:$U$1006,0)))),"Fix")))</f>
        <v xml:space="preserve"> </v>
      </c>
      <c r="J400">
        <v>399</v>
      </c>
      <c r="K400">
        <v>100400</v>
      </c>
      <c r="L400">
        <v>400</v>
      </c>
      <c r="M400" t="b">
        <f t="shared" si="6"/>
        <v>1</v>
      </c>
      <c r="N400" t="b">
        <f>COUNTBLANK(metadata!B400:F400)=COLUMNS(metadata!B400:F400)</f>
        <v>1</v>
      </c>
      <c r="O400" t="str">
        <v/>
      </c>
      <c r="Q400" t="b">
        <f ca="1">AND(IF(metadata!B400="",FALSE,TRUE),COUNTIF(metadata!B:B, metadata!B400) = 1,NOT(ISERROR(SUMPRODUCT(SEARCH(MID(metadata!B400,ROW(INDIRECT("1:"&amp;LEN(metadata!B400))), 1),"0123456789abcdefghijklmnopqrstuvwxyzABCDEFGHIJKLMNOPQRSTUVWXYZ.")))))</f>
        <v>0</v>
      </c>
      <c r="R400" t="b">
        <f>AND(IF(metadata!C400="",FALSE,TRUE),OR(EXACT(metadata!C400,"saline"),EXACT(metadata!C400,"non-saline")))</f>
        <v>0</v>
      </c>
      <c r="S400" t="b">
        <f>AND(IF(metadata!D400="",FALSE,TRUE),OR(EXACT(metadata!D400,"surface (non-saline)"),EXACT(metadata!D400,"aerosol (non-saline)"),EXACT(metadata!D400,"sediment (non-saline)"),EXACT(metadata!D400,"surface (saline)"),EXACT(metadata!D400,"aerosol (saline)"),EXACT(metadata!D400,"sediment (saline)")))</f>
        <v>0</v>
      </c>
      <c r="T400" t="b">
        <f>AND(IF(metadata!E400="",FALSE,TRUE),EXACT(metadata!E400,"built environment"))</f>
        <v>0</v>
      </c>
      <c r="U400" t="b">
        <f>OR(AND(IF(metadata!F400="",FALSE,TRUE),EXACT(metadata!F400,"not applicable")),AND(IF(metadata!F400="",FALSE,TRUE),EXACT(metadata!F400,"anaerobic digester content")))</f>
        <v>0</v>
      </c>
    </row>
    <row r="401" spans="1:21" x14ac:dyDescent="0.2">
      <c r="A401" s="4" t="str">
        <f ca="1">IF(B401=" "," ",HYPERLINK(CONCATENATE("#metadata!",ADDRESS(INDEX($L$2:$L$1001,MATCH(ROWS($J$2:J401),$J$2:$J$1001,0),0),1)),INDEX($O$2:$O$1001,MATCH(ROWS($J$2:J401),$J$2:$J$1001,0),0)))</f>
        <v xml:space="preserve"> </v>
      </c>
      <c r="B401" s="3" t="str">
        <f ca="1">IF(OR(INDEX($K$2:$K$1001,MATCH(ROWS($J$2:J401),$J$2:$J$1001,0),1)&gt;=100000,INDEX($Q$1005:$U$1005,1,MATCH(COLUMNS($Q$1006:Q1006),$Q$1006:$U$1006,0))&gt;=100000), " ",IF(INDEX($Q$2:$U$1001,MATCH(ROWS($J$2:J401),$J$2:$J$1001,0),MATCH(COLUMNS($Q$1006:Q1006),$Q$1006:$U$1006,0)), HYPERLINK("#",""), HYPERLINK(CONCATENATE("#metadata!", ADDRESS(INDEX($L$2:$L$1001,MATCH(ROWS($J$2:J401),$J$2:$J$1001,0),0), INDEX($Q$1004:$U$1004,1,MATCH(COLUMNS($Q$1006:Q1006),$Q$1006:$U$1006,0)))),"Fix")))</f>
        <v xml:space="preserve"> </v>
      </c>
      <c r="C401" s="3" t="str">
        <f ca="1">IF(OR(INDEX($K$2:$K$1001,MATCH(ROWS($J$2:J401),$J$2:$J$1001,0),1)&gt;=100000,INDEX($Q$1005:$U$1005,1,MATCH(COLUMNS($Q$1006:R1006),$Q$1006:$U$1006,0))&gt;=100000), " ",IF(INDEX($Q$2:$U$1001,MATCH(ROWS($J$2:J401),$J$2:$J$1001,0),MATCH(COLUMNS($Q$1006:R1006),$Q$1006:$U$1006,0)), HYPERLINK("#",""), HYPERLINK(CONCATENATE("#metadata!", ADDRESS(INDEX($L$2:$L$1001,MATCH(ROWS($J$2:J401),$J$2:$J$1001,0),0), INDEX($Q$1004:$U$1004,1,MATCH(COLUMNS($Q$1006:R1006),$Q$1006:$U$1006,0)))),"Fix")))</f>
        <v xml:space="preserve"> </v>
      </c>
      <c r="D401" s="3" t="str">
        <f ca="1">IF(OR(INDEX($K$2:$K$1001,MATCH(ROWS($J$2:J401),$J$2:$J$1001,0),1)&gt;=100000,INDEX($Q$1005:$U$1005,1,MATCH(COLUMNS($Q$1006:S1006),$Q$1006:$U$1006,0))&gt;=100000), " ",IF(INDEX($Q$2:$U$1001,MATCH(ROWS($J$2:J401),$J$2:$J$1001,0),MATCH(COLUMNS($Q$1006:S1006),$Q$1006:$U$1006,0)), HYPERLINK("#",""), HYPERLINK(CONCATENATE("#metadata!", ADDRESS(INDEX($L$2:$L$1001,MATCH(ROWS($J$2:J401),$J$2:$J$1001,0),0), INDEX($Q$1004:$U$1004,1,MATCH(COLUMNS($Q$1006:S1006),$Q$1006:$U$1006,0)))),"Fix")))</f>
        <v xml:space="preserve"> </v>
      </c>
      <c r="E401" s="3" t="str">
        <f ca="1">IF(OR(INDEX($K$2:$K$1001,MATCH(ROWS($J$2:J401),$J$2:$J$1001,0),1)&gt;=100000,INDEX($Q$1005:$U$1005,1,MATCH(COLUMNS($Q$1006:T1006),$Q$1006:$U$1006,0))&gt;=100000), " ",IF(INDEX($Q$2:$U$1001,MATCH(ROWS($J$2:J401),$J$2:$J$1001,0),MATCH(COLUMNS($Q$1006:T1006),$Q$1006:$U$1006,0)), HYPERLINK("#",""), HYPERLINK(CONCATENATE("#metadata!", ADDRESS(INDEX($L$2:$L$1001,MATCH(ROWS($J$2:J401),$J$2:$J$1001,0),0), INDEX($Q$1004:$U$1004,1,MATCH(COLUMNS($Q$1006:T1006),$Q$1006:$U$1006,0)))),"Fix")))</f>
        <v xml:space="preserve"> </v>
      </c>
      <c r="F401" s="3" t="str">
        <f ca="1">IF(OR(INDEX($K$2:$K$1001,MATCH(ROWS($J$2:J401),$J$2:$J$1001,0),1)&gt;=100000,INDEX($Q$1005:$U$1005,1,MATCH(COLUMNS($Q$1006:U1006),$Q$1006:$U$1006,0))&gt;=100000), " ",IF(INDEX($Q$2:$U$1001,MATCH(ROWS($J$2:J401),$J$2:$J$1001,0),MATCH(COLUMNS($Q$1006:U1006),$Q$1006:$U$1006,0)), HYPERLINK("#",""), HYPERLINK(CONCATENATE("#metadata!", ADDRESS(INDEX($L$2:$L$1001,MATCH(ROWS($J$2:J401),$J$2:$J$1001,0),0), INDEX($Q$1004:$U$1004,1,MATCH(COLUMNS($Q$1006:U1006),$Q$1006:$U$1006,0)))),"Fix")))</f>
        <v xml:space="preserve"> </v>
      </c>
      <c r="J401">
        <v>400</v>
      </c>
      <c r="K401">
        <v>100401</v>
      </c>
      <c r="L401">
        <v>401</v>
      </c>
      <c r="M401" t="b">
        <f t="shared" si="6"/>
        <v>1</v>
      </c>
      <c r="N401" t="b">
        <f>COUNTBLANK(metadata!B401:F401)=COLUMNS(metadata!B401:F401)</f>
        <v>1</v>
      </c>
      <c r="O401" t="str">
        <v/>
      </c>
      <c r="Q401" t="b">
        <f ca="1">AND(IF(metadata!B401="",FALSE,TRUE),COUNTIF(metadata!B:B, metadata!B401) = 1,NOT(ISERROR(SUMPRODUCT(SEARCH(MID(metadata!B401,ROW(INDIRECT("1:"&amp;LEN(metadata!B401))), 1),"0123456789abcdefghijklmnopqrstuvwxyzABCDEFGHIJKLMNOPQRSTUVWXYZ.")))))</f>
        <v>0</v>
      </c>
      <c r="R401" t="b">
        <f>AND(IF(metadata!C401="",FALSE,TRUE),OR(EXACT(metadata!C401,"saline"),EXACT(metadata!C401,"non-saline")))</f>
        <v>0</v>
      </c>
      <c r="S401" t="b">
        <f>AND(IF(metadata!D401="",FALSE,TRUE),OR(EXACT(metadata!D401,"surface (non-saline)"),EXACT(metadata!D401,"aerosol (non-saline)"),EXACT(metadata!D401,"sediment (non-saline)"),EXACT(metadata!D401,"surface (saline)"),EXACT(metadata!D401,"aerosol (saline)"),EXACT(metadata!D401,"sediment (saline)")))</f>
        <v>0</v>
      </c>
      <c r="T401" t="b">
        <f>AND(IF(metadata!E401="",FALSE,TRUE),EXACT(metadata!E401,"built environment"))</f>
        <v>0</v>
      </c>
      <c r="U401" t="b">
        <f>OR(AND(IF(metadata!F401="",FALSE,TRUE),EXACT(metadata!F401,"not applicable")),AND(IF(metadata!F401="",FALSE,TRUE),EXACT(metadata!F401,"anaerobic digester content")))</f>
        <v>0</v>
      </c>
    </row>
    <row r="402" spans="1:21" x14ac:dyDescent="0.2">
      <c r="A402" s="4" t="str">
        <f ca="1">IF(B402=" "," ",HYPERLINK(CONCATENATE("#metadata!",ADDRESS(INDEX($L$2:$L$1001,MATCH(ROWS($J$2:J402),$J$2:$J$1001,0),0),1)),INDEX($O$2:$O$1001,MATCH(ROWS($J$2:J402),$J$2:$J$1001,0),0)))</f>
        <v xml:space="preserve"> </v>
      </c>
      <c r="B402" s="3" t="str">
        <f ca="1">IF(OR(INDEX($K$2:$K$1001,MATCH(ROWS($J$2:J402),$J$2:$J$1001,0),1)&gt;=100000,INDEX($Q$1005:$U$1005,1,MATCH(COLUMNS($Q$1006:Q1006),$Q$1006:$U$1006,0))&gt;=100000), " ",IF(INDEX($Q$2:$U$1001,MATCH(ROWS($J$2:J402),$J$2:$J$1001,0),MATCH(COLUMNS($Q$1006:Q1006),$Q$1006:$U$1006,0)), HYPERLINK("#",""), HYPERLINK(CONCATENATE("#metadata!", ADDRESS(INDEX($L$2:$L$1001,MATCH(ROWS($J$2:J402),$J$2:$J$1001,0),0), INDEX($Q$1004:$U$1004,1,MATCH(COLUMNS($Q$1006:Q1006),$Q$1006:$U$1006,0)))),"Fix")))</f>
        <v xml:space="preserve"> </v>
      </c>
      <c r="C402" s="3" t="str">
        <f ca="1">IF(OR(INDEX($K$2:$K$1001,MATCH(ROWS($J$2:J402),$J$2:$J$1001,0),1)&gt;=100000,INDEX($Q$1005:$U$1005,1,MATCH(COLUMNS($Q$1006:R1006),$Q$1006:$U$1006,0))&gt;=100000), " ",IF(INDEX($Q$2:$U$1001,MATCH(ROWS($J$2:J402),$J$2:$J$1001,0),MATCH(COLUMNS($Q$1006:R1006),$Q$1006:$U$1006,0)), HYPERLINK("#",""), HYPERLINK(CONCATENATE("#metadata!", ADDRESS(INDEX($L$2:$L$1001,MATCH(ROWS($J$2:J402),$J$2:$J$1001,0),0), INDEX($Q$1004:$U$1004,1,MATCH(COLUMNS($Q$1006:R1006),$Q$1006:$U$1006,0)))),"Fix")))</f>
        <v xml:space="preserve"> </v>
      </c>
      <c r="D402" s="3" t="str">
        <f ca="1">IF(OR(INDEX($K$2:$K$1001,MATCH(ROWS($J$2:J402),$J$2:$J$1001,0),1)&gt;=100000,INDEX($Q$1005:$U$1005,1,MATCH(COLUMNS($Q$1006:S1006),$Q$1006:$U$1006,0))&gt;=100000), " ",IF(INDEX($Q$2:$U$1001,MATCH(ROWS($J$2:J402),$J$2:$J$1001,0),MATCH(COLUMNS($Q$1006:S1006),$Q$1006:$U$1006,0)), HYPERLINK("#",""), HYPERLINK(CONCATENATE("#metadata!", ADDRESS(INDEX($L$2:$L$1001,MATCH(ROWS($J$2:J402),$J$2:$J$1001,0),0), INDEX($Q$1004:$U$1004,1,MATCH(COLUMNS($Q$1006:S1006),$Q$1006:$U$1006,0)))),"Fix")))</f>
        <v xml:space="preserve"> </v>
      </c>
      <c r="E402" s="3" t="str">
        <f ca="1">IF(OR(INDEX($K$2:$K$1001,MATCH(ROWS($J$2:J402),$J$2:$J$1001,0),1)&gt;=100000,INDEX($Q$1005:$U$1005,1,MATCH(COLUMNS($Q$1006:T1006),$Q$1006:$U$1006,0))&gt;=100000), " ",IF(INDEX($Q$2:$U$1001,MATCH(ROWS($J$2:J402),$J$2:$J$1001,0),MATCH(COLUMNS($Q$1006:T1006),$Q$1006:$U$1006,0)), HYPERLINK("#",""), HYPERLINK(CONCATENATE("#metadata!", ADDRESS(INDEX($L$2:$L$1001,MATCH(ROWS($J$2:J402),$J$2:$J$1001,0),0), INDEX($Q$1004:$U$1004,1,MATCH(COLUMNS($Q$1006:T1006),$Q$1006:$U$1006,0)))),"Fix")))</f>
        <v xml:space="preserve"> </v>
      </c>
      <c r="F402" s="3" t="str">
        <f ca="1">IF(OR(INDEX($K$2:$K$1001,MATCH(ROWS($J$2:J402),$J$2:$J$1001,0),1)&gt;=100000,INDEX($Q$1005:$U$1005,1,MATCH(COLUMNS($Q$1006:U1006),$Q$1006:$U$1006,0))&gt;=100000), " ",IF(INDEX($Q$2:$U$1001,MATCH(ROWS($J$2:J402),$J$2:$J$1001,0),MATCH(COLUMNS($Q$1006:U1006),$Q$1006:$U$1006,0)), HYPERLINK("#",""), HYPERLINK(CONCATENATE("#metadata!", ADDRESS(INDEX($L$2:$L$1001,MATCH(ROWS($J$2:J402),$J$2:$J$1001,0),0), INDEX($Q$1004:$U$1004,1,MATCH(COLUMNS($Q$1006:U1006),$Q$1006:$U$1006,0)))),"Fix")))</f>
        <v xml:space="preserve"> </v>
      </c>
      <c r="J402">
        <v>401</v>
      </c>
      <c r="K402">
        <v>100402</v>
      </c>
      <c r="L402">
        <v>402</v>
      </c>
      <c r="M402" t="b">
        <f t="shared" si="6"/>
        <v>1</v>
      </c>
      <c r="N402" t="b">
        <f>COUNTBLANK(metadata!B402:F402)=COLUMNS(metadata!B402:F402)</f>
        <v>1</v>
      </c>
      <c r="O402" t="str">
        <v/>
      </c>
      <c r="Q402" t="b">
        <f ca="1">AND(IF(metadata!B402="",FALSE,TRUE),COUNTIF(metadata!B:B, metadata!B402) = 1,NOT(ISERROR(SUMPRODUCT(SEARCH(MID(metadata!B402,ROW(INDIRECT("1:"&amp;LEN(metadata!B402))), 1),"0123456789abcdefghijklmnopqrstuvwxyzABCDEFGHIJKLMNOPQRSTUVWXYZ.")))))</f>
        <v>0</v>
      </c>
      <c r="R402" t="b">
        <f>AND(IF(metadata!C402="",FALSE,TRUE),OR(EXACT(metadata!C402,"saline"),EXACT(metadata!C402,"non-saline")))</f>
        <v>0</v>
      </c>
      <c r="S402" t="b">
        <f>AND(IF(metadata!D402="",FALSE,TRUE),OR(EXACT(metadata!D402,"surface (non-saline)"),EXACT(metadata!D402,"aerosol (non-saline)"),EXACT(metadata!D402,"sediment (non-saline)"),EXACT(metadata!D402,"surface (saline)"),EXACT(metadata!D402,"aerosol (saline)"),EXACT(metadata!D402,"sediment (saline)")))</f>
        <v>0</v>
      </c>
      <c r="T402" t="b">
        <f>AND(IF(metadata!E402="",FALSE,TRUE),EXACT(metadata!E402,"built environment"))</f>
        <v>0</v>
      </c>
      <c r="U402" t="b">
        <f>OR(AND(IF(metadata!F402="",FALSE,TRUE),EXACT(metadata!F402,"not applicable")),AND(IF(metadata!F402="",FALSE,TRUE),EXACT(metadata!F402,"anaerobic digester content")))</f>
        <v>0</v>
      </c>
    </row>
    <row r="403" spans="1:21" x14ac:dyDescent="0.2">
      <c r="A403" s="4" t="str">
        <f ca="1">IF(B403=" "," ",HYPERLINK(CONCATENATE("#metadata!",ADDRESS(INDEX($L$2:$L$1001,MATCH(ROWS($J$2:J403),$J$2:$J$1001,0),0),1)),INDEX($O$2:$O$1001,MATCH(ROWS($J$2:J403),$J$2:$J$1001,0),0)))</f>
        <v xml:space="preserve"> </v>
      </c>
      <c r="B403" s="3" t="str">
        <f ca="1">IF(OR(INDEX($K$2:$K$1001,MATCH(ROWS($J$2:J403),$J$2:$J$1001,0),1)&gt;=100000,INDEX($Q$1005:$U$1005,1,MATCH(COLUMNS($Q$1006:Q1006),$Q$1006:$U$1006,0))&gt;=100000), " ",IF(INDEX($Q$2:$U$1001,MATCH(ROWS($J$2:J403),$J$2:$J$1001,0),MATCH(COLUMNS($Q$1006:Q1006),$Q$1006:$U$1006,0)), HYPERLINK("#",""), HYPERLINK(CONCATENATE("#metadata!", ADDRESS(INDEX($L$2:$L$1001,MATCH(ROWS($J$2:J403),$J$2:$J$1001,0),0), INDEX($Q$1004:$U$1004,1,MATCH(COLUMNS($Q$1006:Q1006),$Q$1006:$U$1006,0)))),"Fix")))</f>
        <v xml:space="preserve"> </v>
      </c>
      <c r="C403" s="3" t="str">
        <f ca="1">IF(OR(INDEX($K$2:$K$1001,MATCH(ROWS($J$2:J403),$J$2:$J$1001,0),1)&gt;=100000,INDEX($Q$1005:$U$1005,1,MATCH(COLUMNS($Q$1006:R1006),$Q$1006:$U$1006,0))&gt;=100000), " ",IF(INDEX($Q$2:$U$1001,MATCH(ROWS($J$2:J403),$J$2:$J$1001,0),MATCH(COLUMNS($Q$1006:R1006),$Q$1006:$U$1006,0)), HYPERLINK("#",""), HYPERLINK(CONCATENATE("#metadata!", ADDRESS(INDEX($L$2:$L$1001,MATCH(ROWS($J$2:J403),$J$2:$J$1001,0),0), INDEX($Q$1004:$U$1004,1,MATCH(COLUMNS($Q$1006:R1006),$Q$1006:$U$1006,0)))),"Fix")))</f>
        <v xml:space="preserve"> </v>
      </c>
      <c r="D403" s="3" t="str">
        <f ca="1">IF(OR(INDEX($K$2:$K$1001,MATCH(ROWS($J$2:J403),$J$2:$J$1001,0),1)&gt;=100000,INDEX($Q$1005:$U$1005,1,MATCH(COLUMNS($Q$1006:S1006),$Q$1006:$U$1006,0))&gt;=100000), " ",IF(INDEX($Q$2:$U$1001,MATCH(ROWS($J$2:J403),$J$2:$J$1001,0),MATCH(COLUMNS($Q$1006:S1006),$Q$1006:$U$1006,0)), HYPERLINK("#",""), HYPERLINK(CONCATENATE("#metadata!", ADDRESS(INDEX($L$2:$L$1001,MATCH(ROWS($J$2:J403),$J$2:$J$1001,0),0), INDEX($Q$1004:$U$1004,1,MATCH(COLUMNS($Q$1006:S1006),$Q$1006:$U$1006,0)))),"Fix")))</f>
        <v xml:space="preserve"> </v>
      </c>
      <c r="E403" s="3" t="str">
        <f ca="1">IF(OR(INDEX($K$2:$K$1001,MATCH(ROWS($J$2:J403),$J$2:$J$1001,0),1)&gt;=100000,INDEX($Q$1005:$U$1005,1,MATCH(COLUMNS($Q$1006:T1006),$Q$1006:$U$1006,0))&gt;=100000), " ",IF(INDEX($Q$2:$U$1001,MATCH(ROWS($J$2:J403),$J$2:$J$1001,0),MATCH(COLUMNS($Q$1006:T1006),$Q$1006:$U$1006,0)), HYPERLINK("#",""), HYPERLINK(CONCATENATE("#metadata!", ADDRESS(INDEX($L$2:$L$1001,MATCH(ROWS($J$2:J403),$J$2:$J$1001,0),0), INDEX($Q$1004:$U$1004,1,MATCH(COLUMNS($Q$1006:T1006),$Q$1006:$U$1006,0)))),"Fix")))</f>
        <v xml:space="preserve"> </v>
      </c>
      <c r="F403" s="3" t="str">
        <f ca="1">IF(OR(INDEX($K$2:$K$1001,MATCH(ROWS($J$2:J403),$J$2:$J$1001,0),1)&gt;=100000,INDEX($Q$1005:$U$1005,1,MATCH(COLUMNS($Q$1006:U1006),$Q$1006:$U$1006,0))&gt;=100000), " ",IF(INDEX($Q$2:$U$1001,MATCH(ROWS($J$2:J403),$J$2:$J$1001,0),MATCH(COLUMNS($Q$1006:U1006),$Q$1006:$U$1006,0)), HYPERLINK("#",""), HYPERLINK(CONCATENATE("#metadata!", ADDRESS(INDEX($L$2:$L$1001,MATCH(ROWS($J$2:J403),$J$2:$J$1001,0),0), INDEX($Q$1004:$U$1004,1,MATCH(COLUMNS($Q$1006:U1006),$Q$1006:$U$1006,0)))),"Fix")))</f>
        <v xml:space="preserve"> </v>
      </c>
      <c r="J403">
        <v>402</v>
      </c>
      <c r="K403">
        <v>100403</v>
      </c>
      <c r="L403">
        <v>403</v>
      </c>
      <c r="M403" t="b">
        <f t="shared" si="6"/>
        <v>1</v>
      </c>
      <c r="N403" t="b">
        <f>COUNTBLANK(metadata!B403:F403)=COLUMNS(metadata!B403:F403)</f>
        <v>1</v>
      </c>
      <c r="O403" t="str">
        <v/>
      </c>
      <c r="Q403" t="b">
        <f ca="1">AND(IF(metadata!B403="",FALSE,TRUE),COUNTIF(metadata!B:B, metadata!B403) = 1,NOT(ISERROR(SUMPRODUCT(SEARCH(MID(metadata!B403,ROW(INDIRECT("1:"&amp;LEN(metadata!B403))), 1),"0123456789abcdefghijklmnopqrstuvwxyzABCDEFGHIJKLMNOPQRSTUVWXYZ.")))))</f>
        <v>0</v>
      </c>
      <c r="R403" t="b">
        <f>AND(IF(metadata!C403="",FALSE,TRUE),OR(EXACT(metadata!C403,"saline"),EXACT(metadata!C403,"non-saline")))</f>
        <v>0</v>
      </c>
      <c r="S403" t="b">
        <f>AND(IF(metadata!D403="",FALSE,TRUE),OR(EXACT(metadata!D403,"surface (non-saline)"),EXACT(metadata!D403,"aerosol (non-saline)"),EXACT(metadata!D403,"sediment (non-saline)"),EXACT(metadata!D403,"surface (saline)"),EXACT(metadata!D403,"aerosol (saline)"),EXACT(metadata!D403,"sediment (saline)")))</f>
        <v>0</v>
      </c>
      <c r="T403" t="b">
        <f>AND(IF(metadata!E403="",FALSE,TRUE),EXACT(metadata!E403,"built environment"))</f>
        <v>0</v>
      </c>
      <c r="U403" t="b">
        <f>OR(AND(IF(metadata!F403="",FALSE,TRUE),EXACT(metadata!F403,"not applicable")),AND(IF(metadata!F403="",FALSE,TRUE),EXACT(metadata!F403,"anaerobic digester content")))</f>
        <v>0</v>
      </c>
    </row>
    <row r="404" spans="1:21" x14ac:dyDescent="0.2">
      <c r="A404" s="4" t="str">
        <f ca="1">IF(B404=" "," ",HYPERLINK(CONCATENATE("#metadata!",ADDRESS(INDEX($L$2:$L$1001,MATCH(ROWS($J$2:J404),$J$2:$J$1001,0),0),1)),INDEX($O$2:$O$1001,MATCH(ROWS($J$2:J404),$J$2:$J$1001,0),0)))</f>
        <v xml:space="preserve"> </v>
      </c>
      <c r="B404" s="3" t="str">
        <f ca="1">IF(OR(INDEX($K$2:$K$1001,MATCH(ROWS($J$2:J404),$J$2:$J$1001,0),1)&gt;=100000,INDEX($Q$1005:$U$1005,1,MATCH(COLUMNS($Q$1006:Q1006),$Q$1006:$U$1006,0))&gt;=100000), " ",IF(INDEX($Q$2:$U$1001,MATCH(ROWS($J$2:J404),$J$2:$J$1001,0),MATCH(COLUMNS($Q$1006:Q1006),$Q$1006:$U$1006,0)), HYPERLINK("#",""), HYPERLINK(CONCATENATE("#metadata!", ADDRESS(INDEX($L$2:$L$1001,MATCH(ROWS($J$2:J404),$J$2:$J$1001,0),0), INDEX($Q$1004:$U$1004,1,MATCH(COLUMNS($Q$1006:Q1006),$Q$1006:$U$1006,0)))),"Fix")))</f>
        <v xml:space="preserve"> </v>
      </c>
      <c r="C404" s="3" t="str">
        <f ca="1">IF(OR(INDEX($K$2:$K$1001,MATCH(ROWS($J$2:J404),$J$2:$J$1001,0),1)&gt;=100000,INDEX($Q$1005:$U$1005,1,MATCH(COLUMNS($Q$1006:R1006),$Q$1006:$U$1006,0))&gt;=100000), " ",IF(INDEX($Q$2:$U$1001,MATCH(ROWS($J$2:J404),$J$2:$J$1001,0),MATCH(COLUMNS($Q$1006:R1006),$Q$1006:$U$1006,0)), HYPERLINK("#",""), HYPERLINK(CONCATENATE("#metadata!", ADDRESS(INDEX($L$2:$L$1001,MATCH(ROWS($J$2:J404),$J$2:$J$1001,0),0), INDEX($Q$1004:$U$1004,1,MATCH(COLUMNS($Q$1006:R1006),$Q$1006:$U$1006,0)))),"Fix")))</f>
        <v xml:space="preserve"> </v>
      </c>
      <c r="D404" s="3" t="str">
        <f ca="1">IF(OR(INDEX($K$2:$K$1001,MATCH(ROWS($J$2:J404),$J$2:$J$1001,0),1)&gt;=100000,INDEX($Q$1005:$U$1005,1,MATCH(COLUMNS($Q$1006:S1006),$Q$1006:$U$1006,0))&gt;=100000), " ",IF(INDEX($Q$2:$U$1001,MATCH(ROWS($J$2:J404),$J$2:$J$1001,0),MATCH(COLUMNS($Q$1006:S1006),$Q$1006:$U$1006,0)), HYPERLINK("#",""), HYPERLINK(CONCATENATE("#metadata!", ADDRESS(INDEX($L$2:$L$1001,MATCH(ROWS($J$2:J404),$J$2:$J$1001,0),0), INDEX($Q$1004:$U$1004,1,MATCH(COLUMNS($Q$1006:S1006),$Q$1006:$U$1006,0)))),"Fix")))</f>
        <v xml:space="preserve"> </v>
      </c>
      <c r="E404" s="3" t="str">
        <f ca="1">IF(OR(INDEX($K$2:$K$1001,MATCH(ROWS($J$2:J404),$J$2:$J$1001,0),1)&gt;=100000,INDEX($Q$1005:$U$1005,1,MATCH(COLUMNS($Q$1006:T1006),$Q$1006:$U$1006,0))&gt;=100000), " ",IF(INDEX($Q$2:$U$1001,MATCH(ROWS($J$2:J404),$J$2:$J$1001,0),MATCH(COLUMNS($Q$1006:T1006),$Q$1006:$U$1006,0)), HYPERLINK("#",""), HYPERLINK(CONCATENATE("#metadata!", ADDRESS(INDEX($L$2:$L$1001,MATCH(ROWS($J$2:J404),$J$2:$J$1001,0),0), INDEX($Q$1004:$U$1004,1,MATCH(COLUMNS($Q$1006:T1006),$Q$1006:$U$1006,0)))),"Fix")))</f>
        <v xml:space="preserve"> </v>
      </c>
      <c r="F404" s="3" t="str">
        <f ca="1">IF(OR(INDEX($K$2:$K$1001,MATCH(ROWS($J$2:J404),$J$2:$J$1001,0),1)&gt;=100000,INDEX($Q$1005:$U$1005,1,MATCH(COLUMNS($Q$1006:U1006),$Q$1006:$U$1006,0))&gt;=100000), " ",IF(INDEX($Q$2:$U$1001,MATCH(ROWS($J$2:J404),$J$2:$J$1001,0),MATCH(COLUMNS($Q$1006:U1006),$Q$1006:$U$1006,0)), HYPERLINK("#",""), HYPERLINK(CONCATENATE("#metadata!", ADDRESS(INDEX($L$2:$L$1001,MATCH(ROWS($J$2:J404),$J$2:$J$1001,0),0), INDEX($Q$1004:$U$1004,1,MATCH(COLUMNS($Q$1006:U1006),$Q$1006:$U$1006,0)))),"Fix")))</f>
        <v xml:space="preserve"> </v>
      </c>
      <c r="J404">
        <v>403</v>
      </c>
      <c r="K404">
        <v>100404</v>
      </c>
      <c r="L404">
        <v>404</v>
      </c>
      <c r="M404" t="b">
        <f t="shared" si="6"/>
        <v>1</v>
      </c>
      <c r="N404" t="b">
        <f>COUNTBLANK(metadata!B404:F404)=COLUMNS(metadata!B404:F404)</f>
        <v>1</v>
      </c>
      <c r="O404" t="str">
        <v/>
      </c>
      <c r="Q404" t="b">
        <f ca="1">AND(IF(metadata!B404="",FALSE,TRUE),COUNTIF(metadata!B:B, metadata!B404) = 1,NOT(ISERROR(SUMPRODUCT(SEARCH(MID(metadata!B404,ROW(INDIRECT("1:"&amp;LEN(metadata!B404))), 1),"0123456789abcdefghijklmnopqrstuvwxyzABCDEFGHIJKLMNOPQRSTUVWXYZ.")))))</f>
        <v>0</v>
      </c>
      <c r="R404" t="b">
        <f>AND(IF(metadata!C404="",FALSE,TRUE),OR(EXACT(metadata!C404,"saline"),EXACT(metadata!C404,"non-saline")))</f>
        <v>0</v>
      </c>
      <c r="S404" t="b">
        <f>AND(IF(metadata!D404="",FALSE,TRUE),OR(EXACT(metadata!D404,"surface (non-saline)"),EXACT(metadata!D404,"aerosol (non-saline)"),EXACT(metadata!D404,"sediment (non-saline)"),EXACT(metadata!D404,"surface (saline)"),EXACT(metadata!D404,"aerosol (saline)"),EXACT(metadata!D404,"sediment (saline)")))</f>
        <v>0</v>
      </c>
      <c r="T404" t="b">
        <f>AND(IF(metadata!E404="",FALSE,TRUE),EXACT(metadata!E404,"built environment"))</f>
        <v>0</v>
      </c>
      <c r="U404" t="b">
        <f>OR(AND(IF(metadata!F404="",FALSE,TRUE),EXACT(metadata!F404,"not applicable")),AND(IF(metadata!F404="",FALSE,TRUE),EXACT(metadata!F404,"anaerobic digester content")))</f>
        <v>0</v>
      </c>
    </row>
    <row r="405" spans="1:21" x14ac:dyDescent="0.2">
      <c r="A405" s="4" t="str">
        <f ca="1">IF(B405=" "," ",HYPERLINK(CONCATENATE("#metadata!",ADDRESS(INDEX($L$2:$L$1001,MATCH(ROWS($J$2:J405),$J$2:$J$1001,0),0),1)),INDEX($O$2:$O$1001,MATCH(ROWS($J$2:J405),$J$2:$J$1001,0),0)))</f>
        <v xml:space="preserve"> </v>
      </c>
      <c r="B405" s="3" t="str">
        <f ca="1">IF(OR(INDEX($K$2:$K$1001,MATCH(ROWS($J$2:J405),$J$2:$J$1001,0),1)&gt;=100000,INDEX($Q$1005:$U$1005,1,MATCH(COLUMNS($Q$1006:Q1006),$Q$1006:$U$1006,0))&gt;=100000), " ",IF(INDEX($Q$2:$U$1001,MATCH(ROWS($J$2:J405),$J$2:$J$1001,0),MATCH(COLUMNS($Q$1006:Q1006),$Q$1006:$U$1006,0)), HYPERLINK("#",""), HYPERLINK(CONCATENATE("#metadata!", ADDRESS(INDEX($L$2:$L$1001,MATCH(ROWS($J$2:J405),$J$2:$J$1001,0),0), INDEX($Q$1004:$U$1004,1,MATCH(COLUMNS($Q$1006:Q1006),$Q$1006:$U$1006,0)))),"Fix")))</f>
        <v xml:space="preserve"> </v>
      </c>
      <c r="C405" s="3" t="str">
        <f ca="1">IF(OR(INDEX($K$2:$K$1001,MATCH(ROWS($J$2:J405),$J$2:$J$1001,0),1)&gt;=100000,INDEX($Q$1005:$U$1005,1,MATCH(COLUMNS($Q$1006:R1006),$Q$1006:$U$1006,0))&gt;=100000), " ",IF(INDEX($Q$2:$U$1001,MATCH(ROWS($J$2:J405),$J$2:$J$1001,0),MATCH(COLUMNS($Q$1006:R1006),$Q$1006:$U$1006,0)), HYPERLINK("#",""), HYPERLINK(CONCATENATE("#metadata!", ADDRESS(INDEX($L$2:$L$1001,MATCH(ROWS($J$2:J405),$J$2:$J$1001,0),0), INDEX($Q$1004:$U$1004,1,MATCH(COLUMNS($Q$1006:R1006),$Q$1006:$U$1006,0)))),"Fix")))</f>
        <v xml:space="preserve"> </v>
      </c>
      <c r="D405" s="3" t="str">
        <f ca="1">IF(OR(INDEX($K$2:$K$1001,MATCH(ROWS($J$2:J405),$J$2:$J$1001,0),1)&gt;=100000,INDEX($Q$1005:$U$1005,1,MATCH(COLUMNS($Q$1006:S1006),$Q$1006:$U$1006,0))&gt;=100000), " ",IF(INDEX($Q$2:$U$1001,MATCH(ROWS($J$2:J405),$J$2:$J$1001,0),MATCH(COLUMNS($Q$1006:S1006),$Q$1006:$U$1006,0)), HYPERLINK("#",""), HYPERLINK(CONCATENATE("#metadata!", ADDRESS(INDEX($L$2:$L$1001,MATCH(ROWS($J$2:J405),$J$2:$J$1001,0),0), INDEX($Q$1004:$U$1004,1,MATCH(COLUMNS($Q$1006:S1006),$Q$1006:$U$1006,0)))),"Fix")))</f>
        <v xml:space="preserve"> </v>
      </c>
      <c r="E405" s="3" t="str">
        <f ca="1">IF(OR(INDEX($K$2:$K$1001,MATCH(ROWS($J$2:J405),$J$2:$J$1001,0),1)&gt;=100000,INDEX($Q$1005:$U$1005,1,MATCH(COLUMNS($Q$1006:T1006),$Q$1006:$U$1006,0))&gt;=100000), " ",IF(INDEX($Q$2:$U$1001,MATCH(ROWS($J$2:J405),$J$2:$J$1001,0),MATCH(COLUMNS($Q$1006:T1006),$Q$1006:$U$1006,0)), HYPERLINK("#",""), HYPERLINK(CONCATENATE("#metadata!", ADDRESS(INDEX($L$2:$L$1001,MATCH(ROWS($J$2:J405),$J$2:$J$1001,0),0), INDEX($Q$1004:$U$1004,1,MATCH(COLUMNS($Q$1006:T1006),$Q$1006:$U$1006,0)))),"Fix")))</f>
        <v xml:space="preserve"> </v>
      </c>
      <c r="F405" s="3" t="str">
        <f ca="1">IF(OR(INDEX($K$2:$K$1001,MATCH(ROWS($J$2:J405),$J$2:$J$1001,0),1)&gt;=100000,INDEX($Q$1005:$U$1005,1,MATCH(COLUMNS($Q$1006:U1006),$Q$1006:$U$1006,0))&gt;=100000), " ",IF(INDEX($Q$2:$U$1001,MATCH(ROWS($J$2:J405),$J$2:$J$1001,0),MATCH(COLUMNS($Q$1006:U1006),$Q$1006:$U$1006,0)), HYPERLINK("#",""), HYPERLINK(CONCATENATE("#metadata!", ADDRESS(INDEX($L$2:$L$1001,MATCH(ROWS($J$2:J405),$J$2:$J$1001,0),0), INDEX($Q$1004:$U$1004,1,MATCH(COLUMNS($Q$1006:U1006),$Q$1006:$U$1006,0)))),"Fix")))</f>
        <v xml:space="preserve"> </v>
      </c>
      <c r="J405">
        <v>404</v>
      </c>
      <c r="K405">
        <v>100405</v>
      </c>
      <c r="L405">
        <v>405</v>
      </c>
      <c r="M405" t="b">
        <f t="shared" si="6"/>
        <v>1</v>
      </c>
      <c r="N405" t="b">
        <f>COUNTBLANK(metadata!B405:F405)=COLUMNS(metadata!B405:F405)</f>
        <v>1</v>
      </c>
      <c r="O405" t="str">
        <v/>
      </c>
      <c r="Q405" t="b">
        <f ca="1">AND(IF(metadata!B405="",FALSE,TRUE),COUNTIF(metadata!B:B, metadata!B405) = 1,NOT(ISERROR(SUMPRODUCT(SEARCH(MID(metadata!B405,ROW(INDIRECT("1:"&amp;LEN(metadata!B405))), 1),"0123456789abcdefghijklmnopqrstuvwxyzABCDEFGHIJKLMNOPQRSTUVWXYZ.")))))</f>
        <v>0</v>
      </c>
      <c r="R405" t="b">
        <f>AND(IF(metadata!C405="",FALSE,TRUE),OR(EXACT(metadata!C405,"saline"),EXACT(metadata!C405,"non-saline")))</f>
        <v>0</v>
      </c>
      <c r="S405" t="b">
        <f>AND(IF(metadata!D405="",FALSE,TRUE),OR(EXACT(metadata!D405,"surface (non-saline)"),EXACT(metadata!D405,"aerosol (non-saline)"),EXACT(metadata!D405,"sediment (non-saline)"),EXACT(metadata!D405,"surface (saline)"),EXACT(metadata!D405,"aerosol (saline)"),EXACT(metadata!D405,"sediment (saline)")))</f>
        <v>0</v>
      </c>
      <c r="T405" t="b">
        <f>AND(IF(metadata!E405="",FALSE,TRUE),EXACT(metadata!E405,"built environment"))</f>
        <v>0</v>
      </c>
      <c r="U405" t="b">
        <f>OR(AND(IF(metadata!F405="",FALSE,TRUE),EXACT(metadata!F405,"not applicable")),AND(IF(metadata!F405="",FALSE,TRUE),EXACT(metadata!F405,"anaerobic digester content")))</f>
        <v>0</v>
      </c>
    </row>
    <row r="406" spans="1:21" x14ac:dyDescent="0.2">
      <c r="A406" s="4" t="str">
        <f ca="1">IF(B406=" "," ",HYPERLINK(CONCATENATE("#metadata!",ADDRESS(INDEX($L$2:$L$1001,MATCH(ROWS($J$2:J406),$J$2:$J$1001,0),0),1)),INDEX($O$2:$O$1001,MATCH(ROWS($J$2:J406),$J$2:$J$1001,0),0)))</f>
        <v xml:space="preserve"> </v>
      </c>
      <c r="B406" s="3" t="str">
        <f ca="1">IF(OR(INDEX($K$2:$K$1001,MATCH(ROWS($J$2:J406),$J$2:$J$1001,0),1)&gt;=100000,INDEX($Q$1005:$U$1005,1,MATCH(COLUMNS($Q$1006:Q1006),$Q$1006:$U$1006,0))&gt;=100000), " ",IF(INDEX($Q$2:$U$1001,MATCH(ROWS($J$2:J406),$J$2:$J$1001,0),MATCH(COLUMNS($Q$1006:Q1006),$Q$1006:$U$1006,0)), HYPERLINK("#",""), HYPERLINK(CONCATENATE("#metadata!", ADDRESS(INDEX($L$2:$L$1001,MATCH(ROWS($J$2:J406),$J$2:$J$1001,0),0), INDEX($Q$1004:$U$1004,1,MATCH(COLUMNS($Q$1006:Q1006),$Q$1006:$U$1006,0)))),"Fix")))</f>
        <v xml:space="preserve"> </v>
      </c>
      <c r="C406" s="3" t="str">
        <f ca="1">IF(OR(INDEX($K$2:$K$1001,MATCH(ROWS($J$2:J406),$J$2:$J$1001,0),1)&gt;=100000,INDEX($Q$1005:$U$1005,1,MATCH(COLUMNS($Q$1006:R1006),$Q$1006:$U$1006,0))&gt;=100000), " ",IF(INDEX($Q$2:$U$1001,MATCH(ROWS($J$2:J406),$J$2:$J$1001,0),MATCH(COLUMNS($Q$1006:R1006),$Q$1006:$U$1006,0)), HYPERLINK("#",""), HYPERLINK(CONCATENATE("#metadata!", ADDRESS(INDEX($L$2:$L$1001,MATCH(ROWS($J$2:J406),$J$2:$J$1001,0),0), INDEX($Q$1004:$U$1004,1,MATCH(COLUMNS($Q$1006:R1006),$Q$1006:$U$1006,0)))),"Fix")))</f>
        <v xml:space="preserve"> </v>
      </c>
      <c r="D406" s="3" t="str">
        <f ca="1">IF(OR(INDEX($K$2:$K$1001,MATCH(ROWS($J$2:J406),$J$2:$J$1001,0),1)&gt;=100000,INDEX($Q$1005:$U$1005,1,MATCH(COLUMNS($Q$1006:S1006),$Q$1006:$U$1006,0))&gt;=100000), " ",IF(INDEX($Q$2:$U$1001,MATCH(ROWS($J$2:J406),$J$2:$J$1001,0),MATCH(COLUMNS($Q$1006:S1006),$Q$1006:$U$1006,0)), HYPERLINK("#",""), HYPERLINK(CONCATENATE("#metadata!", ADDRESS(INDEX($L$2:$L$1001,MATCH(ROWS($J$2:J406),$J$2:$J$1001,0),0), INDEX($Q$1004:$U$1004,1,MATCH(COLUMNS($Q$1006:S1006),$Q$1006:$U$1006,0)))),"Fix")))</f>
        <v xml:space="preserve"> </v>
      </c>
      <c r="E406" s="3" t="str">
        <f ca="1">IF(OR(INDEX($K$2:$K$1001,MATCH(ROWS($J$2:J406),$J$2:$J$1001,0),1)&gt;=100000,INDEX($Q$1005:$U$1005,1,MATCH(COLUMNS($Q$1006:T1006),$Q$1006:$U$1006,0))&gt;=100000), " ",IF(INDEX($Q$2:$U$1001,MATCH(ROWS($J$2:J406),$J$2:$J$1001,0),MATCH(COLUMNS($Q$1006:T1006),$Q$1006:$U$1006,0)), HYPERLINK("#",""), HYPERLINK(CONCATENATE("#metadata!", ADDRESS(INDEX($L$2:$L$1001,MATCH(ROWS($J$2:J406),$J$2:$J$1001,0),0), INDEX($Q$1004:$U$1004,1,MATCH(COLUMNS($Q$1006:T1006),$Q$1006:$U$1006,0)))),"Fix")))</f>
        <v xml:space="preserve"> </v>
      </c>
      <c r="F406" s="3" t="str">
        <f ca="1">IF(OR(INDEX($K$2:$K$1001,MATCH(ROWS($J$2:J406),$J$2:$J$1001,0),1)&gt;=100000,INDEX($Q$1005:$U$1005,1,MATCH(COLUMNS($Q$1006:U1006),$Q$1006:$U$1006,0))&gt;=100000), " ",IF(INDEX($Q$2:$U$1001,MATCH(ROWS($J$2:J406),$J$2:$J$1001,0),MATCH(COLUMNS($Q$1006:U1006),$Q$1006:$U$1006,0)), HYPERLINK("#",""), HYPERLINK(CONCATENATE("#metadata!", ADDRESS(INDEX($L$2:$L$1001,MATCH(ROWS($J$2:J406),$J$2:$J$1001,0),0), INDEX($Q$1004:$U$1004,1,MATCH(COLUMNS($Q$1006:U1006),$Q$1006:$U$1006,0)))),"Fix")))</f>
        <v xml:space="preserve"> </v>
      </c>
      <c r="J406">
        <v>405</v>
      </c>
      <c r="K406">
        <v>100406</v>
      </c>
      <c r="L406">
        <v>406</v>
      </c>
      <c r="M406" t="b">
        <f t="shared" si="6"/>
        <v>1</v>
      </c>
      <c r="N406" t="b">
        <f>COUNTBLANK(metadata!B406:F406)=COLUMNS(metadata!B406:F406)</f>
        <v>1</v>
      </c>
      <c r="O406" t="str">
        <v/>
      </c>
      <c r="Q406" t="b">
        <f ca="1">AND(IF(metadata!B406="",FALSE,TRUE),COUNTIF(metadata!B:B, metadata!B406) = 1,NOT(ISERROR(SUMPRODUCT(SEARCH(MID(metadata!B406,ROW(INDIRECT("1:"&amp;LEN(metadata!B406))), 1),"0123456789abcdefghijklmnopqrstuvwxyzABCDEFGHIJKLMNOPQRSTUVWXYZ.")))))</f>
        <v>0</v>
      </c>
      <c r="R406" t="b">
        <f>AND(IF(metadata!C406="",FALSE,TRUE),OR(EXACT(metadata!C406,"saline"),EXACT(metadata!C406,"non-saline")))</f>
        <v>0</v>
      </c>
      <c r="S406" t="b">
        <f>AND(IF(metadata!D406="",FALSE,TRUE),OR(EXACT(metadata!D406,"surface (non-saline)"),EXACT(metadata!D406,"aerosol (non-saline)"),EXACT(metadata!D406,"sediment (non-saline)"),EXACT(metadata!D406,"surface (saline)"),EXACT(metadata!D406,"aerosol (saline)"),EXACT(metadata!D406,"sediment (saline)")))</f>
        <v>0</v>
      </c>
      <c r="T406" t="b">
        <f>AND(IF(metadata!E406="",FALSE,TRUE),EXACT(metadata!E406,"built environment"))</f>
        <v>0</v>
      </c>
      <c r="U406" t="b">
        <f>OR(AND(IF(metadata!F406="",FALSE,TRUE),EXACT(metadata!F406,"not applicable")),AND(IF(metadata!F406="",FALSE,TRUE),EXACT(metadata!F406,"anaerobic digester content")))</f>
        <v>0</v>
      </c>
    </row>
    <row r="407" spans="1:21" x14ac:dyDescent="0.2">
      <c r="A407" s="4" t="str">
        <f ca="1">IF(B407=" "," ",HYPERLINK(CONCATENATE("#metadata!",ADDRESS(INDEX($L$2:$L$1001,MATCH(ROWS($J$2:J407),$J$2:$J$1001,0),0),1)),INDEX($O$2:$O$1001,MATCH(ROWS($J$2:J407),$J$2:$J$1001,0),0)))</f>
        <v xml:space="preserve"> </v>
      </c>
      <c r="B407" s="3" t="str">
        <f ca="1">IF(OR(INDEX($K$2:$K$1001,MATCH(ROWS($J$2:J407),$J$2:$J$1001,0),1)&gt;=100000,INDEX($Q$1005:$U$1005,1,MATCH(COLUMNS($Q$1006:Q1006),$Q$1006:$U$1006,0))&gt;=100000), " ",IF(INDEX($Q$2:$U$1001,MATCH(ROWS($J$2:J407),$J$2:$J$1001,0),MATCH(COLUMNS($Q$1006:Q1006),$Q$1006:$U$1006,0)), HYPERLINK("#",""), HYPERLINK(CONCATENATE("#metadata!", ADDRESS(INDEX($L$2:$L$1001,MATCH(ROWS($J$2:J407),$J$2:$J$1001,0),0), INDEX($Q$1004:$U$1004,1,MATCH(COLUMNS($Q$1006:Q1006),$Q$1006:$U$1006,0)))),"Fix")))</f>
        <v xml:space="preserve"> </v>
      </c>
      <c r="C407" s="3" t="str">
        <f ca="1">IF(OR(INDEX($K$2:$K$1001,MATCH(ROWS($J$2:J407),$J$2:$J$1001,0),1)&gt;=100000,INDEX($Q$1005:$U$1005,1,MATCH(COLUMNS($Q$1006:R1006),$Q$1006:$U$1006,0))&gt;=100000), " ",IF(INDEX($Q$2:$U$1001,MATCH(ROWS($J$2:J407),$J$2:$J$1001,0),MATCH(COLUMNS($Q$1006:R1006),$Q$1006:$U$1006,0)), HYPERLINK("#",""), HYPERLINK(CONCATENATE("#metadata!", ADDRESS(INDEX($L$2:$L$1001,MATCH(ROWS($J$2:J407),$J$2:$J$1001,0),0), INDEX($Q$1004:$U$1004,1,MATCH(COLUMNS($Q$1006:R1006),$Q$1006:$U$1006,0)))),"Fix")))</f>
        <v xml:space="preserve"> </v>
      </c>
      <c r="D407" s="3" t="str">
        <f ca="1">IF(OR(INDEX($K$2:$K$1001,MATCH(ROWS($J$2:J407),$J$2:$J$1001,0),1)&gt;=100000,INDEX($Q$1005:$U$1005,1,MATCH(COLUMNS($Q$1006:S1006),$Q$1006:$U$1006,0))&gt;=100000), " ",IF(INDEX($Q$2:$U$1001,MATCH(ROWS($J$2:J407),$J$2:$J$1001,0),MATCH(COLUMNS($Q$1006:S1006),$Q$1006:$U$1006,0)), HYPERLINK("#",""), HYPERLINK(CONCATENATE("#metadata!", ADDRESS(INDEX($L$2:$L$1001,MATCH(ROWS($J$2:J407),$J$2:$J$1001,0),0), INDEX($Q$1004:$U$1004,1,MATCH(COLUMNS($Q$1006:S1006),$Q$1006:$U$1006,0)))),"Fix")))</f>
        <v xml:space="preserve"> </v>
      </c>
      <c r="E407" s="3" t="str">
        <f ca="1">IF(OR(INDEX($K$2:$K$1001,MATCH(ROWS($J$2:J407),$J$2:$J$1001,0),1)&gt;=100000,INDEX($Q$1005:$U$1005,1,MATCH(COLUMNS($Q$1006:T1006),$Q$1006:$U$1006,0))&gt;=100000), " ",IF(INDEX($Q$2:$U$1001,MATCH(ROWS($J$2:J407),$J$2:$J$1001,0),MATCH(COLUMNS($Q$1006:T1006),$Q$1006:$U$1006,0)), HYPERLINK("#",""), HYPERLINK(CONCATENATE("#metadata!", ADDRESS(INDEX($L$2:$L$1001,MATCH(ROWS($J$2:J407),$J$2:$J$1001,0),0), INDEX($Q$1004:$U$1004,1,MATCH(COLUMNS($Q$1006:T1006),$Q$1006:$U$1006,0)))),"Fix")))</f>
        <v xml:space="preserve"> </v>
      </c>
      <c r="F407" s="3" t="str">
        <f ca="1">IF(OR(INDEX($K$2:$K$1001,MATCH(ROWS($J$2:J407),$J$2:$J$1001,0),1)&gt;=100000,INDEX($Q$1005:$U$1005,1,MATCH(COLUMNS($Q$1006:U1006),$Q$1006:$U$1006,0))&gt;=100000), " ",IF(INDEX($Q$2:$U$1001,MATCH(ROWS($J$2:J407),$J$2:$J$1001,0),MATCH(COLUMNS($Q$1006:U1006),$Q$1006:$U$1006,0)), HYPERLINK("#",""), HYPERLINK(CONCATENATE("#metadata!", ADDRESS(INDEX($L$2:$L$1001,MATCH(ROWS($J$2:J407),$J$2:$J$1001,0),0), INDEX($Q$1004:$U$1004,1,MATCH(COLUMNS($Q$1006:U1006),$Q$1006:$U$1006,0)))),"Fix")))</f>
        <v xml:space="preserve"> </v>
      </c>
      <c r="J407">
        <v>406</v>
      </c>
      <c r="K407">
        <v>100407</v>
      </c>
      <c r="L407">
        <v>407</v>
      </c>
      <c r="M407" t="b">
        <f t="shared" si="6"/>
        <v>1</v>
      </c>
      <c r="N407" t="b">
        <f>COUNTBLANK(metadata!B407:F407)=COLUMNS(metadata!B407:F407)</f>
        <v>1</v>
      </c>
      <c r="O407" t="str">
        <v/>
      </c>
      <c r="Q407" t="b">
        <f ca="1">AND(IF(metadata!B407="",FALSE,TRUE),COUNTIF(metadata!B:B, metadata!B407) = 1,NOT(ISERROR(SUMPRODUCT(SEARCH(MID(metadata!B407,ROW(INDIRECT("1:"&amp;LEN(metadata!B407))), 1),"0123456789abcdefghijklmnopqrstuvwxyzABCDEFGHIJKLMNOPQRSTUVWXYZ.")))))</f>
        <v>0</v>
      </c>
      <c r="R407" t="b">
        <f>AND(IF(metadata!C407="",FALSE,TRUE),OR(EXACT(metadata!C407,"saline"),EXACT(metadata!C407,"non-saline")))</f>
        <v>0</v>
      </c>
      <c r="S407" t="b">
        <f>AND(IF(metadata!D407="",FALSE,TRUE),OR(EXACT(metadata!D407,"surface (non-saline)"),EXACT(metadata!D407,"aerosol (non-saline)"),EXACT(metadata!D407,"sediment (non-saline)"),EXACT(metadata!D407,"surface (saline)"),EXACT(metadata!D407,"aerosol (saline)"),EXACT(metadata!D407,"sediment (saline)")))</f>
        <v>0</v>
      </c>
      <c r="T407" t="b">
        <f>AND(IF(metadata!E407="",FALSE,TRUE),EXACT(metadata!E407,"built environment"))</f>
        <v>0</v>
      </c>
      <c r="U407" t="b">
        <f>OR(AND(IF(metadata!F407="",FALSE,TRUE),EXACT(metadata!F407,"not applicable")),AND(IF(metadata!F407="",FALSE,TRUE),EXACT(metadata!F407,"anaerobic digester content")))</f>
        <v>0</v>
      </c>
    </row>
    <row r="408" spans="1:21" x14ac:dyDescent="0.2">
      <c r="A408" s="4" t="str">
        <f ca="1">IF(B408=" "," ",HYPERLINK(CONCATENATE("#metadata!",ADDRESS(INDEX($L$2:$L$1001,MATCH(ROWS($J$2:J408),$J$2:$J$1001,0),0),1)),INDEX($O$2:$O$1001,MATCH(ROWS($J$2:J408),$J$2:$J$1001,0),0)))</f>
        <v xml:space="preserve"> </v>
      </c>
      <c r="B408" s="3" t="str">
        <f ca="1">IF(OR(INDEX($K$2:$K$1001,MATCH(ROWS($J$2:J408),$J$2:$J$1001,0),1)&gt;=100000,INDEX($Q$1005:$U$1005,1,MATCH(COLUMNS($Q$1006:Q1006),$Q$1006:$U$1006,0))&gt;=100000), " ",IF(INDEX($Q$2:$U$1001,MATCH(ROWS($J$2:J408),$J$2:$J$1001,0),MATCH(COLUMNS($Q$1006:Q1006),$Q$1006:$U$1006,0)), HYPERLINK("#",""), HYPERLINK(CONCATENATE("#metadata!", ADDRESS(INDEX($L$2:$L$1001,MATCH(ROWS($J$2:J408),$J$2:$J$1001,0),0), INDEX($Q$1004:$U$1004,1,MATCH(COLUMNS($Q$1006:Q1006),$Q$1006:$U$1006,0)))),"Fix")))</f>
        <v xml:space="preserve"> </v>
      </c>
      <c r="C408" s="3" t="str">
        <f ca="1">IF(OR(INDEX($K$2:$K$1001,MATCH(ROWS($J$2:J408),$J$2:$J$1001,0),1)&gt;=100000,INDEX($Q$1005:$U$1005,1,MATCH(COLUMNS($Q$1006:R1006),$Q$1006:$U$1006,0))&gt;=100000), " ",IF(INDEX($Q$2:$U$1001,MATCH(ROWS($J$2:J408),$J$2:$J$1001,0),MATCH(COLUMNS($Q$1006:R1006),$Q$1006:$U$1006,0)), HYPERLINK("#",""), HYPERLINK(CONCATENATE("#metadata!", ADDRESS(INDEX($L$2:$L$1001,MATCH(ROWS($J$2:J408),$J$2:$J$1001,0),0), INDEX($Q$1004:$U$1004,1,MATCH(COLUMNS($Q$1006:R1006),$Q$1006:$U$1006,0)))),"Fix")))</f>
        <v xml:space="preserve"> </v>
      </c>
      <c r="D408" s="3" t="str">
        <f ca="1">IF(OR(INDEX($K$2:$K$1001,MATCH(ROWS($J$2:J408),$J$2:$J$1001,0),1)&gt;=100000,INDEX($Q$1005:$U$1005,1,MATCH(COLUMNS($Q$1006:S1006),$Q$1006:$U$1006,0))&gt;=100000), " ",IF(INDEX($Q$2:$U$1001,MATCH(ROWS($J$2:J408),$J$2:$J$1001,0),MATCH(COLUMNS($Q$1006:S1006),$Q$1006:$U$1006,0)), HYPERLINK("#",""), HYPERLINK(CONCATENATE("#metadata!", ADDRESS(INDEX($L$2:$L$1001,MATCH(ROWS($J$2:J408),$J$2:$J$1001,0),0), INDEX($Q$1004:$U$1004,1,MATCH(COLUMNS($Q$1006:S1006),$Q$1006:$U$1006,0)))),"Fix")))</f>
        <v xml:space="preserve"> </v>
      </c>
      <c r="E408" s="3" t="str">
        <f ca="1">IF(OR(INDEX($K$2:$K$1001,MATCH(ROWS($J$2:J408),$J$2:$J$1001,0),1)&gt;=100000,INDEX($Q$1005:$U$1005,1,MATCH(COLUMNS($Q$1006:T1006),$Q$1006:$U$1006,0))&gt;=100000), " ",IF(INDEX($Q$2:$U$1001,MATCH(ROWS($J$2:J408),$J$2:$J$1001,0),MATCH(COLUMNS($Q$1006:T1006),$Q$1006:$U$1006,0)), HYPERLINK("#",""), HYPERLINK(CONCATENATE("#metadata!", ADDRESS(INDEX($L$2:$L$1001,MATCH(ROWS($J$2:J408),$J$2:$J$1001,0),0), INDEX($Q$1004:$U$1004,1,MATCH(COLUMNS($Q$1006:T1006),$Q$1006:$U$1006,0)))),"Fix")))</f>
        <v xml:space="preserve"> </v>
      </c>
      <c r="F408" s="3" t="str">
        <f ca="1">IF(OR(INDEX($K$2:$K$1001,MATCH(ROWS($J$2:J408),$J$2:$J$1001,0),1)&gt;=100000,INDEX($Q$1005:$U$1005,1,MATCH(COLUMNS($Q$1006:U1006),$Q$1006:$U$1006,0))&gt;=100000), " ",IF(INDEX($Q$2:$U$1001,MATCH(ROWS($J$2:J408),$J$2:$J$1001,0),MATCH(COLUMNS($Q$1006:U1006),$Q$1006:$U$1006,0)), HYPERLINK("#",""), HYPERLINK(CONCATENATE("#metadata!", ADDRESS(INDEX($L$2:$L$1001,MATCH(ROWS($J$2:J408),$J$2:$J$1001,0),0), INDEX($Q$1004:$U$1004,1,MATCH(COLUMNS($Q$1006:U1006),$Q$1006:$U$1006,0)))),"Fix")))</f>
        <v xml:space="preserve"> </v>
      </c>
      <c r="J408">
        <v>407</v>
      </c>
      <c r="K408">
        <v>100408</v>
      </c>
      <c r="L408">
        <v>408</v>
      </c>
      <c r="M408" t="b">
        <f t="shared" si="6"/>
        <v>1</v>
      </c>
      <c r="N408" t="b">
        <f>COUNTBLANK(metadata!B408:F408)=COLUMNS(metadata!B408:F408)</f>
        <v>1</v>
      </c>
      <c r="O408" t="str">
        <v/>
      </c>
      <c r="Q408" t="b">
        <f ca="1">AND(IF(metadata!B408="",FALSE,TRUE),COUNTIF(metadata!B:B, metadata!B408) = 1,NOT(ISERROR(SUMPRODUCT(SEARCH(MID(metadata!B408,ROW(INDIRECT("1:"&amp;LEN(metadata!B408))), 1),"0123456789abcdefghijklmnopqrstuvwxyzABCDEFGHIJKLMNOPQRSTUVWXYZ.")))))</f>
        <v>0</v>
      </c>
      <c r="R408" t="b">
        <f>AND(IF(metadata!C408="",FALSE,TRUE),OR(EXACT(metadata!C408,"saline"),EXACT(metadata!C408,"non-saline")))</f>
        <v>0</v>
      </c>
      <c r="S408" t="b">
        <f>AND(IF(metadata!D408="",FALSE,TRUE),OR(EXACT(metadata!D408,"surface (non-saline)"),EXACT(metadata!D408,"aerosol (non-saline)"),EXACT(metadata!D408,"sediment (non-saline)"),EXACT(metadata!D408,"surface (saline)"),EXACT(metadata!D408,"aerosol (saline)"),EXACT(metadata!D408,"sediment (saline)")))</f>
        <v>0</v>
      </c>
      <c r="T408" t="b">
        <f>AND(IF(metadata!E408="",FALSE,TRUE),EXACT(metadata!E408,"built environment"))</f>
        <v>0</v>
      </c>
      <c r="U408" t="b">
        <f>OR(AND(IF(metadata!F408="",FALSE,TRUE),EXACT(metadata!F408,"not applicable")),AND(IF(metadata!F408="",FALSE,TRUE),EXACT(metadata!F408,"anaerobic digester content")))</f>
        <v>0</v>
      </c>
    </row>
    <row r="409" spans="1:21" x14ac:dyDescent="0.2">
      <c r="A409" s="4" t="str">
        <f ca="1">IF(B409=" "," ",HYPERLINK(CONCATENATE("#metadata!",ADDRESS(INDEX($L$2:$L$1001,MATCH(ROWS($J$2:J409),$J$2:$J$1001,0),0),1)),INDEX($O$2:$O$1001,MATCH(ROWS($J$2:J409),$J$2:$J$1001,0),0)))</f>
        <v xml:space="preserve"> </v>
      </c>
      <c r="B409" s="3" t="str">
        <f ca="1">IF(OR(INDEX($K$2:$K$1001,MATCH(ROWS($J$2:J409),$J$2:$J$1001,0),1)&gt;=100000,INDEX($Q$1005:$U$1005,1,MATCH(COLUMNS($Q$1006:Q1006),$Q$1006:$U$1006,0))&gt;=100000), " ",IF(INDEX($Q$2:$U$1001,MATCH(ROWS($J$2:J409),$J$2:$J$1001,0),MATCH(COLUMNS($Q$1006:Q1006),$Q$1006:$U$1006,0)), HYPERLINK("#",""), HYPERLINK(CONCATENATE("#metadata!", ADDRESS(INDEX($L$2:$L$1001,MATCH(ROWS($J$2:J409),$J$2:$J$1001,0),0), INDEX($Q$1004:$U$1004,1,MATCH(COLUMNS($Q$1006:Q1006),$Q$1006:$U$1006,0)))),"Fix")))</f>
        <v xml:space="preserve"> </v>
      </c>
      <c r="C409" s="3" t="str">
        <f ca="1">IF(OR(INDEX($K$2:$K$1001,MATCH(ROWS($J$2:J409),$J$2:$J$1001,0),1)&gt;=100000,INDEX($Q$1005:$U$1005,1,MATCH(COLUMNS($Q$1006:R1006),$Q$1006:$U$1006,0))&gt;=100000), " ",IF(INDEX($Q$2:$U$1001,MATCH(ROWS($J$2:J409),$J$2:$J$1001,0),MATCH(COLUMNS($Q$1006:R1006),$Q$1006:$U$1006,0)), HYPERLINK("#",""), HYPERLINK(CONCATENATE("#metadata!", ADDRESS(INDEX($L$2:$L$1001,MATCH(ROWS($J$2:J409),$J$2:$J$1001,0),0), INDEX($Q$1004:$U$1004,1,MATCH(COLUMNS($Q$1006:R1006),$Q$1006:$U$1006,0)))),"Fix")))</f>
        <v xml:space="preserve"> </v>
      </c>
      <c r="D409" s="3" t="str">
        <f ca="1">IF(OR(INDEX($K$2:$K$1001,MATCH(ROWS($J$2:J409),$J$2:$J$1001,0),1)&gt;=100000,INDEX($Q$1005:$U$1005,1,MATCH(COLUMNS($Q$1006:S1006),$Q$1006:$U$1006,0))&gt;=100000), " ",IF(INDEX($Q$2:$U$1001,MATCH(ROWS($J$2:J409),$J$2:$J$1001,0),MATCH(COLUMNS($Q$1006:S1006),$Q$1006:$U$1006,0)), HYPERLINK("#",""), HYPERLINK(CONCATENATE("#metadata!", ADDRESS(INDEX($L$2:$L$1001,MATCH(ROWS($J$2:J409),$J$2:$J$1001,0),0), INDEX($Q$1004:$U$1004,1,MATCH(COLUMNS($Q$1006:S1006),$Q$1006:$U$1006,0)))),"Fix")))</f>
        <v xml:space="preserve"> </v>
      </c>
      <c r="E409" s="3" t="str">
        <f ca="1">IF(OR(INDEX($K$2:$K$1001,MATCH(ROWS($J$2:J409),$J$2:$J$1001,0),1)&gt;=100000,INDEX($Q$1005:$U$1005,1,MATCH(COLUMNS($Q$1006:T1006),$Q$1006:$U$1006,0))&gt;=100000), " ",IF(INDEX($Q$2:$U$1001,MATCH(ROWS($J$2:J409),$J$2:$J$1001,0),MATCH(COLUMNS($Q$1006:T1006),$Q$1006:$U$1006,0)), HYPERLINK("#",""), HYPERLINK(CONCATENATE("#metadata!", ADDRESS(INDEX($L$2:$L$1001,MATCH(ROWS($J$2:J409),$J$2:$J$1001,0),0), INDEX($Q$1004:$U$1004,1,MATCH(COLUMNS($Q$1006:T1006),$Q$1006:$U$1006,0)))),"Fix")))</f>
        <v xml:space="preserve"> </v>
      </c>
      <c r="F409" s="3" t="str">
        <f ca="1">IF(OR(INDEX($K$2:$K$1001,MATCH(ROWS($J$2:J409),$J$2:$J$1001,0),1)&gt;=100000,INDEX($Q$1005:$U$1005,1,MATCH(COLUMNS($Q$1006:U1006),$Q$1006:$U$1006,0))&gt;=100000), " ",IF(INDEX($Q$2:$U$1001,MATCH(ROWS($J$2:J409),$J$2:$J$1001,0),MATCH(COLUMNS($Q$1006:U1006),$Q$1006:$U$1006,0)), HYPERLINK("#",""), HYPERLINK(CONCATENATE("#metadata!", ADDRESS(INDEX($L$2:$L$1001,MATCH(ROWS($J$2:J409),$J$2:$J$1001,0),0), INDEX($Q$1004:$U$1004,1,MATCH(COLUMNS($Q$1006:U1006),$Q$1006:$U$1006,0)))),"Fix")))</f>
        <v xml:space="preserve"> </v>
      </c>
      <c r="J409">
        <v>408</v>
      </c>
      <c r="K409">
        <v>100409</v>
      </c>
      <c r="L409">
        <v>409</v>
      </c>
      <c r="M409" t="b">
        <f t="shared" si="6"/>
        <v>1</v>
      </c>
      <c r="N409" t="b">
        <f>COUNTBLANK(metadata!B409:F409)=COLUMNS(metadata!B409:F409)</f>
        <v>1</v>
      </c>
      <c r="O409" t="str">
        <v/>
      </c>
      <c r="Q409" t="b">
        <f ca="1">AND(IF(metadata!B409="",FALSE,TRUE),COUNTIF(metadata!B:B, metadata!B409) = 1,NOT(ISERROR(SUMPRODUCT(SEARCH(MID(metadata!B409,ROW(INDIRECT("1:"&amp;LEN(metadata!B409))), 1),"0123456789abcdefghijklmnopqrstuvwxyzABCDEFGHIJKLMNOPQRSTUVWXYZ.")))))</f>
        <v>0</v>
      </c>
      <c r="R409" t="b">
        <f>AND(IF(metadata!C409="",FALSE,TRUE),OR(EXACT(metadata!C409,"saline"),EXACT(metadata!C409,"non-saline")))</f>
        <v>0</v>
      </c>
      <c r="S409" t="b">
        <f>AND(IF(metadata!D409="",FALSE,TRUE),OR(EXACT(metadata!D409,"surface (non-saline)"),EXACT(metadata!D409,"aerosol (non-saline)"),EXACT(metadata!D409,"sediment (non-saline)"),EXACT(metadata!D409,"surface (saline)"),EXACT(metadata!D409,"aerosol (saline)"),EXACT(metadata!D409,"sediment (saline)")))</f>
        <v>0</v>
      </c>
      <c r="T409" t="b">
        <f>AND(IF(metadata!E409="",FALSE,TRUE),EXACT(metadata!E409,"built environment"))</f>
        <v>0</v>
      </c>
      <c r="U409" t="b">
        <f>OR(AND(IF(metadata!F409="",FALSE,TRUE),EXACT(metadata!F409,"not applicable")),AND(IF(metadata!F409="",FALSE,TRUE),EXACT(metadata!F409,"anaerobic digester content")))</f>
        <v>0</v>
      </c>
    </row>
    <row r="410" spans="1:21" x14ac:dyDescent="0.2">
      <c r="A410" s="4" t="str">
        <f ca="1">IF(B410=" "," ",HYPERLINK(CONCATENATE("#metadata!",ADDRESS(INDEX($L$2:$L$1001,MATCH(ROWS($J$2:J410),$J$2:$J$1001,0),0),1)),INDEX($O$2:$O$1001,MATCH(ROWS($J$2:J410),$J$2:$J$1001,0),0)))</f>
        <v xml:space="preserve"> </v>
      </c>
      <c r="B410" s="3" t="str">
        <f ca="1">IF(OR(INDEX($K$2:$K$1001,MATCH(ROWS($J$2:J410),$J$2:$J$1001,0),1)&gt;=100000,INDEX($Q$1005:$U$1005,1,MATCH(COLUMNS($Q$1006:Q1006),$Q$1006:$U$1006,0))&gt;=100000), " ",IF(INDEX($Q$2:$U$1001,MATCH(ROWS($J$2:J410),$J$2:$J$1001,0),MATCH(COLUMNS($Q$1006:Q1006),$Q$1006:$U$1006,0)), HYPERLINK("#",""), HYPERLINK(CONCATENATE("#metadata!", ADDRESS(INDEX($L$2:$L$1001,MATCH(ROWS($J$2:J410),$J$2:$J$1001,0),0), INDEX($Q$1004:$U$1004,1,MATCH(COLUMNS($Q$1006:Q1006),$Q$1006:$U$1006,0)))),"Fix")))</f>
        <v xml:space="preserve"> </v>
      </c>
      <c r="C410" s="3" t="str">
        <f ca="1">IF(OR(INDEX($K$2:$K$1001,MATCH(ROWS($J$2:J410),$J$2:$J$1001,0),1)&gt;=100000,INDEX($Q$1005:$U$1005,1,MATCH(COLUMNS($Q$1006:R1006),$Q$1006:$U$1006,0))&gt;=100000), " ",IF(INDEX($Q$2:$U$1001,MATCH(ROWS($J$2:J410),$J$2:$J$1001,0),MATCH(COLUMNS($Q$1006:R1006),$Q$1006:$U$1006,0)), HYPERLINK("#",""), HYPERLINK(CONCATENATE("#metadata!", ADDRESS(INDEX($L$2:$L$1001,MATCH(ROWS($J$2:J410),$J$2:$J$1001,0),0), INDEX($Q$1004:$U$1004,1,MATCH(COLUMNS($Q$1006:R1006),$Q$1006:$U$1006,0)))),"Fix")))</f>
        <v xml:space="preserve"> </v>
      </c>
      <c r="D410" s="3" t="str">
        <f ca="1">IF(OR(INDEX($K$2:$K$1001,MATCH(ROWS($J$2:J410),$J$2:$J$1001,0),1)&gt;=100000,INDEX($Q$1005:$U$1005,1,MATCH(COLUMNS($Q$1006:S1006),$Q$1006:$U$1006,0))&gt;=100000), " ",IF(INDEX($Q$2:$U$1001,MATCH(ROWS($J$2:J410),$J$2:$J$1001,0),MATCH(COLUMNS($Q$1006:S1006),$Q$1006:$U$1006,0)), HYPERLINK("#",""), HYPERLINK(CONCATENATE("#metadata!", ADDRESS(INDEX($L$2:$L$1001,MATCH(ROWS($J$2:J410),$J$2:$J$1001,0),0), INDEX($Q$1004:$U$1004,1,MATCH(COLUMNS($Q$1006:S1006),$Q$1006:$U$1006,0)))),"Fix")))</f>
        <v xml:space="preserve"> </v>
      </c>
      <c r="E410" s="3" t="str">
        <f ca="1">IF(OR(INDEX($K$2:$K$1001,MATCH(ROWS($J$2:J410),$J$2:$J$1001,0),1)&gt;=100000,INDEX($Q$1005:$U$1005,1,MATCH(COLUMNS($Q$1006:T1006),$Q$1006:$U$1006,0))&gt;=100000), " ",IF(INDEX($Q$2:$U$1001,MATCH(ROWS($J$2:J410),$J$2:$J$1001,0),MATCH(COLUMNS($Q$1006:T1006),$Q$1006:$U$1006,0)), HYPERLINK("#",""), HYPERLINK(CONCATENATE("#metadata!", ADDRESS(INDEX($L$2:$L$1001,MATCH(ROWS($J$2:J410),$J$2:$J$1001,0),0), INDEX($Q$1004:$U$1004,1,MATCH(COLUMNS($Q$1006:T1006),$Q$1006:$U$1006,0)))),"Fix")))</f>
        <v xml:space="preserve"> </v>
      </c>
      <c r="F410" s="3" t="str">
        <f ca="1">IF(OR(INDEX($K$2:$K$1001,MATCH(ROWS($J$2:J410),$J$2:$J$1001,0),1)&gt;=100000,INDEX($Q$1005:$U$1005,1,MATCH(COLUMNS($Q$1006:U1006),$Q$1006:$U$1006,0))&gt;=100000), " ",IF(INDEX($Q$2:$U$1001,MATCH(ROWS($J$2:J410),$J$2:$J$1001,0),MATCH(COLUMNS($Q$1006:U1006),$Q$1006:$U$1006,0)), HYPERLINK("#",""), HYPERLINK(CONCATENATE("#metadata!", ADDRESS(INDEX($L$2:$L$1001,MATCH(ROWS($J$2:J410),$J$2:$J$1001,0),0), INDEX($Q$1004:$U$1004,1,MATCH(COLUMNS($Q$1006:U1006),$Q$1006:$U$1006,0)))),"Fix")))</f>
        <v xml:space="preserve"> </v>
      </c>
      <c r="J410">
        <v>409</v>
      </c>
      <c r="K410">
        <v>100410</v>
      </c>
      <c r="L410">
        <v>410</v>
      </c>
      <c r="M410" t="b">
        <f t="shared" si="6"/>
        <v>1</v>
      </c>
      <c r="N410" t="b">
        <f>COUNTBLANK(metadata!B410:F410)=COLUMNS(metadata!B410:F410)</f>
        <v>1</v>
      </c>
      <c r="O410" t="str">
        <v/>
      </c>
      <c r="Q410" t="b">
        <f ca="1">AND(IF(metadata!B410="",FALSE,TRUE),COUNTIF(metadata!B:B, metadata!B410) = 1,NOT(ISERROR(SUMPRODUCT(SEARCH(MID(metadata!B410,ROW(INDIRECT("1:"&amp;LEN(metadata!B410))), 1),"0123456789abcdefghijklmnopqrstuvwxyzABCDEFGHIJKLMNOPQRSTUVWXYZ.")))))</f>
        <v>0</v>
      </c>
      <c r="R410" t="b">
        <f>AND(IF(metadata!C410="",FALSE,TRUE),OR(EXACT(metadata!C410,"saline"),EXACT(metadata!C410,"non-saline")))</f>
        <v>0</v>
      </c>
      <c r="S410" t="b">
        <f>AND(IF(metadata!D410="",FALSE,TRUE),OR(EXACT(metadata!D410,"surface (non-saline)"),EXACT(metadata!D410,"aerosol (non-saline)"),EXACT(metadata!D410,"sediment (non-saline)"),EXACT(metadata!D410,"surface (saline)"),EXACT(metadata!D410,"aerosol (saline)"),EXACT(metadata!D410,"sediment (saline)")))</f>
        <v>0</v>
      </c>
      <c r="T410" t="b">
        <f>AND(IF(metadata!E410="",FALSE,TRUE),EXACT(metadata!E410,"built environment"))</f>
        <v>0</v>
      </c>
      <c r="U410" t="b">
        <f>OR(AND(IF(metadata!F410="",FALSE,TRUE),EXACT(metadata!F410,"not applicable")),AND(IF(metadata!F410="",FALSE,TRUE),EXACT(metadata!F410,"anaerobic digester content")))</f>
        <v>0</v>
      </c>
    </row>
    <row r="411" spans="1:21" x14ac:dyDescent="0.2">
      <c r="A411" s="4" t="str">
        <f ca="1">IF(B411=" "," ",HYPERLINK(CONCATENATE("#metadata!",ADDRESS(INDEX($L$2:$L$1001,MATCH(ROWS($J$2:J411),$J$2:$J$1001,0),0),1)),INDEX($O$2:$O$1001,MATCH(ROWS($J$2:J411),$J$2:$J$1001,0),0)))</f>
        <v xml:space="preserve"> </v>
      </c>
      <c r="B411" s="3" t="str">
        <f ca="1">IF(OR(INDEX($K$2:$K$1001,MATCH(ROWS($J$2:J411),$J$2:$J$1001,0),1)&gt;=100000,INDEX($Q$1005:$U$1005,1,MATCH(COLUMNS($Q$1006:Q1006),$Q$1006:$U$1006,0))&gt;=100000), " ",IF(INDEX($Q$2:$U$1001,MATCH(ROWS($J$2:J411),$J$2:$J$1001,0),MATCH(COLUMNS($Q$1006:Q1006),$Q$1006:$U$1006,0)), HYPERLINK("#",""), HYPERLINK(CONCATENATE("#metadata!", ADDRESS(INDEX($L$2:$L$1001,MATCH(ROWS($J$2:J411),$J$2:$J$1001,0),0), INDEX($Q$1004:$U$1004,1,MATCH(COLUMNS($Q$1006:Q1006),$Q$1006:$U$1006,0)))),"Fix")))</f>
        <v xml:space="preserve"> </v>
      </c>
      <c r="C411" s="3" t="str">
        <f ca="1">IF(OR(INDEX($K$2:$K$1001,MATCH(ROWS($J$2:J411),$J$2:$J$1001,0),1)&gt;=100000,INDEX($Q$1005:$U$1005,1,MATCH(COLUMNS($Q$1006:R1006),$Q$1006:$U$1006,0))&gt;=100000), " ",IF(INDEX($Q$2:$U$1001,MATCH(ROWS($J$2:J411),$J$2:$J$1001,0),MATCH(COLUMNS($Q$1006:R1006),$Q$1006:$U$1006,0)), HYPERLINK("#",""), HYPERLINK(CONCATENATE("#metadata!", ADDRESS(INDEX($L$2:$L$1001,MATCH(ROWS($J$2:J411),$J$2:$J$1001,0),0), INDEX($Q$1004:$U$1004,1,MATCH(COLUMNS($Q$1006:R1006),$Q$1006:$U$1006,0)))),"Fix")))</f>
        <v xml:space="preserve"> </v>
      </c>
      <c r="D411" s="3" t="str">
        <f ca="1">IF(OR(INDEX($K$2:$K$1001,MATCH(ROWS($J$2:J411),$J$2:$J$1001,0),1)&gt;=100000,INDEX($Q$1005:$U$1005,1,MATCH(COLUMNS($Q$1006:S1006),$Q$1006:$U$1006,0))&gt;=100000), " ",IF(INDEX($Q$2:$U$1001,MATCH(ROWS($J$2:J411),$J$2:$J$1001,0),MATCH(COLUMNS($Q$1006:S1006),$Q$1006:$U$1006,0)), HYPERLINK("#",""), HYPERLINK(CONCATENATE("#metadata!", ADDRESS(INDEX($L$2:$L$1001,MATCH(ROWS($J$2:J411),$J$2:$J$1001,0),0), INDEX($Q$1004:$U$1004,1,MATCH(COLUMNS($Q$1006:S1006),$Q$1006:$U$1006,0)))),"Fix")))</f>
        <v xml:space="preserve"> </v>
      </c>
      <c r="E411" s="3" t="str">
        <f ca="1">IF(OR(INDEX($K$2:$K$1001,MATCH(ROWS($J$2:J411),$J$2:$J$1001,0),1)&gt;=100000,INDEX($Q$1005:$U$1005,1,MATCH(COLUMNS($Q$1006:T1006),$Q$1006:$U$1006,0))&gt;=100000), " ",IF(INDEX($Q$2:$U$1001,MATCH(ROWS($J$2:J411),$J$2:$J$1001,0),MATCH(COLUMNS($Q$1006:T1006),$Q$1006:$U$1006,0)), HYPERLINK("#",""), HYPERLINK(CONCATENATE("#metadata!", ADDRESS(INDEX($L$2:$L$1001,MATCH(ROWS($J$2:J411),$J$2:$J$1001,0),0), INDEX($Q$1004:$U$1004,1,MATCH(COLUMNS($Q$1006:T1006),$Q$1006:$U$1006,0)))),"Fix")))</f>
        <v xml:space="preserve"> </v>
      </c>
      <c r="F411" s="3" t="str">
        <f ca="1">IF(OR(INDEX($K$2:$K$1001,MATCH(ROWS($J$2:J411),$J$2:$J$1001,0),1)&gt;=100000,INDEX($Q$1005:$U$1005,1,MATCH(COLUMNS($Q$1006:U1006),$Q$1006:$U$1006,0))&gt;=100000), " ",IF(INDEX($Q$2:$U$1001,MATCH(ROWS($J$2:J411),$J$2:$J$1001,0),MATCH(COLUMNS($Q$1006:U1006),$Q$1006:$U$1006,0)), HYPERLINK("#",""), HYPERLINK(CONCATENATE("#metadata!", ADDRESS(INDEX($L$2:$L$1001,MATCH(ROWS($J$2:J411),$J$2:$J$1001,0),0), INDEX($Q$1004:$U$1004,1,MATCH(COLUMNS($Q$1006:U1006),$Q$1006:$U$1006,0)))),"Fix")))</f>
        <v xml:space="preserve"> </v>
      </c>
      <c r="J411">
        <v>410</v>
      </c>
      <c r="K411">
        <v>100411</v>
      </c>
      <c r="L411">
        <v>411</v>
      </c>
      <c r="M411" t="b">
        <f t="shared" si="6"/>
        <v>1</v>
      </c>
      <c r="N411" t="b">
        <f>COUNTBLANK(metadata!B411:F411)=COLUMNS(metadata!B411:F411)</f>
        <v>1</v>
      </c>
      <c r="O411" t="str">
        <v/>
      </c>
      <c r="Q411" t="b">
        <f ca="1">AND(IF(metadata!B411="",FALSE,TRUE),COUNTIF(metadata!B:B, metadata!B411) = 1,NOT(ISERROR(SUMPRODUCT(SEARCH(MID(metadata!B411,ROW(INDIRECT("1:"&amp;LEN(metadata!B411))), 1),"0123456789abcdefghijklmnopqrstuvwxyzABCDEFGHIJKLMNOPQRSTUVWXYZ.")))))</f>
        <v>0</v>
      </c>
      <c r="R411" t="b">
        <f>AND(IF(metadata!C411="",FALSE,TRUE),OR(EXACT(metadata!C411,"saline"),EXACT(metadata!C411,"non-saline")))</f>
        <v>0</v>
      </c>
      <c r="S411" t="b">
        <f>AND(IF(metadata!D411="",FALSE,TRUE),OR(EXACT(metadata!D411,"surface (non-saline)"),EXACT(metadata!D411,"aerosol (non-saline)"),EXACT(metadata!D411,"sediment (non-saline)"),EXACT(metadata!D411,"surface (saline)"),EXACT(metadata!D411,"aerosol (saline)"),EXACT(metadata!D411,"sediment (saline)")))</f>
        <v>0</v>
      </c>
      <c r="T411" t="b">
        <f>AND(IF(metadata!E411="",FALSE,TRUE),EXACT(metadata!E411,"built environment"))</f>
        <v>0</v>
      </c>
      <c r="U411" t="b">
        <f>OR(AND(IF(metadata!F411="",FALSE,TRUE),EXACT(metadata!F411,"not applicable")),AND(IF(metadata!F411="",FALSE,TRUE),EXACT(metadata!F411,"anaerobic digester content")))</f>
        <v>0</v>
      </c>
    </row>
    <row r="412" spans="1:21" x14ac:dyDescent="0.2">
      <c r="A412" s="4" t="str">
        <f ca="1">IF(B412=" "," ",HYPERLINK(CONCATENATE("#metadata!",ADDRESS(INDEX($L$2:$L$1001,MATCH(ROWS($J$2:J412),$J$2:$J$1001,0),0),1)),INDEX($O$2:$O$1001,MATCH(ROWS($J$2:J412),$J$2:$J$1001,0),0)))</f>
        <v xml:space="preserve"> </v>
      </c>
      <c r="B412" s="3" t="str">
        <f ca="1">IF(OR(INDEX($K$2:$K$1001,MATCH(ROWS($J$2:J412),$J$2:$J$1001,0),1)&gt;=100000,INDEX($Q$1005:$U$1005,1,MATCH(COLUMNS($Q$1006:Q1006),$Q$1006:$U$1006,0))&gt;=100000), " ",IF(INDEX($Q$2:$U$1001,MATCH(ROWS($J$2:J412),$J$2:$J$1001,0),MATCH(COLUMNS($Q$1006:Q1006),$Q$1006:$U$1006,0)), HYPERLINK("#",""), HYPERLINK(CONCATENATE("#metadata!", ADDRESS(INDEX($L$2:$L$1001,MATCH(ROWS($J$2:J412),$J$2:$J$1001,0),0), INDEX($Q$1004:$U$1004,1,MATCH(COLUMNS($Q$1006:Q1006),$Q$1006:$U$1006,0)))),"Fix")))</f>
        <v xml:space="preserve"> </v>
      </c>
      <c r="C412" s="3" t="str">
        <f ca="1">IF(OR(INDEX($K$2:$K$1001,MATCH(ROWS($J$2:J412),$J$2:$J$1001,0),1)&gt;=100000,INDEX($Q$1005:$U$1005,1,MATCH(COLUMNS($Q$1006:R1006),$Q$1006:$U$1006,0))&gt;=100000), " ",IF(INDEX($Q$2:$U$1001,MATCH(ROWS($J$2:J412),$J$2:$J$1001,0),MATCH(COLUMNS($Q$1006:R1006),$Q$1006:$U$1006,0)), HYPERLINK("#",""), HYPERLINK(CONCATENATE("#metadata!", ADDRESS(INDEX($L$2:$L$1001,MATCH(ROWS($J$2:J412),$J$2:$J$1001,0),0), INDEX($Q$1004:$U$1004,1,MATCH(COLUMNS($Q$1006:R1006),$Q$1006:$U$1006,0)))),"Fix")))</f>
        <v xml:space="preserve"> </v>
      </c>
      <c r="D412" s="3" t="str">
        <f ca="1">IF(OR(INDEX($K$2:$K$1001,MATCH(ROWS($J$2:J412),$J$2:$J$1001,0),1)&gt;=100000,INDEX($Q$1005:$U$1005,1,MATCH(COLUMNS($Q$1006:S1006),$Q$1006:$U$1006,0))&gt;=100000), " ",IF(INDEX($Q$2:$U$1001,MATCH(ROWS($J$2:J412),$J$2:$J$1001,0),MATCH(COLUMNS($Q$1006:S1006),$Q$1006:$U$1006,0)), HYPERLINK("#",""), HYPERLINK(CONCATENATE("#metadata!", ADDRESS(INDEX($L$2:$L$1001,MATCH(ROWS($J$2:J412),$J$2:$J$1001,0),0), INDEX($Q$1004:$U$1004,1,MATCH(COLUMNS($Q$1006:S1006),$Q$1006:$U$1006,0)))),"Fix")))</f>
        <v xml:space="preserve"> </v>
      </c>
      <c r="E412" s="3" t="str">
        <f ca="1">IF(OR(INDEX($K$2:$K$1001,MATCH(ROWS($J$2:J412),$J$2:$J$1001,0),1)&gt;=100000,INDEX($Q$1005:$U$1005,1,MATCH(COLUMNS($Q$1006:T1006),$Q$1006:$U$1006,0))&gt;=100000), " ",IF(INDEX($Q$2:$U$1001,MATCH(ROWS($J$2:J412),$J$2:$J$1001,0),MATCH(COLUMNS($Q$1006:T1006),$Q$1006:$U$1006,0)), HYPERLINK("#",""), HYPERLINK(CONCATENATE("#metadata!", ADDRESS(INDEX($L$2:$L$1001,MATCH(ROWS($J$2:J412),$J$2:$J$1001,0),0), INDEX($Q$1004:$U$1004,1,MATCH(COLUMNS($Q$1006:T1006),$Q$1006:$U$1006,0)))),"Fix")))</f>
        <v xml:space="preserve"> </v>
      </c>
      <c r="F412" s="3" t="str">
        <f ca="1">IF(OR(INDEX($K$2:$K$1001,MATCH(ROWS($J$2:J412),$J$2:$J$1001,0),1)&gt;=100000,INDEX($Q$1005:$U$1005,1,MATCH(COLUMNS($Q$1006:U1006),$Q$1006:$U$1006,0))&gt;=100000), " ",IF(INDEX($Q$2:$U$1001,MATCH(ROWS($J$2:J412),$J$2:$J$1001,0),MATCH(COLUMNS($Q$1006:U1006),$Q$1006:$U$1006,0)), HYPERLINK("#",""), HYPERLINK(CONCATENATE("#metadata!", ADDRESS(INDEX($L$2:$L$1001,MATCH(ROWS($J$2:J412),$J$2:$J$1001,0),0), INDEX($Q$1004:$U$1004,1,MATCH(COLUMNS($Q$1006:U1006),$Q$1006:$U$1006,0)))),"Fix")))</f>
        <v xml:space="preserve"> </v>
      </c>
      <c r="J412">
        <v>411</v>
      </c>
      <c r="K412">
        <v>100412</v>
      </c>
      <c r="L412">
        <v>412</v>
      </c>
      <c r="M412" t="b">
        <f t="shared" si="6"/>
        <v>1</v>
      </c>
      <c r="N412" t="b">
        <f>COUNTBLANK(metadata!B412:F412)=COLUMNS(metadata!B412:F412)</f>
        <v>1</v>
      </c>
      <c r="O412" t="str">
        <v/>
      </c>
      <c r="Q412" t="b">
        <f ca="1">AND(IF(metadata!B412="",FALSE,TRUE),COUNTIF(metadata!B:B, metadata!B412) = 1,NOT(ISERROR(SUMPRODUCT(SEARCH(MID(metadata!B412,ROW(INDIRECT("1:"&amp;LEN(metadata!B412))), 1),"0123456789abcdefghijklmnopqrstuvwxyzABCDEFGHIJKLMNOPQRSTUVWXYZ.")))))</f>
        <v>0</v>
      </c>
      <c r="R412" t="b">
        <f>AND(IF(metadata!C412="",FALSE,TRUE),OR(EXACT(metadata!C412,"saline"),EXACT(metadata!C412,"non-saline")))</f>
        <v>0</v>
      </c>
      <c r="S412" t="b">
        <f>AND(IF(metadata!D412="",FALSE,TRUE),OR(EXACT(metadata!D412,"surface (non-saline)"),EXACT(metadata!D412,"aerosol (non-saline)"),EXACT(metadata!D412,"sediment (non-saline)"),EXACT(metadata!D412,"surface (saline)"),EXACT(metadata!D412,"aerosol (saline)"),EXACT(metadata!D412,"sediment (saline)")))</f>
        <v>0</v>
      </c>
      <c r="T412" t="b">
        <f>AND(IF(metadata!E412="",FALSE,TRUE),EXACT(metadata!E412,"built environment"))</f>
        <v>0</v>
      </c>
      <c r="U412" t="b">
        <f>OR(AND(IF(metadata!F412="",FALSE,TRUE),EXACT(metadata!F412,"not applicable")),AND(IF(metadata!F412="",FALSE,TRUE),EXACT(metadata!F412,"anaerobic digester content")))</f>
        <v>0</v>
      </c>
    </row>
    <row r="413" spans="1:21" x14ac:dyDescent="0.2">
      <c r="A413" s="4" t="str">
        <f ca="1">IF(B413=" "," ",HYPERLINK(CONCATENATE("#metadata!",ADDRESS(INDEX($L$2:$L$1001,MATCH(ROWS($J$2:J413),$J$2:$J$1001,0),0),1)),INDEX($O$2:$O$1001,MATCH(ROWS($J$2:J413),$J$2:$J$1001,0),0)))</f>
        <v xml:space="preserve"> </v>
      </c>
      <c r="B413" s="3" t="str">
        <f ca="1">IF(OR(INDEX($K$2:$K$1001,MATCH(ROWS($J$2:J413),$J$2:$J$1001,0),1)&gt;=100000,INDEX($Q$1005:$U$1005,1,MATCH(COLUMNS($Q$1006:Q1006),$Q$1006:$U$1006,0))&gt;=100000), " ",IF(INDEX($Q$2:$U$1001,MATCH(ROWS($J$2:J413),$J$2:$J$1001,0),MATCH(COLUMNS($Q$1006:Q1006),$Q$1006:$U$1006,0)), HYPERLINK("#",""), HYPERLINK(CONCATENATE("#metadata!", ADDRESS(INDEX($L$2:$L$1001,MATCH(ROWS($J$2:J413),$J$2:$J$1001,0),0), INDEX($Q$1004:$U$1004,1,MATCH(COLUMNS($Q$1006:Q1006),$Q$1006:$U$1006,0)))),"Fix")))</f>
        <v xml:space="preserve"> </v>
      </c>
      <c r="C413" s="3" t="str">
        <f ca="1">IF(OR(INDEX($K$2:$K$1001,MATCH(ROWS($J$2:J413),$J$2:$J$1001,0),1)&gt;=100000,INDEX($Q$1005:$U$1005,1,MATCH(COLUMNS($Q$1006:R1006),$Q$1006:$U$1006,0))&gt;=100000), " ",IF(INDEX($Q$2:$U$1001,MATCH(ROWS($J$2:J413),$J$2:$J$1001,0),MATCH(COLUMNS($Q$1006:R1006),$Q$1006:$U$1006,0)), HYPERLINK("#",""), HYPERLINK(CONCATENATE("#metadata!", ADDRESS(INDEX($L$2:$L$1001,MATCH(ROWS($J$2:J413),$J$2:$J$1001,0),0), INDEX($Q$1004:$U$1004,1,MATCH(COLUMNS($Q$1006:R1006),$Q$1006:$U$1006,0)))),"Fix")))</f>
        <v xml:space="preserve"> </v>
      </c>
      <c r="D413" s="3" t="str">
        <f ca="1">IF(OR(INDEX($K$2:$K$1001,MATCH(ROWS($J$2:J413),$J$2:$J$1001,0),1)&gt;=100000,INDEX($Q$1005:$U$1005,1,MATCH(COLUMNS($Q$1006:S1006),$Q$1006:$U$1006,0))&gt;=100000), " ",IF(INDEX($Q$2:$U$1001,MATCH(ROWS($J$2:J413),$J$2:$J$1001,0),MATCH(COLUMNS($Q$1006:S1006),$Q$1006:$U$1006,0)), HYPERLINK("#",""), HYPERLINK(CONCATENATE("#metadata!", ADDRESS(INDEX($L$2:$L$1001,MATCH(ROWS($J$2:J413),$J$2:$J$1001,0),0), INDEX($Q$1004:$U$1004,1,MATCH(COLUMNS($Q$1006:S1006),$Q$1006:$U$1006,0)))),"Fix")))</f>
        <v xml:space="preserve"> </v>
      </c>
      <c r="E413" s="3" t="str">
        <f ca="1">IF(OR(INDEX($K$2:$K$1001,MATCH(ROWS($J$2:J413),$J$2:$J$1001,0),1)&gt;=100000,INDEX($Q$1005:$U$1005,1,MATCH(COLUMNS($Q$1006:T1006),$Q$1006:$U$1006,0))&gt;=100000), " ",IF(INDEX($Q$2:$U$1001,MATCH(ROWS($J$2:J413),$J$2:$J$1001,0),MATCH(COLUMNS($Q$1006:T1006),$Q$1006:$U$1006,0)), HYPERLINK("#",""), HYPERLINK(CONCATENATE("#metadata!", ADDRESS(INDEX($L$2:$L$1001,MATCH(ROWS($J$2:J413),$J$2:$J$1001,0),0), INDEX($Q$1004:$U$1004,1,MATCH(COLUMNS($Q$1006:T1006),$Q$1006:$U$1006,0)))),"Fix")))</f>
        <v xml:space="preserve"> </v>
      </c>
      <c r="F413" s="3" t="str">
        <f ca="1">IF(OR(INDEX($K$2:$K$1001,MATCH(ROWS($J$2:J413),$J$2:$J$1001,0),1)&gt;=100000,INDEX($Q$1005:$U$1005,1,MATCH(COLUMNS($Q$1006:U1006),$Q$1006:$U$1006,0))&gt;=100000), " ",IF(INDEX($Q$2:$U$1001,MATCH(ROWS($J$2:J413),$J$2:$J$1001,0),MATCH(COLUMNS($Q$1006:U1006),$Q$1006:$U$1006,0)), HYPERLINK("#",""), HYPERLINK(CONCATENATE("#metadata!", ADDRESS(INDEX($L$2:$L$1001,MATCH(ROWS($J$2:J413),$J$2:$J$1001,0),0), INDEX($Q$1004:$U$1004,1,MATCH(COLUMNS($Q$1006:U1006),$Q$1006:$U$1006,0)))),"Fix")))</f>
        <v xml:space="preserve"> </v>
      </c>
      <c r="J413">
        <v>412</v>
      </c>
      <c r="K413">
        <v>100413</v>
      </c>
      <c r="L413">
        <v>413</v>
      </c>
      <c r="M413" t="b">
        <f t="shared" si="6"/>
        <v>1</v>
      </c>
      <c r="N413" t="b">
        <f>COUNTBLANK(metadata!B413:F413)=COLUMNS(metadata!B413:F413)</f>
        <v>1</v>
      </c>
      <c r="O413" t="str">
        <v/>
      </c>
      <c r="Q413" t="b">
        <f ca="1">AND(IF(metadata!B413="",FALSE,TRUE),COUNTIF(metadata!B:B, metadata!B413) = 1,NOT(ISERROR(SUMPRODUCT(SEARCH(MID(metadata!B413,ROW(INDIRECT("1:"&amp;LEN(metadata!B413))), 1),"0123456789abcdefghijklmnopqrstuvwxyzABCDEFGHIJKLMNOPQRSTUVWXYZ.")))))</f>
        <v>0</v>
      </c>
      <c r="R413" t="b">
        <f>AND(IF(metadata!C413="",FALSE,TRUE),OR(EXACT(metadata!C413,"saline"),EXACT(metadata!C413,"non-saline")))</f>
        <v>0</v>
      </c>
      <c r="S413" t="b">
        <f>AND(IF(metadata!D413="",FALSE,TRUE),OR(EXACT(metadata!D413,"surface (non-saline)"),EXACT(metadata!D413,"aerosol (non-saline)"),EXACT(metadata!D413,"sediment (non-saline)"),EXACT(metadata!D413,"surface (saline)"),EXACT(metadata!D413,"aerosol (saline)"),EXACT(metadata!D413,"sediment (saline)")))</f>
        <v>0</v>
      </c>
      <c r="T413" t="b">
        <f>AND(IF(metadata!E413="",FALSE,TRUE),EXACT(metadata!E413,"built environment"))</f>
        <v>0</v>
      </c>
      <c r="U413" t="b">
        <f>OR(AND(IF(metadata!F413="",FALSE,TRUE),EXACT(metadata!F413,"not applicable")),AND(IF(metadata!F413="",FALSE,TRUE),EXACT(metadata!F413,"anaerobic digester content")))</f>
        <v>0</v>
      </c>
    </row>
    <row r="414" spans="1:21" x14ac:dyDescent="0.2">
      <c r="A414" s="4" t="str">
        <f ca="1">IF(B414=" "," ",HYPERLINK(CONCATENATE("#metadata!",ADDRESS(INDEX($L$2:$L$1001,MATCH(ROWS($J$2:J414),$J$2:$J$1001,0),0),1)),INDEX($O$2:$O$1001,MATCH(ROWS($J$2:J414),$J$2:$J$1001,0),0)))</f>
        <v xml:space="preserve"> </v>
      </c>
      <c r="B414" s="3" t="str">
        <f ca="1">IF(OR(INDEX($K$2:$K$1001,MATCH(ROWS($J$2:J414),$J$2:$J$1001,0),1)&gt;=100000,INDEX($Q$1005:$U$1005,1,MATCH(COLUMNS($Q$1006:Q1006),$Q$1006:$U$1006,0))&gt;=100000), " ",IF(INDEX($Q$2:$U$1001,MATCH(ROWS($J$2:J414),$J$2:$J$1001,0),MATCH(COLUMNS($Q$1006:Q1006),$Q$1006:$U$1006,0)), HYPERLINK("#",""), HYPERLINK(CONCATENATE("#metadata!", ADDRESS(INDEX($L$2:$L$1001,MATCH(ROWS($J$2:J414),$J$2:$J$1001,0),0), INDEX($Q$1004:$U$1004,1,MATCH(COLUMNS($Q$1006:Q1006),$Q$1006:$U$1006,0)))),"Fix")))</f>
        <v xml:space="preserve"> </v>
      </c>
      <c r="C414" s="3" t="str">
        <f ca="1">IF(OR(INDEX($K$2:$K$1001,MATCH(ROWS($J$2:J414),$J$2:$J$1001,0),1)&gt;=100000,INDEX($Q$1005:$U$1005,1,MATCH(COLUMNS($Q$1006:R1006),$Q$1006:$U$1006,0))&gt;=100000), " ",IF(INDEX($Q$2:$U$1001,MATCH(ROWS($J$2:J414),$J$2:$J$1001,0),MATCH(COLUMNS($Q$1006:R1006),$Q$1006:$U$1006,0)), HYPERLINK("#",""), HYPERLINK(CONCATENATE("#metadata!", ADDRESS(INDEX($L$2:$L$1001,MATCH(ROWS($J$2:J414),$J$2:$J$1001,0),0), INDEX($Q$1004:$U$1004,1,MATCH(COLUMNS($Q$1006:R1006),$Q$1006:$U$1006,0)))),"Fix")))</f>
        <v xml:space="preserve"> </v>
      </c>
      <c r="D414" s="3" t="str">
        <f ca="1">IF(OR(INDEX($K$2:$K$1001,MATCH(ROWS($J$2:J414),$J$2:$J$1001,0),1)&gt;=100000,INDEX($Q$1005:$U$1005,1,MATCH(COLUMNS($Q$1006:S1006),$Q$1006:$U$1006,0))&gt;=100000), " ",IF(INDEX($Q$2:$U$1001,MATCH(ROWS($J$2:J414),$J$2:$J$1001,0),MATCH(COLUMNS($Q$1006:S1006),$Q$1006:$U$1006,0)), HYPERLINK("#",""), HYPERLINK(CONCATENATE("#metadata!", ADDRESS(INDEX($L$2:$L$1001,MATCH(ROWS($J$2:J414),$J$2:$J$1001,0),0), INDEX($Q$1004:$U$1004,1,MATCH(COLUMNS($Q$1006:S1006),$Q$1006:$U$1006,0)))),"Fix")))</f>
        <v xml:space="preserve"> </v>
      </c>
      <c r="E414" s="3" t="str">
        <f ca="1">IF(OR(INDEX($K$2:$K$1001,MATCH(ROWS($J$2:J414),$J$2:$J$1001,0),1)&gt;=100000,INDEX($Q$1005:$U$1005,1,MATCH(COLUMNS($Q$1006:T1006),$Q$1006:$U$1006,0))&gt;=100000), " ",IF(INDEX($Q$2:$U$1001,MATCH(ROWS($J$2:J414),$J$2:$J$1001,0),MATCH(COLUMNS($Q$1006:T1006),$Q$1006:$U$1006,0)), HYPERLINK("#",""), HYPERLINK(CONCATENATE("#metadata!", ADDRESS(INDEX($L$2:$L$1001,MATCH(ROWS($J$2:J414),$J$2:$J$1001,0),0), INDEX($Q$1004:$U$1004,1,MATCH(COLUMNS($Q$1006:T1006),$Q$1006:$U$1006,0)))),"Fix")))</f>
        <v xml:space="preserve"> </v>
      </c>
      <c r="F414" s="3" t="str">
        <f ca="1">IF(OR(INDEX($K$2:$K$1001,MATCH(ROWS($J$2:J414),$J$2:$J$1001,0),1)&gt;=100000,INDEX($Q$1005:$U$1005,1,MATCH(COLUMNS($Q$1006:U1006),$Q$1006:$U$1006,0))&gt;=100000), " ",IF(INDEX($Q$2:$U$1001,MATCH(ROWS($J$2:J414),$J$2:$J$1001,0),MATCH(COLUMNS($Q$1006:U1006),$Q$1006:$U$1006,0)), HYPERLINK("#",""), HYPERLINK(CONCATENATE("#metadata!", ADDRESS(INDEX($L$2:$L$1001,MATCH(ROWS($J$2:J414),$J$2:$J$1001,0),0), INDEX($Q$1004:$U$1004,1,MATCH(COLUMNS($Q$1006:U1006),$Q$1006:$U$1006,0)))),"Fix")))</f>
        <v xml:space="preserve"> </v>
      </c>
      <c r="J414">
        <v>413</v>
      </c>
      <c r="K414">
        <v>100414</v>
      </c>
      <c r="L414">
        <v>414</v>
      </c>
      <c r="M414" t="b">
        <f t="shared" si="6"/>
        <v>1</v>
      </c>
      <c r="N414" t="b">
        <f>COUNTBLANK(metadata!B414:F414)=COLUMNS(metadata!B414:F414)</f>
        <v>1</v>
      </c>
      <c r="O414" t="str">
        <v/>
      </c>
      <c r="Q414" t="b">
        <f ca="1">AND(IF(metadata!B414="",FALSE,TRUE),COUNTIF(metadata!B:B, metadata!B414) = 1,NOT(ISERROR(SUMPRODUCT(SEARCH(MID(metadata!B414,ROW(INDIRECT("1:"&amp;LEN(metadata!B414))), 1),"0123456789abcdefghijklmnopqrstuvwxyzABCDEFGHIJKLMNOPQRSTUVWXYZ.")))))</f>
        <v>0</v>
      </c>
      <c r="R414" t="b">
        <f>AND(IF(metadata!C414="",FALSE,TRUE),OR(EXACT(metadata!C414,"saline"),EXACT(metadata!C414,"non-saline")))</f>
        <v>0</v>
      </c>
      <c r="S414" t="b">
        <f>AND(IF(metadata!D414="",FALSE,TRUE),OR(EXACT(metadata!D414,"surface (non-saline)"),EXACT(metadata!D414,"aerosol (non-saline)"),EXACT(metadata!D414,"sediment (non-saline)"),EXACT(metadata!D414,"surface (saline)"),EXACT(metadata!D414,"aerosol (saline)"),EXACT(metadata!D414,"sediment (saline)")))</f>
        <v>0</v>
      </c>
      <c r="T414" t="b">
        <f>AND(IF(metadata!E414="",FALSE,TRUE),EXACT(metadata!E414,"built environment"))</f>
        <v>0</v>
      </c>
      <c r="U414" t="b">
        <f>OR(AND(IF(metadata!F414="",FALSE,TRUE),EXACT(metadata!F414,"not applicable")),AND(IF(metadata!F414="",FALSE,TRUE),EXACT(metadata!F414,"anaerobic digester content")))</f>
        <v>0</v>
      </c>
    </row>
    <row r="415" spans="1:21" x14ac:dyDescent="0.2">
      <c r="A415" s="4" t="str">
        <f ca="1">IF(B415=" "," ",HYPERLINK(CONCATENATE("#metadata!",ADDRESS(INDEX($L$2:$L$1001,MATCH(ROWS($J$2:J415),$J$2:$J$1001,0),0),1)),INDEX($O$2:$O$1001,MATCH(ROWS($J$2:J415),$J$2:$J$1001,0),0)))</f>
        <v xml:space="preserve"> </v>
      </c>
      <c r="B415" s="3" t="str">
        <f ca="1">IF(OR(INDEX($K$2:$K$1001,MATCH(ROWS($J$2:J415),$J$2:$J$1001,0),1)&gt;=100000,INDEX($Q$1005:$U$1005,1,MATCH(COLUMNS($Q$1006:Q1006),$Q$1006:$U$1006,0))&gt;=100000), " ",IF(INDEX($Q$2:$U$1001,MATCH(ROWS($J$2:J415),$J$2:$J$1001,0),MATCH(COLUMNS($Q$1006:Q1006),$Q$1006:$U$1006,0)), HYPERLINK("#",""), HYPERLINK(CONCATENATE("#metadata!", ADDRESS(INDEX($L$2:$L$1001,MATCH(ROWS($J$2:J415),$J$2:$J$1001,0),0), INDEX($Q$1004:$U$1004,1,MATCH(COLUMNS($Q$1006:Q1006),$Q$1006:$U$1006,0)))),"Fix")))</f>
        <v xml:space="preserve"> </v>
      </c>
      <c r="C415" s="3" t="str">
        <f ca="1">IF(OR(INDEX($K$2:$K$1001,MATCH(ROWS($J$2:J415),$J$2:$J$1001,0),1)&gt;=100000,INDEX($Q$1005:$U$1005,1,MATCH(COLUMNS($Q$1006:R1006),$Q$1006:$U$1006,0))&gt;=100000), " ",IF(INDEX($Q$2:$U$1001,MATCH(ROWS($J$2:J415),$J$2:$J$1001,0),MATCH(COLUMNS($Q$1006:R1006),$Q$1006:$U$1006,0)), HYPERLINK("#",""), HYPERLINK(CONCATENATE("#metadata!", ADDRESS(INDEX($L$2:$L$1001,MATCH(ROWS($J$2:J415),$J$2:$J$1001,0),0), INDEX($Q$1004:$U$1004,1,MATCH(COLUMNS($Q$1006:R1006),$Q$1006:$U$1006,0)))),"Fix")))</f>
        <v xml:space="preserve"> </v>
      </c>
      <c r="D415" s="3" t="str">
        <f ca="1">IF(OR(INDEX($K$2:$K$1001,MATCH(ROWS($J$2:J415),$J$2:$J$1001,0),1)&gt;=100000,INDEX($Q$1005:$U$1005,1,MATCH(COLUMNS($Q$1006:S1006),$Q$1006:$U$1006,0))&gt;=100000), " ",IF(INDEX($Q$2:$U$1001,MATCH(ROWS($J$2:J415),$J$2:$J$1001,0),MATCH(COLUMNS($Q$1006:S1006),$Q$1006:$U$1006,0)), HYPERLINK("#",""), HYPERLINK(CONCATENATE("#metadata!", ADDRESS(INDEX($L$2:$L$1001,MATCH(ROWS($J$2:J415),$J$2:$J$1001,0),0), INDEX($Q$1004:$U$1004,1,MATCH(COLUMNS($Q$1006:S1006),$Q$1006:$U$1006,0)))),"Fix")))</f>
        <v xml:space="preserve"> </v>
      </c>
      <c r="E415" s="3" t="str">
        <f ca="1">IF(OR(INDEX($K$2:$K$1001,MATCH(ROWS($J$2:J415),$J$2:$J$1001,0),1)&gt;=100000,INDEX($Q$1005:$U$1005,1,MATCH(COLUMNS($Q$1006:T1006),$Q$1006:$U$1006,0))&gt;=100000), " ",IF(INDEX($Q$2:$U$1001,MATCH(ROWS($J$2:J415),$J$2:$J$1001,0),MATCH(COLUMNS($Q$1006:T1006),$Q$1006:$U$1006,0)), HYPERLINK("#",""), HYPERLINK(CONCATENATE("#metadata!", ADDRESS(INDEX($L$2:$L$1001,MATCH(ROWS($J$2:J415),$J$2:$J$1001,0),0), INDEX($Q$1004:$U$1004,1,MATCH(COLUMNS($Q$1006:T1006),$Q$1006:$U$1006,0)))),"Fix")))</f>
        <v xml:space="preserve"> </v>
      </c>
      <c r="F415" s="3" t="str">
        <f ca="1">IF(OR(INDEX($K$2:$K$1001,MATCH(ROWS($J$2:J415),$J$2:$J$1001,0),1)&gt;=100000,INDEX($Q$1005:$U$1005,1,MATCH(COLUMNS($Q$1006:U1006),$Q$1006:$U$1006,0))&gt;=100000), " ",IF(INDEX($Q$2:$U$1001,MATCH(ROWS($J$2:J415),$J$2:$J$1001,0),MATCH(COLUMNS($Q$1006:U1006),$Q$1006:$U$1006,0)), HYPERLINK("#",""), HYPERLINK(CONCATENATE("#metadata!", ADDRESS(INDEX($L$2:$L$1001,MATCH(ROWS($J$2:J415),$J$2:$J$1001,0),0), INDEX($Q$1004:$U$1004,1,MATCH(COLUMNS($Q$1006:U1006),$Q$1006:$U$1006,0)))),"Fix")))</f>
        <v xml:space="preserve"> </v>
      </c>
      <c r="J415">
        <v>414</v>
      </c>
      <c r="K415">
        <v>100415</v>
      </c>
      <c r="L415">
        <v>415</v>
      </c>
      <c r="M415" t="b">
        <f t="shared" si="6"/>
        <v>1</v>
      </c>
      <c r="N415" t="b">
        <f>COUNTBLANK(metadata!B415:F415)=COLUMNS(metadata!B415:F415)</f>
        <v>1</v>
      </c>
      <c r="O415" t="str">
        <v/>
      </c>
      <c r="Q415" t="b">
        <f ca="1">AND(IF(metadata!B415="",FALSE,TRUE),COUNTIF(metadata!B:B, metadata!B415) = 1,NOT(ISERROR(SUMPRODUCT(SEARCH(MID(metadata!B415,ROW(INDIRECT("1:"&amp;LEN(metadata!B415))), 1),"0123456789abcdefghijklmnopqrstuvwxyzABCDEFGHIJKLMNOPQRSTUVWXYZ.")))))</f>
        <v>0</v>
      </c>
      <c r="R415" t="b">
        <f>AND(IF(metadata!C415="",FALSE,TRUE),OR(EXACT(metadata!C415,"saline"),EXACT(metadata!C415,"non-saline")))</f>
        <v>0</v>
      </c>
      <c r="S415" t="b">
        <f>AND(IF(metadata!D415="",FALSE,TRUE),OR(EXACT(metadata!D415,"surface (non-saline)"),EXACT(metadata!D415,"aerosol (non-saline)"),EXACT(metadata!D415,"sediment (non-saline)"),EXACT(metadata!D415,"surface (saline)"),EXACT(metadata!D415,"aerosol (saline)"),EXACT(metadata!D415,"sediment (saline)")))</f>
        <v>0</v>
      </c>
      <c r="T415" t="b">
        <f>AND(IF(metadata!E415="",FALSE,TRUE),EXACT(metadata!E415,"built environment"))</f>
        <v>0</v>
      </c>
      <c r="U415" t="b">
        <f>OR(AND(IF(metadata!F415="",FALSE,TRUE),EXACT(metadata!F415,"not applicable")),AND(IF(metadata!F415="",FALSE,TRUE),EXACT(metadata!F415,"anaerobic digester content")))</f>
        <v>0</v>
      </c>
    </row>
    <row r="416" spans="1:21" x14ac:dyDescent="0.2">
      <c r="A416" s="4" t="str">
        <f ca="1">IF(B416=" "," ",HYPERLINK(CONCATENATE("#metadata!",ADDRESS(INDEX($L$2:$L$1001,MATCH(ROWS($J$2:J416),$J$2:$J$1001,0),0),1)),INDEX($O$2:$O$1001,MATCH(ROWS($J$2:J416),$J$2:$J$1001,0),0)))</f>
        <v xml:space="preserve"> </v>
      </c>
      <c r="B416" s="3" t="str">
        <f ca="1">IF(OR(INDEX($K$2:$K$1001,MATCH(ROWS($J$2:J416),$J$2:$J$1001,0),1)&gt;=100000,INDEX($Q$1005:$U$1005,1,MATCH(COLUMNS($Q$1006:Q1006),$Q$1006:$U$1006,0))&gt;=100000), " ",IF(INDEX($Q$2:$U$1001,MATCH(ROWS($J$2:J416),$J$2:$J$1001,0),MATCH(COLUMNS($Q$1006:Q1006),$Q$1006:$U$1006,0)), HYPERLINK("#",""), HYPERLINK(CONCATENATE("#metadata!", ADDRESS(INDEX($L$2:$L$1001,MATCH(ROWS($J$2:J416),$J$2:$J$1001,0),0), INDEX($Q$1004:$U$1004,1,MATCH(COLUMNS($Q$1006:Q1006),$Q$1006:$U$1006,0)))),"Fix")))</f>
        <v xml:space="preserve"> </v>
      </c>
      <c r="C416" s="3" t="str">
        <f ca="1">IF(OR(INDEX($K$2:$K$1001,MATCH(ROWS($J$2:J416),$J$2:$J$1001,0),1)&gt;=100000,INDEX($Q$1005:$U$1005,1,MATCH(COLUMNS($Q$1006:R1006),$Q$1006:$U$1006,0))&gt;=100000), " ",IF(INDEX($Q$2:$U$1001,MATCH(ROWS($J$2:J416),$J$2:$J$1001,0),MATCH(COLUMNS($Q$1006:R1006),$Q$1006:$U$1006,0)), HYPERLINK("#",""), HYPERLINK(CONCATENATE("#metadata!", ADDRESS(INDEX($L$2:$L$1001,MATCH(ROWS($J$2:J416),$J$2:$J$1001,0),0), INDEX($Q$1004:$U$1004,1,MATCH(COLUMNS($Q$1006:R1006),$Q$1006:$U$1006,0)))),"Fix")))</f>
        <v xml:space="preserve"> </v>
      </c>
      <c r="D416" s="3" t="str">
        <f ca="1">IF(OR(INDEX($K$2:$K$1001,MATCH(ROWS($J$2:J416),$J$2:$J$1001,0),1)&gt;=100000,INDEX($Q$1005:$U$1005,1,MATCH(COLUMNS($Q$1006:S1006),$Q$1006:$U$1006,0))&gt;=100000), " ",IF(INDEX($Q$2:$U$1001,MATCH(ROWS($J$2:J416),$J$2:$J$1001,0),MATCH(COLUMNS($Q$1006:S1006),$Q$1006:$U$1006,0)), HYPERLINK("#",""), HYPERLINK(CONCATENATE("#metadata!", ADDRESS(INDEX($L$2:$L$1001,MATCH(ROWS($J$2:J416),$J$2:$J$1001,0),0), INDEX($Q$1004:$U$1004,1,MATCH(COLUMNS($Q$1006:S1006),$Q$1006:$U$1006,0)))),"Fix")))</f>
        <v xml:space="preserve"> </v>
      </c>
      <c r="E416" s="3" t="str">
        <f ca="1">IF(OR(INDEX($K$2:$K$1001,MATCH(ROWS($J$2:J416),$J$2:$J$1001,0),1)&gt;=100000,INDEX($Q$1005:$U$1005,1,MATCH(COLUMNS($Q$1006:T1006),$Q$1006:$U$1006,0))&gt;=100000), " ",IF(INDEX($Q$2:$U$1001,MATCH(ROWS($J$2:J416),$J$2:$J$1001,0),MATCH(COLUMNS($Q$1006:T1006),$Q$1006:$U$1006,0)), HYPERLINK("#",""), HYPERLINK(CONCATENATE("#metadata!", ADDRESS(INDEX($L$2:$L$1001,MATCH(ROWS($J$2:J416),$J$2:$J$1001,0),0), INDEX($Q$1004:$U$1004,1,MATCH(COLUMNS($Q$1006:T1006),$Q$1006:$U$1006,0)))),"Fix")))</f>
        <v xml:space="preserve"> </v>
      </c>
      <c r="F416" s="3" t="str">
        <f ca="1">IF(OR(INDEX($K$2:$K$1001,MATCH(ROWS($J$2:J416),$J$2:$J$1001,0),1)&gt;=100000,INDEX($Q$1005:$U$1005,1,MATCH(COLUMNS($Q$1006:U1006),$Q$1006:$U$1006,0))&gt;=100000), " ",IF(INDEX($Q$2:$U$1001,MATCH(ROWS($J$2:J416),$J$2:$J$1001,0),MATCH(COLUMNS($Q$1006:U1006),$Q$1006:$U$1006,0)), HYPERLINK("#",""), HYPERLINK(CONCATENATE("#metadata!", ADDRESS(INDEX($L$2:$L$1001,MATCH(ROWS($J$2:J416),$J$2:$J$1001,0),0), INDEX($Q$1004:$U$1004,1,MATCH(COLUMNS($Q$1006:U1006),$Q$1006:$U$1006,0)))),"Fix")))</f>
        <v xml:space="preserve"> </v>
      </c>
      <c r="J416">
        <v>415</v>
      </c>
      <c r="K416">
        <v>100416</v>
      </c>
      <c r="L416">
        <v>416</v>
      </c>
      <c r="M416" t="b">
        <f t="shared" si="6"/>
        <v>1</v>
      </c>
      <c r="N416" t="b">
        <f>COUNTBLANK(metadata!B416:F416)=COLUMNS(metadata!B416:F416)</f>
        <v>1</v>
      </c>
      <c r="O416" t="str">
        <v/>
      </c>
      <c r="Q416" t="b">
        <f ca="1">AND(IF(metadata!B416="",FALSE,TRUE),COUNTIF(metadata!B:B, metadata!B416) = 1,NOT(ISERROR(SUMPRODUCT(SEARCH(MID(metadata!B416,ROW(INDIRECT("1:"&amp;LEN(metadata!B416))), 1),"0123456789abcdefghijklmnopqrstuvwxyzABCDEFGHIJKLMNOPQRSTUVWXYZ.")))))</f>
        <v>0</v>
      </c>
      <c r="R416" t="b">
        <f>AND(IF(metadata!C416="",FALSE,TRUE),OR(EXACT(metadata!C416,"saline"),EXACT(metadata!C416,"non-saline")))</f>
        <v>0</v>
      </c>
      <c r="S416" t="b">
        <f>AND(IF(metadata!D416="",FALSE,TRUE),OR(EXACT(metadata!D416,"surface (non-saline)"),EXACT(metadata!D416,"aerosol (non-saline)"),EXACT(metadata!D416,"sediment (non-saline)"),EXACT(metadata!D416,"surface (saline)"),EXACT(metadata!D416,"aerosol (saline)"),EXACT(metadata!D416,"sediment (saline)")))</f>
        <v>0</v>
      </c>
      <c r="T416" t="b">
        <f>AND(IF(metadata!E416="",FALSE,TRUE),EXACT(metadata!E416,"built environment"))</f>
        <v>0</v>
      </c>
      <c r="U416" t="b">
        <f>OR(AND(IF(metadata!F416="",FALSE,TRUE),EXACT(metadata!F416,"not applicable")),AND(IF(metadata!F416="",FALSE,TRUE),EXACT(metadata!F416,"anaerobic digester content")))</f>
        <v>0</v>
      </c>
    </row>
    <row r="417" spans="1:21" x14ac:dyDescent="0.2">
      <c r="A417" s="4" t="str">
        <f ca="1">IF(B417=" "," ",HYPERLINK(CONCATENATE("#metadata!",ADDRESS(INDEX($L$2:$L$1001,MATCH(ROWS($J$2:J417),$J$2:$J$1001,0),0),1)),INDEX($O$2:$O$1001,MATCH(ROWS($J$2:J417),$J$2:$J$1001,0),0)))</f>
        <v xml:space="preserve"> </v>
      </c>
      <c r="B417" s="3" t="str">
        <f ca="1">IF(OR(INDEX($K$2:$K$1001,MATCH(ROWS($J$2:J417),$J$2:$J$1001,0),1)&gt;=100000,INDEX($Q$1005:$U$1005,1,MATCH(COLUMNS($Q$1006:Q1006),$Q$1006:$U$1006,0))&gt;=100000), " ",IF(INDEX($Q$2:$U$1001,MATCH(ROWS($J$2:J417),$J$2:$J$1001,0),MATCH(COLUMNS($Q$1006:Q1006),$Q$1006:$U$1006,0)), HYPERLINK("#",""), HYPERLINK(CONCATENATE("#metadata!", ADDRESS(INDEX($L$2:$L$1001,MATCH(ROWS($J$2:J417),$J$2:$J$1001,0),0), INDEX($Q$1004:$U$1004,1,MATCH(COLUMNS($Q$1006:Q1006),$Q$1006:$U$1006,0)))),"Fix")))</f>
        <v xml:space="preserve"> </v>
      </c>
      <c r="C417" s="3" t="str">
        <f ca="1">IF(OR(INDEX($K$2:$K$1001,MATCH(ROWS($J$2:J417),$J$2:$J$1001,0),1)&gt;=100000,INDEX($Q$1005:$U$1005,1,MATCH(COLUMNS($Q$1006:R1006),$Q$1006:$U$1006,0))&gt;=100000), " ",IF(INDEX($Q$2:$U$1001,MATCH(ROWS($J$2:J417),$J$2:$J$1001,0),MATCH(COLUMNS($Q$1006:R1006),$Q$1006:$U$1006,0)), HYPERLINK("#",""), HYPERLINK(CONCATENATE("#metadata!", ADDRESS(INDEX($L$2:$L$1001,MATCH(ROWS($J$2:J417),$J$2:$J$1001,0),0), INDEX($Q$1004:$U$1004,1,MATCH(COLUMNS($Q$1006:R1006),$Q$1006:$U$1006,0)))),"Fix")))</f>
        <v xml:space="preserve"> </v>
      </c>
      <c r="D417" s="3" t="str">
        <f ca="1">IF(OR(INDEX($K$2:$K$1001,MATCH(ROWS($J$2:J417),$J$2:$J$1001,0),1)&gt;=100000,INDEX($Q$1005:$U$1005,1,MATCH(COLUMNS($Q$1006:S1006),$Q$1006:$U$1006,0))&gt;=100000), " ",IF(INDEX($Q$2:$U$1001,MATCH(ROWS($J$2:J417),$J$2:$J$1001,0),MATCH(COLUMNS($Q$1006:S1006),$Q$1006:$U$1006,0)), HYPERLINK("#",""), HYPERLINK(CONCATENATE("#metadata!", ADDRESS(INDEX($L$2:$L$1001,MATCH(ROWS($J$2:J417),$J$2:$J$1001,0),0), INDEX($Q$1004:$U$1004,1,MATCH(COLUMNS($Q$1006:S1006),$Q$1006:$U$1006,0)))),"Fix")))</f>
        <v xml:space="preserve"> </v>
      </c>
      <c r="E417" s="3" t="str">
        <f ca="1">IF(OR(INDEX($K$2:$K$1001,MATCH(ROWS($J$2:J417),$J$2:$J$1001,0),1)&gt;=100000,INDEX($Q$1005:$U$1005,1,MATCH(COLUMNS($Q$1006:T1006),$Q$1006:$U$1006,0))&gt;=100000), " ",IF(INDEX($Q$2:$U$1001,MATCH(ROWS($J$2:J417),$J$2:$J$1001,0),MATCH(COLUMNS($Q$1006:T1006),$Q$1006:$U$1006,0)), HYPERLINK("#",""), HYPERLINK(CONCATENATE("#metadata!", ADDRESS(INDEX($L$2:$L$1001,MATCH(ROWS($J$2:J417),$J$2:$J$1001,0),0), INDEX($Q$1004:$U$1004,1,MATCH(COLUMNS($Q$1006:T1006),$Q$1006:$U$1006,0)))),"Fix")))</f>
        <v xml:space="preserve"> </v>
      </c>
      <c r="F417" s="3" t="str">
        <f ca="1">IF(OR(INDEX($K$2:$K$1001,MATCH(ROWS($J$2:J417),$J$2:$J$1001,0),1)&gt;=100000,INDEX($Q$1005:$U$1005,1,MATCH(COLUMNS($Q$1006:U1006),$Q$1006:$U$1006,0))&gt;=100000), " ",IF(INDEX($Q$2:$U$1001,MATCH(ROWS($J$2:J417),$J$2:$J$1001,0),MATCH(COLUMNS($Q$1006:U1006),$Q$1006:$U$1006,0)), HYPERLINK("#",""), HYPERLINK(CONCATENATE("#metadata!", ADDRESS(INDEX($L$2:$L$1001,MATCH(ROWS($J$2:J417),$J$2:$J$1001,0),0), INDEX($Q$1004:$U$1004,1,MATCH(COLUMNS($Q$1006:U1006),$Q$1006:$U$1006,0)))),"Fix")))</f>
        <v xml:space="preserve"> </v>
      </c>
      <c r="J417">
        <v>416</v>
      </c>
      <c r="K417">
        <v>100417</v>
      </c>
      <c r="L417">
        <v>417</v>
      </c>
      <c r="M417" t="b">
        <f t="shared" si="6"/>
        <v>1</v>
      </c>
      <c r="N417" t="b">
        <f>COUNTBLANK(metadata!B417:F417)=COLUMNS(metadata!B417:F417)</f>
        <v>1</v>
      </c>
      <c r="O417" t="str">
        <v/>
      </c>
      <c r="Q417" t="b">
        <f ca="1">AND(IF(metadata!B417="",FALSE,TRUE),COUNTIF(metadata!B:B, metadata!B417) = 1,NOT(ISERROR(SUMPRODUCT(SEARCH(MID(metadata!B417,ROW(INDIRECT("1:"&amp;LEN(metadata!B417))), 1),"0123456789abcdefghijklmnopqrstuvwxyzABCDEFGHIJKLMNOPQRSTUVWXYZ.")))))</f>
        <v>0</v>
      </c>
      <c r="R417" t="b">
        <f>AND(IF(metadata!C417="",FALSE,TRUE),OR(EXACT(metadata!C417,"saline"),EXACT(metadata!C417,"non-saline")))</f>
        <v>0</v>
      </c>
      <c r="S417" t="b">
        <f>AND(IF(metadata!D417="",FALSE,TRUE),OR(EXACT(metadata!D417,"surface (non-saline)"),EXACT(metadata!D417,"aerosol (non-saline)"),EXACT(metadata!D417,"sediment (non-saline)"),EXACT(metadata!D417,"surface (saline)"),EXACT(metadata!D417,"aerosol (saline)"),EXACT(metadata!D417,"sediment (saline)")))</f>
        <v>0</v>
      </c>
      <c r="T417" t="b">
        <f>AND(IF(metadata!E417="",FALSE,TRUE),EXACT(metadata!E417,"built environment"))</f>
        <v>0</v>
      </c>
      <c r="U417" t="b">
        <f>OR(AND(IF(metadata!F417="",FALSE,TRUE),EXACT(metadata!F417,"not applicable")),AND(IF(metadata!F417="",FALSE,TRUE),EXACT(metadata!F417,"anaerobic digester content")))</f>
        <v>0</v>
      </c>
    </row>
    <row r="418" spans="1:21" x14ac:dyDescent="0.2">
      <c r="A418" s="4" t="str">
        <f ca="1">IF(B418=" "," ",HYPERLINK(CONCATENATE("#metadata!",ADDRESS(INDEX($L$2:$L$1001,MATCH(ROWS($J$2:J418),$J$2:$J$1001,0),0),1)),INDEX($O$2:$O$1001,MATCH(ROWS($J$2:J418),$J$2:$J$1001,0),0)))</f>
        <v xml:space="preserve"> </v>
      </c>
      <c r="B418" s="3" t="str">
        <f ca="1">IF(OR(INDEX($K$2:$K$1001,MATCH(ROWS($J$2:J418),$J$2:$J$1001,0),1)&gt;=100000,INDEX($Q$1005:$U$1005,1,MATCH(COLUMNS($Q$1006:Q1006),$Q$1006:$U$1006,0))&gt;=100000), " ",IF(INDEX($Q$2:$U$1001,MATCH(ROWS($J$2:J418),$J$2:$J$1001,0),MATCH(COLUMNS($Q$1006:Q1006),$Q$1006:$U$1006,0)), HYPERLINK("#",""), HYPERLINK(CONCATENATE("#metadata!", ADDRESS(INDEX($L$2:$L$1001,MATCH(ROWS($J$2:J418),$J$2:$J$1001,0),0), INDEX($Q$1004:$U$1004,1,MATCH(COLUMNS($Q$1006:Q1006),$Q$1006:$U$1006,0)))),"Fix")))</f>
        <v xml:space="preserve"> </v>
      </c>
      <c r="C418" s="3" t="str">
        <f ca="1">IF(OR(INDEX($K$2:$K$1001,MATCH(ROWS($J$2:J418),$J$2:$J$1001,0),1)&gt;=100000,INDEX($Q$1005:$U$1005,1,MATCH(COLUMNS($Q$1006:R1006),$Q$1006:$U$1006,0))&gt;=100000), " ",IF(INDEX($Q$2:$U$1001,MATCH(ROWS($J$2:J418),$J$2:$J$1001,0),MATCH(COLUMNS($Q$1006:R1006),$Q$1006:$U$1006,0)), HYPERLINK("#",""), HYPERLINK(CONCATENATE("#metadata!", ADDRESS(INDEX($L$2:$L$1001,MATCH(ROWS($J$2:J418),$J$2:$J$1001,0),0), INDEX($Q$1004:$U$1004,1,MATCH(COLUMNS($Q$1006:R1006),$Q$1006:$U$1006,0)))),"Fix")))</f>
        <v xml:space="preserve"> </v>
      </c>
      <c r="D418" s="3" t="str">
        <f ca="1">IF(OR(INDEX($K$2:$K$1001,MATCH(ROWS($J$2:J418),$J$2:$J$1001,0),1)&gt;=100000,INDEX($Q$1005:$U$1005,1,MATCH(COLUMNS($Q$1006:S1006),$Q$1006:$U$1006,0))&gt;=100000), " ",IF(INDEX($Q$2:$U$1001,MATCH(ROWS($J$2:J418),$J$2:$J$1001,0),MATCH(COLUMNS($Q$1006:S1006),$Q$1006:$U$1006,0)), HYPERLINK("#",""), HYPERLINK(CONCATENATE("#metadata!", ADDRESS(INDEX($L$2:$L$1001,MATCH(ROWS($J$2:J418),$J$2:$J$1001,0),0), INDEX($Q$1004:$U$1004,1,MATCH(COLUMNS($Q$1006:S1006),$Q$1006:$U$1006,0)))),"Fix")))</f>
        <v xml:space="preserve"> </v>
      </c>
      <c r="E418" s="3" t="str">
        <f ca="1">IF(OR(INDEX($K$2:$K$1001,MATCH(ROWS($J$2:J418),$J$2:$J$1001,0),1)&gt;=100000,INDEX($Q$1005:$U$1005,1,MATCH(COLUMNS($Q$1006:T1006),$Q$1006:$U$1006,0))&gt;=100000), " ",IF(INDEX($Q$2:$U$1001,MATCH(ROWS($J$2:J418),$J$2:$J$1001,0),MATCH(COLUMNS($Q$1006:T1006),$Q$1006:$U$1006,0)), HYPERLINK("#",""), HYPERLINK(CONCATENATE("#metadata!", ADDRESS(INDEX($L$2:$L$1001,MATCH(ROWS($J$2:J418),$J$2:$J$1001,0),0), INDEX($Q$1004:$U$1004,1,MATCH(COLUMNS($Q$1006:T1006),$Q$1006:$U$1006,0)))),"Fix")))</f>
        <v xml:space="preserve"> </v>
      </c>
      <c r="F418" s="3" t="str">
        <f ca="1">IF(OR(INDEX($K$2:$K$1001,MATCH(ROWS($J$2:J418),$J$2:$J$1001,0),1)&gt;=100000,INDEX($Q$1005:$U$1005,1,MATCH(COLUMNS($Q$1006:U1006),$Q$1006:$U$1006,0))&gt;=100000), " ",IF(INDEX($Q$2:$U$1001,MATCH(ROWS($J$2:J418),$J$2:$J$1001,0),MATCH(COLUMNS($Q$1006:U1006),$Q$1006:$U$1006,0)), HYPERLINK("#",""), HYPERLINK(CONCATENATE("#metadata!", ADDRESS(INDEX($L$2:$L$1001,MATCH(ROWS($J$2:J418),$J$2:$J$1001,0),0), INDEX($Q$1004:$U$1004,1,MATCH(COLUMNS($Q$1006:U1006),$Q$1006:$U$1006,0)))),"Fix")))</f>
        <v xml:space="preserve"> </v>
      </c>
      <c r="J418">
        <v>417</v>
      </c>
      <c r="K418">
        <v>100418</v>
      </c>
      <c r="L418">
        <v>418</v>
      </c>
      <c r="M418" t="b">
        <f t="shared" si="6"/>
        <v>1</v>
      </c>
      <c r="N418" t="b">
        <f>COUNTBLANK(metadata!B418:F418)=COLUMNS(metadata!B418:F418)</f>
        <v>1</v>
      </c>
      <c r="O418" t="str">
        <v/>
      </c>
      <c r="Q418" t="b">
        <f ca="1">AND(IF(metadata!B418="",FALSE,TRUE),COUNTIF(metadata!B:B, metadata!B418) = 1,NOT(ISERROR(SUMPRODUCT(SEARCH(MID(metadata!B418,ROW(INDIRECT("1:"&amp;LEN(metadata!B418))), 1),"0123456789abcdefghijklmnopqrstuvwxyzABCDEFGHIJKLMNOPQRSTUVWXYZ.")))))</f>
        <v>0</v>
      </c>
      <c r="R418" t="b">
        <f>AND(IF(metadata!C418="",FALSE,TRUE),OR(EXACT(metadata!C418,"saline"),EXACT(metadata!C418,"non-saline")))</f>
        <v>0</v>
      </c>
      <c r="S418" t="b">
        <f>AND(IF(metadata!D418="",FALSE,TRUE),OR(EXACT(metadata!D418,"surface (non-saline)"),EXACT(metadata!D418,"aerosol (non-saline)"),EXACT(metadata!D418,"sediment (non-saline)"),EXACT(metadata!D418,"surface (saline)"),EXACT(metadata!D418,"aerosol (saline)"),EXACT(metadata!D418,"sediment (saline)")))</f>
        <v>0</v>
      </c>
      <c r="T418" t="b">
        <f>AND(IF(metadata!E418="",FALSE,TRUE),EXACT(metadata!E418,"built environment"))</f>
        <v>0</v>
      </c>
      <c r="U418" t="b">
        <f>OR(AND(IF(metadata!F418="",FALSE,TRUE),EXACT(metadata!F418,"not applicable")),AND(IF(metadata!F418="",FALSE,TRUE),EXACT(metadata!F418,"anaerobic digester content")))</f>
        <v>0</v>
      </c>
    </row>
    <row r="419" spans="1:21" x14ac:dyDescent="0.2">
      <c r="A419" s="4" t="str">
        <f ca="1">IF(B419=" "," ",HYPERLINK(CONCATENATE("#metadata!",ADDRESS(INDEX($L$2:$L$1001,MATCH(ROWS($J$2:J419),$J$2:$J$1001,0),0),1)),INDEX($O$2:$O$1001,MATCH(ROWS($J$2:J419),$J$2:$J$1001,0),0)))</f>
        <v xml:space="preserve"> </v>
      </c>
      <c r="B419" s="3" t="str">
        <f ca="1">IF(OR(INDEX($K$2:$K$1001,MATCH(ROWS($J$2:J419),$J$2:$J$1001,0),1)&gt;=100000,INDEX($Q$1005:$U$1005,1,MATCH(COLUMNS($Q$1006:Q1006),$Q$1006:$U$1006,0))&gt;=100000), " ",IF(INDEX($Q$2:$U$1001,MATCH(ROWS($J$2:J419),$J$2:$J$1001,0),MATCH(COLUMNS($Q$1006:Q1006),$Q$1006:$U$1006,0)), HYPERLINK("#",""), HYPERLINK(CONCATENATE("#metadata!", ADDRESS(INDEX($L$2:$L$1001,MATCH(ROWS($J$2:J419),$J$2:$J$1001,0),0), INDEX($Q$1004:$U$1004,1,MATCH(COLUMNS($Q$1006:Q1006),$Q$1006:$U$1006,0)))),"Fix")))</f>
        <v xml:space="preserve"> </v>
      </c>
      <c r="C419" s="3" t="str">
        <f ca="1">IF(OR(INDEX($K$2:$K$1001,MATCH(ROWS($J$2:J419),$J$2:$J$1001,0),1)&gt;=100000,INDEX($Q$1005:$U$1005,1,MATCH(COLUMNS($Q$1006:R1006),$Q$1006:$U$1006,0))&gt;=100000), " ",IF(INDEX($Q$2:$U$1001,MATCH(ROWS($J$2:J419),$J$2:$J$1001,0),MATCH(COLUMNS($Q$1006:R1006),$Q$1006:$U$1006,0)), HYPERLINK("#",""), HYPERLINK(CONCATENATE("#metadata!", ADDRESS(INDEX($L$2:$L$1001,MATCH(ROWS($J$2:J419),$J$2:$J$1001,0),0), INDEX($Q$1004:$U$1004,1,MATCH(COLUMNS($Q$1006:R1006),$Q$1006:$U$1006,0)))),"Fix")))</f>
        <v xml:space="preserve"> </v>
      </c>
      <c r="D419" s="3" t="str">
        <f ca="1">IF(OR(INDEX($K$2:$K$1001,MATCH(ROWS($J$2:J419),$J$2:$J$1001,0),1)&gt;=100000,INDEX($Q$1005:$U$1005,1,MATCH(COLUMNS($Q$1006:S1006),$Q$1006:$U$1006,0))&gt;=100000), " ",IF(INDEX($Q$2:$U$1001,MATCH(ROWS($J$2:J419),$J$2:$J$1001,0),MATCH(COLUMNS($Q$1006:S1006),$Q$1006:$U$1006,0)), HYPERLINK("#",""), HYPERLINK(CONCATENATE("#metadata!", ADDRESS(INDEX($L$2:$L$1001,MATCH(ROWS($J$2:J419),$J$2:$J$1001,0),0), INDEX($Q$1004:$U$1004,1,MATCH(COLUMNS($Q$1006:S1006),$Q$1006:$U$1006,0)))),"Fix")))</f>
        <v xml:space="preserve"> </v>
      </c>
      <c r="E419" s="3" t="str">
        <f ca="1">IF(OR(INDEX($K$2:$K$1001,MATCH(ROWS($J$2:J419),$J$2:$J$1001,0),1)&gt;=100000,INDEX($Q$1005:$U$1005,1,MATCH(COLUMNS($Q$1006:T1006),$Q$1006:$U$1006,0))&gt;=100000), " ",IF(INDEX($Q$2:$U$1001,MATCH(ROWS($J$2:J419),$J$2:$J$1001,0),MATCH(COLUMNS($Q$1006:T1006),$Q$1006:$U$1006,0)), HYPERLINK("#",""), HYPERLINK(CONCATENATE("#metadata!", ADDRESS(INDEX($L$2:$L$1001,MATCH(ROWS($J$2:J419),$J$2:$J$1001,0),0), INDEX($Q$1004:$U$1004,1,MATCH(COLUMNS($Q$1006:T1006),$Q$1006:$U$1006,0)))),"Fix")))</f>
        <v xml:space="preserve"> </v>
      </c>
      <c r="F419" s="3" t="str">
        <f ca="1">IF(OR(INDEX($K$2:$K$1001,MATCH(ROWS($J$2:J419),$J$2:$J$1001,0),1)&gt;=100000,INDEX($Q$1005:$U$1005,1,MATCH(COLUMNS($Q$1006:U1006),$Q$1006:$U$1006,0))&gt;=100000), " ",IF(INDEX($Q$2:$U$1001,MATCH(ROWS($J$2:J419),$J$2:$J$1001,0),MATCH(COLUMNS($Q$1006:U1006),$Q$1006:$U$1006,0)), HYPERLINK("#",""), HYPERLINK(CONCATENATE("#metadata!", ADDRESS(INDEX($L$2:$L$1001,MATCH(ROWS($J$2:J419),$J$2:$J$1001,0),0), INDEX($Q$1004:$U$1004,1,MATCH(COLUMNS($Q$1006:U1006),$Q$1006:$U$1006,0)))),"Fix")))</f>
        <v xml:space="preserve"> </v>
      </c>
      <c r="J419">
        <v>418</v>
      </c>
      <c r="K419">
        <v>100419</v>
      </c>
      <c r="L419">
        <v>419</v>
      </c>
      <c r="M419" t="b">
        <f t="shared" si="6"/>
        <v>1</v>
      </c>
      <c r="N419" t="b">
        <f>COUNTBLANK(metadata!B419:F419)=COLUMNS(metadata!B419:F419)</f>
        <v>1</v>
      </c>
      <c r="O419" t="str">
        <v/>
      </c>
      <c r="Q419" t="b">
        <f ca="1">AND(IF(metadata!B419="",FALSE,TRUE),COUNTIF(metadata!B:B, metadata!B419) = 1,NOT(ISERROR(SUMPRODUCT(SEARCH(MID(metadata!B419,ROW(INDIRECT("1:"&amp;LEN(metadata!B419))), 1),"0123456789abcdefghijklmnopqrstuvwxyzABCDEFGHIJKLMNOPQRSTUVWXYZ.")))))</f>
        <v>0</v>
      </c>
      <c r="R419" t="b">
        <f>AND(IF(metadata!C419="",FALSE,TRUE),OR(EXACT(metadata!C419,"saline"),EXACT(metadata!C419,"non-saline")))</f>
        <v>0</v>
      </c>
      <c r="S419" t="b">
        <f>AND(IF(metadata!D419="",FALSE,TRUE),OR(EXACT(metadata!D419,"surface (non-saline)"),EXACT(metadata!D419,"aerosol (non-saline)"),EXACT(metadata!D419,"sediment (non-saline)"),EXACT(metadata!D419,"surface (saline)"),EXACT(metadata!D419,"aerosol (saline)"),EXACT(metadata!D419,"sediment (saline)")))</f>
        <v>0</v>
      </c>
      <c r="T419" t="b">
        <f>AND(IF(metadata!E419="",FALSE,TRUE),EXACT(metadata!E419,"built environment"))</f>
        <v>0</v>
      </c>
      <c r="U419" t="b">
        <f>OR(AND(IF(metadata!F419="",FALSE,TRUE),EXACT(metadata!F419,"not applicable")),AND(IF(metadata!F419="",FALSE,TRUE),EXACT(metadata!F419,"anaerobic digester content")))</f>
        <v>0</v>
      </c>
    </row>
    <row r="420" spans="1:21" x14ac:dyDescent="0.2">
      <c r="A420" s="4" t="str">
        <f ca="1">IF(B420=" "," ",HYPERLINK(CONCATENATE("#metadata!",ADDRESS(INDEX($L$2:$L$1001,MATCH(ROWS($J$2:J420),$J$2:$J$1001,0),0),1)),INDEX($O$2:$O$1001,MATCH(ROWS($J$2:J420),$J$2:$J$1001,0),0)))</f>
        <v xml:space="preserve"> </v>
      </c>
      <c r="B420" s="3" t="str">
        <f ca="1">IF(OR(INDEX($K$2:$K$1001,MATCH(ROWS($J$2:J420),$J$2:$J$1001,0),1)&gt;=100000,INDEX($Q$1005:$U$1005,1,MATCH(COLUMNS($Q$1006:Q1006),$Q$1006:$U$1006,0))&gt;=100000), " ",IF(INDEX($Q$2:$U$1001,MATCH(ROWS($J$2:J420),$J$2:$J$1001,0),MATCH(COLUMNS($Q$1006:Q1006),$Q$1006:$U$1006,0)), HYPERLINK("#",""), HYPERLINK(CONCATENATE("#metadata!", ADDRESS(INDEX($L$2:$L$1001,MATCH(ROWS($J$2:J420),$J$2:$J$1001,0),0), INDEX($Q$1004:$U$1004,1,MATCH(COLUMNS($Q$1006:Q1006),$Q$1006:$U$1006,0)))),"Fix")))</f>
        <v xml:space="preserve"> </v>
      </c>
      <c r="C420" s="3" t="str">
        <f ca="1">IF(OR(INDEX($K$2:$K$1001,MATCH(ROWS($J$2:J420),$J$2:$J$1001,0),1)&gt;=100000,INDEX($Q$1005:$U$1005,1,MATCH(COLUMNS($Q$1006:R1006),$Q$1006:$U$1006,0))&gt;=100000), " ",IF(INDEX($Q$2:$U$1001,MATCH(ROWS($J$2:J420),$J$2:$J$1001,0),MATCH(COLUMNS($Q$1006:R1006),$Q$1006:$U$1006,0)), HYPERLINK("#",""), HYPERLINK(CONCATENATE("#metadata!", ADDRESS(INDEX($L$2:$L$1001,MATCH(ROWS($J$2:J420),$J$2:$J$1001,0),0), INDEX($Q$1004:$U$1004,1,MATCH(COLUMNS($Q$1006:R1006),$Q$1006:$U$1006,0)))),"Fix")))</f>
        <v xml:space="preserve"> </v>
      </c>
      <c r="D420" s="3" t="str">
        <f ca="1">IF(OR(INDEX($K$2:$K$1001,MATCH(ROWS($J$2:J420),$J$2:$J$1001,0),1)&gt;=100000,INDEX($Q$1005:$U$1005,1,MATCH(COLUMNS($Q$1006:S1006),$Q$1006:$U$1006,0))&gt;=100000), " ",IF(INDEX($Q$2:$U$1001,MATCH(ROWS($J$2:J420),$J$2:$J$1001,0),MATCH(COLUMNS($Q$1006:S1006),$Q$1006:$U$1006,0)), HYPERLINK("#",""), HYPERLINK(CONCATENATE("#metadata!", ADDRESS(INDEX($L$2:$L$1001,MATCH(ROWS($J$2:J420),$J$2:$J$1001,0),0), INDEX($Q$1004:$U$1004,1,MATCH(COLUMNS($Q$1006:S1006),$Q$1006:$U$1006,0)))),"Fix")))</f>
        <v xml:space="preserve"> </v>
      </c>
      <c r="E420" s="3" t="str">
        <f ca="1">IF(OR(INDEX($K$2:$K$1001,MATCH(ROWS($J$2:J420),$J$2:$J$1001,0),1)&gt;=100000,INDEX($Q$1005:$U$1005,1,MATCH(COLUMNS($Q$1006:T1006),$Q$1006:$U$1006,0))&gt;=100000), " ",IF(INDEX($Q$2:$U$1001,MATCH(ROWS($J$2:J420),$J$2:$J$1001,0),MATCH(COLUMNS($Q$1006:T1006),$Q$1006:$U$1006,0)), HYPERLINK("#",""), HYPERLINK(CONCATENATE("#metadata!", ADDRESS(INDEX($L$2:$L$1001,MATCH(ROWS($J$2:J420),$J$2:$J$1001,0),0), INDEX($Q$1004:$U$1004,1,MATCH(COLUMNS($Q$1006:T1006),$Q$1006:$U$1006,0)))),"Fix")))</f>
        <v xml:space="preserve"> </v>
      </c>
      <c r="F420" s="3" t="str">
        <f ca="1">IF(OR(INDEX($K$2:$K$1001,MATCH(ROWS($J$2:J420),$J$2:$J$1001,0),1)&gt;=100000,INDEX($Q$1005:$U$1005,1,MATCH(COLUMNS($Q$1006:U1006),$Q$1006:$U$1006,0))&gt;=100000), " ",IF(INDEX($Q$2:$U$1001,MATCH(ROWS($J$2:J420),$J$2:$J$1001,0),MATCH(COLUMNS($Q$1006:U1006),$Q$1006:$U$1006,0)), HYPERLINK("#",""), HYPERLINK(CONCATENATE("#metadata!", ADDRESS(INDEX($L$2:$L$1001,MATCH(ROWS($J$2:J420),$J$2:$J$1001,0),0), INDEX($Q$1004:$U$1004,1,MATCH(COLUMNS($Q$1006:U1006),$Q$1006:$U$1006,0)))),"Fix")))</f>
        <v xml:space="preserve"> </v>
      </c>
      <c r="J420">
        <v>419</v>
      </c>
      <c r="K420">
        <v>100420</v>
      </c>
      <c r="L420">
        <v>420</v>
      </c>
      <c r="M420" t="b">
        <f t="shared" si="6"/>
        <v>1</v>
      </c>
      <c r="N420" t="b">
        <f>COUNTBLANK(metadata!B420:F420)=COLUMNS(metadata!B420:F420)</f>
        <v>1</v>
      </c>
      <c r="O420" t="str">
        <v/>
      </c>
      <c r="Q420" t="b">
        <f ca="1">AND(IF(metadata!B420="",FALSE,TRUE),COUNTIF(metadata!B:B, metadata!B420) = 1,NOT(ISERROR(SUMPRODUCT(SEARCH(MID(metadata!B420,ROW(INDIRECT("1:"&amp;LEN(metadata!B420))), 1),"0123456789abcdefghijklmnopqrstuvwxyzABCDEFGHIJKLMNOPQRSTUVWXYZ.")))))</f>
        <v>0</v>
      </c>
      <c r="R420" t="b">
        <f>AND(IF(metadata!C420="",FALSE,TRUE),OR(EXACT(metadata!C420,"saline"),EXACT(metadata!C420,"non-saline")))</f>
        <v>0</v>
      </c>
      <c r="S420" t="b">
        <f>AND(IF(metadata!D420="",FALSE,TRUE),OR(EXACT(metadata!D420,"surface (non-saline)"),EXACT(metadata!D420,"aerosol (non-saline)"),EXACT(metadata!D420,"sediment (non-saline)"),EXACT(metadata!D420,"surface (saline)"),EXACT(metadata!D420,"aerosol (saline)"),EXACT(metadata!D420,"sediment (saline)")))</f>
        <v>0</v>
      </c>
      <c r="T420" t="b">
        <f>AND(IF(metadata!E420="",FALSE,TRUE),EXACT(metadata!E420,"built environment"))</f>
        <v>0</v>
      </c>
      <c r="U420" t="b">
        <f>OR(AND(IF(metadata!F420="",FALSE,TRUE),EXACT(metadata!F420,"not applicable")),AND(IF(metadata!F420="",FALSE,TRUE),EXACT(metadata!F420,"anaerobic digester content")))</f>
        <v>0</v>
      </c>
    </row>
    <row r="421" spans="1:21" x14ac:dyDescent="0.2">
      <c r="A421" s="4" t="str">
        <f ca="1">IF(B421=" "," ",HYPERLINK(CONCATENATE("#metadata!",ADDRESS(INDEX($L$2:$L$1001,MATCH(ROWS($J$2:J421),$J$2:$J$1001,0),0),1)),INDEX($O$2:$O$1001,MATCH(ROWS($J$2:J421),$J$2:$J$1001,0),0)))</f>
        <v xml:space="preserve"> </v>
      </c>
      <c r="B421" s="3" t="str">
        <f ca="1">IF(OR(INDEX($K$2:$K$1001,MATCH(ROWS($J$2:J421),$J$2:$J$1001,0),1)&gt;=100000,INDEX($Q$1005:$U$1005,1,MATCH(COLUMNS($Q$1006:Q1006),$Q$1006:$U$1006,0))&gt;=100000), " ",IF(INDEX($Q$2:$U$1001,MATCH(ROWS($J$2:J421),$J$2:$J$1001,0),MATCH(COLUMNS($Q$1006:Q1006),$Q$1006:$U$1006,0)), HYPERLINK("#",""), HYPERLINK(CONCATENATE("#metadata!", ADDRESS(INDEX($L$2:$L$1001,MATCH(ROWS($J$2:J421),$J$2:$J$1001,0),0), INDEX($Q$1004:$U$1004,1,MATCH(COLUMNS($Q$1006:Q1006),$Q$1006:$U$1006,0)))),"Fix")))</f>
        <v xml:space="preserve"> </v>
      </c>
      <c r="C421" s="3" t="str">
        <f ca="1">IF(OR(INDEX($K$2:$K$1001,MATCH(ROWS($J$2:J421),$J$2:$J$1001,0),1)&gt;=100000,INDEX($Q$1005:$U$1005,1,MATCH(COLUMNS($Q$1006:R1006),$Q$1006:$U$1006,0))&gt;=100000), " ",IF(INDEX($Q$2:$U$1001,MATCH(ROWS($J$2:J421),$J$2:$J$1001,0),MATCH(COLUMNS($Q$1006:R1006),$Q$1006:$U$1006,0)), HYPERLINK("#",""), HYPERLINK(CONCATENATE("#metadata!", ADDRESS(INDEX($L$2:$L$1001,MATCH(ROWS($J$2:J421),$J$2:$J$1001,0),0), INDEX($Q$1004:$U$1004,1,MATCH(COLUMNS($Q$1006:R1006),$Q$1006:$U$1006,0)))),"Fix")))</f>
        <v xml:space="preserve"> </v>
      </c>
      <c r="D421" s="3" t="str">
        <f ca="1">IF(OR(INDEX($K$2:$K$1001,MATCH(ROWS($J$2:J421),$J$2:$J$1001,0),1)&gt;=100000,INDEX($Q$1005:$U$1005,1,MATCH(COLUMNS($Q$1006:S1006),$Q$1006:$U$1006,0))&gt;=100000), " ",IF(INDEX($Q$2:$U$1001,MATCH(ROWS($J$2:J421),$J$2:$J$1001,0),MATCH(COLUMNS($Q$1006:S1006),$Q$1006:$U$1006,0)), HYPERLINK("#",""), HYPERLINK(CONCATENATE("#metadata!", ADDRESS(INDEX($L$2:$L$1001,MATCH(ROWS($J$2:J421),$J$2:$J$1001,0),0), INDEX($Q$1004:$U$1004,1,MATCH(COLUMNS($Q$1006:S1006),$Q$1006:$U$1006,0)))),"Fix")))</f>
        <v xml:space="preserve"> </v>
      </c>
      <c r="E421" s="3" t="str">
        <f ca="1">IF(OR(INDEX($K$2:$K$1001,MATCH(ROWS($J$2:J421),$J$2:$J$1001,0),1)&gt;=100000,INDEX($Q$1005:$U$1005,1,MATCH(COLUMNS($Q$1006:T1006),$Q$1006:$U$1006,0))&gt;=100000), " ",IF(INDEX($Q$2:$U$1001,MATCH(ROWS($J$2:J421),$J$2:$J$1001,0),MATCH(COLUMNS($Q$1006:T1006),$Q$1006:$U$1006,0)), HYPERLINK("#",""), HYPERLINK(CONCATENATE("#metadata!", ADDRESS(INDEX($L$2:$L$1001,MATCH(ROWS($J$2:J421),$J$2:$J$1001,0),0), INDEX($Q$1004:$U$1004,1,MATCH(COLUMNS($Q$1006:T1006),$Q$1006:$U$1006,0)))),"Fix")))</f>
        <v xml:space="preserve"> </v>
      </c>
      <c r="F421" s="3" t="str">
        <f ca="1">IF(OR(INDEX($K$2:$K$1001,MATCH(ROWS($J$2:J421),$J$2:$J$1001,0),1)&gt;=100000,INDEX($Q$1005:$U$1005,1,MATCH(COLUMNS($Q$1006:U1006),$Q$1006:$U$1006,0))&gt;=100000), " ",IF(INDEX($Q$2:$U$1001,MATCH(ROWS($J$2:J421),$J$2:$J$1001,0),MATCH(COLUMNS($Q$1006:U1006),$Q$1006:$U$1006,0)), HYPERLINK("#",""), HYPERLINK(CONCATENATE("#metadata!", ADDRESS(INDEX($L$2:$L$1001,MATCH(ROWS($J$2:J421),$J$2:$J$1001,0),0), INDEX($Q$1004:$U$1004,1,MATCH(COLUMNS($Q$1006:U1006),$Q$1006:$U$1006,0)))),"Fix")))</f>
        <v xml:space="preserve"> </v>
      </c>
      <c r="J421">
        <v>420</v>
      </c>
      <c r="K421">
        <v>100421</v>
      </c>
      <c r="L421">
        <v>421</v>
      </c>
      <c r="M421" t="b">
        <f t="shared" si="6"/>
        <v>1</v>
      </c>
      <c r="N421" t="b">
        <f>COUNTBLANK(metadata!B421:F421)=COLUMNS(metadata!B421:F421)</f>
        <v>1</v>
      </c>
      <c r="O421" t="str">
        <v/>
      </c>
      <c r="Q421" t="b">
        <f ca="1">AND(IF(metadata!B421="",FALSE,TRUE),COUNTIF(metadata!B:B, metadata!B421) = 1,NOT(ISERROR(SUMPRODUCT(SEARCH(MID(metadata!B421,ROW(INDIRECT("1:"&amp;LEN(metadata!B421))), 1),"0123456789abcdefghijklmnopqrstuvwxyzABCDEFGHIJKLMNOPQRSTUVWXYZ.")))))</f>
        <v>0</v>
      </c>
      <c r="R421" t="b">
        <f>AND(IF(metadata!C421="",FALSE,TRUE),OR(EXACT(metadata!C421,"saline"),EXACT(metadata!C421,"non-saline")))</f>
        <v>0</v>
      </c>
      <c r="S421" t="b">
        <f>AND(IF(metadata!D421="",FALSE,TRUE),OR(EXACT(metadata!D421,"surface (non-saline)"),EXACT(metadata!D421,"aerosol (non-saline)"),EXACT(metadata!D421,"sediment (non-saline)"),EXACT(metadata!D421,"surface (saline)"),EXACT(metadata!D421,"aerosol (saline)"),EXACT(metadata!D421,"sediment (saline)")))</f>
        <v>0</v>
      </c>
      <c r="T421" t="b">
        <f>AND(IF(metadata!E421="",FALSE,TRUE),EXACT(metadata!E421,"built environment"))</f>
        <v>0</v>
      </c>
      <c r="U421" t="b">
        <f>OR(AND(IF(metadata!F421="",FALSE,TRUE),EXACT(metadata!F421,"not applicable")),AND(IF(metadata!F421="",FALSE,TRUE),EXACT(metadata!F421,"anaerobic digester content")))</f>
        <v>0</v>
      </c>
    </row>
    <row r="422" spans="1:21" x14ac:dyDescent="0.2">
      <c r="A422" s="4" t="str">
        <f ca="1">IF(B422=" "," ",HYPERLINK(CONCATENATE("#metadata!",ADDRESS(INDEX($L$2:$L$1001,MATCH(ROWS($J$2:J422),$J$2:$J$1001,0),0),1)),INDEX($O$2:$O$1001,MATCH(ROWS($J$2:J422),$J$2:$J$1001,0),0)))</f>
        <v xml:space="preserve"> </v>
      </c>
      <c r="B422" s="3" t="str">
        <f ca="1">IF(OR(INDEX($K$2:$K$1001,MATCH(ROWS($J$2:J422),$J$2:$J$1001,0),1)&gt;=100000,INDEX($Q$1005:$U$1005,1,MATCH(COLUMNS($Q$1006:Q1006),$Q$1006:$U$1006,0))&gt;=100000), " ",IF(INDEX($Q$2:$U$1001,MATCH(ROWS($J$2:J422),$J$2:$J$1001,0),MATCH(COLUMNS($Q$1006:Q1006),$Q$1006:$U$1006,0)), HYPERLINK("#",""), HYPERLINK(CONCATENATE("#metadata!", ADDRESS(INDEX($L$2:$L$1001,MATCH(ROWS($J$2:J422),$J$2:$J$1001,0),0), INDEX($Q$1004:$U$1004,1,MATCH(COLUMNS($Q$1006:Q1006),$Q$1006:$U$1006,0)))),"Fix")))</f>
        <v xml:space="preserve"> </v>
      </c>
      <c r="C422" s="3" t="str">
        <f ca="1">IF(OR(INDEX($K$2:$K$1001,MATCH(ROWS($J$2:J422),$J$2:$J$1001,0),1)&gt;=100000,INDEX($Q$1005:$U$1005,1,MATCH(COLUMNS($Q$1006:R1006),$Q$1006:$U$1006,0))&gt;=100000), " ",IF(INDEX($Q$2:$U$1001,MATCH(ROWS($J$2:J422),$J$2:$J$1001,0),MATCH(COLUMNS($Q$1006:R1006),$Q$1006:$U$1006,0)), HYPERLINK("#",""), HYPERLINK(CONCATENATE("#metadata!", ADDRESS(INDEX($L$2:$L$1001,MATCH(ROWS($J$2:J422),$J$2:$J$1001,0),0), INDEX($Q$1004:$U$1004,1,MATCH(COLUMNS($Q$1006:R1006),$Q$1006:$U$1006,0)))),"Fix")))</f>
        <v xml:space="preserve"> </v>
      </c>
      <c r="D422" s="3" t="str">
        <f ca="1">IF(OR(INDEX($K$2:$K$1001,MATCH(ROWS($J$2:J422),$J$2:$J$1001,0),1)&gt;=100000,INDEX($Q$1005:$U$1005,1,MATCH(COLUMNS($Q$1006:S1006),$Q$1006:$U$1006,0))&gt;=100000), " ",IF(INDEX($Q$2:$U$1001,MATCH(ROWS($J$2:J422),$J$2:$J$1001,0),MATCH(COLUMNS($Q$1006:S1006),$Q$1006:$U$1006,0)), HYPERLINK("#",""), HYPERLINK(CONCATENATE("#metadata!", ADDRESS(INDEX($L$2:$L$1001,MATCH(ROWS($J$2:J422),$J$2:$J$1001,0),0), INDEX($Q$1004:$U$1004,1,MATCH(COLUMNS($Q$1006:S1006),$Q$1006:$U$1006,0)))),"Fix")))</f>
        <v xml:space="preserve"> </v>
      </c>
      <c r="E422" s="3" t="str">
        <f ca="1">IF(OR(INDEX($K$2:$K$1001,MATCH(ROWS($J$2:J422),$J$2:$J$1001,0),1)&gt;=100000,INDEX($Q$1005:$U$1005,1,MATCH(COLUMNS($Q$1006:T1006),$Q$1006:$U$1006,0))&gt;=100000), " ",IF(INDEX($Q$2:$U$1001,MATCH(ROWS($J$2:J422),$J$2:$J$1001,0),MATCH(COLUMNS($Q$1006:T1006),$Q$1006:$U$1006,0)), HYPERLINK("#",""), HYPERLINK(CONCATENATE("#metadata!", ADDRESS(INDEX($L$2:$L$1001,MATCH(ROWS($J$2:J422),$J$2:$J$1001,0),0), INDEX($Q$1004:$U$1004,1,MATCH(COLUMNS($Q$1006:T1006),$Q$1006:$U$1006,0)))),"Fix")))</f>
        <v xml:space="preserve"> </v>
      </c>
      <c r="F422" s="3" t="str">
        <f ca="1">IF(OR(INDEX($K$2:$K$1001,MATCH(ROWS($J$2:J422),$J$2:$J$1001,0),1)&gt;=100000,INDEX($Q$1005:$U$1005,1,MATCH(COLUMNS($Q$1006:U1006),$Q$1006:$U$1006,0))&gt;=100000), " ",IF(INDEX($Q$2:$U$1001,MATCH(ROWS($J$2:J422),$J$2:$J$1001,0),MATCH(COLUMNS($Q$1006:U1006),$Q$1006:$U$1006,0)), HYPERLINK("#",""), HYPERLINK(CONCATENATE("#metadata!", ADDRESS(INDEX($L$2:$L$1001,MATCH(ROWS($J$2:J422),$J$2:$J$1001,0),0), INDEX($Q$1004:$U$1004,1,MATCH(COLUMNS($Q$1006:U1006),$Q$1006:$U$1006,0)))),"Fix")))</f>
        <v xml:space="preserve"> </v>
      </c>
      <c r="J422">
        <v>421</v>
      </c>
      <c r="K422">
        <v>100422</v>
      </c>
      <c r="L422">
        <v>422</v>
      </c>
      <c r="M422" t="b">
        <f t="shared" si="6"/>
        <v>1</v>
      </c>
      <c r="N422" t="b">
        <f>COUNTBLANK(metadata!B422:F422)=COLUMNS(metadata!B422:F422)</f>
        <v>1</v>
      </c>
      <c r="O422" t="str">
        <v/>
      </c>
      <c r="Q422" t="b">
        <f ca="1">AND(IF(metadata!B422="",FALSE,TRUE),COUNTIF(metadata!B:B, metadata!B422) = 1,NOT(ISERROR(SUMPRODUCT(SEARCH(MID(metadata!B422,ROW(INDIRECT("1:"&amp;LEN(metadata!B422))), 1),"0123456789abcdefghijklmnopqrstuvwxyzABCDEFGHIJKLMNOPQRSTUVWXYZ.")))))</f>
        <v>0</v>
      </c>
      <c r="R422" t="b">
        <f>AND(IF(metadata!C422="",FALSE,TRUE),OR(EXACT(metadata!C422,"saline"),EXACT(metadata!C422,"non-saline")))</f>
        <v>0</v>
      </c>
      <c r="S422" t="b">
        <f>AND(IF(metadata!D422="",FALSE,TRUE),OR(EXACT(metadata!D422,"surface (non-saline)"),EXACT(metadata!D422,"aerosol (non-saline)"),EXACT(metadata!D422,"sediment (non-saline)"),EXACT(metadata!D422,"surface (saline)"),EXACT(metadata!D422,"aerosol (saline)"),EXACT(metadata!D422,"sediment (saline)")))</f>
        <v>0</v>
      </c>
      <c r="T422" t="b">
        <f>AND(IF(metadata!E422="",FALSE,TRUE),EXACT(metadata!E422,"built environment"))</f>
        <v>0</v>
      </c>
      <c r="U422" t="b">
        <f>OR(AND(IF(metadata!F422="",FALSE,TRUE),EXACT(metadata!F422,"not applicable")),AND(IF(metadata!F422="",FALSE,TRUE),EXACT(metadata!F422,"anaerobic digester content")))</f>
        <v>0</v>
      </c>
    </row>
    <row r="423" spans="1:21" x14ac:dyDescent="0.2">
      <c r="A423" s="4" t="str">
        <f ca="1">IF(B423=" "," ",HYPERLINK(CONCATENATE("#metadata!",ADDRESS(INDEX($L$2:$L$1001,MATCH(ROWS($J$2:J423),$J$2:$J$1001,0),0),1)),INDEX($O$2:$O$1001,MATCH(ROWS($J$2:J423),$J$2:$J$1001,0),0)))</f>
        <v xml:space="preserve"> </v>
      </c>
      <c r="B423" s="3" t="str">
        <f ca="1">IF(OR(INDEX($K$2:$K$1001,MATCH(ROWS($J$2:J423),$J$2:$J$1001,0),1)&gt;=100000,INDEX($Q$1005:$U$1005,1,MATCH(COLUMNS($Q$1006:Q1006),$Q$1006:$U$1006,0))&gt;=100000), " ",IF(INDEX($Q$2:$U$1001,MATCH(ROWS($J$2:J423),$J$2:$J$1001,0),MATCH(COLUMNS($Q$1006:Q1006),$Q$1006:$U$1006,0)), HYPERLINK("#",""), HYPERLINK(CONCATENATE("#metadata!", ADDRESS(INDEX($L$2:$L$1001,MATCH(ROWS($J$2:J423),$J$2:$J$1001,0),0), INDEX($Q$1004:$U$1004,1,MATCH(COLUMNS($Q$1006:Q1006),$Q$1006:$U$1006,0)))),"Fix")))</f>
        <v xml:space="preserve"> </v>
      </c>
      <c r="C423" s="3" t="str">
        <f ca="1">IF(OR(INDEX($K$2:$K$1001,MATCH(ROWS($J$2:J423),$J$2:$J$1001,0),1)&gt;=100000,INDEX($Q$1005:$U$1005,1,MATCH(COLUMNS($Q$1006:R1006),$Q$1006:$U$1006,0))&gt;=100000), " ",IF(INDEX($Q$2:$U$1001,MATCH(ROWS($J$2:J423),$J$2:$J$1001,0),MATCH(COLUMNS($Q$1006:R1006),$Q$1006:$U$1006,0)), HYPERLINK("#",""), HYPERLINK(CONCATENATE("#metadata!", ADDRESS(INDEX($L$2:$L$1001,MATCH(ROWS($J$2:J423),$J$2:$J$1001,0),0), INDEX($Q$1004:$U$1004,1,MATCH(COLUMNS($Q$1006:R1006),$Q$1006:$U$1006,0)))),"Fix")))</f>
        <v xml:space="preserve"> </v>
      </c>
      <c r="D423" s="3" t="str">
        <f ca="1">IF(OR(INDEX($K$2:$K$1001,MATCH(ROWS($J$2:J423),$J$2:$J$1001,0),1)&gt;=100000,INDEX($Q$1005:$U$1005,1,MATCH(COLUMNS($Q$1006:S1006),$Q$1006:$U$1006,0))&gt;=100000), " ",IF(INDEX($Q$2:$U$1001,MATCH(ROWS($J$2:J423),$J$2:$J$1001,0),MATCH(COLUMNS($Q$1006:S1006),$Q$1006:$U$1006,0)), HYPERLINK("#",""), HYPERLINK(CONCATENATE("#metadata!", ADDRESS(INDEX($L$2:$L$1001,MATCH(ROWS($J$2:J423),$J$2:$J$1001,0),0), INDEX($Q$1004:$U$1004,1,MATCH(COLUMNS($Q$1006:S1006),$Q$1006:$U$1006,0)))),"Fix")))</f>
        <v xml:space="preserve"> </v>
      </c>
      <c r="E423" s="3" t="str">
        <f ca="1">IF(OR(INDEX($K$2:$K$1001,MATCH(ROWS($J$2:J423),$J$2:$J$1001,0),1)&gt;=100000,INDEX($Q$1005:$U$1005,1,MATCH(COLUMNS($Q$1006:T1006),$Q$1006:$U$1006,0))&gt;=100000), " ",IF(INDEX($Q$2:$U$1001,MATCH(ROWS($J$2:J423),$J$2:$J$1001,0),MATCH(COLUMNS($Q$1006:T1006),$Q$1006:$U$1006,0)), HYPERLINK("#",""), HYPERLINK(CONCATENATE("#metadata!", ADDRESS(INDEX($L$2:$L$1001,MATCH(ROWS($J$2:J423),$J$2:$J$1001,0),0), INDEX($Q$1004:$U$1004,1,MATCH(COLUMNS($Q$1006:T1006),$Q$1006:$U$1006,0)))),"Fix")))</f>
        <v xml:space="preserve"> </v>
      </c>
      <c r="F423" s="3" t="str">
        <f ca="1">IF(OR(INDEX($K$2:$K$1001,MATCH(ROWS($J$2:J423),$J$2:$J$1001,0),1)&gt;=100000,INDEX($Q$1005:$U$1005,1,MATCH(COLUMNS($Q$1006:U1006),$Q$1006:$U$1006,0))&gt;=100000), " ",IF(INDEX($Q$2:$U$1001,MATCH(ROWS($J$2:J423),$J$2:$J$1001,0),MATCH(COLUMNS($Q$1006:U1006),$Q$1006:$U$1006,0)), HYPERLINK("#",""), HYPERLINK(CONCATENATE("#metadata!", ADDRESS(INDEX($L$2:$L$1001,MATCH(ROWS($J$2:J423),$J$2:$J$1001,0),0), INDEX($Q$1004:$U$1004,1,MATCH(COLUMNS($Q$1006:U1006),$Q$1006:$U$1006,0)))),"Fix")))</f>
        <v xml:space="preserve"> </v>
      </c>
      <c r="J423">
        <v>422</v>
      </c>
      <c r="K423">
        <v>100423</v>
      </c>
      <c r="L423">
        <v>423</v>
      </c>
      <c r="M423" t="b">
        <f t="shared" si="6"/>
        <v>1</v>
      </c>
      <c r="N423" t="b">
        <f>COUNTBLANK(metadata!B423:F423)=COLUMNS(metadata!B423:F423)</f>
        <v>1</v>
      </c>
      <c r="O423" t="str">
        <v/>
      </c>
      <c r="Q423" t="b">
        <f ca="1">AND(IF(metadata!B423="",FALSE,TRUE),COUNTIF(metadata!B:B, metadata!B423) = 1,NOT(ISERROR(SUMPRODUCT(SEARCH(MID(metadata!B423,ROW(INDIRECT("1:"&amp;LEN(metadata!B423))), 1),"0123456789abcdefghijklmnopqrstuvwxyzABCDEFGHIJKLMNOPQRSTUVWXYZ.")))))</f>
        <v>0</v>
      </c>
      <c r="R423" t="b">
        <f>AND(IF(metadata!C423="",FALSE,TRUE),OR(EXACT(metadata!C423,"saline"),EXACT(metadata!C423,"non-saline")))</f>
        <v>0</v>
      </c>
      <c r="S423" t="b">
        <f>AND(IF(metadata!D423="",FALSE,TRUE),OR(EXACT(metadata!D423,"surface (non-saline)"),EXACT(metadata!D423,"aerosol (non-saline)"),EXACT(metadata!D423,"sediment (non-saline)"),EXACT(metadata!D423,"surface (saline)"),EXACT(metadata!D423,"aerosol (saline)"),EXACT(metadata!D423,"sediment (saline)")))</f>
        <v>0</v>
      </c>
      <c r="T423" t="b">
        <f>AND(IF(metadata!E423="",FALSE,TRUE),EXACT(metadata!E423,"built environment"))</f>
        <v>0</v>
      </c>
      <c r="U423" t="b">
        <f>OR(AND(IF(metadata!F423="",FALSE,TRUE),EXACT(metadata!F423,"not applicable")),AND(IF(metadata!F423="",FALSE,TRUE),EXACT(metadata!F423,"anaerobic digester content")))</f>
        <v>0</v>
      </c>
    </row>
    <row r="424" spans="1:21" x14ac:dyDescent="0.2">
      <c r="A424" s="4" t="str">
        <f ca="1">IF(B424=" "," ",HYPERLINK(CONCATENATE("#metadata!",ADDRESS(INDEX($L$2:$L$1001,MATCH(ROWS($J$2:J424),$J$2:$J$1001,0),0),1)),INDEX($O$2:$O$1001,MATCH(ROWS($J$2:J424),$J$2:$J$1001,0),0)))</f>
        <v xml:space="preserve"> </v>
      </c>
      <c r="B424" s="3" t="str">
        <f ca="1">IF(OR(INDEX($K$2:$K$1001,MATCH(ROWS($J$2:J424),$J$2:$J$1001,0),1)&gt;=100000,INDEX($Q$1005:$U$1005,1,MATCH(COLUMNS($Q$1006:Q1006),$Q$1006:$U$1006,0))&gt;=100000), " ",IF(INDEX($Q$2:$U$1001,MATCH(ROWS($J$2:J424),$J$2:$J$1001,0),MATCH(COLUMNS($Q$1006:Q1006),$Q$1006:$U$1006,0)), HYPERLINK("#",""), HYPERLINK(CONCATENATE("#metadata!", ADDRESS(INDEX($L$2:$L$1001,MATCH(ROWS($J$2:J424),$J$2:$J$1001,0),0), INDEX($Q$1004:$U$1004,1,MATCH(COLUMNS($Q$1006:Q1006),$Q$1006:$U$1006,0)))),"Fix")))</f>
        <v xml:space="preserve"> </v>
      </c>
      <c r="C424" s="3" t="str">
        <f ca="1">IF(OR(INDEX($K$2:$K$1001,MATCH(ROWS($J$2:J424),$J$2:$J$1001,0),1)&gt;=100000,INDEX($Q$1005:$U$1005,1,MATCH(COLUMNS($Q$1006:R1006),$Q$1006:$U$1006,0))&gt;=100000), " ",IF(INDEX($Q$2:$U$1001,MATCH(ROWS($J$2:J424),$J$2:$J$1001,0),MATCH(COLUMNS($Q$1006:R1006),$Q$1006:$U$1006,0)), HYPERLINK("#",""), HYPERLINK(CONCATENATE("#metadata!", ADDRESS(INDEX($L$2:$L$1001,MATCH(ROWS($J$2:J424),$J$2:$J$1001,0),0), INDEX($Q$1004:$U$1004,1,MATCH(COLUMNS($Q$1006:R1006),$Q$1006:$U$1006,0)))),"Fix")))</f>
        <v xml:space="preserve"> </v>
      </c>
      <c r="D424" s="3" t="str">
        <f ca="1">IF(OR(INDEX($K$2:$K$1001,MATCH(ROWS($J$2:J424),$J$2:$J$1001,0),1)&gt;=100000,INDEX($Q$1005:$U$1005,1,MATCH(COLUMNS($Q$1006:S1006),$Q$1006:$U$1006,0))&gt;=100000), " ",IF(INDEX($Q$2:$U$1001,MATCH(ROWS($J$2:J424),$J$2:$J$1001,0),MATCH(COLUMNS($Q$1006:S1006),$Q$1006:$U$1006,0)), HYPERLINK("#",""), HYPERLINK(CONCATENATE("#metadata!", ADDRESS(INDEX($L$2:$L$1001,MATCH(ROWS($J$2:J424),$J$2:$J$1001,0),0), INDEX($Q$1004:$U$1004,1,MATCH(COLUMNS($Q$1006:S1006),$Q$1006:$U$1006,0)))),"Fix")))</f>
        <v xml:space="preserve"> </v>
      </c>
      <c r="E424" s="3" t="str">
        <f ca="1">IF(OR(INDEX($K$2:$K$1001,MATCH(ROWS($J$2:J424),$J$2:$J$1001,0),1)&gt;=100000,INDEX($Q$1005:$U$1005,1,MATCH(COLUMNS($Q$1006:T1006),$Q$1006:$U$1006,0))&gt;=100000), " ",IF(INDEX($Q$2:$U$1001,MATCH(ROWS($J$2:J424),$J$2:$J$1001,0),MATCH(COLUMNS($Q$1006:T1006),$Q$1006:$U$1006,0)), HYPERLINK("#",""), HYPERLINK(CONCATENATE("#metadata!", ADDRESS(INDEX($L$2:$L$1001,MATCH(ROWS($J$2:J424),$J$2:$J$1001,0),0), INDEX($Q$1004:$U$1004,1,MATCH(COLUMNS($Q$1006:T1006),$Q$1006:$U$1006,0)))),"Fix")))</f>
        <v xml:space="preserve"> </v>
      </c>
      <c r="F424" s="3" t="str">
        <f ca="1">IF(OR(INDEX($K$2:$K$1001,MATCH(ROWS($J$2:J424),$J$2:$J$1001,0),1)&gt;=100000,INDEX($Q$1005:$U$1005,1,MATCH(COLUMNS($Q$1006:U1006),$Q$1006:$U$1006,0))&gt;=100000), " ",IF(INDEX($Q$2:$U$1001,MATCH(ROWS($J$2:J424),$J$2:$J$1001,0),MATCH(COLUMNS($Q$1006:U1006),$Q$1006:$U$1006,0)), HYPERLINK("#",""), HYPERLINK(CONCATENATE("#metadata!", ADDRESS(INDEX($L$2:$L$1001,MATCH(ROWS($J$2:J424),$J$2:$J$1001,0),0), INDEX($Q$1004:$U$1004,1,MATCH(COLUMNS($Q$1006:U1006),$Q$1006:$U$1006,0)))),"Fix")))</f>
        <v xml:space="preserve"> </v>
      </c>
      <c r="J424">
        <v>423</v>
      </c>
      <c r="K424">
        <v>100424</v>
      </c>
      <c r="L424">
        <v>424</v>
      </c>
      <c r="M424" t="b">
        <f t="shared" si="6"/>
        <v>1</v>
      </c>
      <c r="N424" t="b">
        <f>COUNTBLANK(metadata!B424:F424)=COLUMNS(metadata!B424:F424)</f>
        <v>1</v>
      </c>
      <c r="O424" t="str">
        <v/>
      </c>
      <c r="Q424" t="b">
        <f ca="1">AND(IF(metadata!B424="",FALSE,TRUE),COUNTIF(metadata!B:B, metadata!B424) = 1,NOT(ISERROR(SUMPRODUCT(SEARCH(MID(metadata!B424,ROW(INDIRECT("1:"&amp;LEN(metadata!B424))), 1),"0123456789abcdefghijklmnopqrstuvwxyzABCDEFGHIJKLMNOPQRSTUVWXYZ.")))))</f>
        <v>0</v>
      </c>
      <c r="R424" t="b">
        <f>AND(IF(metadata!C424="",FALSE,TRUE),OR(EXACT(metadata!C424,"saline"),EXACT(metadata!C424,"non-saline")))</f>
        <v>0</v>
      </c>
      <c r="S424" t="b">
        <f>AND(IF(metadata!D424="",FALSE,TRUE),OR(EXACT(metadata!D424,"surface (non-saline)"),EXACT(metadata!D424,"aerosol (non-saline)"),EXACT(metadata!D424,"sediment (non-saline)"),EXACT(metadata!D424,"surface (saline)"),EXACT(metadata!D424,"aerosol (saline)"),EXACT(metadata!D424,"sediment (saline)")))</f>
        <v>0</v>
      </c>
      <c r="T424" t="b">
        <f>AND(IF(metadata!E424="",FALSE,TRUE),EXACT(metadata!E424,"built environment"))</f>
        <v>0</v>
      </c>
      <c r="U424" t="b">
        <f>OR(AND(IF(metadata!F424="",FALSE,TRUE),EXACT(metadata!F424,"not applicable")),AND(IF(metadata!F424="",FALSE,TRUE),EXACT(metadata!F424,"anaerobic digester content")))</f>
        <v>0</v>
      </c>
    </row>
    <row r="425" spans="1:21" x14ac:dyDescent="0.2">
      <c r="A425" s="4" t="str">
        <f ca="1">IF(B425=" "," ",HYPERLINK(CONCATENATE("#metadata!",ADDRESS(INDEX($L$2:$L$1001,MATCH(ROWS($J$2:J425),$J$2:$J$1001,0),0),1)),INDEX($O$2:$O$1001,MATCH(ROWS($J$2:J425),$J$2:$J$1001,0),0)))</f>
        <v xml:space="preserve"> </v>
      </c>
      <c r="B425" s="3" t="str">
        <f ca="1">IF(OR(INDEX($K$2:$K$1001,MATCH(ROWS($J$2:J425),$J$2:$J$1001,0),1)&gt;=100000,INDEX($Q$1005:$U$1005,1,MATCH(COLUMNS($Q$1006:Q1006),$Q$1006:$U$1006,0))&gt;=100000), " ",IF(INDEX($Q$2:$U$1001,MATCH(ROWS($J$2:J425),$J$2:$J$1001,0),MATCH(COLUMNS($Q$1006:Q1006),$Q$1006:$U$1006,0)), HYPERLINK("#",""), HYPERLINK(CONCATENATE("#metadata!", ADDRESS(INDEX($L$2:$L$1001,MATCH(ROWS($J$2:J425),$J$2:$J$1001,0),0), INDEX($Q$1004:$U$1004,1,MATCH(COLUMNS($Q$1006:Q1006),$Q$1006:$U$1006,0)))),"Fix")))</f>
        <v xml:space="preserve"> </v>
      </c>
      <c r="C425" s="3" t="str">
        <f ca="1">IF(OR(INDEX($K$2:$K$1001,MATCH(ROWS($J$2:J425),$J$2:$J$1001,0),1)&gt;=100000,INDEX($Q$1005:$U$1005,1,MATCH(COLUMNS($Q$1006:R1006),$Q$1006:$U$1006,0))&gt;=100000), " ",IF(INDEX($Q$2:$U$1001,MATCH(ROWS($J$2:J425),$J$2:$J$1001,0),MATCH(COLUMNS($Q$1006:R1006),$Q$1006:$U$1006,0)), HYPERLINK("#",""), HYPERLINK(CONCATENATE("#metadata!", ADDRESS(INDEX($L$2:$L$1001,MATCH(ROWS($J$2:J425),$J$2:$J$1001,0),0), INDEX($Q$1004:$U$1004,1,MATCH(COLUMNS($Q$1006:R1006),$Q$1006:$U$1006,0)))),"Fix")))</f>
        <v xml:space="preserve"> </v>
      </c>
      <c r="D425" s="3" t="str">
        <f ca="1">IF(OR(INDEX($K$2:$K$1001,MATCH(ROWS($J$2:J425),$J$2:$J$1001,0),1)&gt;=100000,INDEX($Q$1005:$U$1005,1,MATCH(COLUMNS($Q$1006:S1006),$Q$1006:$U$1006,0))&gt;=100000), " ",IF(INDEX($Q$2:$U$1001,MATCH(ROWS($J$2:J425),$J$2:$J$1001,0),MATCH(COLUMNS($Q$1006:S1006),$Q$1006:$U$1006,0)), HYPERLINK("#",""), HYPERLINK(CONCATENATE("#metadata!", ADDRESS(INDEX($L$2:$L$1001,MATCH(ROWS($J$2:J425),$J$2:$J$1001,0),0), INDEX($Q$1004:$U$1004,1,MATCH(COLUMNS($Q$1006:S1006),$Q$1006:$U$1006,0)))),"Fix")))</f>
        <v xml:space="preserve"> </v>
      </c>
      <c r="E425" s="3" t="str">
        <f ca="1">IF(OR(INDEX($K$2:$K$1001,MATCH(ROWS($J$2:J425),$J$2:$J$1001,0),1)&gt;=100000,INDEX($Q$1005:$U$1005,1,MATCH(COLUMNS($Q$1006:T1006),$Q$1006:$U$1006,0))&gt;=100000), " ",IF(INDEX($Q$2:$U$1001,MATCH(ROWS($J$2:J425),$J$2:$J$1001,0),MATCH(COLUMNS($Q$1006:T1006),$Q$1006:$U$1006,0)), HYPERLINK("#",""), HYPERLINK(CONCATENATE("#metadata!", ADDRESS(INDEX($L$2:$L$1001,MATCH(ROWS($J$2:J425),$J$2:$J$1001,0),0), INDEX($Q$1004:$U$1004,1,MATCH(COLUMNS($Q$1006:T1006),$Q$1006:$U$1006,0)))),"Fix")))</f>
        <v xml:space="preserve"> </v>
      </c>
      <c r="F425" s="3" t="str">
        <f ca="1">IF(OR(INDEX($K$2:$K$1001,MATCH(ROWS($J$2:J425),$J$2:$J$1001,0),1)&gt;=100000,INDEX($Q$1005:$U$1005,1,MATCH(COLUMNS($Q$1006:U1006),$Q$1006:$U$1006,0))&gt;=100000), " ",IF(INDEX($Q$2:$U$1001,MATCH(ROWS($J$2:J425),$J$2:$J$1001,0),MATCH(COLUMNS($Q$1006:U1006),$Q$1006:$U$1006,0)), HYPERLINK("#",""), HYPERLINK(CONCATENATE("#metadata!", ADDRESS(INDEX($L$2:$L$1001,MATCH(ROWS($J$2:J425),$J$2:$J$1001,0),0), INDEX($Q$1004:$U$1004,1,MATCH(COLUMNS($Q$1006:U1006),$Q$1006:$U$1006,0)))),"Fix")))</f>
        <v xml:space="preserve"> </v>
      </c>
      <c r="J425">
        <v>424</v>
      </c>
      <c r="K425">
        <v>100425</v>
      </c>
      <c r="L425">
        <v>425</v>
      </c>
      <c r="M425" t="b">
        <f t="shared" si="6"/>
        <v>1</v>
      </c>
      <c r="N425" t="b">
        <f>COUNTBLANK(metadata!B425:F425)=COLUMNS(metadata!B425:F425)</f>
        <v>1</v>
      </c>
      <c r="O425" t="str">
        <v/>
      </c>
      <c r="Q425" t="b">
        <f ca="1">AND(IF(metadata!B425="",FALSE,TRUE),COUNTIF(metadata!B:B, metadata!B425) = 1,NOT(ISERROR(SUMPRODUCT(SEARCH(MID(metadata!B425,ROW(INDIRECT("1:"&amp;LEN(metadata!B425))), 1),"0123456789abcdefghijklmnopqrstuvwxyzABCDEFGHIJKLMNOPQRSTUVWXYZ.")))))</f>
        <v>0</v>
      </c>
      <c r="R425" t="b">
        <f>AND(IF(metadata!C425="",FALSE,TRUE),OR(EXACT(metadata!C425,"saline"),EXACT(metadata!C425,"non-saline")))</f>
        <v>0</v>
      </c>
      <c r="S425" t="b">
        <f>AND(IF(metadata!D425="",FALSE,TRUE),OR(EXACT(metadata!D425,"surface (non-saline)"),EXACT(metadata!D425,"aerosol (non-saline)"),EXACT(metadata!D425,"sediment (non-saline)"),EXACT(metadata!D425,"surface (saline)"),EXACT(metadata!D425,"aerosol (saline)"),EXACT(metadata!D425,"sediment (saline)")))</f>
        <v>0</v>
      </c>
      <c r="T425" t="b">
        <f>AND(IF(metadata!E425="",FALSE,TRUE),EXACT(metadata!E425,"built environment"))</f>
        <v>0</v>
      </c>
      <c r="U425" t="b">
        <f>OR(AND(IF(metadata!F425="",FALSE,TRUE),EXACT(metadata!F425,"not applicable")),AND(IF(metadata!F425="",FALSE,TRUE),EXACT(metadata!F425,"anaerobic digester content")))</f>
        <v>0</v>
      </c>
    </row>
    <row r="426" spans="1:21" x14ac:dyDescent="0.2">
      <c r="A426" s="4" t="str">
        <f ca="1">IF(B426=" "," ",HYPERLINK(CONCATENATE("#metadata!",ADDRESS(INDEX($L$2:$L$1001,MATCH(ROWS($J$2:J426),$J$2:$J$1001,0),0),1)),INDEX($O$2:$O$1001,MATCH(ROWS($J$2:J426),$J$2:$J$1001,0),0)))</f>
        <v xml:space="preserve"> </v>
      </c>
      <c r="B426" s="3" t="str">
        <f ca="1">IF(OR(INDEX($K$2:$K$1001,MATCH(ROWS($J$2:J426),$J$2:$J$1001,0),1)&gt;=100000,INDEX($Q$1005:$U$1005,1,MATCH(COLUMNS($Q$1006:Q1006),$Q$1006:$U$1006,0))&gt;=100000), " ",IF(INDEX($Q$2:$U$1001,MATCH(ROWS($J$2:J426),$J$2:$J$1001,0),MATCH(COLUMNS($Q$1006:Q1006),$Q$1006:$U$1006,0)), HYPERLINK("#",""), HYPERLINK(CONCATENATE("#metadata!", ADDRESS(INDEX($L$2:$L$1001,MATCH(ROWS($J$2:J426),$J$2:$J$1001,0),0), INDEX($Q$1004:$U$1004,1,MATCH(COLUMNS($Q$1006:Q1006),$Q$1006:$U$1006,0)))),"Fix")))</f>
        <v xml:space="preserve"> </v>
      </c>
      <c r="C426" s="3" t="str">
        <f ca="1">IF(OR(INDEX($K$2:$K$1001,MATCH(ROWS($J$2:J426),$J$2:$J$1001,0),1)&gt;=100000,INDEX($Q$1005:$U$1005,1,MATCH(COLUMNS($Q$1006:R1006),$Q$1006:$U$1006,0))&gt;=100000), " ",IF(INDEX($Q$2:$U$1001,MATCH(ROWS($J$2:J426),$J$2:$J$1001,0),MATCH(COLUMNS($Q$1006:R1006),$Q$1006:$U$1006,0)), HYPERLINK("#",""), HYPERLINK(CONCATENATE("#metadata!", ADDRESS(INDEX($L$2:$L$1001,MATCH(ROWS($J$2:J426),$J$2:$J$1001,0),0), INDEX($Q$1004:$U$1004,1,MATCH(COLUMNS($Q$1006:R1006),$Q$1006:$U$1006,0)))),"Fix")))</f>
        <v xml:space="preserve"> </v>
      </c>
      <c r="D426" s="3" t="str">
        <f ca="1">IF(OR(INDEX($K$2:$K$1001,MATCH(ROWS($J$2:J426),$J$2:$J$1001,0),1)&gt;=100000,INDEX($Q$1005:$U$1005,1,MATCH(COLUMNS($Q$1006:S1006),$Q$1006:$U$1006,0))&gt;=100000), " ",IF(INDEX($Q$2:$U$1001,MATCH(ROWS($J$2:J426),$J$2:$J$1001,0),MATCH(COLUMNS($Q$1006:S1006),$Q$1006:$U$1006,0)), HYPERLINK("#",""), HYPERLINK(CONCATENATE("#metadata!", ADDRESS(INDEX($L$2:$L$1001,MATCH(ROWS($J$2:J426),$J$2:$J$1001,0),0), INDEX($Q$1004:$U$1004,1,MATCH(COLUMNS($Q$1006:S1006),$Q$1006:$U$1006,0)))),"Fix")))</f>
        <v xml:space="preserve"> </v>
      </c>
      <c r="E426" s="3" t="str">
        <f ca="1">IF(OR(INDEX($K$2:$K$1001,MATCH(ROWS($J$2:J426),$J$2:$J$1001,0),1)&gt;=100000,INDEX($Q$1005:$U$1005,1,MATCH(COLUMNS($Q$1006:T1006),$Q$1006:$U$1006,0))&gt;=100000), " ",IF(INDEX($Q$2:$U$1001,MATCH(ROWS($J$2:J426),$J$2:$J$1001,0),MATCH(COLUMNS($Q$1006:T1006),$Q$1006:$U$1006,0)), HYPERLINK("#",""), HYPERLINK(CONCATENATE("#metadata!", ADDRESS(INDEX($L$2:$L$1001,MATCH(ROWS($J$2:J426),$J$2:$J$1001,0),0), INDEX($Q$1004:$U$1004,1,MATCH(COLUMNS($Q$1006:T1006),$Q$1006:$U$1006,0)))),"Fix")))</f>
        <v xml:space="preserve"> </v>
      </c>
      <c r="F426" s="3" t="str">
        <f ca="1">IF(OR(INDEX($K$2:$K$1001,MATCH(ROWS($J$2:J426),$J$2:$J$1001,0),1)&gt;=100000,INDEX($Q$1005:$U$1005,1,MATCH(COLUMNS($Q$1006:U1006),$Q$1006:$U$1006,0))&gt;=100000), " ",IF(INDEX($Q$2:$U$1001,MATCH(ROWS($J$2:J426),$J$2:$J$1001,0),MATCH(COLUMNS($Q$1006:U1006),$Q$1006:$U$1006,0)), HYPERLINK("#",""), HYPERLINK(CONCATENATE("#metadata!", ADDRESS(INDEX($L$2:$L$1001,MATCH(ROWS($J$2:J426),$J$2:$J$1001,0),0), INDEX($Q$1004:$U$1004,1,MATCH(COLUMNS($Q$1006:U1006),$Q$1006:$U$1006,0)))),"Fix")))</f>
        <v xml:space="preserve"> </v>
      </c>
      <c r="J426">
        <v>425</v>
      </c>
      <c r="K426">
        <v>100426</v>
      </c>
      <c r="L426">
        <v>426</v>
      </c>
      <c r="M426" t="b">
        <f t="shared" si="6"/>
        <v>1</v>
      </c>
      <c r="N426" t="b">
        <f>COUNTBLANK(metadata!B426:F426)=COLUMNS(metadata!B426:F426)</f>
        <v>1</v>
      </c>
      <c r="O426" t="str">
        <v/>
      </c>
      <c r="Q426" t="b">
        <f ca="1">AND(IF(metadata!B426="",FALSE,TRUE),COUNTIF(metadata!B:B, metadata!B426) = 1,NOT(ISERROR(SUMPRODUCT(SEARCH(MID(metadata!B426,ROW(INDIRECT("1:"&amp;LEN(metadata!B426))), 1),"0123456789abcdefghijklmnopqrstuvwxyzABCDEFGHIJKLMNOPQRSTUVWXYZ.")))))</f>
        <v>0</v>
      </c>
      <c r="R426" t="b">
        <f>AND(IF(metadata!C426="",FALSE,TRUE),OR(EXACT(metadata!C426,"saline"),EXACT(metadata!C426,"non-saline")))</f>
        <v>0</v>
      </c>
      <c r="S426" t="b">
        <f>AND(IF(metadata!D426="",FALSE,TRUE),OR(EXACT(metadata!D426,"surface (non-saline)"),EXACT(metadata!D426,"aerosol (non-saline)"),EXACT(metadata!D426,"sediment (non-saline)"),EXACT(metadata!D426,"surface (saline)"),EXACT(metadata!D426,"aerosol (saline)"),EXACT(metadata!D426,"sediment (saline)")))</f>
        <v>0</v>
      </c>
      <c r="T426" t="b">
        <f>AND(IF(metadata!E426="",FALSE,TRUE),EXACT(metadata!E426,"built environment"))</f>
        <v>0</v>
      </c>
      <c r="U426" t="b">
        <f>OR(AND(IF(metadata!F426="",FALSE,TRUE),EXACT(metadata!F426,"not applicable")),AND(IF(metadata!F426="",FALSE,TRUE),EXACT(metadata!F426,"anaerobic digester content")))</f>
        <v>0</v>
      </c>
    </row>
    <row r="427" spans="1:21" x14ac:dyDescent="0.2">
      <c r="A427" s="4" t="str">
        <f ca="1">IF(B427=" "," ",HYPERLINK(CONCATENATE("#metadata!",ADDRESS(INDEX($L$2:$L$1001,MATCH(ROWS($J$2:J427),$J$2:$J$1001,0),0),1)),INDEX($O$2:$O$1001,MATCH(ROWS($J$2:J427),$J$2:$J$1001,0),0)))</f>
        <v xml:space="preserve"> </v>
      </c>
      <c r="B427" s="3" t="str">
        <f ca="1">IF(OR(INDEX($K$2:$K$1001,MATCH(ROWS($J$2:J427),$J$2:$J$1001,0),1)&gt;=100000,INDEX($Q$1005:$U$1005,1,MATCH(COLUMNS($Q$1006:Q1006),$Q$1006:$U$1006,0))&gt;=100000), " ",IF(INDEX($Q$2:$U$1001,MATCH(ROWS($J$2:J427),$J$2:$J$1001,0),MATCH(COLUMNS($Q$1006:Q1006),$Q$1006:$U$1006,0)), HYPERLINK("#",""), HYPERLINK(CONCATENATE("#metadata!", ADDRESS(INDEX($L$2:$L$1001,MATCH(ROWS($J$2:J427),$J$2:$J$1001,0),0), INDEX($Q$1004:$U$1004,1,MATCH(COLUMNS($Q$1006:Q1006),$Q$1006:$U$1006,0)))),"Fix")))</f>
        <v xml:space="preserve"> </v>
      </c>
      <c r="C427" s="3" t="str">
        <f ca="1">IF(OR(INDEX($K$2:$K$1001,MATCH(ROWS($J$2:J427),$J$2:$J$1001,0),1)&gt;=100000,INDEX($Q$1005:$U$1005,1,MATCH(COLUMNS($Q$1006:R1006),$Q$1006:$U$1006,0))&gt;=100000), " ",IF(INDEX($Q$2:$U$1001,MATCH(ROWS($J$2:J427),$J$2:$J$1001,0),MATCH(COLUMNS($Q$1006:R1006),$Q$1006:$U$1006,0)), HYPERLINK("#",""), HYPERLINK(CONCATENATE("#metadata!", ADDRESS(INDEX($L$2:$L$1001,MATCH(ROWS($J$2:J427),$J$2:$J$1001,0),0), INDEX($Q$1004:$U$1004,1,MATCH(COLUMNS($Q$1006:R1006),$Q$1006:$U$1006,0)))),"Fix")))</f>
        <v xml:space="preserve"> </v>
      </c>
      <c r="D427" s="3" t="str">
        <f ca="1">IF(OR(INDEX($K$2:$K$1001,MATCH(ROWS($J$2:J427),$J$2:$J$1001,0),1)&gt;=100000,INDEX($Q$1005:$U$1005,1,MATCH(COLUMNS($Q$1006:S1006),$Q$1006:$U$1006,0))&gt;=100000), " ",IF(INDEX($Q$2:$U$1001,MATCH(ROWS($J$2:J427),$J$2:$J$1001,0),MATCH(COLUMNS($Q$1006:S1006),$Q$1006:$U$1006,0)), HYPERLINK("#",""), HYPERLINK(CONCATENATE("#metadata!", ADDRESS(INDEX($L$2:$L$1001,MATCH(ROWS($J$2:J427),$J$2:$J$1001,0),0), INDEX($Q$1004:$U$1004,1,MATCH(COLUMNS($Q$1006:S1006),$Q$1006:$U$1006,0)))),"Fix")))</f>
        <v xml:space="preserve"> </v>
      </c>
      <c r="E427" s="3" t="str">
        <f ca="1">IF(OR(INDEX($K$2:$K$1001,MATCH(ROWS($J$2:J427),$J$2:$J$1001,0),1)&gt;=100000,INDEX($Q$1005:$U$1005,1,MATCH(COLUMNS($Q$1006:T1006),$Q$1006:$U$1006,0))&gt;=100000), " ",IF(INDEX($Q$2:$U$1001,MATCH(ROWS($J$2:J427),$J$2:$J$1001,0),MATCH(COLUMNS($Q$1006:T1006),$Q$1006:$U$1006,0)), HYPERLINK("#",""), HYPERLINK(CONCATENATE("#metadata!", ADDRESS(INDEX($L$2:$L$1001,MATCH(ROWS($J$2:J427),$J$2:$J$1001,0),0), INDEX($Q$1004:$U$1004,1,MATCH(COLUMNS($Q$1006:T1006),$Q$1006:$U$1006,0)))),"Fix")))</f>
        <v xml:space="preserve"> </v>
      </c>
      <c r="F427" s="3" t="str">
        <f ca="1">IF(OR(INDEX($K$2:$K$1001,MATCH(ROWS($J$2:J427),$J$2:$J$1001,0),1)&gt;=100000,INDEX($Q$1005:$U$1005,1,MATCH(COLUMNS($Q$1006:U1006),$Q$1006:$U$1006,0))&gt;=100000), " ",IF(INDEX($Q$2:$U$1001,MATCH(ROWS($J$2:J427),$J$2:$J$1001,0),MATCH(COLUMNS($Q$1006:U1006),$Q$1006:$U$1006,0)), HYPERLINK("#",""), HYPERLINK(CONCATENATE("#metadata!", ADDRESS(INDEX($L$2:$L$1001,MATCH(ROWS($J$2:J427),$J$2:$J$1001,0),0), INDEX($Q$1004:$U$1004,1,MATCH(COLUMNS($Q$1006:U1006),$Q$1006:$U$1006,0)))),"Fix")))</f>
        <v xml:space="preserve"> </v>
      </c>
      <c r="J427">
        <v>426</v>
      </c>
      <c r="K427">
        <v>100427</v>
      </c>
      <c r="L427">
        <v>427</v>
      </c>
      <c r="M427" t="b">
        <f t="shared" si="6"/>
        <v>1</v>
      </c>
      <c r="N427" t="b">
        <f>COUNTBLANK(metadata!B427:F427)=COLUMNS(metadata!B427:F427)</f>
        <v>1</v>
      </c>
      <c r="O427" t="str">
        <v/>
      </c>
      <c r="Q427" t="b">
        <f ca="1">AND(IF(metadata!B427="",FALSE,TRUE),COUNTIF(metadata!B:B, metadata!B427) = 1,NOT(ISERROR(SUMPRODUCT(SEARCH(MID(metadata!B427,ROW(INDIRECT("1:"&amp;LEN(metadata!B427))), 1),"0123456789abcdefghijklmnopqrstuvwxyzABCDEFGHIJKLMNOPQRSTUVWXYZ.")))))</f>
        <v>0</v>
      </c>
      <c r="R427" t="b">
        <f>AND(IF(metadata!C427="",FALSE,TRUE),OR(EXACT(metadata!C427,"saline"),EXACT(metadata!C427,"non-saline")))</f>
        <v>0</v>
      </c>
      <c r="S427" t="b">
        <f>AND(IF(metadata!D427="",FALSE,TRUE),OR(EXACT(metadata!D427,"surface (non-saline)"),EXACT(metadata!D427,"aerosol (non-saline)"),EXACT(metadata!D427,"sediment (non-saline)"),EXACT(metadata!D427,"surface (saline)"),EXACT(metadata!D427,"aerosol (saline)"),EXACT(metadata!D427,"sediment (saline)")))</f>
        <v>0</v>
      </c>
      <c r="T427" t="b">
        <f>AND(IF(metadata!E427="",FALSE,TRUE),EXACT(metadata!E427,"built environment"))</f>
        <v>0</v>
      </c>
      <c r="U427" t="b">
        <f>OR(AND(IF(metadata!F427="",FALSE,TRUE),EXACT(metadata!F427,"not applicable")),AND(IF(metadata!F427="",FALSE,TRUE),EXACT(metadata!F427,"anaerobic digester content")))</f>
        <v>0</v>
      </c>
    </row>
    <row r="428" spans="1:21" x14ac:dyDescent="0.2">
      <c r="A428" s="4" t="str">
        <f ca="1">IF(B428=" "," ",HYPERLINK(CONCATENATE("#metadata!",ADDRESS(INDEX($L$2:$L$1001,MATCH(ROWS($J$2:J428),$J$2:$J$1001,0),0),1)),INDEX($O$2:$O$1001,MATCH(ROWS($J$2:J428),$J$2:$J$1001,0),0)))</f>
        <v xml:space="preserve"> </v>
      </c>
      <c r="B428" s="3" t="str">
        <f ca="1">IF(OR(INDEX($K$2:$K$1001,MATCH(ROWS($J$2:J428),$J$2:$J$1001,0),1)&gt;=100000,INDEX($Q$1005:$U$1005,1,MATCH(COLUMNS($Q$1006:Q1006),$Q$1006:$U$1006,0))&gt;=100000), " ",IF(INDEX($Q$2:$U$1001,MATCH(ROWS($J$2:J428),$J$2:$J$1001,0),MATCH(COLUMNS($Q$1006:Q1006),$Q$1006:$U$1006,0)), HYPERLINK("#",""), HYPERLINK(CONCATENATE("#metadata!", ADDRESS(INDEX($L$2:$L$1001,MATCH(ROWS($J$2:J428),$J$2:$J$1001,0),0), INDEX($Q$1004:$U$1004,1,MATCH(COLUMNS($Q$1006:Q1006),$Q$1006:$U$1006,0)))),"Fix")))</f>
        <v xml:space="preserve"> </v>
      </c>
      <c r="C428" s="3" t="str">
        <f ca="1">IF(OR(INDEX($K$2:$K$1001,MATCH(ROWS($J$2:J428),$J$2:$J$1001,0),1)&gt;=100000,INDEX($Q$1005:$U$1005,1,MATCH(COLUMNS($Q$1006:R1006),$Q$1006:$U$1006,0))&gt;=100000), " ",IF(INDEX($Q$2:$U$1001,MATCH(ROWS($J$2:J428),$J$2:$J$1001,0),MATCH(COLUMNS($Q$1006:R1006),$Q$1006:$U$1006,0)), HYPERLINK("#",""), HYPERLINK(CONCATENATE("#metadata!", ADDRESS(INDEX($L$2:$L$1001,MATCH(ROWS($J$2:J428),$J$2:$J$1001,0),0), INDEX($Q$1004:$U$1004,1,MATCH(COLUMNS($Q$1006:R1006),$Q$1006:$U$1006,0)))),"Fix")))</f>
        <v xml:space="preserve"> </v>
      </c>
      <c r="D428" s="3" t="str">
        <f ca="1">IF(OR(INDEX($K$2:$K$1001,MATCH(ROWS($J$2:J428),$J$2:$J$1001,0),1)&gt;=100000,INDEX($Q$1005:$U$1005,1,MATCH(COLUMNS($Q$1006:S1006),$Q$1006:$U$1006,0))&gt;=100000), " ",IF(INDEX($Q$2:$U$1001,MATCH(ROWS($J$2:J428),$J$2:$J$1001,0),MATCH(COLUMNS($Q$1006:S1006),$Q$1006:$U$1006,0)), HYPERLINK("#",""), HYPERLINK(CONCATENATE("#metadata!", ADDRESS(INDEX($L$2:$L$1001,MATCH(ROWS($J$2:J428),$J$2:$J$1001,0),0), INDEX($Q$1004:$U$1004,1,MATCH(COLUMNS($Q$1006:S1006),$Q$1006:$U$1006,0)))),"Fix")))</f>
        <v xml:space="preserve"> </v>
      </c>
      <c r="E428" s="3" t="str">
        <f ca="1">IF(OR(INDEX($K$2:$K$1001,MATCH(ROWS($J$2:J428),$J$2:$J$1001,0),1)&gt;=100000,INDEX($Q$1005:$U$1005,1,MATCH(COLUMNS($Q$1006:T1006),$Q$1006:$U$1006,0))&gt;=100000), " ",IF(INDEX($Q$2:$U$1001,MATCH(ROWS($J$2:J428),$J$2:$J$1001,0),MATCH(COLUMNS($Q$1006:T1006),$Q$1006:$U$1006,0)), HYPERLINK("#",""), HYPERLINK(CONCATENATE("#metadata!", ADDRESS(INDEX($L$2:$L$1001,MATCH(ROWS($J$2:J428),$J$2:$J$1001,0),0), INDEX($Q$1004:$U$1004,1,MATCH(COLUMNS($Q$1006:T1006),$Q$1006:$U$1006,0)))),"Fix")))</f>
        <v xml:space="preserve"> </v>
      </c>
      <c r="F428" s="3" t="str">
        <f ca="1">IF(OR(INDEX($K$2:$K$1001,MATCH(ROWS($J$2:J428),$J$2:$J$1001,0),1)&gt;=100000,INDEX($Q$1005:$U$1005,1,MATCH(COLUMNS($Q$1006:U1006),$Q$1006:$U$1006,0))&gt;=100000), " ",IF(INDEX($Q$2:$U$1001,MATCH(ROWS($J$2:J428),$J$2:$J$1001,0),MATCH(COLUMNS($Q$1006:U1006),$Q$1006:$U$1006,0)), HYPERLINK("#",""), HYPERLINK(CONCATENATE("#metadata!", ADDRESS(INDEX($L$2:$L$1001,MATCH(ROWS($J$2:J428),$J$2:$J$1001,0),0), INDEX($Q$1004:$U$1004,1,MATCH(COLUMNS($Q$1006:U1006),$Q$1006:$U$1006,0)))),"Fix")))</f>
        <v xml:space="preserve"> </v>
      </c>
      <c r="J428">
        <v>427</v>
      </c>
      <c r="K428">
        <v>100428</v>
      </c>
      <c r="L428">
        <v>428</v>
      </c>
      <c r="M428" t="b">
        <f t="shared" si="6"/>
        <v>1</v>
      </c>
      <c r="N428" t="b">
        <f>COUNTBLANK(metadata!B428:F428)=COLUMNS(metadata!B428:F428)</f>
        <v>1</v>
      </c>
      <c r="O428" t="str">
        <v/>
      </c>
      <c r="Q428" t="b">
        <f ca="1">AND(IF(metadata!B428="",FALSE,TRUE),COUNTIF(metadata!B:B, metadata!B428) = 1,NOT(ISERROR(SUMPRODUCT(SEARCH(MID(metadata!B428,ROW(INDIRECT("1:"&amp;LEN(metadata!B428))), 1),"0123456789abcdefghijklmnopqrstuvwxyzABCDEFGHIJKLMNOPQRSTUVWXYZ.")))))</f>
        <v>0</v>
      </c>
      <c r="R428" t="b">
        <f>AND(IF(metadata!C428="",FALSE,TRUE),OR(EXACT(metadata!C428,"saline"),EXACT(metadata!C428,"non-saline")))</f>
        <v>0</v>
      </c>
      <c r="S428" t="b">
        <f>AND(IF(metadata!D428="",FALSE,TRUE),OR(EXACT(metadata!D428,"surface (non-saline)"),EXACT(metadata!D428,"aerosol (non-saline)"),EXACT(metadata!D428,"sediment (non-saline)"),EXACT(metadata!D428,"surface (saline)"),EXACT(metadata!D428,"aerosol (saline)"),EXACT(metadata!D428,"sediment (saline)")))</f>
        <v>0</v>
      </c>
      <c r="T428" t="b">
        <f>AND(IF(metadata!E428="",FALSE,TRUE),EXACT(metadata!E428,"built environment"))</f>
        <v>0</v>
      </c>
      <c r="U428" t="b">
        <f>OR(AND(IF(metadata!F428="",FALSE,TRUE),EXACT(metadata!F428,"not applicable")),AND(IF(metadata!F428="",FALSE,TRUE),EXACT(metadata!F428,"anaerobic digester content")))</f>
        <v>0</v>
      </c>
    </row>
    <row r="429" spans="1:21" x14ac:dyDescent="0.2">
      <c r="A429" s="4" t="str">
        <f ca="1">IF(B429=" "," ",HYPERLINK(CONCATENATE("#metadata!",ADDRESS(INDEX($L$2:$L$1001,MATCH(ROWS($J$2:J429),$J$2:$J$1001,0),0),1)),INDEX($O$2:$O$1001,MATCH(ROWS($J$2:J429),$J$2:$J$1001,0),0)))</f>
        <v xml:space="preserve"> </v>
      </c>
      <c r="B429" s="3" t="str">
        <f ca="1">IF(OR(INDEX($K$2:$K$1001,MATCH(ROWS($J$2:J429),$J$2:$J$1001,0),1)&gt;=100000,INDEX($Q$1005:$U$1005,1,MATCH(COLUMNS($Q$1006:Q1006),$Q$1006:$U$1006,0))&gt;=100000), " ",IF(INDEX($Q$2:$U$1001,MATCH(ROWS($J$2:J429),$J$2:$J$1001,0),MATCH(COLUMNS($Q$1006:Q1006),$Q$1006:$U$1006,0)), HYPERLINK("#",""), HYPERLINK(CONCATENATE("#metadata!", ADDRESS(INDEX($L$2:$L$1001,MATCH(ROWS($J$2:J429),$J$2:$J$1001,0),0), INDEX($Q$1004:$U$1004,1,MATCH(COLUMNS($Q$1006:Q1006),$Q$1006:$U$1006,0)))),"Fix")))</f>
        <v xml:space="preserve"> </v>
      </c>
      <c r="C429" s="3" t="str">
        <f ca="1">IF(OR(INDEX($K$2:$K$1001,MATCH(ROWS($J$2:J429),$J$2:$J$1001,0),1)&gt;=100000,INDEX($Q$1005:$U$1005,1,MATCH(COLUMNS($Q$1006:R1006),$Q$1006:$U$1006,0))&gt;=100000), " ",IF(INDEX($Q$2:$U$1001,MATCH(ROWS($J$2:J429),$J$2:$J$1001,0),MATCH(COLUMNS($Q$1006:R1006),$Q$1006:$U$1006,0)), HYPERLINK("#",""), HYPERLINK(CONCATENATE("#metadata!", ADDRESS(INDEX($L$2:$L$1001,MATCH(ROWS($J$2:J429),$J$2:$J$1001,0),0), INDEX($Q$1004:$U$1004,1,MATCH(COLUMNS($Q$1006:R1006),$Q$1006:$U$1006,0)))),"Fix")))</f>
        <v xml:space="preserve"> </v>
      </c>
      <c r="D429" s="3" t="str">
        <f ca="1">IF(OR(INDEX($K$2:$K$1001,MATCH(ROWS($J$2:J429),$J$2:$J$1001,0),1)&gt;=100000,INDEX($Q$1005:$U$1005,1,MATCH(COLUMNS($Q$1006:S1006),$Q$1006:$U$1006,0))&gt;=100000), " ",IF(INDEX($Q$2:$U$1001,MATCH(ROWS($J$2:J429),$J$2:$J$1001,0),MATCH(COLUMNS($Q$1006:S1006),$Q$1006:$U$1006,0)), HYPERLINK("#",""), HYPERLINK(CONCATENATE("#metadata!", ADDRESS(INDEX($L$2:$L$1001,MATCH(ROWS($J$2:J429),$J$2:$J$1001,0),0), INDEX($Q$1004:$U$1004,1,MATCH(COLUMNS($Q$1006:S1006),$Q$1006:$U$1006,0)))),"Fix")))</f>
        <v xml:space="preserve"> </v>
      </c>
      <c r="E429" s="3" t="str">
        <f ca="1">IF(OR(INDEX($K$2:$K$1001,MATCH(ROWS($J$2:J429),$J$2:$J$1001,0),1)&gt;=100000,INDEX($Q$1005:$U$1005,1,MATCH(COLUMNS($Q$1006:T1006),$Q$1006:$U$1006,0))&gt;=100000), " ",IF(INDEX($Q$2:$U$1001,MATCH(ROWS($J$2:J429),$J$2:$J$1001,0),MATCH(COLUMNS($Q$1006:T1006),$Q$1006:$U$1006,0)), HYPERLINK("#",""), HYPERLINK(CONCATENATE("#metadata!", ADDRESS(INDEX($L$2:$L$1001,MATCH(ROWS($J$2:J429),$J$2:$J$1001,0),0), INDEX($Q$1004:$U$1004,1,MATCH(COLUMNS($Q$1006:T1006),$Q$1006:$U$1006,0)))),"Fix")))</f>
        <v xml:space="preserve"> </v>
      </c>
      <c r="F429" s="3" t="str">
        <f ca="1">IF(OR(INDEX($K$2:$K$1001,MATCH(ROWS($J$2:J429),$J$2:$J$1001,0),1)&gt;=100000,INDEX($Q$1005:$U$1005,1,MATCH(COLUMNS($Q$1006:U1006),$Q$1006:$U$1006,0))&gt;=100000), " ",IF(INDEX($Q$2:$U$1001,MATCH(ROWS($J$2:J429),$J$2:$J$1001,0),MATCH(COLUMNS($Q$1006:U1006),$Q$1006:$U$1006,0)), HYPERLINK("#",""), HYPERLINK(CONCATENATE("#metadata!", ADDRESS(INDEX($L$2:$L$1001,MATCH(ROWS($J$2:J429),$J$2:$J$1001,0),0), INDEX($Q$1004:$U$1004,1,MATCH(COLUMNS($Q$1006:U1006),$Q$1006:$U$1006,0)))),"Fix")))</f>
        <v xml:space="preserve"> </v>
      </c>
      <c r="J429">
        <v>428</v>
      </c>
      <c r="K429">
        <v>100429</v>
      </c>
      <c r="L429">
        <v>429</v>
      </c>
      <c r="M429" t="b">
        <f t="shared" si="6"/>
        <v>1</v>
      </c>
      <c r="N429" t="b">
        <f>COUNTBLANK(metadata!B429:F429)=COLUMNS(metadata!B429:F429)</f>
        <v>1</v>
      </c>
      <c r="O429" t="str">
        <v/>
      </c>
      <c r="Q429" t="b">
        <f ca="1">AND(IF(metadata!B429="",FALSE,TRUE),COUNTIF(metadata!B:B, metadata!B429) = 1,NOT(ISERROR(SUMPRODUCT(SEARCH(MID(metadata!B429,ROW(INDIRECT("1:"&amp;LEN(metadata!B429))), 1),"0123456789abcdefghijklmnopqrstuvwxyzABCDEFGHIJKLMNOPQRSTUVWXYZ.")))))</f>
        <v>0</v>
      </c>
      <c r="R429" t="b">
        <f>AND(IF(metadata!C429="",FALSE,TRUE),OR(EXACT(metadata!C429,"saline"),EXACT(metadata!C429,"non-saline")))</f>
        <v>0</v>
      </c>
      <c r="S429" t="b">
        <f>AND(IF(metadata!D429="",FALSE,TRUE),OR(EXACT(metadata!D429,"surface (non-saline)"),EXACT(metadata!D429,"aerosol (non-saline)"),EXACT(metadata!D429,"sediment (non-saline)"),EXACT(metadata!D429,"surface (saline)"),EXACT(metadata!D429,"aerosol (saline)"),EXACT(metadata!D429,"sediment (saline)")))</f>
        <v>0</v>
      </c>
      <c r="T429" t="b">
        <f>AND(IF(metadata!E429="",FALSE,TRUE),EXACT(metadata!E429,"built environment"))</f>
        <v>0</v>
      </c>
      <c r="U429" t="b">
        <f>OR(AND(IF(metadata!F429="",FALSE,TRUE),EXACT(metadata!F429,"not applicable")),AND(IF(metadata!F429="",FALSE,TRUE),EXACT(metadata!F429,"anaerobic digester content")))</f>
        <v>0</v>
      </c>
    </row>
    <row r="430" spans="1:21" x14ac:dyDescent="0.2">
      <c r="A430" s="4" t="str">
        <f ca="1">IF(B430=" "," ",HYPERLINK(CONCATENATE("#metadata!",ADDRESS(INDEX($L$2:$L$1001,MATCH(ROWS($J$2:J430),$J$2:$J$1001,0),0),1)),INDEX($O$2:$O$1001,MATCH(ROWS($J$2:J430),$J$2:$J$1001,0),0)))</f>
        <v xml:space="preserve"> </v>
      </c>
      <c r="B430" s="3" t="str">
        <f ca="1">IF(OR(INDEX($K$2:$K$1001,MATCH(ROWS($J$2:J430),$J$2:$J$1001,0),1)&gt;=100000,INDEX($Q$1005:$U$1005,1,MATCH(COLUMNS($Q$1006:Q1006),$Q$1006:$U$1006,0))&gt;=100000), " ",IF(INDEX($Q$2:$U$1001,MATCH(ROWS($J$2:J430),$J$2:$J$1001,0),MATCH(COLUMNS($Q$1006:Q1006),$Q$1006:$U$1006,0)), HYPERLINK("#",""), HYPERLINK(CONCATENATE("#metadata!", ADDRESS(INDEX($L$2:$L$1001,MATCH(ROWS($J$2:J430),$J$2:$J$1001,0),0), INDEX($Q$1004:$U$1004,1,MATCH(COLUMNS($Q$1006:Q1006),$Q$1006:$U$1006,0)))),"Fix")))</f>
        <v xml:space="preserve"> </v>
      </c>
      <c r="C430" s="3" t="str">
        <f ca="1">IF(OR(INDEX($K$2:$K$1001,MATCH(ROWS($J$2:J430),$J$2:$J$1001,0),1)&gt;=100000,INDEX($Q$1005:$U$1005,1,MATCH(COLUMNS($Q$1006:R1006),$Q$1006:$U$1006,0))&gt;=100000), " ",IF(INDEX($Q$2:$U$1001,MATCH(ROWS($J$2:J430),$J$2:$J$1001,0),MATCH(COLUMNS($Q$1006:R1006),$Q$1006:$U$1006,0)), HYPERLINK("#",""), HYPERLINK(CONCATENATE("#metadata!", ADDRESS(INDEX($L$2:$L$1001,MATCH(ROWS($J$2:J430),$J$2:$J$1001,0),0), INDEX($Q$1004:$U$1004,1,MATCH(COLUMNS($Q$1006:R1006),$Q$1006:$U$1006,0)))),"Fix")))</f>
        <v xml:space="preserve"> </v>
      </c>
      <c r="D430" s="3" t="str">
        <f ca="1">IF(OR(INDEX($K$2:$K$1001,MATCH(ROWS($J$2:J430),$J$2:$J$1001,0),1)&gt;=100000,INDEX($Q$1005:$U$1005,1,MATCH(COLUMNS($Q$1006:S1006),$Q$1006:$U$1006,0))&gt;=100000), " ",IF(INDEX($Q$2:$U$1001,MATCH(ROWS($J$2:J430),$J$2:$J$1001,0),MATCH(COLUMNS($Q$1006:S1006),$Q$1006:$U$1006,0)), HYPERLINK("#",""), HYPERLINK(CONCATENATE("#metadata!", ADDRESS(INDEX($L$2:$L$1001,MATCH(ROWS($J$2:J430),$J$2:$J$1001,0),0), INDEX($Q$1004:$U$1004,1,MATCH(COLUMNS($Q$1006:S1006),$Q$1006:$U$1006,0)))),"Fix")))</f>
        <v xml:space="preserve"> </v>
      </c>
      <c r="E430" s="3" t="str">
        <f ca="1">IF(OR(INDEX($K$2:$K$1001,MATCH(ROWS($J$2:J430),$J$2:$J$1001,0),1)&gt;=100000,INDEX($Q$1005:$U$1005,1,MATCH(COLUMNS($Q$1006:T1006),$Q$1006:$U$1006,0))&gt;=100000), " ",IF(INDEX($Q$2:$U$1001,MATCH(ROWS($J$2:J430),$J$2:$J$1001,0),MATCH(COLUMNS($Q$1006:T1006),$Q$1006:$U$1006,0)), HYPERLINK("#",""), HYPERLINK(CONCATENATE("#metadata!", ADDRESS(INDEX($L$2:$L$1001,MATCH(ROWS($J$2:J430),$J$2:$J$1001,0),0), INDEX($Q$1004:$U$1004,1,MATCH(COLUMNS($Q$1006:T1006),$Q$1006:$U$1006,0)))),"Fix")))</f>
        <v xml:space="preserve"> </v>
      </c>
      <c r="F430" s="3" t="str">
        <f ca="1">IF(OR(INDEX($K$2:$K$1001,MATCH(ROWS($J$2:J430),$J$2:$J$1001,0),1)&gt;=100000,INDEX($Q$1005:$U$1005,1,MATCH(COLUMNS($Q$1006:U1006),$Q$1006:$U$1006,0))&gt;=100000), " ",IF(INDEX($Q$2:$U$1001,MATCH(ROWS($J$2:J430),$J$2:$J$1001,0),MATCH(COLUMNS($Q$1006:U1006),$Q$1006:$U$1006,0)), HYPERLINK("#",""), HYPERLINK(CONCATENATE("#metadata!", ADDRESS(INDEX($L$2:$L$1001,MATCH(ROWS($J$2:J430),$J$2:$J$1001,0),0), INDEX($Q$1004:$U$1004,1,MATCH(COLUMNS($Q$1006:U1006),$Q$1006:$U$1006,0)))),"Fix")))</f>
        <v xml:space="preserve"> </v>
      </c>
      <c r="J430">
        <v>429</v>
      </c>
      <c r="K430">
        <v>100430</v>
      </c>
      <c r="L430">
        <v>430</v>
      </c>
      <c r="M430" t="b">
        <f t="shared" si="6"/>
        <v>1</v>
      </c>
      <c r="N430" t="b">
        <f>COUNTBLANK(metadata!B430:F430)=COLUMNS(metadata!B430:F430)</f>
        <v>1</v>
      </c>
      <c r="O430" t="str">
        <v/>
      </c>
      <c r="Q430" t="b">
        <f ca="1">AND(IF(metadata!B430="",FALSE,TRUE),COUNTIF(metadata!B:B, metadata!B430) = 1,NOT(ISERROR(SUMPRODUCT(SEARCH(MID(metadata!B430,ROW(INDIRECT("1:"&amp;LEN(metadata!B430))), 1),"0123456789abcdefghijklmnopqrstuvwxyzABCDEFGHIJKLMNOPQRSTUVWXYZ.")))))</f>
        <v>0</v>
      </c>
      <c r="R430" t="b">
        <f>AND(IF(metadata!C430="",FALSE,TRUE),OR(EXACT(metadata!C430,"saline"),EXACT(metadata!C430,"non-saline")))</f>
        <v>0</v>
      </c>
      <c r="S430" t="b">
        <f>AND(IF(metadata!D430="",FALSE,TRUE),OR(EXACT(metadata!D430,"surface (non-saline)"),EXACT(metadata!D430,"aerosol (non-saline)"),EXACT(metadata!D430,"sediment (non-saline)"),EXACT(metadata!D430,"surface (saline)"),EXACT(metadata!D430,"aerosol (saline)"),EXACT(metadata!D430,"sediment (saline)")))</f>
        <v>0</v>
      </c>
      <c r="T430" t="b">
        <f>AND(IF(metadata!E430="",FALSE,TRUE),EXACT(metadata!E430,"built environment"))</f>
        <v>0</v>
      </c>
      <c r="U430" t="b">
        <f>OR(AND(IF(metadata!F430="",FALSE,TRUE),EXACT(metadata!F430,"not applicable")),AND(IF(metadata!F430="",FALSE,TRUE),EXACT(metadata!F430,"anaerobic digester content")))</f>
        <v>0</v>
      </c>
    </row>
    <row r="431" spans="1:21" x14ac:dyDescent="0.2">
      <c r="A431" s="4" t="str">
        <f ca="1">IF(B431=" "," ",HYPERLINK(CONCATENATE("#metadata!",ADDRESS(INDEX($L$2:$L$1001,MATCH(ROWS($J$2:J431),$J$2:$J$1001,0),0),1)),INDEX($O$2:$O$1001,MATCH(ROWS($J$2:J431),$J$2:$J$1001,0),0)))</f>
        <v xml:space="preserve"> </v>
      </c>
      <c r="B431" s="3" t="str">
        <f ca="1">IF(OR(INDEX($K$2:$K$1001,MATCH(ROWS($J$2:J431),$J$2:$J$1001,0),1)&gt;=100000,INDEX($Q$1005:$U$1005,1,MATCH(COLUMNS($Q$1006:Q1006),$Q$1006:$U$1006,0))&gt;=100000), " ",IF(INDEX($Q$2:$U$1001,MATCH(ROWS($J$2:J431),$J$2:$J$1001,0),MATCH(COLUMNS($Q$1006:Q1006),$Q$1006:$U$1006,0)), HYPERLINK("#",""), HYPERLINK(CONCATENATE("#metadata!", ADDRESS(INDEX($L$2:$L$1001,MATCH(ROWS($J$2:J431),$J$2:$J$1001,0),0), INDEX($Q$1004:$U$1004,1,MATCH(COLUMNS($Q$1006:Q1006),$Q$1006:$U$1006,0)))),"Fix")))</f>
        <v xml:space="preserve"> </v>
      </c>
      <c r="C431" s="3" t="str">
        <f ca="1">IF(OR(INDEX($K$2:$K$1001,MATCH(ROWS($J$2:J431),$J$2:$J$1001,0),1)&gt;=100000,INDEX($Q$1005:$U$1005,1,MATCH(COLUMNS($Q$1006:R1006),$Q$1006:$U$1006,0))&gt;=100000), " ",IF(INDEX($Q$2:$U$1001,MATCH(ROWS($J$2:J431),$J$2:$J$1001,0),MATCH(COLUMNS($Q$1006:R1006),$Q$1006:$U$1006,0)), HYPERLINK("#",""), HYPERLINK(CONCATENATE("#metadata!", ADDRESS(INDEX($L$2:$L$1001,MATCH(ROWS($J$2:J431),$J$2:$J$1001,0),0), INDEX($Q$1004:$U$1004,1,MATCH(COLUMNS($Q$1006:R1006),$Q$1006:$U$1006,0)))),"Fix")))</f>
        <v xml:space="preserve"> </v>
      </c>
      <c r="D431" s="3" t="str">
        <f ca="1">IF(OR(INDEX($K$2:$K$1001,MATCH(ROWS($J$2:J431),$J$2:$J$1001,0),1)&gt;=100000,INDEX($Q$1005:$U$1005,1,MATCH(COLUMNS($Q$1006:S1006),$Q$1006:$U$1006,0))&gt;=100000), " ",IF(INDEX($Q$2:$U$1001,MATCH(ROWS($J$2:J431),$J$2:$J$1001,0),MATCH(COLUMNS($Q$1006:S1006),$Q$1006:$U$1006,0)), HYPERLINK("#",""), HYPERLINK(CONCATENATE("#metadata!", ADDRESS(INDEX($L$2:$L$1001,MATCH(ROWS($J$2:J431),$J$2:$J$1001,0),0), INDEX($Q$1004:$U$1004,1,MATCH(COLUMNS($Q$1006:S1006),$Q$1006:$U$1006,0)))),"Fix")))</f>
        <v xml:space="preserve"> </v>
      </c>
      <c r="E431" s="3" t="str">
        <f ca="1">IF(OR(INDEX($K$2:$K$1001,MATCH(ROWS($J$2:J431),$J$2:$J$1001,0),1)&gt;=100000,INDEX($Q$1005:$U$1005,1,MATCH(COLUMNS($Q$1006:T1006),$Q$1006:$U$1006,0))&gt;=100000), " ",IF(INDEX($Q$2:$U$1001,MATCH(ROWS($J$2:J431),$J$2:$J$1001,0),MATCH(COLUMNS($Q$1006:T1006),$Q$1006:$U$1006,0)), HYPERLINK("#",""), HYPERLINK(CONCATENATE("#metadata!", ADDRESS(INDEX($L$2:$L$1001,MATCH(ROWS($J$2:J431),$J$2:$J$1001,0),0), INDEX($Q$1004:$U$1004,1,MATCH(COLUMNS($Q$1006:T1006),$Q$1006:$U$1006,0)))),"Fix")))</f>
        <v xml:space="preserve"> </v>
      </c>
      <c r="F431" s="3" t="str">
        <f ca="1">IF(OR(INDEX($K$2:$K$1001,MATCH(ROWS($J$2:J431),$J$2:$J$1001,0),1)&gt;=100000,INDEX($Q$1005:$U$1005,1,MATCH(COLUMNS($Q$1006:U1006),$Q$1006:$U$1006,0))&gt;=100000), " ",IF(INDEX($Q$2:$U$1001,MATCH(ROWS($J$2:J431),$J$2:$J$1001,0),MATCH(COLUMNS($Q$1006:U1006),$Q$1006:$U$1006,0)), HYPERLINK("#",""), HYPERLINK(CONCATENATE("#metadata!", ADDRESS(INDEX($L$2:$L$1001,MATCH(ROWS($J$2:J431),$J$2:$J$1001,0),0), INDEX($Q$1004:$U$1004,1,MATCH(COLUMNS($Q$1006:U1006),$Q$1006:$U$1006,0)))),"Fix")))</f>
        <v xml:space="preserve"> </v>
      </c>
      <c r="J431">
        <v>430</v>
      </c>
      <c r="K431">
        <v>100431</v>
      </c>
      <c r="L431">
        <v>431</v>
      </c>
      <c r="M431" t="b">
        <f t="shared" si="6"/>
        <v>1</v>
      </c>
      <c r="N431" t="b">
        <f>COUNTBLANK(metadata!B431:F431)=COLUMNS(metadata!B431:F431)</f>
        <v>1</v>
      </c>
      <c r="O431" t="str">
        <v/>
      </c>
      <c r="Q431" t="b">
        <f ca="1">AND(IF(metadata!B431="",FALSE,TRUE),COUNTIF(metadata!B:B, metadata!B431) = 1,NOT(ISERROR(SUMPRODUCT(SEARCH(MID(metadata!B431,ROW(INDIRECT("1:"&amp;LEN(metadata!B431))), 1),"0123456789abcdefghijklmnopqrstuvwxyzABCDEFGHIJKLMNOPQRSTUVWXYZ.")))))</f>
        <v>0</v>
      </c>
      <c r="R431" t="b">
        <f>AND(IF(metadata!C431="",FALSE,TRUE),OR(EXACT(metadata!C431,"saline"),EXACT(metadata!C431,"non-saline")))</f>
        <v>0</v>
      </c>
      <c r="S431" t="b">
        <f>AND(IF(metadata!D431="",FALSE,TRUE),OR(EXACT(metadata!D431,"surface (non-saline)"),EXACT(metadata!D431,"aerosol (non-saline)"),EXACT(metadata!D431,"sediment (non-saline)"),EXACT(metadata!D431,"surface (saline)"),EXACT(metadata!D431,"aerosol (saline)"),EXACT(metadata!D431,"sediment (saline)")))</f>
        <v>0</v>
      </c>
      <c r="T431" t="b">
        <f>AND(IF(metadata!E431="",FALSE,TRUE),EXACT(metadata!E431,"built environment"))</f>
        <v>0</v>
      </c>
      <c r="U431" t="b">
        <f>OR(AND(IF(metadata!F431="",FALSE,TRUE),EXACT(metadata!F431,"not applicable")),AND(IF(metadata!F431="",FALSE,TRUE),EXACT(metadata!F431,"anaerobic digester content")))</f>
        <v>0</v>
      </c>
    </row>
    <row r="432" spans="1:21" x14ac:dyDescent="0.2">
      <c r="A432" s="4" t="str">
        <f ca="1">IF(B432=" "," ",HYPERLINK(CONCATENATE("#metadata!",ADDRESS(INDEX($L$2:$L$1001,MATCH(ROWS($J$2:J432),$J$2:$J$1001,0),0),1)),INDEX($O$2:$O$1001,MATCH(ROWS($J$2:J432),$J$2:$J$1001,0),0)))</f>
        <v xml:space="preserve"> </v>
      </c>
      <c r="B432" s="3" t="str">
        <f ca="1">IF(OR(INDEX($K$2:$K$1001,MATCH(ROWS($J$2:J432),$J$2:$J$1001,0),1)&gt;=100000,INDEX($Q$1005:$U$1005,1,MATCH(COLUMNS($Q$1006:Q1006),$Q$1006:$U$1006,0))&gt;=100000), " ",IF(INDEX($Q$2:$U$1001,MATCH(ROWS($J$2:J432),$J$2:$J$1001,0),MATCH(COLUMNS($Q$1006:Q1006),$Q$1006:$U$1006,0)), HYPERLINK("#",""), HYPERLINK(CONCATENATE("#metadata!", ADDRESS(INDEX($L$2:$L$1001,MATCH(ROWS($J$2:J432),$J$2:$J$1001,0),0), INDEX($Q$1004:$U$1004,1,MATCH(COLUMNS($Q$1006:Q1006),$Q$1006:$U$1006,0)))),"Fix")))</f>
        <v xml:space="preserve"> </v>
      </c>
      <c r="C432" s="3" t="str">
        <f ca="1">IF(OR(INDEX($K$2:$K$1001,MATCH(ROWS($J$2:J432),$J$2:$J$1001,0),1)&gt;=100000,INDEX($Q$1005:$U$1005,1,MATCH(COLUMNS($Q$1006:R1006),$Q$1006:$U$1006,0))&gt;=100000), " ",IF(INDEX($Q$2:$U$1001,MATCH(ROWS($J$2:J432),$J$2:$J$1001,0),MATCH(COLUMNS($Q$1006:R1006),$Q$1006:$U$1006,0)), HYPERLINK("#",""), HYPERLINK(CONCATENATE("#metadata!", ADDRESS(INDEX($L$2:$L$1001,MATCH(ROWS($J$2:J432),$J$2:$J$1001,0),0), INDEX($Q$1004:$U$1004,1,MATCH(COLUMNS($Q$1006:R1006),$Q$1006:$U$1006,0)))),"Fix")))</f>
        <v xml:space="preserve"> </v>
      </c>
      <c r="D432" s="3" t="str">
        <f ca="1">IF(OR(INDEX($K$2:$K$1001,MATCH(ROWS($J$2:J432),$J$2:$J$1001,0),1)&gt;=100000,INDEX($Q$1005:$U$1005,1,MATCH(COLUMNS($Q$1006:S1006),$Q$1006:$U$1006,0))&gt;=100000), " ",IF(INDEX($Q$2:$U$1001,MATCH(ROWS($J$2:J432),$J$2:$J$1001,0),MATCH(COLUMNS($Q$1006:S1006),$Q$1006:$U$1006,0)), HYPERLINK("#",""), HYPERLINK(CONCATENATE("#metadata!", ADDRESS(INDEX($L$2:$L$1001,MATCH(ROWS($J$2:J432),$J$2:$J$1001,0),0), INDEX($Q$1004:$U$1004,1,MATCH(COLUMNS($Q$1006:S1006),$Q$1006:$U$1006,0)))),"Fix")))</f>
        <v xml:space="preserve"> </v>
      </c>
      <c r="E432" s="3" t="str">
        <f ca="1">IF(OR(INDEX($K$2:$K$1001,MATCH(ROWS($J$2:J432),$J$2:$J$1001,0),1)&gt;=100000,INDEX($Q$1005:$U$1005,1,MATCH(COLUMNS($Q$1006:T1006),$Q$1006:$U$1006,0))&gt;=100000), " ",IF(INDEX($Q$2:$U$1001,MATCH(ROWS($J$2:J432),$J$2:$J$1001,0),MATCH(COLUMNS($Q$1006:T1006),$Q$1006:$U$1006,0)), HYPERLINK("#",""), HYPERLINK(CONCATENATE("#metadata!", ADDRESS(INDEX($L$2:$L$1001,MATCH(ROWS($J$2:J432),$J$2:$J$1001,0),0), INDEX($Q$1004:$U$1004,1,MATCH(COLUMNS($Q$1006:T1006),$Q$1006:$U$1006,0)))),"Fix")))</f>
        <v xml:space="preserve"> </v>
      </c>
      <c r="F432" s="3" t="str">
        <f ca="1">IF(OR(INDEX($K$2:$K$1001,MATCH(ROWS($J$2:J432),$J$2:$J$1001,0),1)&gt;=100000,INDEX($Q$1005:$U$1005,1,MATCH(COLUMNS($Q$1006:U1006),$Q$1006:$U$1006,0))&gt;=100000), " ",IF(INDEX($Q$2:$U$1001,MATCH(ROWS($J$2:J432),$J$2:$J$1001,0),MATCH(COLUMNS($Q$1006:U1006),$Q$1006:$U$1006,0)), HYPERLINK("#",""), HYPERLINK(CONCATENATE("#metadata!", ADDRESS(INDEX($L$2:$L$1001,MATCH(ROWS($J$2:J432),$J$2:$J$1001,0),0), INDEX($Q$1004:$U$1004,1,MATCH(COLUMNS($Q$1006:U1006),$Q$1006:$U$1006,0)))),"Fix")))</f>
        <v xml:space="preserve"> </v>
      </c>
      <c r="J432">
        <v>431</v>
      </c>
      <c r="K432">
        <v>100432</v>
      </c>
      <c r="L432">
        <v>432</v>
      </c>
      <c r="M432" t="b">
        <f t="shared" si="6"/>
        <v>1</v>
      </c>
      <c r="N432" t="b">
        <f>COUNTBLANK(metadata!B432:F432)=COLUMNS(metadata!B432:F432)</f>
        <v>1</v>
      </c>
      <c r="O432" t="str">
        <v/>
      </c>
      <c r="Q432" t="b">
        <f ca="1">AND(IF(metadata!B432="",FALSE,TRUE),COUNTIF(metadata!B:B, metadata!B432) = 1,NOT(ISERROR(SUMPRODUCT(SEARCH(MID(metadata!B432,ROW(INDIRECT("1:"&amp;LEN(metadata!B432))), 1),"0123456789abcdefghijklmnopqrstuvwxyzABCDEFGHIJKLMNOPQRSTUVWXYZ.")))))</f>
        <v>0</v>
      </c>
      <c r="R432" t="b">
        <f>AND(IF(metadata!C432="",FALSE,TRUE),OR(EXACT(metadata!C432,"saline"),EXACT(metadata!C432,"non-saline")))</f>
        <v>0</v>
      </c>
      <c r="S432" t="b">
        <f>AND(IF(metadata!D432="",FALSE,TRUE),OR(EXACT(metadata!D432,"surface (non-saline)"),EXACT(metadata!D432,"aerosol (non-saline)"),EXACT(metadata!D432,"sediment (non-saline)"),EXACT(metadata!D432,"surface (saline)"),EXACT(metadata!D432,"aerosol (saline)"),EXACT(metadata!D432,"sediment (saline)")))</f>
        <v>0</v>
      </c>
      <c r="T432" t="b">
        <f>AND(IF(metadata!E432="",FALSE,TRUE),EXACT(metadata!E432,"built environment"))</f>
        <v>0</v>
      </c>
      <c r="U432" t="b">
        <f>OR(AND(IF(metadata!F432="",FALSE,TRUE),EXACT(metadata!F432,"not applicable")),AND(IF(metadata!F432="",FALSE,TRUE),EXACT(metadata!F432,"anaerobic digester content")))</f>
        <v>0</v>
      </c>
    </row>
    <row r="433" spans="1:21" x14ac:dyDescent="0.2">
      <c r="A433" s="4" t="str">
        <f ca="1">IF(B433=" "," ",HYPERLINK(CONCATENATE("#metadata!",ADDRESS(INDEX($L$2:$L$1001,MATCH(ROWS($J$2:J433),$J$2:$J$1001,0),0),1)),INDEX($O$2:$O$1001,MATCH(ROWS($J$2:J433),$J$2:$J$1001,0),0)))</f>
        <v xml:space="preserve"> </v>
      </c>
      <c r="B433" s="3" t="str">
        <f ca="1">IF(OR(INDEX($K$2:$K$1001,MATCH(ROWS($J$2:J433),$J$2:$J$1001,0),1)&gt;=100000,INDEX($Q$1005:$U$1005,1,MATCH(COLUMNS($Q$1006:Q1006),$Q$1006:$U$1006,0))&gt;=100000), " ",IF(INDEX($Q$2:$U$1001,MATCH(ROWS($J$2:J433),$J$2:$J$1001,0),MATCH(COLUMNS($Q$1006:Q1006),$Q$1006:$U$1006,0)), HYPERLINK("#",""), HYPERLINK(CONCATENATE("#metadata!", ADDRESS(INDEX($L$2:$L$1001,MATCH(ROWS($J$2:J433),$J$2:$J$1001,0),0), INDEX($Q$1004:$U$1004,1,MATCH(COLUMNS($Q$1006:Q1006),$Q$1006:$U$1006,0)))),"Fix")))</f>
        <v xml:space="preserve"> </v>
      </c>
      <c r="C433" s="3" t="str">
        <f ca="1">IF(OR(INDEX($K$2:$K$1001,MATCH(ROWS($J$2:J433),$J$2:$J$1001,0),1)&gt;=100000,INDEX($Q$1005:$U$1005,1,MATCH(COLUMNS($Q$1006:R1006),$Q$1006:$U$1006,0))&gt;=100000), " ",IF(INDEX($Q$2:$U$1001,MATCH(ROWS($J$2:J433),$J$2:$J$1001,0),MATCH(COLUMNS($Q$1006:R1006),$Q$1006:$U$1006,0)), HYPERLINK("#",""), HYPERLINK(CONCATENATE("#metadata!", ADDRESS(INDEX($L$2:$L$1001,MATCH(ROWS($J$2:J433),$J$2:$J$1001,0),0), INDEX($Q$1004:$U$1004,1,MATCH(COLUMNS($Q$1006:R1006),$Q$1006:$U$1006,0)))),"Fix")))</f>
        <v xml:space="preserve"> </v>
      </c>
      <c r="D433" s="3" t="str">
        <f ca="1">IF(OR(INDEX($K$2:$K$1001,MATCH(ROWS($J$2:J433),$J$2:$J$1001,0),1)&gt;=100000,INDEX($Q$1005:$U$1005,1,MATCH(COLUMNS($Q$1006:S1006),$Q$1006:$U$1006,0))&gt;=100000), " ",IF(INDEX($Q$2:$U$1001,MATCH(ROWS($J$2:J433),$J$2:$J$1001,0),MATCH(COLUMNS($Q$1006:S1006),$Q$1006:$U$1006,0)), HYPERLINK("#",""), HYPERLINK(CONCATENATE("#metadata!", ADDRESS(INDEX($L$2:$L$1001,MATCH(ROWS($J$2:J433),$J$2:$J$1001,0),0), INDEX($Q$1004:$U$1004,1,MATCH(COLUMNS($Q$1006:S1006),$Q$1006:$U$1006,0)))),"Fix")))</f>
        <v xml:space="preserve"> </v>
      </c>
      <c r="E433" s="3" t="str">
        <f ca="1">IF(OR(INDEX($K$2:$K$1001,MATCH(ROWS($J$2:J433),$J$2:$J$1001,0),1)&gt;=100000,INDEX($Q$1005:$U$1005,1,MATCH(COLUMNS($Q$1006:T1006),$Q$1006:$U$1006,0))&gt;=100000), " ",IF(INDEX($Q$2:$U$1001,MATCH(ROWS($J$2:J433),$J$2:$J$1001,0),MATCH(COLUMNS($Q$1006:T1006),$Q$1006:$U$1006,0)), HYPERLINK("#",""), HYPERLINK(CONCATENATE("#metadata!", ADDRESS(INDEX($L$2:$L$1001,MATCH(ROWS($J$2:J433),$J$2:$J$1001,0),0), INDEX($Q$1004:$U$1004,1,MATCH(COLUMNS($Q$1006:T1006),$Q$1006:$U$1006,0)))),"Fix")))</f>
        <v xml:space="preserve"> </v>
      </c>
      <c r="F433" s="3" t="str">
        <f ca="1">IF(OR(INDEX($K$2:$K$1001,MATCH(ROWS($J$2:J433),$J$2:$J$1001,0),1)&gt;=100000,INDEX($Q$1005:$U$1005,1,MATCH(COLUMNS($Q$1006:U1006),$Q$1006:$U$1006,0))&gt;=100000), " ",IF(INDEX($Q$2:$U$1001,MATCH(ROWS($J$2:J433),$J$2:$J$1001,0),MATCH(COLUMNS($Q$1006:U1006),$Q$1006:$U$1006,0)), HYPERLINK("#",""), HYPERLINK(CONCATENATE("#metadata!", ADDRESS(INDEX($L$2:$L$1001,MATCH(ROWS($J$2:J433),$J$2:$J$1001,0),0), INDEX($Q$1004:$U$1004,1,MATCH(COLUMNS($Q$1006:U1006),$Q$1006:$U$1006,0)))),"Fix")))</f>
        <v xml:space="preserve"> </v>
      </c>
      <c r="J433">
        <v>432</v>
      </c>
      <c r="K433">
        <v>100433</v>
      </c>
      <c r="L433">
        <v>433</v>
      </c>
      <c r="M433" t="b">
        <f t="shared" si="6"/>
        <v>1</v>
      </c>
      <c r="N433" t="b">
        <f>COUNTBLANK(metadata!B433:F433)=COLUMNS(metadata!B433:F433)</f>
        <v>1</v>
      </c>
      <c r="O433" t="str">
        <v/>
      </c>
      <c r="Q433" t="b">
        <f ca="1">AND(IF(metadata!B433="",FALSE,TRUE),COUNTIF(metadata!B:B, metadata!B433) = 1,NOT(ISERROR(SUMPRODUCT(SEARCH(MID(metadata!B433,ROW(INDIRECT("1:"&amp;LEN(metadata!B433))), 1),"0123456789abcdefghijklmnopqrstuvwxyzABCDEFGHIJKLMNOPQRSTUVWXYZ.")))))</f>
        <v>0</v>
      </c>
      <c r="R433" t="b">
        <f>AND(IF(metadata!C433="",FALSE,TRUE),OR(EXACT(metadata!C433,"saline"),EXACT(metadata!C433,"non-saline")))</f>
        <v>0</v>
      </c>
      <c r="S433" t="b">
        <f>AND(IF(metadata!D433="",FALSE,TRUE),OR(EXACT(metadata!D433,"surface (non-saline)"),EXACT(metadata!D433,"aerosol (non-saline)"),EXACT(metadata!D433,"sediment (non-saline)"),EXACT(metadata!D433,"surface (saline)"),EXACT(metadata!D433,"aerosol (saline)"),EXACT(metadata!D433,"sediment (saline)")))</f>
        <v>0</v>
      </c>
      <c r="T433" t="b">
        <f>AND(IF(metadata!E433="",FALSE,TRUE),EXACT(metadata!E433,"built environment"))</f>
        <v>0</v>
      </c>
      <c r="U433" t="b">
        <f>OR(AND(IF(metadata!F433="",FALSE,TRUE),EXACT(metadata!F433,"not applicable")),AND(IF(metadata!F433="",FALSE,TRUE),EXACT(metadata!F433,"anaerobic digester content")))</f>
        <v>0</v>
      </c>
    </row>
    <row r="434" spans="1:21" x14ac:dyDescent="0.2">
      <c r="A434" s="4" t="str">
        <f ca="1">IF(B434=" "," ",HYPERLINK(CONCATENATE("#metadata!",ADDRESS(INDEX($L$2:$L$1001,MATCH(ROWS($J$2:J434),$J$2:$J$1001,0),0),1)),INDEX($O$2:$O$1001,MATCH(ROWS($J$2:J434),$J$2:$J$1001,0),0)))</f>
        <v xml:space="preserve"> </v>
      </c>
      <c r="B434" s="3" t="str">
        <f ca="1">IF(OR(INDEX($K$2:$K$1001,MATCH(ROWS($J$2:J434),$J$2:$J$1001,0),1)&gt;=100000,INDEX($Q$1005:$U$1005,1,MATCH(COLUMNS($Q$1006:Q1006),$Q$1006:$U$1006,0))&gt;=100000), " ",IF(INDEX($Q$2:$U$1001,MATCH(ROWS($J$2:J434),$J$2:$J$1001,0),MATCH(COLUMNS($Q$1006:Q1006),$Q$1006:$U$1006,0)), HYPERLINK("#",""), HYPERLINK(CONCATENATE("#metadata!", ADDRESS(INDEX($L$2:$L$1001,MATCH(ROWS($J$2:J434),$J$2:$J$1001,0),0), INDEX($Q$1004:$U$1004,1,MATCH(COLUMNS($Q$1006:Q1006),$Q$1006:$U$1006,0)))),"Fix")))</f>
        <v xml:space="preserve"> </v>
      </c>
      <c r="C434" s="3" t="str">
        <f ca="1">IF(OR(INDEX($K$2:$K$1001,MATCH(ROWS($J$2:J434),$J$2:$J$1001,0),1)&gt;=100000,INDEX($Q$1005:$U$1005,1,MATCH(COLUMNS($Q$1006:R1006),$Q$1006:$U$1006,0))&gt;=100000), " ",IF(INDEX($Q$2:$U$1001,MATCH(ROWS($J$2:J434),$J$2:$J$1001,0),MATCH(COLUMNS($Q$1006:R1006),$Q$1006:$U$1006,0)), HYPERLINK("#",""), HYPERLINK(CONCATENATE("#metadata!", ADDRESS(INDEX($L$2:$L$1001,MATCH(ROWS($J$2:J434),$J$2:$J$1001,0),0), INDEX($Q$1004:$U$1004,1,MATCH(COLUMNS($Q$1006:R1006),$Q$1006:$U$1006,0)))),"Fix")))</f>
        <v xml:space="preserve"> </v>
      </c>
      <c r="D434" s="3" t="str">
        <f ca="1">IF(OR(INDEX($K$2:$K$1001,MATCH(ROWS($J$2:J434),$J$2:$J$1001,0),1)&gt;=100000,INDEX($Q$1005:$U$1005,1,MATCH(COLUMNS($Q$1006:S1006),$Q$1006:$U$1006,0))&gt;=100000), " ",IF(INDEX($Q$2:$U$1001,MATCH(ROWS($J$2:J434),$J$2:$J$1001,0),MATCH(COLUMNS($Q$1006:S1006),$Q$1006:$U$1006,0)), HYPERLINK("#",""), HYPERLINK(CONCATENATE("#metadata!", ADDRESS(INDEX($L$2:$L$1001,MATCH(ROWS($J$2:J434),$J$2:$J$1001,0),0), INDEX($Q$1004:$U$1004,1,MATCH(COLUMNS($Q$1006:S1006),$Q$1006:$U$1006,0)))),"Fix")))</f>
        <v xml:space="preserve"> </v>
      </c>
      <c r="E434" s="3" t="str">
        <f ca="1">IF(OR(INDEX($K$2:$K$1001,MATCH(ROWS($J$2:J434),$J$2:$J$1001,0),1)&gt;=100000,INDEX($Q$1005:$U$1005,1,MATCH(COLUMNS($Q$1006:T1006),$Q$1006:$U$1006,0))&gt;=100000), " ",IF(INDEX($Q$2:$U$1001,MATCH(ROWS($J$2:J434),$J$2:$J$1001,0),MATCH(COLUMNS($Q$1006:T1006),$Q$1006:$U$1006,0)), HYPERLINK("#",""), HYPERLINK(CONCATENATE("#metadata!", ADDRESS(INDEX($L$2:$L$1001,MATCH(ROWS($J$2:J434),$J$2:$J$1001,0),0), INDEX($Q$1004:$U$1004,1,MATCH(COLUMNS($Q$1006:T1006),$Q$1006:$U$1006,0)))),"Fix")))</f>
        <v xml:space="preserve"> </v>
      </c>
      <c r="F434" s="3" t="str">
        <f ca="1">IF(OR(INDEX($K$2:$K$1001,MATCH(ROWS($J$2:J434),$J$2:$J$1001,0),1)&gt;=100000,INDEX($Q$1005:$U$1005,1,MATCH(COLUMNS($Q$1006:U1006),$Q$1006:$U$1006,0))&gt;=100000), " ",IF(INDEX($Q$2:$U$1001,MATCH(ROWS($J$2:J434),$J$2:$J$1001,0),MATCH(COLUMNS($Q$1006:U1006),$Q$1006:$U$1006,0)), HYPERLINK("#",""), HYPERLINK(CONCATENATE("#metadata!", ADDRESS(INDEX($L$2:$L$1001,MATCH(ROWS($J$2:J434),$J$2:$J$1001,0),0), INDEX($Q$1004:$U$1004,1,MATCH(COLUMNS($Q$1006:U1006),$Q$1006:$U$1006,0)))),"Fix")))</f>
        <v xml:space="preserve"> </v>
      </c>
      <c r="J434">
        <v>433</v>
      </c>
      <c r="K434">
        <v>100434</v>
      </c>
      <c r="L434">
        <v>434</v>
      </c>
      <c r="M434" t="b">
        <f t="shared" si="6"/>
        <v>1</v>
      </c>
      <c r="N434" t="b">
        <f>COUNTBLANK(metadata!B434:F434)=COLUMNS(metadata!B434:F434)</f>
        <v>1</v>
      </c>
      <c r="O434" t="str">
        <v/>
      </c>
      <c r="Q434" t="b">
        <f ca="1">AND(IF(metadata!B434="",FALSE,TRUE),COUNTIF(metadata!B:B, metadata!B434) = 1,NOT(ISERROR(SUMPRODUCT(SEARCH(MID(metadata!B434,ROW(INDIRECT("1:"&amp;LEN(metadata!B434))), 1),"0123456789abcdefghijklmnopqrstuvwxyzABCDEFGHIJKLMNOPQRSTUVWXYZ.")))))</f>
        <v>0</v>
      </c>
      <c r="R434" t="b">
        <f>AND(IF(metadata!C434="",FALSE,TRUE),OR(EXACT(metadata!C434,"saline"),EXACT(metadata!C434,"non-saline")))</f>
        <v>0</v>
      </c>
      <c r="S434" t="b">
        <f>AND(IF(metadata!D434="",FALSE,TRUE),OR(EXACT(metadata!D434,"surface (non-saline)"),EXACT(metadata!D434,"aerosol (non-saline)"),EXACT(metadata!D434,"sediment (non-saline)"),EXACT(metadata!D434,"surface (saline)"),EXACT(metadata!D434,"aerosol (saline)"),EXACT(metadata!D434,"sediment (saline)")))</f>
        <v>0</v>
      </c>
      <c r="T434" t="b">
        <f>AND(IF(metadata!E434="",FALSE,TRUE),EXACT(metadata!E434,"built environment"))</f>
        <v>0</v>
      </c>
      <c r="U434" t="b">
        <f>OR(AND(IF(metadata!F434="",FALSE,TRUE),EXACT(metadata!F434,"not applicable")),AND(IF(metadata!F434="",FALSE,TRUE),EXACT(metadata!F434,"anaerobic digester content")))</f>
        <v>0</v>
      </c>
    </row>
    <row r="435" spans="1:21" x14ac:dyDescent="0.2">
      <c r="A435" s="4" t="str">
        <f ca="1">IF(B435=" "," ",HYPERLINK(CONCATENATE("#metadata!",ADDRESS(INDEX($L$2:$L$1001,MATCH(ROWS($J$2:J435),$J$2:$J$1001,0),0),1)),INDEX($O$2:$O$1001,MATCH(ROWS($J$2:J435),$J$2:$J$1001,0),0)))</f>
        <v xml:space="preserve"> </v>
      </c>
      <c r="B435" s="3" t="str">
        <f ca="1">IF(OR(INDEX($K$2:$K$1001,MATCH(ROWS($J$2:J435),$J$2:$J$1001,0),1)&gt;=100000,INDEX($Q$1005:$U$1005,1,MATCH(COLUMNS($Q$1006:Q1006),$Q$1006:$U$1006,0))&gt;=100000), " ",IF(INDEX($Q$2:$U$1001,MATCH(ROWS($J$2:J435),$J$2:$J$1001,0),MATCH(COLUMNS($Q$1006:Q1006),$Q$1006:$U$1006,0)), HYPERLINK("#",""), HYPERLINK(CONCATENATE("#metadata!", ADDRESS(INDEX($L$2:$L$1001,MATCH(ROWS($J$2:J435),$J$2:$J$1001,0),0), INDEX($Q$1004:$U$1004,1,MATCH(COLUMNS($Q$1006:Q1006),$Q$1006:$U$1006,0)))),"Fix")))</f>
        <v xml:space="preserve"> </v>
      </c>
      <c r="C435" s="3" t="str">
        <f ca="1">IF(OR(INDEX($K$2:$K$1001,MATCH(ROWS($J$2:J435),$J$2:$J$1001,0),1)&gt;=100000,INDEX($Q$1005:$U$1005,1,MATCH(COLUMNS($Q$1006:R1006),$Q$1006:$U$1006,0))&gt;=100000), " ",IF(INDEX($Q$2:$U$1001,MATCH(ROWS($J$2:J435),$J$2:$J$1001,0),MATCH(COLUMNS($Q$1006:R1006),$Q$1006:$U$1006,0)), HYPERLINK("#",""), HYPERLINK(CONCATENATE("#metadata!", ADDRESS(INDEX($L$2:$L$1001,MATCH(ROWS($J$2:J435),$J$2:$J$1001,0),0), INDEX($Q$1004:$U$1004,1,MATCH(COLUMNS($Q$1006:R1006),$Q$1006:$U$1006,0)))),"Fix")))</f>
        <v xml:space="preserve"> </v>
      </c>
      <c r="D435" s="3" t="str">
        <f ca="1">IF(OR(INDEX($K$2:$K$1001,MATCH(ROWS($J$2:J435),$J$2:$J$1001,0),1)&gt;=100000,INDEX($Q$1005:$U$1005,1,MATCH(COLUMNS($Q$1006:S1006),$Q$1006:$U$1006,0))&gt;=100000), " ",IF(INDEX($Q$2:$U$1001,MATCH(ROWS($J$2:J435),$J$2:$J$1001,0),MATCH(COLUMNS($Q$1006:S1006),$Q$1006:$U$1006,0)), HYPERLINK("#",""), HYPERLINK(CONCATENATE("#metadata!", ADDRESS(INDEX($L$2:$L$1001,MATCH(ROWS($J$2:J435),$J$2:$J$1001,0),0), INDEX($Q$1004:$U$1004,1,MATCH(COLUMNS($Q$1006:S1006),$Q$1006:$U$1006,0)))),"Fix")))</f>
        <v xml:space="preserve"> </v>
      </c>
      <c r="E435" s="3" t="str">
        <f ca="1">IF(OR(INDEX($K$2:$K$1001,MATCH(ROWS($J$2:J435),$J$2:$J$1001,0),1)&gt;=100000,INDEX($Q$1005:$U$1005,1,MATCH(COLUMNS($Q$1006:T1006),$Q$1006:$U$1006,0))&gt;=100000), " ",IF(INDEX($Q$2:$U$1001,MATCH(ROWS($J$2:J435),$J$2:$J$1001,0),MATCH(COLUMNS($Q$1006:T1006),$Q$1006:$U$1006,0)), HYPERLINK("#",""), HYPERLINK(CONCATENATE("#metadata!", ADDRESS(INDEX($L$2:$L$1001,MATCH(ROWS($J$2:J435),$J$2:$J$1001,0),0), INDEX($Q$1004:$U$1004,1,MATCH(COLUMNS($Q$1006:T1006),$Q$1006:$U$1006,0)))),"Fix")))</f>
        <v xml:space="preserve"> </v>
      </c>
      <c r="F435" s="3" t="str">
        <f ca="1">IF(OR(INDEX($K$2:$K$1001,MATCH(ROWS($J$2:J435),$J$2:$J$1001,0),1)&gt;=100000,INDEX($Q$1005:$U$1005,1,MATCH(COLUMNS($Q$1006:U1006),$Q$1006:$U$1006,0))&gt;=100000), " ",IF(INDEX($Q$2:$U$1001,MATCH(ROWS($J$2:J435),$J$2:$J$1001,0),MATCH(COLUMNS($Q$1006:U1006),$Q$1006:$U$1006,0)), HYPERLINK("#",""), HYPERLINK(CONCATENATE("#metadata!", ADDRESS(INDEX($L$2:$L$1001,MATCH(ROWS($J$2:J435),$J$2:$J$1001,0),0), INDEX($Q$1004:$U$1004,1,MATCH(COLUMNS($Q$1006:U1006),$Q$1006:$U$1006,0)))),"Fix")))</f>
        <v xml:space="preserve"> </v>
      </c>
      <c r="J435">
        <v>434</v>
      </c>
      <c r="K435">
        <v>100435</v>
      </c>
      <c r="L435">
        <v>435</v>
      </c>
      <c r="M435" t="b">
        <f t="shared" si="6"/>
        <v>1</v>
      </c>
      <c r="N435" t="b">
        <f>COUNTBLANK(metadata!B435:F435)=COLUMNS(metadata!B435:F435)</f>
        <v>1</v>
      </c>
      <c r="O435" t="str">
        <v/>
      </c>
      <c r="Q435" t="b">
        <f ca="1">AND(IF(metadata!B435="",FALSE,TRUE),COUNTIF(metadata!B:B, metadata!B435) = 1,NOT(ISERROR(SUMPRODUCT(SEARCH(MID(metadata!B435,ROW(INDIRECT("1:"&amp;LEN(metadata!B435))), 1),"0123456789abcdefghijklmnopqrstuvwxyzABCDEFGHIJKLMNOPQRSTUVWXYZ.")))))</f>
        <v>0</v>
      </c>
      <c r="R435" t="b">
        <f>AND(IF(metadata!C435="",FALSE,TRUE),OR(EXACT(metadata!C435,"saline"),EXACT(metadata!C435,"non-saline")))</f>
        <v>0</v>
      </c>
      <c r="S435" t="b">
        <f>AND(IF(metadata!D435="",FALSE,TRUE),OR(EXACT(metadata!D435,"surface (non-saline)"),EXACT(metadata!D435,"aerosol (non-saline)"),EXACT(metadata!D435,"sediment (non-saline)"),EXACT(metadata!D435,"surface (saline)"),EXACT(metadata!D435,"aerosol (saline)"),EXACT(metadata!D435,"sediment (saline)")))</f>
        <v>0</v>
      </c>
      <c r="T435" t="b">
        <f>AND(IF(metadata!E435="",FALSE,TRUE),EXACT(metadata!E435,"built environment"))</f>
        <v>0</v>
      </c>
      <c r="U435" t="b">
        <f>OR(AND(IF(metadata!F435="",FALSE,TRUE),EXACT(metadata!F435,"not applicable")),AND(IF(metadata!F435="",FALSE,TRUE),EXACT(metadata!F435,"anaerobic digester content")))</f>
        <v>0</v>
      </c>
    </row>
    <row r="436" spans="1:21" x14ac:dyDescent="0.2">
      <c r="A436" s="4" t="str">
        <f ca="1">IF(B436=" "," ",HYPERLINK(CONCATENATE("#metadata!",ADDRESS(INDEX($L$2:$L$1001,MATCH(ROWS($J$2:J436),$J$2:$J$1001,0),0),1)),INDEX($O$2:$O$1001,MATCH(ROWS($J$2:J436),$J$2:$J$1001,0),0)))</f>
        <v xml:space="preserve"> </v>
      </c>
      <c r="B436" s="3" t="str">
        <f ca="1">IF(OR(INDEX($K$2:$K$1001,MATCH(ROWS($J$2:J436),$J$2:$J$1001,0),1)&gt;=100000,INDEX($Q$1005:$U$1005,1,MATCH(COLUMNS($Q$1006:Q1006),$Q$1006:$U$1006,0))&gt;=100000), " ",IF(INDEX($Q$2:$U$1001,MATCH(ROWS($J$2:J436),$J$2:$J$1001,0),MATCH(COLUMNS($Q$1006:Q1006),$Q$1006:$U$1006,0)), HYPERLINK("#",""), HYPERLINK(CONCATENATE("#metadata!", ADDRESS(INDEX($L$2:$L$1001,MATCH(ROWS($J$2:J436),$J$2:$J$1001,0),0), INDEX($Q$1004:$U$1004,1,MATCH(COLUMNS($Q$1006:Q1006),$Q$1006:$U$1006,0)))),"Fix")))</f>
        <v xml:space="preserve"> </v>
      </c>
      <c r="C436" s="3" t="str">
        <f ca="1">IF(OR(INDEX($K$2:$K$1001,MATCH(ROWS($J$2:J436),$J$2:$J$1001,0),1)&gt;=100000,INDEX($Q$1005:$U$1005,1,MATCH(COLUMNS($Q$1006:R1006),$Q$1006:$U$1006,0))&gt;=100000), " ",IF(INDEX($Q$2:$U$1001,MATCH(ROWS($J$2:J436),$J$2:$J$1001,0),MATCH(COLUMNS($Q$1006:R1006),$Q$1006:$U$1006,0)), HYPERLINK("#",""), HYPERLINK(CONCATENATE("#metadata!", ADDRESS(INDEX($L$2:$L$1001,MATCH(ROWS($J$2:J436),$J$2:$J$1001,0),0), INDEX($Q$1004:$U$1004,1,MATCH(COLUMNS($Q$1006:R1006),$Q$1006:$U$1006,0)))),"Fix")))</f>
        <v xml:space="preserve"> </v>
      </c>
      <c r="D436" s="3" t="str">
        <f ca="1">IF(OR(INDEX($K$2:$K$1001,MATCH(ROWS($J$2:J436),$J$2:$J$1001,0),1)&gt;=100000,INDEX($Q$1005:$U$1005,1,MATCH(COLUMNS($Q$1006:S1006),$Q$1006:$U$1006,0))&gt;=100000), " ",IF(INDEX($Q$2:$U$1001,MATCH(ROWS($J$2:J436),$J$2:$J$1001,0),MATCH(COLUMNS($Q$1006:S1006),$Q$1006:$U$1006,0)), HYPERLINK("#",""), HYPERLINK(CONCATENATE("#metadata!", ADDRESS(INDEX($L$2:$L$1001,MATCH(ROWS($J$2:J436),$J$2:$J$1001,0),0), INDEX($Q$1004:$U$1004,1,MATCH(COLUMNS($Q$1006:S1006),$Q$1006:$U$1006,0)))),"Fix")))</f>
        <v xml:space="preserve"> </v>
      </c>
      <c r="E436" s="3" t="str">
        <f ca="1">IF(OR(INDEX($K$2:$K$1001,MATCH(ROWS($J$2:J436),$J$2:$J$1001,0),1)&gt;=100000,INDEX($Q$1005:$U$1005,1,MATCH(COLUMNS($Q$1006:T1006),$Q$1006:$U$1006,0))&gt;=100000), " ",IF(INDEX($Q$2:$U$1001,MATCH(ROWS($J$2:J436),$J$2:$J$1001,0),MATCH(COLUMNS($Q$1006:T1006),$Q$1006:$U$1006,0)), HYPERLINK("#",""), HYPERLINK(CONCATENATE("#metadata!", ADDRESS(INDEX($L$2:$L$1001,MATCH(ROWS($J$2:J436),$J$2:$J$1001,0),0), INDEX($Q$1004:$U$1004,1,MATCH(COLUMNS($Q$1006:T1006),$Q$1006:$U$1006,0)))),"Fix")))</f>
        <v xml:space="preserve"> </v>
      </c>
      <c r="F436" s="3" t="str">
        <f ca="1">IF(OR(INDEX($K$2:$K$1001,MATCH(ROWS($J$2:J436),$J$2:$J$1001,0),1)&gt;=100000,INDEX($Q$1005:$U$1005,1,MATCH(COLUMNS($Q$1006:U1006),$Q$1006:$U$1006,0))&gt;=100000), " ",IF(INDEX($Q$2:$U$1001,MATCH(ROWS($J$2:J436),$J$2:$J$1001,0),MATCH(COLUMNS($Q$1006:U1006),$Q$1006:$U$1006,0)), HYPERLINK("#",""), HYPERLINK(CONCATENATE("#metadata!", ADDRESS(INDEX($L$2:$L$1001,MATCH(ROWS($J$2:J436),$J$2:$J$1001,0),0), INDEX($Q$1004:$U$1004,1,MATCH(COLUMNS($Q$1006:U1006),$Q$1006:$U$1006,0)))),"Fix")))</f>
        <v xml:space="preserve"> </v>
      </c>
      <c r="J436">
        <v>435</v>
      </c>
      <c r="K436">
        <v>100436</v>
      </c>
      <c r="L436">
        <v>436</v>
      </c>
      <c r="M436" t="b">
        <f t="shared" si="6"/>
        <v>1</v>
      </c>
      <c r="N436" t="b">
        <f>COUNTBLANK(metadata!B436:F436)=COLUMNS(metadata!B436:F436)</f>
        <v>1</v>
      </c>
      <c r="O436" t="str">
        <v/>
      </c>
      <c r="Q436" t="b">
        <f ca="1">AND(IF(metadata!B436="",FALSE,TRUE),COUNTIF(metadata!B:B, metadata!B436) = 1,NOT(ISERROR(SUMPRODUCT(SEARCH(MID(metadata!B436,ROW(INDIRECT("1:"&amp;LEN(metadata!B436))), 1),"0123456789abcdefghijklmnopqrstuvwxyzABCDEFGHIJKLMNOPQRSTUVWXYZ.")))))</f>
        <v>0</v>
      </c>
      <c r="R436" t="b">
        <f>AND(IF(metadata!C436="",FALSE,TRUE),OR(EXACT(metadata!C436,"saline"),EXACT(metadata!C436,"non-saline")))</f>
        <v>0</v>
      </c>
      <c r="S436" t="b">
        <f>AND(IF(metadata!D436="",FALSE,TRUE),OR(EXACT(metadata!D436,"surface (non-saline)"),EXACT(metadata!D436,"aerosol (non-saline)"),EXACT(metadata!D436,"sediment (non-saline)"),EXACT(metadata!D436,"surface (saline)"),EXACT(metadata!D436,"aerosol (saline)"),EXACT(metadata!D436,"sediment (saline)")))</f>
        <v>0</v>
      </c>
      <c r="T436" t="b">
        <f>AND(IF(metadata!E436="",FALSE,TRUE),EXACT(metadata!E436,"built environment"))</f>
        <v>0</v>
      </c>
      <c r="U436" t="b">
        <f>OR(AND(IF(metadata!F436="",FALSE,TRUE),EXACT(metadata!F436,"not applicable")),AND(IF(metadata!F436="",FALSE,TRUE),EXACT(metadata!F436,"anaerobic digester content")))</f>
        <v>0</v>
      </c>
    </row>
    <row r="437" spans="1:21" x14ac:dyDescent="0.2">
      <c r="A437" s="4" t="str">
        <f ca="1">IF(B437=" "," ",HYPERLINK(CONCATENATE("#metadata!",ADDRESS(INDEX($L$2:$L$1001,MATCH(ROWS($J$2:J437),$J$2:$J$1001,0),0),1)),INDEX($O$2:$O$1001,MATCH(ROWS($J$2:J437),$J$2:$J$1001,0),0)))</f>
        <v xml:space="preserve"> </v>
      </c>
      <c r="B437" s="3" t="str">
        <f ca="1">IF(OR(INDEX($K$2:$K$1001,MATCH(ROWS($J$2:J437),$J$2:$J$1001,0),1)&gt;=100000,INDEX($Q$1005:$U$1005,1,MATCH(COLUMNS($Q$1006:Q1006),$Q$1006:$U$1006,0))&gt;=100000), " ",IF(INDEX($Q$2:$U$1001,MATCH(ROWS($J$2:J437),$J$2:$J$1001,0),MATCH(COLUMNS($Q$1006:Q1006),$Q$1006:$U$1006,0)), HYPERLINK("#",""), HYPERLINK(CONCATENATE("#metadata!", ADDRESS(INDEX($L$2:$L$1001,MATCH(ROWS($J$2:J437),$J$2:$J$1001,0),0), INDEX($Q$1004:$U$1004,1,MATCH(COLUMNS($Q$1006:Q1006),$Q$1006:$U$1006,0)))),"Fix")))</f>
        <v xml:space="preserve"> </v>
      </c>
      <c r="C437" s="3" t="str">
        <f ca="1">IF(OR(INDEX($K$2:$K$1001,MATCH(ROWS($J$2:J437),$J$2:$J$1001,0),1)&gt;=100000,INDEX($Q$1005:$U$1005,1,MATCH(COLUMNS($Q$1006:R1006),$Q$1006:$U$1006,0))&gt;=100000), " ",IF(INDEX($Q$2:$U$1001,MATCH(ROWS($J$2:J437),$J$2:$J$1001,0),MATCH(COLUMNS($Q$1006:R1006),$Q$1006:$U$1006,0)), HYPERLINK("#",""), HYPERLINK(CONCATENATE("#metadata!", ADDRESS(INDEX($L$2:$L$1001,MATCH(ROWS($J$2:J437),$J$2:$J$1001,0),0), INDEX($Q$1004:$U$1004,1,MATCH(COLUMNS($Q$1006:R1006),$Q$1006:$U$1006,0)))),"Fix")))</f>
        <v xml:space="preserve"> </v>
      </c>
      <c r="D437" s="3" t="str">
        <f ca="1">IF(OR(INDEX($K$2:$K$1001,MATCH(ROWS($J$2:J437),$J$2:$J$1001,0),1)&gt;=100000,INDEX($Q$1005:$U$1005,1,MATCH(COLUMNS($Q$1006:S1006),$Q$1006:$U$1006,0))&gt;=100000), " ",IF(INDEX($Q$2:$U$1001,MATCH(ROWS($J$2:J437),$J$2:$J$1001,0),MATCH(COLUMNS($Q$1006:S1006),$Q$1006:$U$1006,0)), HYPERLINK("#",""), HYPERLINK(CONCATENATE("#metadata!", ADDRESS(INDEX($L$2:$L$1001,MATCH(ROWS($J$2:J437),$J$2:$J$1001,0),0), INDEX($Q$1004:$U$1004,1,MATCH(COLUMNS($Q$1006:S1006),$Q$1006:$U$1006,0)))),"Fix")))</f>
        <v xml:space="preserve"> </v>
      </c>
      <c r="E437" s="3" t="str">
        <f ca="1">IF(OR(INDEX($K$2:$K$1001,MATCH(ROWS($J$2:J437),$J$2:$J$1001,0),1)&gt;=100000,INDEX($Q$1005:$U$1005,1,MATCH(COLUMNS($Q$1006:T1006),$Q$1006:$U$1006,0))&gt;=100000), " ",IF(INDEX($Q$2:$U$1001,MATCH(ROWS($J$2:J437),$J$2:$J$1001,0),MATCH(COLUMNS($Q$1006:T1006),$Q$1006:$U$1006,0)), HYPERLINK("#",""), HYPERLINK(CONCATENATE("#metadata!", ADDRESS(INDEX($L$2:$L$1001,MATCH(ROWS($J$2:J437),$J$2:$J$1001,0),0), INDEX($Q$1004:$U$1004,1,MATCH(COLUMNS($Q$1006:T1006),$Q$1006:$U$1006,0)))),"Fix")))</f>
        <v xml:space="preserve"> </v>
      </c>
      <c r="F437" s="3" t="str">
        <f ca="1">IF(OR(INDEX($K$2:$K$1001,MATCH(ROWS($J$2:J437),$J$2:$J$1001,0),1)&gt;=100000,INDEX($Q$1005:$U$1005,1,MATCH(COLUMNS($Q$1006:U1006),$Q$1006:$U$1006,0))&gt;=100000), " ",IF(INDEX($Q$2:$U$1001,MATCH(ROWS($J$2:J437),$J$2:$J$1001,0),MATCH(COLUMNS($Q$1006:U1006),$Q$1006:$U$1006,0)), HYPERLINK("#",""), HYPERLINK(CONCATENATE("#metadata!", ADDRESS(INDEX($L$2:$L$1001,MATCH(ROWS($J$2:J437),$J$2:$J$1001,0),0), INDEX($Q$1004:$U$1004,1,MATCH(COLUMNS($Q$1006:U1006),$Q$1006:$U$1006,0)))),"Fix")))</f>
        <v xml:space="preserve"> </v>
      </c>
      <c r="J437">
        <v>436</v>
      </c>
      <c r="K437">
        <v>100437</v>
      </c>
      <c r="L437">
        <v>437</v>
      </c>
      <c r="M437" t="b">
        <f t="shared" si="6"/>
        <v>1</v>
      </c>
      <c r="N437" t="b">
        <f>COUNTBLANK(metadata!B437:F437)=COLUMNS(metadata!B437:F437)</f>
        <v>1</v>
      </c>
      <c r="O437" t="str">
        <v/>
      </c>
      <c r="Q437" t="b">
        <f ca="1">AND(IF(metadata!B437="",FALSE,TRUE),COUNTIF(metadata!B:B, metadata!B437) = 1,NOT(ISERROR(SUMPRODUCT(SEARCH(MID(metadata!B437,ROW(INDIRECT("1:"&amp;LEN(metadata!B437))), 1),"0123456789abcdefghijklmnopqrstuvwxyzABCDEFGHIJKLMNOPQRSTUVWXYZ.")))))</f>
        <v>0</v>
      </c>
      <c r="R437" t="b">
        <f>AND(IF(metadata!C437="",FALSE,TRUE),OR(EXACT(metadata!C437,"saline"),EXACT(metadata!C437,"non-saline")))</f>
        <v>0</v>
      </c>
      <c r="S437" t="b">
        <f>AND(IF(metadata!D437="",FALSE,TRUE),OR(EXACT(metadata!D437,"surface (non-saline)"),EXACT(metadata!D437,"aerosol (non-saline)"),EXACT(metadata!D437,"sediment (non-saline)"),EXACT(metadata!D437,"surface (saline)"),EXACT(metadata!D437,"aerosol (saline)"),EXACT(metadata!D437,"sediment (saline)")))</f>
        <v>0</v>
      </c>
      <c r="T437" t="b">
        <f>AND(IF(metadata!E437="",FALSE,TRUE),EXACT(metadata!E437,"built environment"))</f>
        <v>0</v>
      </c>
      <c r="U437" t="b">
        <f>OR(AND(IF(metadata!F437="",FALSE,TRUE),EXACT(metadata!F437,"not applicable")),AND(IF(metadata!F437="",FALSE,TRUE),EXACT(metadata!F437,"anaerobic digester content")))</f>
        <v>0</v>
      </c>
    </row>
    <row r="438" spans="1:21" x14ac:dyDescent="0.2">
      <c r="A438" s="4" t="str">
        <f ca="1">IF(B438=" "," ",HYPERLINK(CONCATENATE("#metadata!",ADDRESS(INDEX($L$2:$L$1001,MATCH(ROWS($J$2:J438),$J$2:$J$1001,0),0),1)),INDEX($O$2:$O$1001,MATCH(ROWS($J$2:J438),$J$2:$J$1001,0),0)))</f>
        <v xml:space="preserve"> </v>
      </c>
      <c r="B438" s="3" t="str">
        <f ca="1">IF(OR(INDEX($K$2:$K$1001,MATCH(ROWS($J$2:J438),$J$2:$J$1001,0),1)&gt;=100000,INDEX($Q$1005:$U$1005,1,MATCH(COLUMNS($Q$1006:Q1006),$Q$1006:$U$1006,0))&gt;=100000), " ",IF(INDEX($Q$2:$U$1001,MATCH(ROWS($J$2:J438),$J$2:$J$1001,0),MATCH(COLUMNS($Q$1006:Q1006),$Q$1006:$U$1006,0)), HYPERLINK("#",""), HYPERLINK(CONCATENATE("#metadata!", ADDRESS(INDEX($L$2:$L$1001,MATCH(ROWS($J$2:J438),$J$2:$J$1001,0),0), INDEX($Q$1004:$U$1004,1,MATCH(COLUMNS($Q$1006:Q1006),$Q$1006:$U$1006,0)))),"Fix")))</f>
        <v xml:space="preserve"> </v>
      </c>
      <c r="C438" s="3" t="str">
        <f ca="1">IF(OR(INDEX($K$2:$K$1001,MATCH(ROWS($J$2:J438),$J$2:$J$1001,0),1)&gt;=100000,INDEX($Q$1005:$U$1005,1,MATCH(COLUMNS($Q$1006:R1006),$Q$1006:$U$1006,0))&gt;=100000), " ",IF(INDEX($Q$2:$U$1001,MATCH(ROWS($J$2:J438),$J$2:$J$1001,0),MATCH(COLUMNS($Q$1006:R1006),$Q$1006:$U$1006,0)), HYPERLINK("#",""), HYPERLINK(CONCATENATE("#metadata!", ADDRESS(INDEX($L$2:$L$1001,MATCH(ROWS($J$2:J438),$J$2:$J$1001,0),0), INDEX($Q$1004:$U$1004,1,MATCH(COLUMNS($Q$1006:R1006),$Q$1006:$U$1006,0)))),"Fix")))</f>
        <v xml:space="preserve"> </v>
      </c>
      <c r="D438" s="3" t="str">
        <f ca="1">IF(OR(INDEX($K$2:$K$1001,MATCH(ROWS($J$2:J438),$J$2:$J$1001,0),1)&gt;=100000,INDEX($Q$1005:$U$1005,1,MATCH(COLUMNS($Q$1006:S1006),$Q$1006:$U$1006,0))&gt;=100000), " ",IF(INDEX($Q$2:$U$1001,MATCH(ROWS($J$2:J438),$J$2:$J$1001,0),MATCH(COLUMNS($Q$1006:S1006),$Q$1006:$U$1006,0)), HYPERLINK("#",""), HYPERLINK(CONCATENATE("#metadata!", ADDRESS(INDEX($L$2:$L$1001,MATCH(ROWS($J$2:J438),$J$2:$J$1001,0),0), INDEX($Q$1004:$U$1004,1,MATCH(COLUMNS($Q$1006:S1006),$Q$1006:$U$1006,0)))),"Fix")))</f>
        <v xml:space="preserve"> </v>
      </c>
      <c r="E438" s="3" t="str">
        <f ca="1">IF(OR(INDEX($K$2:$K$1001,MATCH(ROWS($J$2:J438),$J$2:$J$1001,0),1)&gt;=100000,INDEX($Q$1005:$U$1005,1,MATCH(COLUMNS($Q$1006:T1006),$Q$1006:$U$1006,0))&gt;=100000), " ",IF(INDEX($Q$2:$U$1001,MATCH(ROWS($J$2:J438),$J$2:$J$1001,0),MATCH(COLUMNS($Q$1006:T1006),$Q$1006:$U$1006,0)), HYPERLINK("#",""), HYPERLINK(CONCATENATE("#metadata!", ADDRESS(INDEX($L$2:$L$1001,MATCH(ROWS($J$2:J438),$J$2:$J$1001,0),0), INDEX($Q$1004:$U$1004,1,MATCH(COLUMNS($Q$1006:T1006),$Q$1006:$U$1006,0)))),"Fix")))</f>
        <v xml:space="preserve"> </v>
      </c>
      <c r="F438" s="3" t="str">
        <f ca="1">IF(OR(INDEX($K$2:$K$1001,MATCH(ROWS($J$2:J438),$J$2:$J$1001,0),1)&gt;=100000,INDEX($Q$1005:$U$1005,1,MATCH(COLUMNS($Q$1006:U1006),$Q$1006:$U$1006,0))&gt;=100000), " ",IF(INDEX($Q$2:$U$1001,MATCH(ROWS($J$2:J438),$J$2:$J$1001,0),MATCH(COLUMNS($Q$1006:U1006),$Q$1006:$U$1006,0)), HYPERLINK("#",""), HYPERLINK(CONCATENATE("#metadata!", ADDRESS(INDEX($L$2:$L$1001,MATCH(ROWS($J$2:J438),$J$2:$J$1001,0),0), INDEX($Q$1004:$U$1004,1,MATCH(COLUMNS($Q$1006:U1006),$Q$1006:$U$1006,0)))),"Fix")))</f>
        <v xml:space="preserve"> </v>
      </c>
      <c r="J438">
        <v>437</v>
      </c>
      <c r="K438">
        <v>100438</v>
      </c>
      <c r="L438">
        <v>438</v>
      </c>
      <c r="M438" t="b">
        <f t="shared" si="6"/>
        <v>1</v>
      </c>
      <c r="N438" t="b">
        <f>COUNTBLANK(metadata!B438:F438)=COLUMNS(metadata!B438:F438)</f>
        <v>1</v>
      </c>
      <c r="O438" t="str">
        <v/>
      </c>
      <c r="Q438" t="b">
        <f ca="1">AND(IF(metadata!B438="",FALSE,TRUE),COUNTIF(metadata!B:B, metadata!B438) = 1,NOT(ISERROR(SUMPRODUCT(SEARCH(MID(metadata!B438,ROW(INDIRECT("1:"&amp;LEN(metadata!B438))), 1),"0123456789abcdefghijklmnopqrstuvwxyzABCDEFGHIJKLMNOPQRSTUVWXYZ.")))))</f>
        <v>0</v>
      </c>
      <c r="R438" t="b">
        <f>AND(IF(metadata!C438="",FALSE,TRUE),OR(EXACT(metadata!C438,"saline"),EXACT(metadata!C438,"non-saline")))</f>
        <v>0</v>
      </c>
      <c r="S438" t="b">
        <f>AND(IF(metadata!D438="",FALSE,TRUE),OR(EXACT(metadata!D438,"surface (non-saline)"),EXACT(metadata!D438,"aerosol (non-saline)"),EXACT(metadata!D438,"sediment (non-saline)"),EXACT(metadata!D438,"surface (saline)"),EXACT(metadata!D438,"aerosol (saline)"),EXACT(metadata!D438,"sediment (saline)")))</f>
        <v>0</v>
      </c>
      <c r="T438" t="b">
        <f>AND(IF(metadata!E438="",FALSE,TRUE),EXACT(metadata!E438,"built environment"))</f>
        <v>0</v>
      </c>
      <c r="U438" t="b">
        <f>OR(AND(IF(metadata!F438="",FALSE,TRUE),EXACT(metadata!F438,"not applicable")),AND(IF(metadata!F438="",FALSE,TRUE),EXACT(metadata!F438,"anaerobic digester content")))</f>
        <v>0</v>
      </c>
    </row>
    <row r="439" spans="1:21" x14ac:dyDescent="0.2">
      <c r="A439" s="4" t="str">
        <f ca="1">IF(B439=" "," ",HYPERLINK(CONCATENATE("#metadata!",ADDRESS(INDEX($L$2:$L$1001,MATCH(ROWS($J$2:J439),$J$2:$J$1001,0),0),1)),INDEX($O$2:$O$1001,MATCH(ROWS($J$2:J439),$J$2:$J$1001,0),0)))</f>
        <v xml:space="preserve"> </v>
      </c>
      <c r="B439" s="3" t="str">
        <f ca="1">IF(OR(INDEX($K$2:$K$1001,MATCH(ROWS($J$2:J439),$J$2:$J$1001,0),1)&gt;=100000,INDEX($Q$1005:$U$1005,1,MATCH(COLUMNS($Q$1006:Q1006),$Q$1006:$U$1006,0))&gt;=100000), " ",IF(INDEX($Q$2:$U$1001,MATCH(ROWS($J$2:J439),$J$2:$J$1001,0),MATCH(COLUMNS($Q$1006:Q1006),$Q$1006:$U$1006,0)), HYPERLINK("#",""), HYPERLINK(CONCATENATE("#metadata!", ADDRESS(INDEX($L$2:$L$1001,MATCH(ROWS($J$2:J439),$J$2:$J$1001,0),0), INDEX($Q$1004:$U$1004,1,MATCH(COLUMNS($Q$1006:Q1006),$Q$1006:$U$1006,0)))),"Fix")))</f>
        <v xml:space="preserve"> </v>
      </c>
      <c r="C439" s="3" t="str">
        <f ca="1">IF(OR(INDEX($K$2:$K$1001,MATCH(ROWS($J$2:J439),$J$2:$J$1001,0),1)&gt;=100000,INDEX($Q$1005:$U$1005,1,MATCH(COLUMNS($Q$1006:R1006),$Q$1006:$U$1006,0))&gt;=100000), " ",IF(INDEX($Q$2:$U$1001,MATCH(ROWS($J$2:J439),$J$2:$J$1001,0),MATCH(COLUMNS($Q$1006:R1006),$Q$1006:$U$1006,0)), HYPERLINK("#",""), HYPERLINK(CONCATENATE("#metadata!", ADDRESS(INDEX($L$2:$L$1001,MATCH(ROWS($J$2:J439),$J$2:$J$1001,0),0), INDEX($Q$1004:$U$1004,1,MATCH(COLUMNS($Q$1006:R1006),$Q$1006:$U$1006,0)))),"Fix")))</f>
        <v xml:space="preserve"> </v>
      </c>
      <c r="D439" s="3" t="str">
        <f ca="1">IF(OR(INDEX($K$2:$K$1001,MATCH(ROWS($J$2:J439),$J$2:$J$1001,0),1)&gt;=100000,INDEX($Q$1005:$U$1005,1,MATCH(COLUMNS($Q$1006:S1006),$Q$1006:$U$1006,0))&gt;=100000), " ",IF(INDEX($Q$2:$U$1001,MATCH(ROWS($J$2:J439),$J$2:$J$1001,0),MATCH(COLUMNS($Q$1006:S1006),$Q$1006:$U$1006,0)), HYPERLINK("#",""), HYPERLINK(CONCATENATE("#metadata!", ADDRESS(INDEX($L$2:$L$1001,MATCH(ROWS($J$2:J439),$J$2:$J$1001,0),0), INDEX($Q$1004:$U$1004,1,MATCH(COLUMNS($Q$1006:S1006),$Q$1006:$U$1006,0)))),"Fix")))</f>
        <v xml:space="preserve"> </v>
      </c>
      <c r="E439" s="3" t="str">
        <f ca="1">IF(OR(INDEX($K$2:$K$1001,MATCH(ROWS($J$2:J439),$J$2:$J$1001,0),1)&gt;=100000,INDEX($Q$1005:$U$1005,1,MATCH(COLUMNS($Q$1006:T1006),$Q$1006:$U$1006,0))&gt;=100000), " ",IF(INDEX($Q$2:$U$1001,MATCH(ROWS($J$2:J439),$J$2:$J$1001,0),MATCH(COLUMNS($Q$1006:T1006),$Q$1006:$U$1006,0)), HYPERLINK("#",""), HYPERLINK(CONCATENATE("#metadata!", ADDRESS(INDEX($L$2:$L$1001,MATCH(ROWS($J$2:J439),$J$2:$J$1001,0),0), INDEX($Q$1004:$U$1004,1,MATCH(COLUMNS($Q$1006:T1006),$Q$1006:$U$1006,0)))),"Fix")))</f>
        <v xml:space="preserve"> </v>
      </c>
      <c r="F439" s="3" t="str">
        <f ca="1">IF(OR(INDEX($K$2:$K$1001,MATCH(ROWS($J$2:J439),$J$2:$J$1001,0),1)&gt;=100000,INDEX($Q$1005:$U$1005,1,MATCH(COLUMNS($Q$1006:U1006),$Q$1006:$U$1006,0))&gt;=100000), " ",IF(INDEX($Q$2:$U$1001,MATCH(ROWS($J$2:J439),$J$2:$J$1001,0),MATCH(COLUMNS($Q$1006:U1006),$Q$1006:$U$1006,0)), HYPERLINK("#",""), HYPERLINK(CONCATENATE("#metadata!", ADDRESS(INDEX($L$2:$L$1001,MATCH(ROWS($J$2:J439),$J$2:$J$1001,0),0), INDEX($Q$1004:$U$1004,1,MATCH(COLUMNS($Q$1006:U1006),$Q$1006:$U$1006,0)))),"Fix")))</f>
        <v xml:space="preserve"> </v>
      </c>
      <c r="J439">
        <v>438</v>
      </c>
      <c r="K439">
        <v>100439</v>
      </c>
      <c r="L439">
        <v>439</v>
      </c>
      <c r="M439" t="b">
        <f t="shared" si="6"/>
        <v>1</v>
      </c>
      <c r="N439" t="b">
        <f>COUNTBLANK(metadata!B439:F439)=COLUMNS(metadata!B439:F439)</f>
        <v>1</v>
      </c>
      <c r="O439" t="str">
        <v/>
      </c>
      <c r="Q439" t="b">
        <f ca="1">AND(IF(metadata!B439="",FALSE,TRUE),COUNTIF(metadata!B:B, metadata!B439) = 1,NOT(ISERROR(SUMPRODUCT(SEARCH(MID(metadata!B439,ROW(INDIRECT("1:"&amp;LEN(metadata!B439))), 1),"0123456789abcdefghijklmnopqrstuvwxyzABCDEFGHIJKLMNOPQRSTUVWXYZ.")))))</f>
        <v>0</v>
      </c>
      <c r="R439" t="b">
        <f>AND(IF(metadata!C439="",FALSE,TRUE),OR(EXACT(metadata!C439,"saline"),EXACT(metadata!C439,"non-saline")))</f>
        <v>0</v>
      </c>
      <c r="S439" t="b">
        <f>AND(IF(metadata!D439="",FALSE,TRUE),OR(EXACT(metadata!D439,"surface (non-saline)"),EXACT(metadata!D439,"aerosol (non-saline)"),EXACT(metadata!D439,"sediment (non-saline)"),EXACT(metadata!D439,"surface (saline)"),EXACT(metadata!D439,"aerosol (saline)"),EXACT(metadata!D439,"sediment (saline)")))</f>
        <v>0</v>
      </c>
      <c r="T439" t="b">
        <f>AND(IF(metadata!E439="",FALSE,TRUE),EXACT(metadata!E439,"built environment"))</f>
        <v>0</v>
      </c>
      <c r="U439" t="b">
        <f>OR(AND(IF(metadata!F439="",FALSE,TRUE),EXACT(metadata!F439,"not applicable")),AND(IF(metadata!F439="",FALSE,TRUE),EXACT(metadata!F439,"anaerobic digester content")))</f>
        <v>0</v>
      </c>
    </row>
    <row r="440" spans="1:21" x14ac:dyDescent="0.2">
      <c r="A440" s="4" t="str">
        <f ca="1">IF(B440=" "," ",HYPERLINK(CONCATENATE("#metadata!",ADDRESS(INDEX($L$2:$L$1001,MATCH(ROWS($J$2:J440),$J$2:$J$1001,0),0),1)),INDEX($O$2:$O$1001,MATCH(ROWS($J$2:J440),$J$2:$J$1001,0),0)))</f>
        <v xml:space="preserve"> </v>
      </c>
      <c r="B440" s="3" t="str">
        <f ca="1">IF(OR(INDEX($K$2:$K$1001,MATCH(ROWS($J$2:J440),$J$2:$J$1001,0),1)&gt;=100000,INDEX($Q$1005:$U$1005,1,MATCH(COLUMNS($Q$1006:Q1006),$Q$1006:$U$1006,0))&gt;=100000), " ",IF(INDEX($Q$2:$U$1001,MATCH(ROWS($J$2:J440),$J$2:$J$1001,0),MATCH(COLUMNS($Q$1006:Q1006),$Q$1006:$U$1006,0)), HYPERLINK("#",""), HYPERLINK(CONCATENATE("#metadata!", ADDRESS(INDEX($L$2:$L$1001,MATCH(ROWS($J$2:J440),$J$2:$J$1001,0),0), INDEX($Q$1004:$U$1004,1,MATCH(COLUMNS($Q$1006:Q1006),$Q$1006:$U$1006,0)))),"Fix")))</f>
        <v xml:space="preserve"> </v>
      </c>
      <c r="C440" s="3" t="str">
        <f ca="1">IF(OR(INDEX($K$2:$K$1001,MATCH(ROWS($J$2:J440),$J$2:$J$1001,0),1)&gt;=100000,INDEX($Q$1005:$U$1005,1,MATCH(COLUMNS($Q$1006:R1006),$Q$1006:$U$1006,0))&gt;=100000), " ",IF(INDEX($Q$2:$U$1001,MATCH(ROWS($J$2:J440),$J$2:$J$1001,0),MATCH(COLUMNS($Q$1006:R1006),$Q$1006:$U$1006,0)), HYPERLINK("#",""), HYPERLINK(CONCATENATE("#metadata!", ADDRESS(INDEX($L$2:$L$1001,MATCH(ROWS($J$2:J440),$J$2:$J$1001,0),0), INDEX($Q$1004:$U$1004,1,MATCH(COLUMNS($Q$1006:R1006),$Q$1006:$U$1006,0)))),"Fix")))</f>
        <v xml:space="preserve"> </v>
      </c>
      <c r="D440" s="3" t="str">
        <f ca="1">IF(OR(INDEX($K$2:$K$1001,MATCH(ROWS($J$2:J440),$J$2:$J$1001,0),1)&gt;=100000,INDEX($Q$1005:$U$1005,1,MATCH(COLUMNS($Q$1006:S1006),$Q$1006:$U$1006,0))&gt;=100000), " ",IF(INDEX($Q$2:$U$1001,MATCH(ROWS($J$2:J440),$J$2:$J$1001,0),MATCH(COLUMNS($Q$1006:S1006),$Q$1006:$U$1006,0)), HYPERLINK("#",""), HYPERLINK(CONCATENATE("#metadata!", ADDRESS(INDEX($L$2:$L$1001,MATCH(ROWS($J$2:J440),$J$2:$J$1001,0),0), INDEX($Q$1004:$U$1004,1,MATCH(COLUMNS($Q$1006:S1006),$Q$1006:$U$1006,0)))),"Fix")))</f>
        <v xml:space="preserve"> </v>
      </c>
      <c r="E440" s="3" t="str">
        <f ca="1">IF(OR(INDEX($K$2:$K$1001,MATCH(ROWS($J$2:J440),$J$2:$J$1001,0),1)&gt;=100000,INDEX($Q$1005:$U$1005,1,MATCH(COLUMNS($Q$1006:T1006),$Q$1006:$U$1006,0))&gt;=100000), " ",IF(INDEX($Q$2:$U$1001,MATCH(ROWS($J$2:J440),$J$2:$J$1001,0),MATCH(COLUMNS($Q$1006:T1006),$Q$1006:$U$1006,0)), HYPERLINK("#",""), HYPERLINK(CONCATENATE("#metadata!", ADDRESS(INDEX($L$2:$L$1001,MATCH(ROWS($J$2:J440),$J$2:$J$1001,0),0), INDEX($Q$1004:$U$1004,1,MATCH(COLUMNS($Q$1006:T1006),$Q$1006:$U$1006,0)))),"Fix")))</f>
        <v xml:space="preserve"> </v>
      </c>
      <c r="F440" s="3" t="str">
        <f ca="1">IF(OR(INDEX($K$2:$K$1001,MATCH(ROWS($J$2:J440),$J$2:$J$1001,0),1)&gt;=100000,INDEX($Q$1005:$U$1005,1,MATCH(COLUMNS($Q$1006:U1006),$Q$1006:$U$1006,0))&gt;=100000), " ",IF(INDEX($Q$2:$U$1001,MATCH(ROWS($J$2:J440),$J$2:$J$1001,0),MATCH(COLUMNS($Q$1006:U1006),$Q$1006:$U$1006,0)), HYPERLINK("#",""), HYPERLINK(CONCATENATE("#metadata!", ADDRESS(INDEX($L$2:$L$1001,MATCH(ROWS($J$2:J440),$J$2:$J$1001,0),0), INDEX($Q$1004:$U$1004,1,MATCH(COLUMNS($Q$1006:U1006),$Q$1006:$U$1006,0)))),"Fix")))</f>
        <v xml:space="preserve"> </v>
      </c>
      <c r="J440">
        <v>439</v>
      </c>
      <c r="K440">
        <v>100440</v>
      </c>
      <c r="L440">
        <v>440</v>
      </c>
      <c r="M440" t="b">
        <f t="shared" si="6"/>
        <v>1</v>
      </c>
      <c r="N440" t="b">
        <f>COUNTBLANK(metadata!B440:F440)=COLUMNS(metadata!B440:F440)</f>
        <v>1</v>
      </c>
      <c r="O440" t="str">
        <v/>
      </c>
      <c r="Q440" t="b">
        <f ca="1">AND(IF(metadata!B440="",FALSE,TRUE),COUNTIF(metadata!B:B, metadata!B440) = 1,NOT(ISERROR(SUMPRODUCT(SEARCH(MID(metadata!B440,ROW(INDIRECT("1:"&amp;LEN(metadata!B440))), 1),"0123456789abcdefghijklmnopqrstuvwxyzABCDEFGHIJKLMNOPQRSTUVWXYZ.")))))</f>
        <v>0</v>
      </c>
      <c r="R440" t="b">
        <f>AND(IF(metadata!C440="",FALSE,TRUE),OR(EXACT(metadata!C440,"saline"),EXACT(metadata!C440,"non-saline")))</f>
        <v>0</v>
      </c>
      <c r="S440" t="b">
        <f>AND(IF(metadata!D440="",FALSE,TRUE),OR(EXACT(metadata!D440,"surface (non-saline)"),EXACT(metadata!D440,"aerosol (non-saline)"),EXACT(metadata!D440,"sediment (non-saline)"),EXACT(metadata!D440,"surface (saline)"),EXACT(metadata!D440,"aerosol (saline)"),EXACT(metadata!D440,"sediment (saline)")))</f>
        <v>0</v>
      </c>
      <c r="T440" t="b">
        <f>AND(IF(metadata!E440="",FALSE,TRUE),EXACT(metadata!E440,"built environment"))</f>
        <v>0</v>
      </c>
      <c r="U440" t="b">
        <f>OR(AND(IF(metadata!F440="",FALSE,TRUE),EXACT(metadata!F440,"not applicable")),AND(IF(metadata!F440="",FALSE,TRUE),EXACT(metadata!F440,"anaerobic digester content")))</f>
        <v>0</v>
      </c>
    </row>
    <row r="441" spans="1:21" x14ac:dyDescent="0.2">
      <c r="A441" s="4" t="str">
        <f ca="1">IF(B441=" "," ",HYPERLINK(CONCATENATE("#metadata!",ADDRESS(INDEX($L$2:$L$1001,MATCH(ROWS($J$2:J441),$J$2:$J$1001,0),0),1)),INDEX($O$2:$O$1001,MATCH(ROWS($J$2:J441),$J$2:$J$1001,0),0)))</f>
        <v xml:space="preserve"> </v>
      </c>
      <c r="B441" s="3" t="str">
        <f ca="1">IF(OR(INDEX($K$2:$K$1001,MATCH(ROWS($J$2:J441),$J$2:$J$1001,0),1)&gt;=100000,INDEX($Q$1005:$U$1005,1,MATCH(COLUMNS($Q$1006:Q1006),$Q$1006:$U$1006,0))&gt;=100000), " ",IF(INDEX($Q$2:$U$1001,MATCH(ROWS($J$2:J441),$J$2:$J$1001,0),MATCH(COLUMNS($Q$1006:Q1006),$Q$1006:$U$1006,0)), HYPERLINK("#",""), HYPERLINK(CONCATENATE("#metadata!", ADDRESS(INDEX($L$2:$L$1001,MATCH(ROWS($J$2:J441),$J$2:$J$1001,0),0), INDEX($Q$1004:$U$1004,1,MATCH(COLUMNS($Q$1006:Q1006),$Q$1006:$U$1006,0)))),"Fix")))</f>
        <v xml:space="preserve"> </v>
      </c>
      <c r="C441" s="3" t="str">
        <f ca="1">IF(OR(INDEX($K$2:$K$1001,MATCH(ROWS($J$2:J441),$J$2:$J$1001,0),1)&gt;=100000,INDEX($Q$1005:$U$1005,1,MATCH(COLUMNS($Q$1006:R1006),$Q$1006:$U$1006,0))&gt;=100000), " ",IF(INDEX($Q$2:$U$1001,MATCH(ROWS($J$2:J441),$J$2:$J$1001,0),MATCH(COLUMNS($Q$1006:R1006),$Q$1006:$U$1006,0)), HYPERLINK("#",""), HYPERLINK(CONCATENATE("#metadata!", ADDRESS(INDEX($L$2:$L$1001,MATCH(ROWS($J$2:J441),$J$2:$J$1001,0),0), INDEX($Q$1004:$U$1004,1,MATCH(COLUMNS($Q$1006:R1006),$Q$1006:$U$1006,0)))),"Fix")))</f>
        <v xml:space="preserve"> </v>
      </c>
      <c r="D441" s="3" t="str">
        <f ca="1">IF(OR(INDEX($K$2:$K$1001,MATCH(ROWS($J$2:J441),$J$2:$J$1001,0),1)&gt;=100000,INDEX($Q$1005:$U$1005,1,MATCH(COLUMNS($Q$1006:S1006),$Q$1006:$U$1006,0))&gt;=100000), " ",IF(INDEX($Q$2:$U$1001,MATCH(ROWS($J$2:J441),$J$2:$J$1001,0),MATCH(COLUMNS($Q$1006:S1006),$Q$1006:$U$1006,0)), HYPERLINK("#",""), HYPERLINK(CONCATENATE("#metadata!", ADDRESS(INDEX($L$2:$L$1001,MATCH(ROWS($J$2:J441),$J$2:$J$1001,0),0), INDEX($Q$1004:$U$1004,1,MATCH(COLUMNS($Q$1006:S1006),$Q$1006:$U$1006,0)))),"Fix")))</f>
        <v xml:space="preserve"> </v>
      </c>
      <c r="E441" s="3" t="str">
        <f ca="1">IF(OR(INDEX($K$2:$K$1001,MATCH(ROWS($J$2:J441),$J$2:$J$1001,0),1)&gt;=100000,INDEX($Q$1005:$U$1005,1,MATCH(COLUMNS($Q$1006:T1006),$Q$1006:$U$1006,0))&gt;=100000), " ",IF(INDEX($Q$2:$U$1001,MATCH(ROWS($J$2:J441),$J$2:$J$1001,0),MATCH(COLUMNS($Q$1006:T1006),$Q$1006:$U$1006,0)), HYPERLINK("#",""), HYPERLINK(CONCATENATE("#metadata!", ADDRESS(INDEX($L$2:$L$1001,MATCH(ROWS($J$2:J441),$J$2:$J$1001,0),0), INDEX($Q$1004:$U$1004,1,MATCH(COLUMNS($Q$1006:T1006),$Q$1006:$U$1006,0)))),"Fix")))</f>
        <v xml:space="preserve"> </v>
      </c>
      <c r="F441" s="3" t="str">
        <f ca="1">IF(OR(INDEX($K$2:$K$1001,MATCH(ROWS($J$2:J441),$J$2:$J$1001,0),1)&gt;=100000,INDEX($Q$1005:$U$1005,1,MATCH(COLUMNS($Q$1006:U1006),$Q$1006:$U$1006,0))&gt;=100000), " ",IF(INDEX($Q$2:$U$1001,MATCH(ROWS($J$2:J441),$J$2:$J$1001,0),MATCH(COLUMNS($Q$1006:U1006),$Q$1006:$U$1006,0)), HYPERLINK("#",""), HYPERLINK(CONCATENATE("#metadata!", ADDRESS(INDEX($L$2:$L$1001,MATCH(ROWS($J$2:J441),$J$2:$J$1001,0),0), INDEX($Q$1004:$U$1004,1,MATCH(COLUMNS($Q$1006:U1006),$Q$1006:$U$1006,0)))),"Fix")))</f>
        <v xml:space="preserve"> </v>
      </c>
      <c r="J441">
        <v>440</v>
      </c>
      <c r="K441">
        <v>100441</v>
      </c>
      <c r="L441">
        <v>441</v>
      </c>
      <c r="M441" t="b">
        <f t="shared" si="6"/>
        <v>1</v>
      </c>
      <c r="N441" t="b">
        <f>COUNTBLANK(metadata!B441:F441)=COLUMNS(metadata!B441:F441)</f>
        <v>1</v>
      </c>
      <c r="O441" t="str">
        <v/>
      </c>
      <c r="Q441" t="b">
        <f ca="1">AND(IF(metadata!B441="",FALSE,TRUE),COUNTIF(metadata!B:B, metadata!B441) = 1,NOT(ISERROR(SUMPRODUCT(SEARCH(MID(metadata!B441,ROW(INDIRECT("1:"&amp;LEN(metadata!B441))), 1),"0123456789abcdefghijklmnopqrstuvwxyzABCDEFGHIJKLMNOPQRSTUVWXYZ.")))))</f>
        <v>0</v>
      </c>
      <c r="R441" t="b">
        <f>AND(IF(metadata!C441="",FALSE,TRUE),OR(EXACT(metadata!C441,"saline"),EXACT(metadata!C441,"non-saline")))</f>
        <v>0</v>
      </c>
      <c r="S441" t="b">
        <f>AND(IF(metadata!D441="",FALSE,TRUE),OR(EXACT(metadata!D441,"surface (non-saline)"),EXACT(metadata!D441,"aerosol (non-saline)"),EXACT(metadata!D441,"sediment (non-saline)"),EXACT(metadata!D441,"surface (saline)"),EXACT(metadata!D441,"aerosol (saline)"),EXACT(metadata!D441,"sediment (saline)")))</f>
        <v>0</v>
      </c>
      <c r="T441" t="b">
        <f>AND(IF(metadata!E441="",FALSE,TRUE),EXACT(metadata!E441,"built environment"))</f>
        <v>0</v>
      </c>
      <c r="U441" t="b">
        <f>OR(AND(IF(metadata!F441="",FALSE,TRUE),EXACT(metadata!F441,"not applicable")),AND(IF(metadata!F441="",FALSE,TRUE),EXACT(metadata!F441,"anaerobic digester content")))</f>
        <v>0</v>
      </c>
    </row>
    <row r="442" spans="1:21" x14ac:dyDescent="0.2">
      <c r="A442" s="4" t="str">
        <f ca="1">IF(B442=" "," ",HYPERLINK(CONCATENATE("#metadata!",ADDRESS(INDEX($L$2:$L$1001,MATCH(ROWS($J$2:J442),$J$2:$J$1001,0),0),1)),INDEX($O$2:$O$1001,MATCH(ROWS($J$2:J442),$J$2:$J$1001,0),0)))</f>
        <v xml:space="preserve"> </v>
      </c>
      <c r="B442" s="3" t="str">
        <f ca="1">IF(OR(INDEX($K$2:$K$1001,MATCH(ROWS($J$2:J442),$J$2:$J$1001,0),1)&gt;=100000,INDEX($Q$1005:$U$1005,1,MATCH(COLUMNS($Q$1006:Q1006),$Q$1006:$U$1006,0))&gt;=100000), " ",IF(INDEX($Q$2:$U$1001,MATCH(ROWS($J$2:J442),$J$2:$J$1001,0),MATCH(COLUMNS($Q$1006:Q1006),$Q$1006:$U$1006,0)), HYPERLINK("#",""), HYPERLINK(CONCATENATE("#metadata!", ADDRESS(INDEX($L$2:$L$1001,MATCH(ROWS($J$2:J442),$J$2:$J$1001,0),0), INDEX($Q$1004:$U$1004,1,MATCH(COLUMNS($Q$1006:Q1006),$Q$1006:$U$1006,0)))),"Fix")))</f>
        <v xml:space="preserve"> </v>
      </c>
      <c r="C442" s="3" t="str">
        <f ca="1">IF(OR(INDEX($K$2:$K$1001,MATCH(ROWS($J$2:J442),$J$2:$J$1001,0),1)&gt;=100000,INDEX($Q$1005:$U$1005,1,MATCH(COLUMNS($Q$1006:R1006),$Q$1006:$U$1006,0))&gt;=100000), " ",IF(INDEX($Q$2:$U$1001,MATCH(ROWS($J$2:J442),$J$2:$J$1001,0),MATCH(COLUMNS($Q$1006:R1006),$Q$1006:$U$1006,0)), HYPERLINK("#",""), HYPERLINK(CONCATENATE("#metadata!", ADDRESS(INDEX($L$2:$L$1001,MATCH(ROWS($J$2:J442),$J$2:$J$1001,0),0), INDEX($Q$1004:$U$1004,1,MATCH(COLUMNS($Q$1006:R1006),$Q$1006:$U$1006,0)))),"Fix")))</f>
        <v xml:space="preserve"> </v>
      </c>
      <c r="D442" s="3" t="str">
        <f ca="1">IF(OR(INDEX($K$2:$K$1001,MATCH(ROWS($J$2:J442),$J$2:$J$1001,0),1)&gt;=100000,INDEX($Q$1005:$U$1005,1,MATCH(COLUMNS($Q$1006:S1006),$Q$1006:$U$1006,0))&gt;=100000), " ",IF(INDEX($Q$2:$U$1001,MATCH(ROWS($J$2:J442),$J$2:$J$1001,0),MATCH(COLUMNS($Q$1006:S1006),$Q$1006:$U$1006,0)), HYPERLINK("#",""), HYPERLINK(CONCATENATE("#metadata!", ADDRESS(INDEX($L$2:$L$1001,MATCH(ROWS($J$2:J442),$J$2:$J$1001,0),0), INDEX($Q$1004:$U$1004,1,MATCH(COLUMNS($Q$1006:S1006),$Q$1006:$U$1006,0)))),"Fix")))</f>
        <v xml:space="preserve"> </v>
      </c>
      <c r="E442" s="3" t="str">
        <f ca="1">IF(OR(INDEX($K$2:$K$1001,MATCH(ROWS($J$2:J442),$J$2:$J$1001,0),1)&gt;=100000,INDEX($Q$1005:$U$1005,1,MATCH(COLUMNS($Q$1006:T1006),$Q$1006:$U$1006,0))&gt;=100000), " ",IF(INDEX($Q$2:$U$1001,MATCH(ROWS($J$2:J442),$J$2:$J$1001,0),MATCH(COLUMNS($Q$1006:T1006),$Q$1006:$U$1006,0)), HYPERLINK("#",""), HYPERLINK(CONCATENATE("#metadata!", ADDRESS(INDEX($L$2:$L$1001,MATCH(ROWS($J$2:J442),$J$2:$J$1001,0),0), INDEX($Q$1004:$U$1004,1,MATCH(COLUMNS($Q$1006:T1006),$Q$1006:$U$1006,0)))),"Fix")))</f>
        <v xml:space="preserve"> </v>
      </c>
      <c r="F442" s="3" t="str">
        <f ca="1">IF(OR(INDEX($K$2:$K$1001,MATCH(ROWS($J$2:J442),$J$2:$J$1001,0),1)&gt;=100000,INDEX($Q$1005:$U$1005,1,MATCH(COLUMNS($Q$1006:U1006),$Q$1006:$U$1006,0))&gt;=100000), " ",IF(INDEX($Q$2:$U$1001,MATCH(ROWS($J$2:J442),$J$2:$J$1001,0),MATCH(COLUMNS($Q$1006:U1006),$Q$1006:$U$1006,0)), HYPERLINK("#",""), HYPERLINK(CONCATENATE("#metadata!", ADDRESS(INDEX($L$2:$L$1001,MATCH(ROWS($J$2:J442),$J$2:$J$1001,0),0), INDEX($Q$1004:$U$1004,1,MATCH(COLUMNS($Q$1006:U1006),$Q$1006:$U$1006,0)))),"Fix")))</f>
        <v xml:space="preserve"> </v>
      </c>
      <c r="J442">
        <v>441</v>
      </c>
      <c r="K442">
        <v>100442</v>
      </c>
      <c r="L442">
        <v>442</v>
      </c>
      <c r="M442" t="b">
        <f t="shared" si="6"/>
        <v>1</v>
      </c>
      <c r="N442" t="b">
        <f>COUNTBLANK(metadata!B442:F442)=COLUMNS(metadata!B442:F442)</f>
        <v>1</v>
      </c>
      <c r="O442" t="str">
        <v/>
      </c>
      <c r="Q442" t="b">
        <f ca="1">AND(IF(metadata!B442="",FALSE,TRUE),COUNTIF(metadata!B:B, metadata!B442) = 1,NOT(ISERROR(SUMPRODUCT(SEARCH(MID(metadata!B442,ROW(INDIRECT("1:"&amp;LEN(metadata!B442))), 1),"0123456789abcdefghijklmnopqrstuvwxyzABCDEFGHIJKLMNOPQRSTUVWXYZ.")))))</f>
        <v>0</v>
      </c>
      <c r="R442" t="b">
        <f>AND(IF(metadata!C442="",FALSE,TRUE),OR(EXACT(metadata!C442,"saline"),EXACT(metadata!C442,"non-saline")))</f>
        <v>0</v>
      </c>
      <c r="S442" t="b">
        <f>AND(IF(metadata!D442="",FALSE,TRUE),OR(EXACT(metadata!D442,"surface (non-saline)"),EXACT(metadata!D442,"aerosol (non-saline)"),EXACT(metadata!D442,"sediment (non-saline)"),EXACT(metadata!D442,"surface (saline)"),EXACT(metadata!D442,"aerosol (saline)"),EXACT(metadata!D442,"sediment (saline)")))</f>
        <v>0</v>
      </c>
      <c r="T442" t="b">
        <f>AND(IF(metadata!E442="",FALSE,TRUE),EXACT(metadata!E442,"built environment"))</f>
        <v>0</v>
      </c>
      <c r="U442" t="b">
        <f>OR(AND(IF(metadata!F442="",FALSE,TRUE),EXACT(metadata!F442,"not applicable")),AND(IF(metadata!F442="",FALSE,TRUE),EXACT(metadata!F442,"anaerobic digester content")))</f>
        <v>0</v>
      </c>
    </row>
    <row r="443" spans="1:21" x14ac:dyDescent="0.2">
      <c r="A443" s="4" t="str">
        <f ca="1">IF(B443=" "," ",HYPERLINK(CONCATENATE("#metadata!",ADDRESS(INDEX($L$2:$L$1001,MATCH(ROWS($J$2:J443),$J$2:$J$1001,0),0),1)),INDEX($O$2:$O$1001,MATCH(ROWS($J$2:J443),$J$2:$J$1001,0),0)))</f>
        <v xml:space="preserve"> </v>
      </c>
      <c r="B443" s="3" t="str">
        <f ca="1">IF(OR(INDEX($K$2:$K$1001,MATCH(ROWS($J$2:J443),$J$2:$J$1001,0),1)&gt;=100000,INDEX($Q$1005:$U$1005,1,MATCH(COLUMNS($Q$1006:Q1006),$Q$1006:$U$1006,0))&gt;=100000), " ",IF(INDEX($Q$2:$U$1001,MATCH(ROWS($J$2:J443),$J$2:$J$1001,0),MATCH(COLUMNS($Q$1006:Q1006),$Q$1006:$U$1006,0)), HYPERLINK("#",""), HYPERLINK(CONCATENATE("#metadata!", ADDRESS(INDEX($L$2:$L$1001,MATCH(ROWS($J$2:J443),$J$2:$J$1001,0),0), INDEX($Q$1004:$U$1004,1,MATCH(COLUMNS($Q$1006:Q1006),$Q$1006:$U$1006,0)))),"Fix")))</f>
        <v xml:space="preserve"> </v>
      </c>
      <c r="C443" s="3" t="str">
        <f ca="1">IF(OR(INDEX($K$2:$K$1001,MATCH(ROWS($J$2:J443),$J$2:$J$1001,0),1)&gt;=100000,INDEX($Q$1005:$U$1005,1,MATCH(COLUMNS($Q$1006:R1006),$Q$1006:$U$1006,0))&gt;=100000), " ",IF(INDEX($Q$2:$U$1001,MATCH(ROWS($J$2:J443),$J$2:$J$1001,0),MATCH(COLUMNS($Q$1006:R1006),$Q$1006:$U$1006,0)), HYPERLINK("#",""), HYPERLINK(CONCATENATE("#metadata!", ADDRESS(INDEX($L$2:$L$1001,MATCH(ROWS($J$2:J443),$J$2:$J$1001,0),0), INDEX($Q$1004:$U$1004,1,MATCH(COLUMNS($Q$1006:R1006),$Q$1006:$U$1006,0)))),"Fix")))</f>
        <v xml:space="preserve"> </v>
      </c>
      <c r="D443" s="3" t="str">
        <f ca="1">IF(OR(INDEX($K$2:$K$1001,MATCH(ROWS($J$2:J443),$J$2:$J$1001,0),1)&gt;=100000,INDEX($Q$1005:$U$1005,1,MATCH(COLUMNS($Q$1006:S1006),$Q$1006:$U$1006,0))&gt;=100000), " ",IF(INDEX($Q$2:$U$1001,MATCH(ROWS($J$2:J443),$J$2:$J$1001,0),MATCH(COLUMNS($Q$1006:S1006),$Q$1006:$U$1006,0)), HYPERLINK("#",""), HYPERLINK(CONCATENATE("#metadata!", ADDRESS(INDEX($L$2:$L$1001,MATCH(ROWS($J$2:J443),$J$2:$J$1001,0),0), INDEX($Q$1004:$U$1004,1,MATCH(COLUMNS($Q$1006:S1006),$Q$1006:$U$1006,0)))),"Fix")))</f>
        <v xml:space="preserve"> </v>
      </c>
      <c r="E443" s="3" t="str">
        <f ca="1">IF(OR(INDEX($K$2:$K$1001,MATCH(ROWS($J$2:J443),$J$2:$J$1001,0),1)&gt;=100000,INDEX($Q$1005:$U$1005,1,MATCH(COLUMNS($Q$1006:T1006),$Q$1006:$U$1006,0))&gt;=100000), " ",IF(INDEX($Q$2:$U$1001,MATCH(ROWS($J$2:J443),$J$2:$J$1001,0),MATCH(COLUMNS($Q$1006:T1006),$Q$1006:$U$1006,0)), HYPERLINK("#",""), HYPERLINK(CONCATENATE("#metadata!", ADDRESS(INDEX($L$2:$L$1001,MATCH(ROWS($J$2:J443),$J$2:$J$1001,0),0), INDEX($Q$1004:$U$1004,1,MATCH(COLUMNS($Q$1006:T1006),$Q$1006:$U$1006,0)))),"Fix")))</f>
        <v xml:space="preserve"> </v>
      </c>
      <c r="F443" s="3" t="str">
        <f ca="1">IF(OR(INDEX($K$2:$K$1001,MATCH(ROWS($J$2:J443),$J$2:$J$1001,0),1)&gt;=100000,INDEX($Q$1005:$U$1005,1,MATCH(COLUMNS($Q$1006:U1006),$Q$1006:$U$1006,0))&gt;=100000), " ",IF(INDEX($Q$2:$U$1001,MATCH(ROWS($J$2:J443),$J$2:$J$1001,0),MATCH(COLUMNS($Q$1006:U1006),$Q$1006:$U$1006,0)), HYPERLINK("#",""), HYPERLINK(CONCATENATE("#metadata!", ADDRESS(INDEX($L$2:$L$1001,MATCH(ROWS($J$2:J443),$J$2:$J$1001,0),0), INDEX($Q$1004:$U$1004,1,MATCH(COLUMNS($Q$1006:U1006),$Q$1006:$U$1006,0)))),"Fix")))</f>
        <v xml:space="preserve"> </v>
      </c>
      <c r="J443">
        <v>442</v>
      </c>
      <c r="K443">
        <v>100443</v>
      </c>
      <c r="L443">
        <v>443</v>
      </c>
      <c r="M443" t="b">
        <f t="shared" si="6"/>
        <v>1</v>
      </c>
      <c r="N443" t="b">
        <f>COUNTBLANK(metadata!B443:F443)=COLUMNS(metadata!B443:F443)</f>
        <v>1</v>
      </c>
      <c r="O443" t="str">
        <v/>
      </c>
      <c r="Q443" t="b">
        <f ca="1">AND(IF(metadata!B443="",FALSE,TRUE),COUNTIF(metadata!B:B, metadata!B443) = 1,NOT(ISERROR(SUMPRODUCT(SEARCH(MID(metadata!B443,ROW(INDIRECT("1:"&amp;LEN(metadata!B443))), 1),"0123456789abcdefghijklmnopqrstuvwxyzABCDEFGHIJKLMNOPQRSTUVWXYZ.")))))</f>
        <v>0</v>
      </c>
      <c r="R443" t="b">
        <f>AND(IF(metadata!C443="",FALSE,TRUE),OR(EXACT(metadata!C443,"saline"),EXACT(metadata!C443,"non-saline")))</f>
        <v>0</v>
      </c>
      <c r="S443" t="b">
        <f>AND(IF(metadata!D443="",FALSE,TRUE),OR(EXACT(metadata!D443,"surface (non-saline)"),EXACT(metadata!D443,"aerosol (non-saline)"),EXACT(metadata!D443,"sediment (non-saline)"),EXACT(metadata!D443,"surface (saline)"),EXACT(metadata!D443,"aerosol (saline)"),EXACT(metadata!D443,"sediment (saline)")))</f>
        <v>0</v>
      </c>
      <c r="T443" t="b">
        <f>AND(IF(metadata!E443="",FALSE,TRUE),EXACT(metadata!E443,"built environment"))</f>
        <v>0</v>
      </c>
      <c r="U443" t="b">
        <f>OR(AND(IF(metadata!F443="",FALSE,TRUE),EXACT(metadata!F443,"not applicable")),AND(IF(metadata!F443="",FALSE,TRUE),EXACT(metadata!F443,"anaerobic digester content")))</f>
        <v>0</v>
      </c>
    </row>
    <row r="444" spans="1:21" x14ac:dyDescent="0.2">
      <c r="A444" s="4" t="str">
        <f ca="1">IF(B444=" "," ",HYPERLINK(CONCATENATE("#metadata!",ADDRESS(INDEX($L$2:$L$1001,MATCH(ROWS($J$2:J444),$J$2:$J$1001,0),0),1)),INDEX($O$2:$O$1001,MATCH(ROWS($J$2:J444),$J$2:$J$1001,0),0)))</f>
        <v xml:space="preserve"> </v>
      </c>
      <c r="B444" s="3" t="str">
        <f ca="1">IF(OR(INDEX($K$2:$K$1001,MATCH(ROWS($J$2:J444),$J$2:$J$1001,0),1)&gt;=100000,INDEX($Q$1005:$U$1005,1,MATCH(COLUMNS($Q$1006:Q1006),$Q$1006:$U$1006,0))&gt;=100000), " ",IF(INDEX($Q$2:$U$1001,MATCH(ROWS($J$2:J444),$J$2:$J$1001,0),MATCH(COLUMNS($Q$1006:Q1006),$Q$1006:$U$1006,0)), HYPERLINK("#",""), HYPERLINK(CONCATENATE("#metadata!", ADDRESS(INDEX($L$2:$L$1001,MATCH(ROWS($J$2:J444),$J$2:$J$1001,0),0), INDEX($Q$1004:$U$1004,1,MATCH(COLUMNS($Q$1006:Q1006),$Q$1006:$U$1006,0)))),"Fix")))</f>
        <v xml:space="preserve"> </v>
      </c>
      <c r="C444" s="3" t="str">
        <f ca="1">IF(OR(INDEX($K$2:$K$1001,MATCH(ROWS($J$2:J444),$J$2:$J$1001,0),1)&gt;=100000,INDEX($Q$1005:$U$1005,1,MATCH(COLUMNS($Q$1006:R1006),$Q$1006:$U$1006,0))&gt;=100000), " ",IF(INDEX($Q$2:$U$1001,MATCH(ROWS($J$2:J444),$J$2:$J$1001,0),MATCH(COLUMNS($Q$1006:R1006),$Q$1006:$U$1006,0)), HYPERLINK("#",""), HYPERLINK(CONCATENATE("#metadata!", ADDRESS(INDEX($L$2:$L$1001,MATCH(ROWS($J$2:J444),$J$2:$J$1001,0),0), INDEX($Q$1004:$U$1004,1,MATCH(COLUMNS($Q$1006:R1006),$Q$1006:$U$1006,0)))),"Fix")))</f>
        <v xml:space="preserve"> </v>
      </c>
      <c r="D444" s="3" t="str">
        <f ca="1">IF(OR(INDEX($K$2:$K$1001,MATCH(ROWS($J$2:J444),$J$2:$J$1001,0),1)&gt;=100000,INDEX($Q$1005:$U$1005,1,MATCH(COLUMNS($Q$1006:S1006),$Q$1006:$U$1006,0))&gt;=100000), " ",IF(INDEX($Q$2:$U$1001,MATCH(ROWS($J$2:J444),$J$2:$J$1001,0),MATCH(COLUMNS($Q$1006:S1006),$Q$1006:$U$1006,0)), HYPERLINK("#",""), HYPERLINK(CONCATENATE("#metadata!", ADDRESS(INDEX($L$2:$L$1001,MATCH(ROWS($J$2:J444),$J$2:$J$1001,0),0), INDEX($Q$1004:$U$1004,1,MATCH(COLUMNS($Q$1006:S1006),$Q$1006:$U$1006,0)))),"Fix")))</f>
        <v xml:space="preserve"> </v>
      </c>
      <c r="E444" s="3" t="str">
        <f ca="1">IF(OR(INDEX($K$2:$K$1001,MATCH(ROWS($J$2:J444),$J$2:$J$1001,0),1)&gt;=100000,INDEX($Q$1005:$U$1005,1,MATCH(COLUMNS($Q$1006:T1006),$Q$1006:$U$1006,0))&gt;=100000), " ",IF(INDEX($Q$2:$U$1001,MATCH(ROWS($J$2:J444),$J$2:$J$1001,0),MATCH(COLUMNS($Q$1006:T1006),$Q$1006:$U$1006,0)), HYPERLINK("#",""), HYPERLINK(CONCATENATE("#metadata!", ADDRESS(INDEX($L$2:$L$1001,MATCH(ROWS($J$2:J444),$J$2:$J$1001,0),0), INDEX($Q$1004:$U$1004,1,MATCH(COLUMNS($Q$1006:T1006),$Q$1006:$U$1006,0)))),"Fix")))</f>
        <v xml:space="preserve"> </v>
      </c>
      <c r="F444" s="3" t="str">
        <f ca="1">IF(OR(INDEX($K$2:$K$1001,MATCH(ROWS($J$2:J444),$J$2:$J$1001,0),1)&gt;=100000,INDEX($Q$1005:$U$1005,1,MATCH(COLUMNS($Q$1006:U1006),$Q$1006:$U$1006,0))&gt;=100000), " ",IF(INDEX($Q$2:$U$1001,MATCH(ROWS($J$2:J444),$J$2:$J$1001,0),MATCH(COLUMNS($Q$1006:U1006),$Q$1006:$U$1006,0)), HYPERLINK("#",""), HYPERLINK(CONCATENATE("#metadata!", ADDRESS(INDEX($L$2:$L$1001,MATCH(ROWS($J$2:J444),$J$2:$J$1001,0),0), INDEX($Q$1004:$U$1004,1,MATCH(COLUMNS($Q$1006:U1006),$Q$1006:$U$1006,0)))),"Fix")))</f>
        <v xml:space="preserve"> </v>
      </c>
      <c r="J444">
        <v>443</v>
      </c>
      <c r="K444">
        <v>100444</v>
      </c>
      <c r="L444">
        <v>444</v>
      </c>
      <c r="M444" t="b">
        <f t="shared" si="6"/>
        <v>1</v>
      </c>
      <c r="N444" t="b">
        <f>COUNTBLANK(metadata!B444:F444)=COLUMNS(metadata!B444:F444)</f>
        <v>1</v>
      </c>
      <c r="O444" t="str">
        <v/>
      </c>
      <c r="Q444" t="b">
        <f ca="1">AND(IF(metadata!B444="",FALSE,TRUE),COUNTIF(metadata!B:B, metadata!B444) = 1,NOT(ISERROR(SUMPRODUCT(SEARCH(MID(metadata!B444,ROW(INDIRECT("1:"&amp;LEN(metadata!B444))), 1),"0123456789abcdefghijklmnopqrstuvwxyzABCDEFGHIJKLMNOPQRSTUVWXYZ.")))))</f>
        <v>0</v>
      </c>
      <c r="R444" t="b">
        <f>AND(IF(metadata!C444="",FALSE,TRUE),OR(EXACT(metadata!C444,"saline"),EXACT(metadata!C444,"non-saline")))</f>
        <v>0</v>
      </c>
      <c r="S444" t="b">
        <f>AND(IF(metadata!D444="",FALSE,TRUE),OR(EXACT(metadata!D444,"surface (non-saline)"),EXACT(metadata!D444,"aerosol (non-saline)"),EXACT(metadata!D444,"sediment (non-saline)"),EXACT(metadata!D444,"surface (saline)"),EXACT(metadata!D444,"aerosol (saline)"),EXACT(metadata!D444,"sediment (saline)")))</f>
        <v>0</v>
      </c>
      <c r="T444" t="b">
        <f>AND(IF(metadata!E444="",FALSE,TRUE),EXACT(metadata!E444,"built environment"))</f>
        <v>0</v>
      </c>
      <c r="U444" t="b">
        <f>OR(AND(IF(metadata!F444="",FALSE,TRUE),EXACT(metadata!F444,"not applicable")),AND(IF(metadata!F444="",FALSE,TRUE),EXACT(metadata!F444,"anaerobic digester content")))</f>
        <v>0</v>
      </c>
    </row>
    <row r="445" spans="1:21" x14ac:dyDescent="0.2">
      <c r="A445" s="4" t="str">
        <f ca="1">IF(B445=" "," ",HYPERLINK(CONCATENATE("#metadata!",ADDRESS(INDEX($L$2:$L$1001,MATCH(ROWS($J$2:J445),$J$2:$J$1001,0),0),1)),INDEX($O$2:$O$1001,MATCH(ROWS($J$2:J445),$J$2:$J$1001,0),0)))</f>
        <v xml:space="preserve"> </v>
      </c>
      <c r="B445" s="3" t="str">
        <f ca="1">IF(OR(INDEX($K$2:$K$1001,MATCH(ROWS($J$2:J445),$J$2:$J$1001,0),1)&gt;=100000,INDEX($Q$1005:$U$1005,1,MATCH(COLUMNS($Q$1006:Q1006),$Q$1006:$U$1006,0))&gt;=100000), " ",IF(INDEX($Q$2:$U$1001,MATCH(ROWS($J$2:J445),$J$2:$J$1001,0),MATCH(COLUMNS($Q$1006:Q1006),$Q$1006:$U$1006,0)), HYPERLINK("#",""), HYPERLINK(CONCATENATE("#metadata!", ADDRESS(INDEX($L$2:$L$1001,MATCH(ROWS($J$2:J445),$J$2:$J$1001,0),0), INDEX($Q$1004:$U$1004,1,MATCH(COLUMNS($Q$1006:Q1006),$Q$1006:$U$1006,0)))),"Fix")))</f>
        <v xml:space="preserve"> </v>
      </c>
      <c r="C445" s="3" t="str">
        <f ca="1">IF(OR(INDEX($K$2:$K$1001,MATCH(ROWS($J$2:J445),$J$2:$J$1001,0),1)&gt;=100000,INDEX($Q$1005:$U$1005,1,MATCH(COLUMNS($Q$1006:R1006),$Q$1006:$U$1006,0))&gt;=100000), " ",IF(INDEX($Q$2:$U$1001,MATCH(ROWS($J$2:J445),$J$2:$J$1001,0),MATCH(COLUMNS($Q$1006:R1006),$Q$1006:$U$1006,0)), HYPERLINK("#",""), HYPERLINK(CONCATENATE("#metadata!", ADDRESS(INDEX($L$2:$L$1001,MATCH(ROWS($J$2:J445),$J$2:$J$1001,0),0), INDEX($Q$1004:$U$1004,1,MATCH(COLUMNS($Q$1006:R1006),$Q$1006:$U$1006,0)))),"Fix")))</f>
        <v xml:space="preserve"> </v>
      </c>
      <c r="D445" s="3" t="str">
        <f ca="1">IF(OR(INDEX($K$2:$K$1001,MATCH(ROWS($J$2:J445),$J$2:$J$1001,0),1)&gt;=100000,INDEX($Q$1005:$U$1005,1,MATCH(COLUMNS($Q$1006:S1006),$Q$1006:$U$1006,0))&gt;=100000), " ",IF(INDEX($Q$2:$U$1001,MATCH(ROWS($J$2:J445),$J$2:$J$1001,0),MATCH(COLUMNS($Q$1006:S1006),$Q$1006:$U$1006,0)), HYPERLINK("#",""), HYPERLINK(CONCATENATE("#metadata!", ADDRESS(INDEX($L$2:$L$1001,MATCH(ROWS($J$2:J445),$J$2:$J$1001,0),0), INDEX($Q$1004:$U$1004,1,MATCH(COLUMNS($Q$1006:S1006),$Q$1006:$U$1006,0)))),"Fix")))</f>
        <v xml:space="preserve"> </v>
      </c>
      <c r="E445" s="3" t="str">
        <f ca="1">IF(OR(INDEX($K$2:$K$1001,MATCH(ROWS($J$2:J445),$J$2:$J$1001,0),1)&gt;=100000,INDEX($Q$1005:$U$1005,1,MATCH(COLUMNS($Q$1006:T1006),$Q$1006:$U$1006,0))&gt;=100000), " ",IF(INDEX($Q$2:$U$1001,MATCH(ROWS($J$2:J445),$J$2:$J$1001,0),MATCH(COLUMNS($Q$1006:T1006),$Q$1006:$U$1006,0)), HYPERLINK("#",""), HYPERLINK(CONCATENATE("#metadata!", ADDRESS(INDEX($L$2:$L$1001,MATCH(ROWS($J$2:J445),$J$2:$J$1001,0),0), INDEX($Q$1004:$U$1004,1,MATCH(COLUMNS($Q$1006:T1006),$Q$1006:$U$1006,0)))),"Fix")))</f>
        <v xml:space="preserve"> </v>
      </c>
      <c r="F445" s="3" t="str">
        <f ca="1">IF(OR(INDEX($K$2:$K$1001,MATCH(ROWS($J$2:J445),$J$2:$J$1001,0),1)&gt;=100000,INDEX($Q$1005:$U$1005,1,MATCH(COLUMNS($Q$1006:U1006),$Q$1006:$U$1006,0))&gt;=100000), " ",IF(INDEX($Q$2:$U$1001,MATCH(ROWS($J$2:J445),$J$2:$J$1001,0),MATCH(COLUMNS($Q$1006:U1006),$Q$1006:$U$1006,0)), HYPERLINK("#",""), HYPERLINK(CONCATENATE("#metadata!", ADDRESS(INDEX($L$2:$L$1001,MATCH(ROWS($J$2:J445),$J$2:$J$1001,0),0), INDEX($Q$1004:$U$1004,1,MATCH(COLUMNS($Q$1006:U1006),$Q$1006:$U$1006,0)))),"Fix")))</f>
        <v xml:space="preserve"> </v>
      </c>
      <c r="J445">
        <v>444</v>
      </c>
      <c r="K445">
        <v>100445</v>
      </c>
      <c r="L445">
        <v>445</v>
      </c>
      <c r="M445" t="b">
        <f t="shared" si="6"/>
        <v>1</v>
      </c>
      <c r="N445" t="b">
        <f>COUNTBLANK(metadata!B445:F445)=COLUMNS(metadata!B445:F445)</f>
        <v>1</v>
      </c>
      <c r="O445" t="str">
        <v/>
      </c>
      <c r="Q445" t="b">
        <f ca="1">AND(IF(metadata!B445="",FALSE,TRUE),COUNTIF(metadata!B:B, metadata!B445) = 1,NOT(ISERROR(SUMPRODUCT(SEARCH(MID(metadata!B445,ROW(INDIRECT("1:"&amp;LEN(metadata!B445))), 1),"0123456789abcdefghijklmnopqrstuvwxyzABCDEFGHIJKLMNOPQRSTUVWXYZ.")))))</f>
        <v>0</v>
      </c>
      <c r="R445" t="b">
        <f>AND(IF(metadata!C445="",FALSE,TRUE),OR(EXACT(metadata!C445,"saline"),EXACT(metadata!C445,"non-saline")))</f>
        <v>0</v>
      </c>
      <c r="S445" t="b">
        <f>AND(IF(metadata!D445="",FALSE,TRUE),OR(EXACT(metadata!D445,"surface (non-saline)"),EXACT(metadata!D445,"aerosol (non-saline)"),EXACT(metadata!D445,"sediment (non-saline)"),EXACT(metadata!D445,"surface (saline)"),EXACT(metadata!D445,"aerosol (saline)"),EXACT(metadata!D445,"sediment (saline)")))</f>
        <v>0</v>
      </c>
      <c r="T445" t="b">
        <f>AND(IF(metadata!E445="",FALSE,TRUE),EXACT(metadata!E445,"built environment"))</f>
        <v>0</v>
      </c>
      <c r="U445" t="b">
        <f>OR(AND(IF(metadata!F445="",FALSE,TRUE),EXACT(metadata!F445,"not applicable")),AND(IF(metadata!F445="",FALSE,TRUE),EXACT(metadata!F445,"anaerobic digester content")))</f>
        <v>0</v>
      </c>
    </row>
    <row r="446" spans="1:21" x14ac:dyDescent="0.2">
      <c r="A446" s="4" t="str">
        <f ca="1">IF(B446=" "," ",HYPERLINK(CONCATENATE("#metadata!",ADDRESS(INDEX($L$2:$L$1001,MATCH(ROWS($J$2:J446),$J$2:$J$1001,0),0),1)),INDEX($O$2:$O$1001,MATCH(ROWS($J$2:J446),$J$2:$J$1001,0),0)))</f>
        <v xml:space="preserve"> </v>
      </c>
      <c r="B446" s="3" t="str">
        <f ca="1">IF(OR(INDEX($K$2:$K$1001,MATCH(ROWS($J$2:J446),$J$2:$J$1001,0),1)&gt;=100000,INDEX($Q$1005:$U$1005,1,MATCH(COLUMNS($Q$1006:Q1006),$Q$1006:$U$1006,0))&gt;=100000), " ",IF(INDEX($Q$2:$U$1001,MATCH(ROWS($J$2:J446),$J$2:$J$1001,0),MATCH(COLUMNS($Q$1006:Q1006),$Q$1006:$U$1006,0)), HYPERLINK("#",""), HYPERLINK(CONCATENATE("#metadata!", ADDRESS(INDEX($L$2:$L$1001,MATCH(ROWS($J$2:J446),$J$2:$J$1001,0),0), INDEX($Q$1004:$U$1004,1,MATCH(COLUMNS($Q$1006:Q1006),$Q$1006:$U$1006,0)))),"Fix")))</f>
        <v xml:space="preserve"> </v>
      </c>
      <c r="C446" s="3" t="str">
        <f ca="1">IF(OR(INDEX($K$2:$K$1001,MATCH(ROWS($J$2:J446),$J$2:$J$1001,0),1)&gt;=100000,INDEX($Q$1005:$U$1005,1,MATCH(COLUMNS($Q$1006:R1006),$Q$1006:$U$1006,0))&gt;=100000), " ",IF(INDEX($Q$2:$U$1001,MATCH(ROWS($J$2:J446),$J$2:$J$1001,0),MATCH(COLUMNS($Q$1006:R1006),$Q$1006:$U$1006,0)), HYPERLINK("#",""), HYPERLINK(CONCATENATE("#metadata!", ADDRESS(INDEX($L$2:$L$1001,MATCH(ROWS($J$2:J446),$J$2:$J$1001,0),0), INDEX($Q$1004:$U$1004,1,MATCH(COLUMNS($Q$1006:R1006),$Q$1006:$U$1006,0)))),"Fix")))</f>
        <v xml:space="preserve"> </v>
      </c>
      <c r="D446" s="3" t="str">
        <f ca="1">IF(OR(INDEX($K$2:$K$1001,MATCH(ROWS($J$2:J446),$J$2:$J$1001,0),1)&gt;=100000,INDEX($Q$1005:$U$1005,1,MATCH(COLUMNS($Q$1006:S1006),$Q$1006:$U$1006,0))&gt;=100000), " ",IF(INDEX($Q$2:$U$1001,MATCH(ROWS($J$2:J446),$J$2:$J$1001,0),MATCH(COLUMNS($Q$1006:S1006),$Q$1006:$U$1006,0)), HYPERLINK("#",""), HYPERLINK(CONCATENATE("#metadata!", ADDRESS(INDEX($L$2:$L$1001,MATCH(ROWS($J$2:J446),$J$2:$J$1001,0),0), INDEX($Q$1004:$U$1004,1,MATCH(COLUMNS($Q$1006:S1006),$Q$1006:$U$1006,0)))),"Fix")))</f>
        <v xml:space="preserve"> </v>
      </c>
      <c r="E446" s="3" t="str">
        <f ca="1">IF(OR(INDEX($K$2:$K$1001,MATCH(ROWS($J$2:J446),$J$2:$J$1001,0),1)&gt;=100000,INDEX($Q$1005:$U$1005,1,MATCH(COLUMNS($Q$1006:T1006),$Q$1006:$U$1006,0))&gt;=100000), " ",IF(INDEX($Q$2:$U$1001,MATCH(ROWS($J$2:J446),$J$2:$J$1001,0),MATCH(COLUMNS($Q$1006:T1006),$Q$1006:$U$1006,0)), HYPERLINK("#",""), HYPERLINK(CONCATENATE("#metadata!", ADDRESS(INDEX($L$2:$L$1001,MATCH(ROWS($J$2:J446),$J$2:$J$1001,0),0), INDEX($Q$1004:$U$1004,1,MATCH(COLUMNS($Q$1006:T1006),$Q$1006:$U$1006,0)))),"Fix")))</f>
        <v xml:space="preserve"> </v>
      </c>
      <c r="F446" s="3" t="str">
        <f ca="1">IF(OR(INDEX($K$2:$K$1001,MATCH(ROWS($J$2:J446),$J$2:$J$1001,0),1)&gt;=100000,INDEX($Q$1005:$U$1005,1,MATCH(COLUMNS($Q$1006:U1006),$Q$1006:$U$1006,0))&gt;=100000), " ",IF(INDEX($Q$2:$U$1001,MATCH(ROWS($J$2:J446),$J$2:$J$1001,0),MATCH(COLUMNS($Q$1006:U1006),$Q$1006:$U$1006,0)), HYPERLINK("#",""), HYPERLINK(CONCATENATE("#metadata!", ADDRESS(INDEX($L$2:$L$1001,MATCH(ROWS($J$2:J446),$J$2:$J$1001,0),0), INDEX($Q$1004:$U$1004,1,MATCH(COLUMNS($Q$1006:U1006),$Q$1006:$U$1006,0)))),"Fix")))</f>
        <v xml:space="preserve"> </v>
      </c>
      <c r="J446">
        <v>445</v>
      </c>
      <c r="K446">
        <v>100446</v>
      </c>
      <c r="L446">
        <v>446</v>
      </c>
      <c r="M446" t="b">
        <f t="shared" si="6"/>
        <v>1</v>
      </c>
      <c r="N446" t="b">
        <f>COUNTBLANK(metadata!B446:F446)=COLUMNS(metadata!B446:F446)</f>
        <v>1</v>
      </c>
      <c r="O446" t="str">
        <v/>
      </c>
      <c r="Q446" t="b">
        <f ca="1">AND(IF(metadata!B446="",FALSE,TRUE),COUNTIF(metadata!B:B, metadata!B446) = 1,NOT(ISERROR(SUMPRODUCT(SEARCH(MID(metadata!B446,ROW(INDIRECT("1:"&amp;LEN(metadata!B446))), 1),"0123456789abcdefghijklmnopqrstuvwxyzABCDEFGHIJKLMNOPQRSTUVWXYZ.")))))</f>
        <v>0</v>
      </c>
      <c r="R446" t="b">
        <f>AND(IF(metadata!C446="",FALSE,TRUE),OR(EXACT(metadata!C446,"saline"),EXACT(metadata!C446,"non-saline")))</f>
        <v>0</v>
      </c>
      <c r="S446" t="b">
        <f>AND(IF(metadata!D446="",FALSE,TRUE),OR(EXACT(metadata!D446,"surface (non-saline)"),EXACT(metadata!D446,"aerosol (non-saline)"),EXACT(metadata!D446,"sediment (non-saline)"),EXACT(metadata!D446,"surface (saline)"),EXACT(metadata!D446,"aerosol (saline)"),EXACT(metadata!D446,"sediment (saline)")))</f>
        <v>0</v>
      </c>
      <c r="T446" t="b">
        <f>AND(IF(metadata!E446="",FALSE,TRUE),EXACT(metadata!E446,"built environment"))</f>
        <v>0</v>
      </c>
      <c r="U446" t="b">
        <f>OR(AND(IF(metadata!F446="",FALSE,TRUE),EXACT(metadata!F446,"not applicable")),AND(IF(metadata!F446="",FALSE,TRUE),EXACT(metadata!F446,"anaerobic digester content")))</f>
        <v>0</v>
      </c>
    </row>
    <row r="447" spans="1:21" x14ac:dyDescent="0.2">
      <c r="A447" s="4" t="str">
        <f ca="1">IF(B447=" "," ",HYPERLINK(CONCATENATE("#metadata!",ADDRESS(INDEX($L$2:$L$1001,MATCH(ROWS($J$2:J447),$J$2:$J$1001,0),0),1)),INDEX($O$2:$O$1001,MATCH(ROWS($J$2:J447),$J$2:$J$1001,0),0)))</f>
        <v xml:space="preserve"> </v>
      </c>
      <c r="B447" s="3" t="str">
        <f ca="1">IF(OR(INDEX($K$2:$K$1001,MATCH(ROWS($J$2:J447),$J$2:$J$1001,0),1)&gt;=100000,INDEX($Q$1005:$U$1005,1,MATCH(COLUMNS($Q$1006:Q1006),$Q$1006:$U$1006,0))&gt;=100000), " ",IF(INDEX($Q$2:$U$1001,MATCH(ROWS($J$2:J447),$J$2:$J$1001,0),MATCH(COLUMNS($Q$1006:Q1006),$Q$1006:$U$1006,0)), HYPERLINK("#",""), HYPERLINK(CONCATENATE("#metadata!", ADDRESS(INDEX($L$2:$L$1001,MATCH(ROWS($J$2:J447),$J$2:$J$1001,0),0), INDEX($Q$1004:$U$1004,1,MATCH(COLUMNS($Q$1006:Q1006),$Q$1006:$U$1006,0)))),"Fix")))</f>
        <v xml:space="preserve"> </v>
      </c>
      <c r="C447" s="3" t="str">
        <f ca="1">IF(OR(INDEX($K$2:$K$1001,MATCH(ROWS($J$2:J447),$J$2:$J$1001,0),1)&gt;=100000,INDEX($Q$1005:$U$1005,1,MATCH(COLUMNS($Q$1006:R1006),$Q$1006:$U$1006,0))&gt;=100000), " ",IF(INDEX($Q$2:$U$1001,MATCH(ROWS($J$2:J447),$J$2:$J$1001,0),MATCH(COLUMNS($Q$1006:R1006),$Q$1006:$U$1006,0)), HYPERLINK("#",""), HYPERLINK(CONCATENATE("#metadata!", ADDRESS(INDEX($L$2:$L$1001,MATCH(ROWS($J$2:J447),$J$2:$J$1001,0),0), INDEX($Q$1004:$U$1004,1,MATCH(COLUMNS($Q$1006:R1006),$Q$1006:$U$1006,0)))),"Fix")))</f>
        <v xml:space="preserve"> </v>
      </c>
      <c r="D447" s="3" t="str">
        <f ca="1">IF(OR(INDEX($K$2:$K$1001,MATCH(ROWS($J$2:J447),$J$2:$J$1001,0),1)&gt;=100000,INDEX($Q$1005:$U$1005,1,MATCH(COLUMNS($Q$1006:S1006),$Q$1006:$U$1006,0))&gt;=100000), " ",IF(INDEX($Q$2:$U$1001,MATCH(ROWS($J$2:J447),$J$2:$J$1001,0),MATCH(COLUMNS($Q$1006:S1006),$Q$1006:$U$1006,0)), HYPERLINK("#",""), HYPERLINK(CONCATENATE("#metadata!", ADDRESS(INDEX($L$2:$L$1001,MATCH(ROWS($J$2:J447),$J$2:$J$1001,0),0), INDEX($Q$1004:$U$1004,1,MATCH(COLUMNS($Q$1006:S1006),$Q$1006:$U$1006,0)))),"Fix")))</f>
        <v xml:space="preserve"> </v>
      </c>
      <c r="E447" s="3" t="str">
        <f ca="1">IF(OR(INDEX($K$2:$K$1001,MATCH(ROWS($J$2:J447),$J$2:$J$1001,0),1)&gt;=100000,INDEX($Q$1005:$U$1005,1,MATCH(COLUMNS($Q$1006:T1006),$Q$1006:$U$1006,0))&gt;=100000), " ",IF(INDEX($Q$2:$U$1001,MATCH(ROWS($J$2:J447),$J$2:$J$1001,0),MATCH(COLUMNS($Q$1006:T1006),$Q$1006:$U$1006,0)), HYPERLINK("#",""), HYPERLINK(CONCATENATE("#metadata!", ADDRESS(INDEX($L$2:$L$1001,MATCH(ROWS($J$2:J447),$J$2:$J$1001,0),0), INDEX($Q$1004:$U$1004,1,MATCH(COLUMNS($Q$1006:T1006),$Q$1006:$U$1006,0)))),"Fix")))</f>
        <v xml:space="preserve"> </v>
      </c>
      <c r="F447" s="3" t="str">
        <f ca="1">IF(OR(INDEX($K$2:$K$1001,MATCH(ROWS($J$2:J447),$J$2:$J$1001,0),1)&gt;=100000,INDEX($Q$1005:$U$1005,1,MATCH(COLUMNS($Q$1006:U1006),$Q$1006:$U$1006,0))&gt;=100000), " ",IF(INDEX($Q$2:$U$1001,MATCH(ROWS($J$2:J447),$J$2:$J$1001,0),MATCH(COLUMNS($Q$1006:U1006),$Q$1006:$U$1006,0)), HYPERLINK("#",""), HYPERLINK(CONCATENATE("#metadata!", ADDRESS(INDEX($L$2:$L$1001,MATCH(ROWS($J$2:J447),$J$2:$J$1001,0),0), INDEX($Q$1004:$U$1004,1,MATCH(COLUMNS($Q$1006:U1006),$Q$1006:$U$1006,0)))),"Fix")))</f>
        <v xml:space="preserve"> </v>
      </c>
      <c r="J447">
        <v>446</v>
      </c>
      <c r="K447">
        <v>100447</v>
      </c>
      <c r="L447">
        <v>447</v>
      </c>
      <c r="M447" t="b">
        <f t="shared" si="6"/>
        <v>1</v>
      </c>
      <c r="N447" t="b">
        <f>COUNTBLANK(metadata!B447:F447)=COLUMNS(metadata!B447:F447)</f>
        <v>1</v>
      </c>
      <c r="O447" t="str">
        <v/>
      </c>
      <c r="Q447" t="b">
        <f ca="1">AND(IF(metadata!B447="",FALSE,TRUE),COUNTIF(metadata!B:B, metadata!B447) = 1,NOT(ISERROR(SUMPRODUCT(SEARCH(MID(metadata!B447,ROW(INDIRECT("1:"&amp;LEN(metadata!B447))), 1),"0123456789abcdefghijklmnopqrstuvwxyzABCDEFGHIJKLMNOPQRSTUVWXYZ.")))))</f>
        <v>0</v>
      </c>
      <c r="R447" t="b">
        <f>AND(IF(metadata!C447="",FALSE,TRUE),OR(EXACT(metadata!C447,"saline"),EXACT(metadata!C447,"non-saline")))</f>
        <v>0</v>
      </c>
      <c r="S447" t="b">
        <f>AND(IF(metadata!D447="",FALSE,TRUE),OR(EXACT(metadata!D447,"surface (non-saline)"),EXACT(metadata!D447,"aerosol (non-saline)"),EXACT(metadata!D447,"sediment (non-saline)"),EXACT(metadata!D447,"surface (saline)"),EXACT(metadata!D447,"aerosol (saline)"),EXACT(metadata!D447,"sediment (saline)")))</f>
        <v>0</v>
      </c>
      <c r="T447" t="b">
        <f>AND(IF(metadata!E447="",FALSE,TRUE),EXACT(metadata!E447,"built environment"))</f>
        <v>0</v>
      </c>
      <c r="U447" t="b">
        <f>OR(AND(IF(metadata!F447="",FALSE,TRUE),EXACT(metadata!F447,"not applicable")),AND(IF(metadata!F447="",FALSE,TRUE),EXACT(metadata!F447,"anaerobic digester content")))</f>
        <v>0</v>
      </c>
    </row>
    <row r="448" spans="1:21" x14ac:dyDescent="0.2">
      <c r="A448" s="4" t="str">
        <f ca="1">IF(B448=" "," ",HYPERLINK(CONCATENATE("#metadata!",ADDRESS(INDEX($L$2:$L$1001,MATCH(ROWS($J$2:J448),$J$2:$J$1001,0),0),1)),INDEX($O$2:$O$1001,MATCH(ROWS($J$2:J448),$J$2:$J$1001,0),0)))</f>
        <v xml:space="preserve"> </v>
      </c>
      <c r="B448" s="3" t="str">
        <f ca="1">IF(OR(INDEX($K$2:$K$1001,MATCH(ROWS($J$2:J448),$J$2:$J$1001,0),1)&gt;=100000,INDEX($Q$1005:$U$1005,1,MATCH(COLUMNS($Q$1006:Q1006),$Q$1006:$U$1006,0))&gt;=100000), " ",IF(INDEX($Q$2:$U$1001,MATCH(ROWS($J$2:J448),$J$2:$J$1001,0),MATCH(COLUMNS($Q$1006:Q1006),$Q$1006:$U$1006,0)), HYPERLINK("#",""), HYPERLINK(CONCATENATE("#metadata!", ADDRESS(INDEX($L$2:$L$1001,MATCH(ROWS($J$2:J448),$J$2:$J$1001,0),0), INDEX($Q$1004:$U$1004,1,MATCH(COLUMNS($Q$1006:Q1006),$Q$1006:$U$1006,0)))),"Fix")))</f>
        <v xml:space="preserve"> </v>
      </c>
      <c r="C448" s="3" t="str">
        <f ca="1">IF(OR(INDEX($K$2:$K$1001,MATCH(ROWS($J$2:J448),$J$2:$J$1001,0),1)&gt;=100000,INDEX($Q$1005:$U$1005,1,MATCH(COLUMNS($Q$1006:R1006),$Q$1006:$U$1006,0))&gt;=100000), " ",IF(INDEX($Q$2:$U$1001,MATCH(ROWS($J$2:J448),$J$2:$J$1001,0),MATCH(COLUMNS($Q$1006:R1006),$Q$1006:$U$1006,0)), HYPERLINK("#",""), HYPERLINK(CONCATENATE("#metadata!", ADDRESS(INDEX($L$2:$L$1001,MATCH(ROWS($J$2:J448),$J$2:$J$1001,0),0), INDEX($Q$1004:$U$1004,1,MATCH(COLUMNS($Q$1006:R1006),$Q$1006:$U$1006,0)))),"Fix")))</f>
        <v xml:space="preserve"> </v>
      </c>
      <c r="D448" s="3" t="str">
        <f ca="1">IF(OR(INDEX($K$2:$K$1001,MATCH(ROWS($J$2:J448),$J$2:$J$1001,0),1)&gt;=100000,INDEX($Q$1005:$U$1005,1,MATCH(COLUMNS($Q$1006:S1006),$Q$1006:$U$1006,0))&gt;=100000), " ",IF(INDEX($Q$2:$U$1001,MATCH(ROWS($J$2:J448),$J$2:$J$1001,0),MATCH(COLUMNS($Q$1006:S1006),$Q$1006:$U$1006,0)), HYPERLINK("#",""), HYPERLINK(CONCATENATE("#metadata!", ADDRESS(INDEX($L$2:$L$1001,MATCH(ROWS($J$2:J448),$J$2:$J$1001,0),0), INDEX($Q$1004:$U$1004,1,MATCH(COLUMNS($Q$1006:S1006),$Q$1006:$U$1006,0)))),"Fix")))</f>
        <v xml:space="preserve"> </v>
      </c>
      <c r="E448" s="3" t="str">
        <f ca="1">IF(OR(INDEX($K$2:$K$1001,MATCH(ROWS($J$2:J448),$J$2:$J$1001,0),1)&gt;=100000,INDEX($Q$1005:$U$1005,1,MATCH(COLUMNS($Q$1006:T1006),$Q$1006:$U$1006,0))&gt;=100000), " ",IF(INDEX($Q$2:$U$1001,MATCH(ROWS($J$2:J448),$J$2:$J$1001,0),MATCH(COLUMNS($Q$1006:T1006),$Q$1006:$U$1006,0)), HYPERLINK("#",""), HYPERLINK(CONCATENATE("#metadata!", ADDRESS(INDEX($L$2:$L$1001,MATCH(ROWS($J$2:J448),$J$2:$J$1001,0),0), INDEX($Q$1004:$U$1004,1,MATCH(COLUMNS($Q$1006:T1006),$Q$1006:$U$1006,0)))),"Fix")))</f>
        <v xml:space="preserve"> </v>
      </c>
      <c r="F448" s="3" t="str">
        <f ca="1">IF(OR(INDEX($K$2:$K$1001,MATCH(ROWS($J$2:J448),$J$2:$J$1001,0),1)&gt;=100000,INDEX($Q$1005:$U$1005,1,MATCH(COLUMNS($Q$1006:U1006),$Q$1006:$U$1006,0))&gt;=100000), " ",IF(INDEX($Q$2:$U$1001,MATCH(ROWS($J$2:J448),$J$2:$J$1001,0),MATCH(COLUMNS($Q$1006:U1006),$Q$1006:$U$1006,0)), HYPERLINK("#",""), HYPERLINK(CONCATENATE("#metadata!", ADDRESS(INDEX($L$2:$L$1001,MATCH(ROWS($J$2:J448),$J$2:$J$1001,0),0), INDEX($Q$1004:$U$1004,1,MATCH(COLUMNS($Q$1006:U1006),$Q$1006:$U$1006,0)))),"Fix")))</f>
        <v xml:space="preserve"> </v>
      </c>
      <c r="J448">
        <v>447</v>
      </c>
      <c r="K448">
        <v>100448</v>
      </c>
      <c r="L448">
        <v>448</v>
      </c>
      <c r="M448" t="b">
        <f t="shared" si="6"/>
        <v>1</v>
      </c>
      <c r="N448" t="b">
        <f>COUNTBLANK(metadata!B448:F448)=COLUMNS(metadata!B448:F448)</f>
        <v>1</v>
      </c>
      <c r="O448" t="str">
        <v/>
      </c>
      <c r="Q448" t="b">
        <f ca="1">AND(IF(metadata!B448="",FALSE,TRUE),COUNTIF(metadata!B:B, metadata!B448) = 1,NOT(ISERROR(SUMPRODUCT(SEARCH(MID(metadata!B448,ROW(INDIRECT("1:"&amp;LEN(metadata!B448))), 1),"0123456789abcdefghijklmnopqrstuvwxyzABCDEFGHIJKLMNOPQRSTUVWXYZ.")))))</f>
        <v>0</v>
      </c>
      <c r="R448" t="b">
        <f>AND(IF(metadata!C448="",FALSE,TRUE),OR(EXACT(metadata!C448,"saline"),EXACT(metadata!C448,"non-saline")))</f>
        <v>0</v>
      </c>
      <c r="S448" t="b">
        <f>AND(IF(metadata!D448="",FALSE,TRUE),OR(EXACT(metadata!D448,"surface (non-saline)"),EXACT(metadata!D448,"aerosol (non-saline)"),EXACT(metadata!D448,"sediment (non-saline)"),EXACT(metadata!D448,"surface (saline)"),EXACT(metadata!D448,"aerosol (saline)"),EXACT(metadata!D448,"sediment (saline)")))</f>
        <v>0</v>
      </c>
      <c r="T448" t="b">
        <f>AND(IF(metadata!E448="",FALSE,TRUE),EXACT(metadata!E448,"built environment"))</f>
        <v>0</v>
      </c>
      <c r="U448" t="b">
        <f>OR(AND(IF(metadata!F448="",FALSE,TRUE),EXACT(metadata!F448,"not applicable")),AND(IF(metadata!F448="",FALSE,TRUE),EXACT(metadata!F448,"anaerobic digester content")))</f>
        <v>0</v>
      </c>
    </row>
    <row r="449" spans="1:21" x14ac:dyDescent="0.2">
      <c r="A449" s="4" t="str">
        <f ca="1">IF(B449=" "," ",HYPERLINK(CONCATENATE("#metadata!",ADDRESS(INDEX($L$2:$L$1001,MATCH(ROWS($J$2:J449),$J$2:$J$1001,0),0),1)),INDEX($O$2:$O$1001,MATCH(ROWS($J$2:J449),$J$2:$J$1001,0),0)))</f>
        <v xml:space="preserve"> </v>
      </c>
      <c r="B449" s="3" t="str">
        <f ca="1">IF(OR(INDEX($K$2:$K$1001,MATCH(ROWS($J$2:J449),$J$2:$J$1001,0),1)&gt;=100000,INDEX($Q$1005:$U$1005,1,MATCH(COLUMNS($Q$1006:Q1006),$Q$1006:$U$1006,0))&gt;=100000), " ",IF(INDEX($Q$2:$U$1001,MATCH(ROWS($J$2:J449),$J$2:$J$1001,0),MATCH(COLUMNS($Q$1006:Q1006),$Q$1006:$U$1006,0)), HYPERLINK("#",""), HYPERLINK(CONCATENATE("#metadata!", ADDRESS(INDEX($L$2:$L$1001,MATCH(ROWS($J$2:J449),$J$2:$J$1001,0),0), INDEX($Q$1004:$U$1004,1,MATCH(COLUMNS($Q$1006:Q1006),$Q$1006:$U$1006,0)))),"Fix")))</f>
        <v xml:space="preserve"> </v>
      </c>
      <c r="C449" s="3" t="str">
        <f ca="1">IF(OR(INDEX($K$2:$K$1001,MATCH(ROWS($J$2:J449),$J$2:$J$1001,0),1)&gt;=100000,INDEX($Q$1005:$U$1005,1,MATCH(COLUMNS($Q$1006:R1006),$Q$1006:$U$1006,0))&gt;=100000), " ",IF(INDEX($Q$2:$U$1001,MATCH(ROWS($J$2:J449),$J$2:$J$1001,0),MATCH(COLUMNS($Q$1006:R1006),$Q$1006:$U$1006,0)), HYPERLINK("#",""), HYPERLINK(CONCATENATE("#metadata!", ADDRESS(INDEX($L$2:$L$1001,MATCH(ROWS($J$2:J449),$J$2:$J$1001,0),0), INDEX($Q$1004:$U$1004,1,MATCH(COLUMNS($Q$1006:R1006),$Q$1006:$U$1006,0)))),"Fix")))</f>
        <v xml:space="preserve"> </v>
      </c>
      <c r="D449" s="3" t="str">
        <f ca="1">IF(OR(INDEX($K$2:$K$1001,MATCH(ROWS($J$2:J449),$J$2:$J$1001,0),1)&gt;=100000,INDEX($Q$1005:$U$1005,1,MATCH(COLUMNS($Q$1006:S1006),$Q$1006:$U$1006,0))&gt;=100000), " ",IF(INDEX($Q$2:$U$1001,MATCH(ROWS($J$2:J449),$J$2:$J$1001,0),MATCH(COLUMNS($Q$1006:S1006),$Q$1006:$U$1006,0)), HYPERLINK("#",""), HYPERLINK(CONCATENATE("#metadata!", ADDRESS(INDEX($L$2:$L$1001,MATCH(ROWS($J$2:J449),$J$2:$J$1001,0),0), INDEX($Q$1004:$U$1004,1,MATCH(COLUMNS($Q$1006:S1006),$Q$1006:$U$1006,0)))),"Fix")))</f>
        <v xml:space="preserve"> </v>
      </c>
      <c r="E449" s="3" t="str">
        <f ca="1">IF(OR(INDEX($K$2:$K$1001,MATCH(ROWS($J$2:J449),$J$2:$J$1001,0),1)&gt;=100000,INDEX($Q$1005:$U$1005,1,MATCH(COLUMNS($Q$1006:T1006),$Q$1006:$U$1006,0))&gt;=100000), " ",IF(INDEX($Q$2:$U$1001,MATCH(ROWS($J$2:J449),$J$2:$J$1001,0),MATCH(COLUMNS($Q$1006:T1006),$Q$1006:$U$1006,0)), HYPERLINK("#",""), HYPERLINK(CONCATENATE("#metadata!", ADDRESS(INDEX($L$2:$L$1001,MATCH(ROWS($J$2:J449),$J$2:$J$1001,0),0), INDEX($Q$1004:$U$1004,1,MATCH(COLUMNS($Q$1006:T1006),$Q$1006:$U$1006,0)))),"Fix")))</f>
        <v xml:space="preserve"> </v>
      </c>
      <c r="F449" s="3" t="str">
        <f ca="1">IF(OR(INDEX($K$2:$K$1001,MATCH(ROWS($J$2:J449),$J$2:$J$1001,0),1)&gt;=100000,INDEX($Q$1005:$U$1005,1,MATCH(COLUMNS($Q$1006:U1006),$Q$1006:$U$1006,0))&gt;=100000), " ",IF(INDEX($Q$2:$U$1001,MATCH(ROWS($J$2:J449),$J$2:$J$1001,0),MATCH(COLUMNS($Q$1006:U1006),$Q$1006:$U$1006,0)), HYPERLINK("#",""), HYPERLINK(CONCATENATE("#metadata!", ADDRESS(INDEX($L$2:$L$1001,MATCH(ROWS($J$2:J449),$J$2:$J$1001,0),0), INDEX($Q$1004:$U$1004,1,MATCH(COLUMNS($Q$1006:U1006),$Q$1006:$U$1006,0)))),"Fix")))</f>
        <v xml:space="preserve"> </v>
      </c>
      <c r="J449">
        <v>448</v>
      </c>
      <c r="K449">
        <v>100449</v>
      </c>
      <c r="L449">
        <v>449</v>
      </c>
      <c r="M449" t="b">
        <f t="shared" si="6"/>
        <v>1</v>
      </c>
      <c r="N449" t="b">
        <f>COUNTBLANK(metadata!B449:F449)=COLUMNS(metadata!B449:F449)</f>
        <v>1</v>
      </c>
      <c r="O449" t="str">
        <v/>
      </c>
      <c r="Q449" t="b">
        <f ca="1">AND(IF(metadata!B449="",FALSE,TRUE),COUNTIF(metadata!B:B, metadata!B449) = 1,NOT(ISERROR(SUMPRODUCT(SEARCH(MID(metadata!B449,ROW(INDIRECT("1:"&amp;LEN(metadata!B449))), 1),"0123456789abcdefghijklmnopqrstuvwxyzABCDEFGHIJKLMNOPQRSTUVWXYZ.")))))</f>
        <v>0</v>
      </c>
      <c r="R449" t="b">
        <f>AND(IF(metadata!C449="",FALSE,TRUE),OR(EXACT(metadata!C449,"saline"),EXACT(metadata!C449,"non-saline")))</f>
        <v>0</v>
      </c>
      <c r="S449" t="b">
        <f>AND(IF(metadata!D449="",FALSE,TRUE),OR(EXACT(metadata!D449,"surface (non-saline)"),EXACT(metadata!D449,"aerosol (non-saline)"),EXACT(metadata!D449,"sediment (non-saline)"),EXACT(metadata!D449,"surface (saline)"),EXACT(metadata!D449,"aerosol (saline)"),EXACT(metadata!D449,"sediment (saline)")))</f>
        <v>0</v>
      </c>
      <c r="T449" t="b">
        <f>AND(IF(metadata!E449="",FALSE,TRUE),EXACT(metadata!E449,"built environment"))</f>
        <v>0</v>
      </c>
      <c r="U449" t="b">
        <f>OR(AND(IF(metadata!F449="",FALSE,TRUE),EXACT(metadata!F449,"not applicable")),AND(IF(metadata!F449="",FALSE,TRUE),EXACT(metadata!F449,"anaerobic digester content")))</f>
        <v>0</v>
      </c>
    </row>
    <row r="450" spans="1:21" x14ac:dyDescent="0.2">
      <c r="A450" s="4" t="str">
        <f ca="1">IF(B450=" "," ",HYPERLINK(CONCATENATE("#metadata!",ADDRESS(INDEX($L$2:$L$1001,MATCH(ROWS($J$2:J450),$J$2:$J$1001,0),0),1)),INDEX($O$2:$O$1001,MATCH(ROWS($J$2:J450),$J$2:$J$1001,0),0)))</f>
        <v xml:space="preserve"> </v>
      </c>
      <c r="B450" s="3" t="str">
        <f ca="1">IF(OR(INDEX($K$2:$K$1001,MATCH(ROWS($J$2:J450),$J$2:$J$1001,0),1)&gt;=100000,INDEX($Q$1005:$U$1005,1,MATCH(COLUMNS($Q$1006:Q1006),$Q$1006:$U$1006,0))&gt;=100000), " ",IF(INDEX($Q$2:$U$1001,MATCH(ROWS($J$2:J450),$J$2:$J$1001,0),MATCH(COLUMNS($Q$1006:Q1006),$Q$1006:$U$1006,0)), HYPERLINK("#",""), HYPERLINK(CONCATENATE("#metadata!", ADDRESS(INDEX($L$2:$L$1001,MATCH(ROWS($J$2:J450),$J$2:$J$1001,0),0), INDEX($Q$1004:$U$1004,1,MATCH(COLUMNS($Q$1006:Q1006),$Q$1006:$U$1006,0)))),"Fix")))</f>
        <v xml:space="preserve"> </v>
      </c>
      <c r="C450" s="3" t="str">
        <f ca="1">IF(OR(INDEX($K$2:$K$1001,MATCH(ROWS($J$2:J450),$J$2:$J$1001,0),1)&gt;=100000,INDEX($Q$1005:$U$1005,1,MATCH(COLUMNS($Q$1006:R1006),$Q$1006:$U$1006,0))&gt;=100000), " ",IF(INDEX($Q$2:$U$1001,MATCH(ROWS($J$2:J450),$J$2:$J$1001,0),MATCH(COLUMNS($Q$1006:R1006),$Q$1006:$U$1006,0)), HYPERLINK("#",""), HYPERLINK(CONCATENATE("#metadata!", ADDRESS(INDEX($L$2:$L$1001,MATCH(ROWS($J$2:J450),$J$2:$J$1001,0),0), INDEX($Q$1004:$U$1004,1,MATCH(COLUMNS($Q$1006:R1006),$Q$1006:$U$1006,0)))),"Fix")))</f>
        <v xml:space="preserve"> </v>
      </c>
      <c r="D450" s="3" t="str">
        <f ca="1">IF(OR(INDEX($K$2:$K$1001,MATCH(ROWS($J$2:J450),$J$2:$J$1001,0),1)&gt;=100000,INDEX($Q$1005:$U$1005,1,MATCH(COLUMNS($Q$1006:S1006),$Q$1006:$U$1006,0))&gt;=100000), " ",IF(INDEX($Q$2:$U$1001,MATCH(ROWS($J$2:J450),$J$2:$J$1001,0),MATCH(COLUMNS($Q$1006:S1006),$Q$1006:$U$1006,0)), HYPERLINK("#",""), HYPERLINK(CONCATENATE("#metadata!", ADDRESS(INDEX($L$2:$L$1001,MATCH(ROWS($J$2:J450),$J$2:$J$1001,0),0), INDEX($Q$1004:$U$1004,1,MATCH(COLUMNS($Q$1006:S1006),$Q$1006:$U$1006,0)))),"Fix")))</f>
        <v xml:space="preserve"> </v>
      </c>
      <c r="E450" s="3" t="str">
        <f ca="1">IF(OR(INDEX($K$2:$K$1001,MATCH(ROWS($J$2:J450),$J$2:$J$1001,0),1)&gt;=100000,INDEX($Q$1005:$U$1005,1,MATCH(COLUMNS($Q$1006:T1006),$Q$1006:$U$1006,0))&gt;=100000), " ",IF(INDEX($Q$2:$U$1001,MATCH(ROWS($J$2:J450),$J$2:$J$1001,0),MATCH(COLUMNS($Q$1006:T1006),$Q$1006:$U$1006,0)), HYPERLINK("#",""), HYPERLINK(CONCATENATE("#metadata!", ADDRESS(INDEX($L$2:$L$1001,MATCH(ROWS($J$2:J450),$J$2:$J$1001,0),0), INDEX($Q$1004:$U$1004,1,MATCH(COLUMNS($Q$1006:T1006),$Q$1006:$U$1006,0)))),"Fix")))</f>
        <v xml:space="preserve"> </v>
      </c>
      <c r="F450" s="3" t="str">
        <f ca="1">IF(OR(INDEX($K$2:$K$1001,MATCH(ROWS($J$2:J450),$J$2:$J$1001,0),1)&gt;=100000,INDEX($Q$1005:$U$1005,1,MATCH(COLUMNS($Q$1006:U1006),$Q$1006:$U$1006,0))&gt;=100000), " ",IF(INDEX($Q$2:$U$1001,MATCH(ROWS($J$2:J450),$J$2:$J$1001,0),MATCH(COLUMNS($Q$1006:U1006),$Q$1006:$U$1006,0)), HYPERLINK("#",""), HYPERLINK(CONCATENATE("#metadata!", ADDRESS(INDEX($L$2:$L$1001,MATCH(ROWS($J$2:J450),$J$2:$J$1001,0),0), INDEX($Q$1004:$U$1004,1,MATCH(COLUMNS($Q$1006:U1006),$Q$1006:$U$1006,0)))),"Fix")))</f>
        <v xml:space="preserve"> </v>
      </c>
      <c r="J450">
        <v>449</v>
      </c>
      <c r="K450">
        <v>100450</v>
      </c>
      <c r="L450">
        <v>450</v>
      </c>
      <c r="M450" t="b">
        <f t="shared" ref="M450:M513" si="7">IF(N450,TRUE,AND(Q450:U450))</f>
        <v>1</v>
      </c>
      <c r="N450" t="b">
        <f>COUNTBLANK(metadata!B450:F450)=COLUMNS(metadata!B450:F450)</f>
        <v>1</v>
      </c>
      <c r="O450" t="str">
        <v/>
      </c>
      <c r="Q450" t="b">
        <f ca="1">AND(IF(metadata!B450="",FALSE,TRUE),COUNTIF(metadata!B:B, metadata!B450) = 1,NOT(ISERROR(SUMPRODUCT(SEARCH(MID(metadata!B450,ROW(INDIRECT("1:"&amp;LEN(metadata!B450))), 1),"0123456789abcdefghijklmnopqrstuvwxyzABCDEFGHIJKLMNOPQRSTUVWXYZ.")))))</f>
        <v>0</v>
      </c>
      <c r="R450" t="b">
        <f>AND(IF(metadata!C450="",FALSE,TRUE),OR(EXACT(metadata!C450,"saline"),EXACT(metadata!C450,"non-saline")))</f>
        <v>0</v>
      </c>
      <c r="S450" t="b">
        <f>AND(IF(metadata!D450="",FALSE,TRUE),OR(EXACT(metadata!D450,"surface (non-saline)"),EXACT(metadata!D450,"aerosol (non-saline)"),EXACT(metadata!D450,"sediment (non-saline)"),EXACT(metadata!D450,"surface (saline)"),EXACT(metadata!D450,"aerosol (saline)"),EXACT(metadata!D450,"sediment (saline)")))</f>
        <v>0</v>
      </c>
      <c r="T450" t="b">
        <f>AND(IF(metadata!E450="",FALSE,TRUE),EXACT(metadata!E450,"built environment"))</f>
        <v>0</v>
      </c>
      <c r="U450" t="b">
        <f>OR(AND(IF(metadata!F450="",FALSE,TRUE),EXACT(metadata!F450,"not applicable")),AND(IF(metadata!F450="",FALSE,TRUE),EXACT(metadata!F450,"anaerobic digester content")))</f>
        <v>0</v>
      </c>
    </row>
    <row r="451" spans="1:21" x14ac:dyDescent="0.2">
      <c r="A451" s="4" t="str">
        <f ca="1">IF(B451=" "," ",HYPERLINK(CONCATENATE("#metadata!",ADDRESS(INDEX($L$2:$L$1001,MATCH(ROWS($J$2:J451),$J$2:$J$1001,0),0),1)),INDEX($O$2:$O$1001,MATCH(ROWS($J$2:J451),$J$2:$J$1001,0),0)))</f>
        <v xml:space="preserve"> </v>
      </c>
      <c r="B451" s="3" t="str">
        <f ca="1">IF(OR(INDEX($K$2:$K$1001,MATCH(ROWS($J$2:J451),$J$2:$J$1001,0),1)&gt;=100000,INDEX($Q$1005:$U$1005,1,MATCH(COLUMNS($Q$1006:Q1006),$Q$1006:$U$1006,0))&gt;=100000), " ",IF(INDEX($Q$2:$U$1001,MATCH(ROWS($J$2:J451),$J$2:$J$1001,0),MATCH(COLUMNS($Q$1006:Q1006),$Q$1006:$U$1006,0)), HYPERLINK("#",""), HYPERLINK(CONCATENATE("#metadata!", ADDRESS(INDEX($L$2:$L$1001,MATCH(ROWS($J$2:J451),$J$2:$J$1001,0),0), INDEX($Q$1004:$U$1004,1,MATCH(COLUMNS($Q$1006:Q1006),$Q$1006:$U$1006,0)))),"Fix")))</f>
        <v xml:space="preserve"> </v>
      </c>
      <c r="C451" s="3" t="str">
        <f ca="1">IF(OR(INDEX($K$2:$K$1001,MATCH(ROWS($J$2:J451),$J$2:$J$1001,0),1)&gt;=100000,INDEX($Q$1005:$U$1005,1,MATCH(COLUMNS($Q$1006:R1006),$Q$1006:$U$1006,0))&gt;=100000), " ",IF(INDEX($Q$2:$U$1001,MATCH(ROWS($J$2:J451),$J$2:$J$1001,0),MATCH(COLUMNS($Q$1006:R1006),$Q$1006:$U$1006,0)), HYPERLINK("#",""), HYPERLINK(CONCATENATE("#metadata!", ADDRESS(INDEX($L$2:$L$1001,MATCH(ROWS($J$2:J451),$J$2:$J$1001,0),0), INDEX($Q$1004:$U$1004,1,MATCH(COLUMNS($Q$1006:R1006),$Q$1006:$U$1006,0)))),"Fix")))</f>
        <v xml:space="preserve"> </v>
      </c>
      <c r="D451" s="3" t="str">
        <f ca="1">IF(OR(INDEX($K$2:$K$1001,MATCH(ROWS($J$2:J451),$J$2:$J$1001,0),1)&gt;=100000,INDEX($Q$1005:$U$1005,1,MATCH(COLUMNS($Q$1006:S1006),$Q$1006:$U$1006,0))&gt;=100000), " ",IF(INDEX($Q$2:$U$1001,MATCH(ROWS($J$2:J451),$J$2:$J$1001,0),MATCH(COLUMNS($Q$1006:S1006),$Q$1006:$U$1006,0)), HYPERLINK("#",""), HYPERLINK(CONCATENATE("#metadata!", ADDRESS(INDEX($L$2:$L$1001,MATCH(ROWS($J$2:J451),$J$2:$J$1001,0),0), INDEX($Q$1004:$U$1004,1,MATCH(COLUMNS($Q$1006:S1006),$Q$1006:$U$1006,0)))),"Fix")))</f>
        <v xml:space="preserve"> </v>
      </c>
      <c r="E451" s="3" t="str">
        <f ca="1">IF(OR(INDEX($K$2:$K$1001,MATCH(ROWS($J$2:J451),$J$2:$J$1001,0),1)&gt;=100000,INDEX($Q$1005:$U$1005,1,MATCH(COLUMNS($Q$1006:T1006),$Q$1006:$U$1006,0))&gt;=100000), " ",IF(INDEX($Q$2:$U$1001,MATCH(ROWS($J$2:J451),$J$2:$J$1001,0),MATCH(COLUMNS($Q$1006:T1006),$Q$1006:$U$1006,0)), HYPERLINK("#",""), HYPERLINK(CONCATENATE("#metadata!", ADDRESS(INDEX($L$2:$L$1001,MATCH(ROWS($J$2:J451),$J$2:$J$1001,0),0), INDEX($Q$1004:$U$1004,1,MATCH(COLUMNS($Q$1006:T1006),$Q$1006:$U$1006,0)))),"Fix")))</f>
        <v xml:space="preserve"> </v>
      </c>
      <c r="F451" s="3" t="str">
        <f ca="1">IF(OR(INDEX($K$2:$K$1001,MATCH(ROWS($J$2:J451),$J$2:$J$1001,0),1)&gt;=100000,INDEX($Q$1005:$U$1005,1,MATCH(COLUMNS($Q$1006:U1006),$Q$1006:$U$1006,0))&gt;=100000), " ",IF(INDEX($Q$2:$U$1001,MATCH(ROWS($J$2:J451),$J$2:$J$1001,0),MATCH(COLUMNS($Q$1006:U1006),$Q$1006:$U$1006,0)), HYPERLINK("#",""), HYPERLINK(CONCATENATE("#metadata!", ADDRESS(INDEX($L$2:$L$1001,MATCH(ROWS($J$2:J451),$J$2:$J$1001,0),0), INDEX($Q$1004:$U$1004,1,MATCH(COLUMNS($Q$1006:U1006),$Q$1006:$U$1006,0)))),"Fix")))</f>
        <v xml:space="preserve"> </v>
      </c>
      <c r="J451">
        <v>450</v>
      </c>
      <c r="K451">
        <v>100451</v>
      </c>
      <c r="L451">
        <v>451</v>
      </c>
      <c r="M451" t="b">
        <f t="shared" si="7"/>
        <v>1</v>
      </c>
      <c r="N451" t="b">
        <f>COUNTBLANK(metadata!B451:F451)=COLUMNS(metadata!B451:F451)</f>
        <v>1</v>
      </c>
      <c r="O451" t="str">
        <v/>
      </c>
      <c r="Q451" t="b">
        <f ca="1">AND(IF(metadata!B451="",FALSE,TRUE),COUNTIF(metadata!B:B, metadata!B451) = 1,NOT(ISERROR(SUMPRODUCT(SEARCH(MID(metadata!B451,ROW(INDIRECT("1:"&amp;LEN(metadata!B451))), 1),"0123456789abcdefghijklmnopqrstuvwxyzABCDEFGHIJKLMNOPQRSTUVWXYZ.")))))</f>
        <v>0</v>
      </c>
      <c r="R451" t="b">
        <f>AND(IF(metadata!C451="",FALSE,TRUE),OR(EXACT(metadata!C451,"saline"),EXACT(metadata!C451,"non-saline")))</f>
        <v>0</v>
      </c>
      <c r="S451" t="b">
        <f>AND(IF(metadata!D451="",FALSE,TRUE),OR(EXACT(metadata!D451,"surface (non-saline)"),EXACT(metadata!D451,"aerosol (non-saline)"),EXACT(metadata!D451,"sediment (non-saline)"),EXACT(metadata!D451,"surface (saline)"),EXACT(metadata!D451,"aerosol (saline)"),EXACT(metadata!D451,"sediment (saline)")))</f>
        <v>0</v>
      </c>
      <c r="T451" t="b">
        <f>AND(IF(metadata!E451="",FALSE,TRUE),EXACT(metadata!E451,"built environment"))</f>
        <v>0</v>
      </c>
      <c r="U451" t="b">
        <f>OR(AND(IF(metadata!F451="",FALSE,TRUE),EXACT(metadata!F451,"not applicable")),AND(IF(metadata!F451="",FALSE,TRUE),EXACT(metadata!F451,"anaerobic digester content")))</f>
        <v>0</v>
      </c>
    </row>
    <row r="452" spans="1:21" x14ac:dyDescent="0.2">
      <c r="A452" s="4" t="str">
        <f ca="1">IF(B452=" "," ",HYPERLINK(CONCATENATE("#metadata!",ADDRESS(INDEX($L$2:$L$1001,MATCH(ROWS($J$2:J452),$J$2:$J$1001,0),0),1)),INDEX($O$2:$O$1001,MATCH(ROWS($J$2:J452),$J$2:$J$1001,0),0)))</f>
        <v xml:space="preserve"> </v>
      </c>
      <c r="B452" s="3" t="str">
        <f ca="1">IF(OR(INDEX($K$2:$K$1001,MATCH(ROWS($J$2:J452),$J$2:$J$1001,0),1)&gt;=100000,INDEX($Q$1005:$U$1005,1,MATCH(COLUMNS($Q$1006:Q1006),$Q$1006:$U$1006,0))&gt;=100000), " ",IF(INDEX($Q$2:$U$1001,MATCH(ROWS($J$2:J452),$J$2:$J$1001,0),MATCH(COLUMNS($Q$1006:Q1006),$Q$1006:$U$1006,0)), HYPERLINK("#",""), HYPERLINK(CONCATENATE("#metadata!", ADDRESS(INDEX($L$2:$L$1001,MATCH(ROWS($J$2:J452),$J$2:$J$1001,0),0), INDEX($Q$1004:$U$1004,1,MATCH(COLUMNS($Q$1006:Q1006),$Q$1006:$U$1006,0)))),"Fix")))</f>
        <v xml:space="preserve"> </v>
      </c>
      <c r="C452" s="3" t="str">
        <f ca="1">IF(OR(INDEX($K$2:$K$1001,MATCH(ROWS($J$2:J452),$J$2:$J$1001,0),1)&gt;=100000,INDEX($Q$1005:$U$1005,1,MATCH(COLUMNS($Q$1006:R1006),$Q$1006:$U$1006,0))&gt;=100000), " ",IF(INDEX($Q$2:$U$1001,MATCH(ROWS($J$2:J452),$J$2:$J$1001,0),MATCH(COLUMNS($Q$1006:R1006),$Q$1006:$U$1006,0)), HYPERLINK("#",""), HYPERLINK(CONCATENATE("#metadata!", ADDRESS(INDEX($L$2:$L$1001,MATCH(ROWS($J$2:J452),$J$2:$J$1001,0),0), INDEX($Q$1004:$U$1004,1,MATCH(COLUMNS($Q$1006:R1006),$Q$1006:$U$1006,0)))),"Fix")))</f>
        <v xml:space="preserve"> </v>
      </c>
      <c r="D452" s="3" t="str">
        <f ca="1">IF(OR(INDEX($K$2:$K$1001,MATCH(ROWS($J$2:J452),$J$2:$J$1001,0),1)&gt;=100000,INDEX($Q$1005:$U$1005,1,MATCH(COLUMNS($Q$1006:S1006),$Q$1006:$U$1006,0))&gt;=100000), " ",IF(INDEX($Q$2:$U$1001,MATCH(ROWS($J$2:J452),$J$2:$J$1001,0),MATCH(COLUMNS($Q$1006:S1006),$Q$1006:$U$1006,0)), HYPERLINK("#",""), HYPERLINK(CONCATENATE("#metadata!", ADDRESS(INDEX($L$2:$L$1001,MATCH(ROWS($J$2:J452),$J$2:$J$1001,0),0), INDEX($Q$1004:$U$1004,1,MATCH(COLUMNS($Q$1006:S1006),$Q$1006:$U$1006,0)))),"Fix")))</f>
        <v xml:space="preserve"> </v>
      </c>
      <c r="E452" s="3" t="str">
        <f ca="1">IF(OR(INDEX($K$2:$K$1001,MATCH(ROWS($J$2:J452),$J$2:$J$1001,0),1)&gt;=100000,INDEX($Q$1005:$U$1005,1,MATCH(COLUMNS($Q$1006:T1006),$Q$1006:$U$1006,0))&gt;=100000), " ",IF(INDEX($Q$2:$U$1001,MATCH(ROWS($J$2:J452),$J$2:$J$1001,0),MATCH(COLUMNS($Q$1006:T1006),$Q$1006:$U$1006,0)), HYPERLINK("#",""), HYPERLINK(CONCATENATE("#metadata!", ADDRESS(INDEX($L$2:$L$1001,MATCH(ROWS($J$2:J452),$J$2:$J$1001,0),0), INDEX($Q$1004:$U$1004,1,MATCH(COLUMNS($Q$1006:T1006),$Q$1006:$U$1006,0)))),"Fix")))</f>
        <v xml:space="preserve"> </v>
      </c>
      <c r="F452" s="3" t="str">
        <f ca="1">IF(OR(INDEX($K$2:$K$1001,MATCH(ROWS($J$2:J452),$J$2:$J$1001,0),1)&gt;=100000,INDEX($Q$1005:$U$1005,1,MATCH(COLUMNS($Q$1006:U1006),$Q$1006:$U$1006,0))&gt;=100000), " ",IF(INDEX($Q$2:$U$1001,MATCH(ROWS($J$2:J452),$J$2:$J$1001,0),MATCH(COLUMNS($Q$1006:U1006),$Q$1006:$U$1006,0)), HYPERLINK("#",""), HYPERLINK(CONCATENATE("#metadata!", ADDRESS(INDEX($L$2:$L$1001,MATCH(ROWS($J$2:J452),$J$2:$J$1001,0),0), INDEX($Q$1004:$U$1004,1,MATCH(COLUMNS($Q$1006:U1006),$Q$1006:$U$1006,0)))),"Fix")))</f>
        <v xml:space="preserve"> </v>
      </c>
      <c r="J452">
        <v>451</v>
      </c>
      <c r="K452">
        <v>100452</v>
      </c>
      <c r="L452">
        <v>452</v>
      </c>
      <c r="M452" t="b">
        <f t="shared" si="7"/>
        <v>1</v>
      </c>
      <c r="N452" t="b">
        <f>COUNTBLANK(metadata!B452:F452)=COLUMNS(metadata!B452:F452)</f>
        <v>1</v>
      </c>
      <c r="O452" t="str">
        <v/>
      </c>
      <c r="Q452" t="b">
        <f ca="1">AND(IF(metadata!B452="",FALSE,TRUE),COUNTIF(metadata!B:B, metadata!B452) = 1,NOT(ISERROR(SUMPRODUCT(SEARCH(MID(metadata!B452,ROW(INDIRECT("1:"&amp;LEN(metadata!B452))), 1),"0123456789abcdefghijklmnopqrstuvwxyzABCDEFGHIJKLMNOPQRSTUVWXYZ.")))))</f>
        <v>0</v>
      </c>
      <c r="R452" t="b">
        <f>AND(IF(metadata!C452="",FALSE,TRUE),OR(EXACT(metadata!C452,"saline"),EXACT(metadata!C452,"non-saline")))</f>
        <v>0</v>
      </c>
      <c r="S452" t="b">
        <f>AND(IF(metadata!D452="",FALSE,TRUE),OR(EXACT(metadata!D452,"surface (non-saline)"),EXACT(metadata!D452,"aerosol (non-saline)"),EXACT(metadata!D452,"sediment (non-saline)"),EXACT(metadata!D452,"surface (saline)"),EXACT(metadata!D452,"aerosol (saline)"),EXACT(metadata!D452,"sediment (saline)")))</f>
        <v>0</v>
      </c>
      <c r="T452" t="b">
        <f>AND(IF(metadata!E452="",FALSE,TRUE),EXACT(metadata!E452,"built environment"))</f>
        <v>0</v>
      </c>
      <c r="U452" t="b">
        <f>OR(AND(IF(metadata!F452="",FALSE,TRUE),EXACT(metadata!F452,"not applicable")),AND(IF(metadata!F452="",FALSE,TRUE),EXACT(metadata!F452,"anaerobic digester content")))</f>
        <v>0</v>
      </c>
    </row>
    <row r="453" spans="1:21" x14ac:dyDescent="0.2">
      <c r="A453" s="4" t="str">
        <f ca="1">IF(B453=" "," ",HYPERLINK(CONCATENATE("#metadata!",ADDRESS(INDEX($L$2:$L$1001,MATCH(ROWS($J$2:J453),$J$2:$J$1001,0),0),1)),INDEX($O$2:$O$1001,MATCH(ROWS($J$2:J453),$J$2:$J$1001,0),0)))</f>
        <v xml:space="preserve"> </v>
      </c>
      <c r="B453" s="3" t="str">
        <f ca="1">IF(OR(INDEX($K$2:$K$1001,MATCH(ROWS($J$2:J453),$J$2:$J$1001,0),1)&gt;=100000,INDEX($Q$1005:$U$1005,1,MATCH(COLUMNS($Q$1006:Q1006),$Q$1006:$U$1006,0))&gt;=100000), " ",IF(INDEX($Q$2:$U$1001,MATCH(ROWS($J$2:J453),$J$2:$J$1001,0),MATCH(COLUMNS($Q$1006:Q1006),$Q$1006:$U$1006,0)), HYPERLINK("#",""), HYPERLINK(CONCATENATE("#metadata!", ADDRESS(INDEX($L$2:$L$1001,MATCH(ROWS($J$2:J453),$J$2:$J$1001,0),0), INDEX($Q$1004:$U$1004,1,MATCH(COLUMNS($Q$1006:Q1006),$Q$1006:$U$1006,0)))),"Fix")))</f>
        <v xml:space="preserve"> </v>
      </c>
      <c r="C453" s="3" t="str">
        <f ca="1">IF(OR(INDEX($K$2:$K$1001,MATCH(ROWS($J$2:J453),$J$2:$J$1001,0),1)&gt;=100000,INDEX($Q$1005:$U$1005,1,MATCH(COLUMNS($Q$1006:R1006),$Q$1006:$U$1006,0))&gt;=100000), " ",IF(INDEX($Q$2:$U$1001,MATCH(ROWS($J$2:J453),$J$2:$J$1001,0),MATCH(COLUMNS($Q$1006:R1006),$Q$1006:$U$1006,0)), HYPERLINK("#",""), HYPERLINK(CONCATENATE("#metadata!", ADDRESS(INDEX($L$2:$L$1001,MATCH(ROWS($J$2:J453),$J$2:$J$1001,0),0), INDEX($Q$1004:$U$1004,1,MATCH(COLUMNS($Q$1006:R1006),$Q$1006:$U$1006,0)))),"Fix")))</f>
        <v xml:space="preserve"> </v>
      </c>
      <c r="D453" s="3" t="str">
        <f ca="1">IF(OR(INDEX($K$2:$K$1001,MATCH(ROWS($J$2:J453),$J$2:$J$1001,0),1)&gt;=100000,INDEX($Q$1005:$U$1005,1,MATCH(COLUMNS($Q$1006:S1006),$Q$1006:$U$1006,0))&gt;=100000), " ",IF(INDEX($Q$2:$U$1001,MATCH(ROWS($J$2:J453),$J$2:$J$1001,0),MATCH(COLUMNS($Q$1006:S1006),$Q$1006:$U$1006,0)), HYPERLINK("#",""), HYPERLINK(CONCATENATE("#metadata!", ADDRESS(INDEX($L$2:$L$1001,MATCH(ROWS($J$2:J453),$J$2:$J$1001,0),0), INDEX($Q$1004:$U$1004,1,MATCH(COLUMNS($Q$1006:S1006),$Q$1006:$U$1006,0)))),"Fix")))</f>
        <v xml:space="preserve"> </v>
      </c>
      <c r="E453" s="3" t="str">
        <f ca="1">IF(OR(INDEX($K$2:$K$1001,MATCH(ROWS($J$2:J453),$J$2:$J$1001,0),1)&gt;=100000,INDEX($Q$1005:$U$1005,1,MATCH(COLUMNS($Q$1006:T1006),$Q$1006:$U$1006,0))&gt;=100000), " ",IF(INDEX($Q$2:$U$1001,MATCH(ROWS($J$2:J453),$J$2:$J$1001,0),MATCH(COLUMNS($Q$1006:T1006),$Q$1006:$U$1006,0)), HYPERLINK("#",""), HYPERLINK(CONCATENATE("#metadata!", ADDRESS(INDEX($L$2:$L$1001,MATCH(ROWS($J$2:J453),$J$2:$J$1001,0),0), INDEX($Q$1004:$U$1004,1,MATCH(COLUMNS($Q$1006:T1006),$Q$1006:$U$1006,0)))),"Fix")))</f>
        <v xml:space="preserve"> </v>
      </c>
      <c r="F453" s="3" t="str">
        <f ca="1">IF(OR(INDEX($K$2:$K$1001,MATCH(ROWS($J$2:J453),$J$2:$J$1001,0),1)&gt;=100000,INDEX($Q$1005:$U$1005,1,MATCH(COLUMNS($Q$1006:U1006),$Q$1006:$U$1006,0))&gt;=100000), " ",IF(INDEX($Q$2:$U$1001,MATCH(ROWS($J$2:J453),$J$2:$J$1001,0),MATCH(COLUMNS($Q$1006:U1006),$Q$1006:$U$1006,0)), HYPERLINK("#",""), HYPERLINK(CONCATENATE("#metadata!", ADDRESS(INDEX($L$2:$L$1001,MATCH(ROWS($J$2:J453),$J$2:$J$1001,0),0), INDEX($Q$1004:$U$1004,1,MATCH(COLUMNS($Q$1006:U1006),$Q$1006:$U$1006,0)))),"Fix")))</f>
        <v xml:space="preserve"> </v>
      </c>
      <c r="J453">
        <v>452</v>
      </c>
      <c r="K453">
        <v>100453</v>
      </c>
      <c r="L453">
        <v>453</v>
      </c>
      <c r="M453" t="b">
        <f t="shared" si="7"/>
        <v>1</v>
      </c>
      <c r="N453" t="b">
        <f>COUNTBLANK(metadata!B453:F453)=COLUMNS(metadata!B453:F453)</f>
        <v>1</v>
      </c>
      <c r="O453" t="str">
        <v/>
      </c>
      <c r="Q453" t="b">
        <f ca="1">AND(IF(metadata!B453="",FALSE,TRUE),COUNTIF(metadata!B:B, metadata!B453) = 1,NOT(ISERROR(SUMPRODUCT(SEARCH(MID(metadata!B453,ROW(INDIRECT("1:"&amp;LEN(metadata!B453))), 1),"0123456789abcdefghijklmnopqrstuvwxyzABCDEFGHIJKLMNOPQRSTUVWXYZ.")))))</f>
        <v>0</v>
      </c>
      <c r="R453" t="b">
        <f>AND(IF(metadata!C453="",FALSE,TRUE),OR(EXACT(metadata!C453,"saline"),EXACT(metadata!C453,"non-saline")))</f>
        <v>0</v>
      </c>
      <c r="S453" t="b">
        <f>AND(IF(metadata!D453="",FALSE,TRUE),OR(EXACT(metadata!D453,"surface (non-saline)"),EXACT(metadata!D453,"aerosol (non-saline)"),EXACT(metadata!D453,"sediment (non-saline)"),EXACT(metadata!D453,"surface (saline)"),EXACT(metadata!D453,"aerosol (saline)"),EXACT(metadata!D453,"sediment (saline)")))</f>
        <v>0</v>
      </c>
      <c r="T453" t="b">
        <f>AND(IF(metadata!E453="",FALSE,TRUE),EXACT(metadata!E453,"built environment"))</f>
        <v>0</v>
      </c>
      <c r="U453" t="b">
        <f>OR(AND(IF(metadata!F453="",FALSE,TRUE),EXACT(metadata!F453,"not applicable")),AND(IF(metadata!F453="",FALSE,TRUE),EXACT(metadata!F453,"anaerobic digester content")))</f>
        <v>0</v>
      </c>
    </row>
    <row r="454" spans="1:21" x14ac:dyDescent="0.2">
      <c r="A454" s="4" t="str">
        <f ca="1">IF(B454=" "," ",HYPERLINK(CONCATENATE("#metadata!",ADDRESS(INDEX($L$2:$L$1001,MATCH(ROWS($J$2:J454),$J$2:$J$1001,0),0),1)),INDEX($O$2:$O$1001,MATCH(ROWS($J$2:J454),$J$2:$J$1001,0),0)))</f>
        <v xml:space="preserve"> </v>
      </c>
      <c r="B454" s="3" t="str">
        <f ca="1">IF(OR(INDEX($K$2:$K$1001,MATCH(ROWS($J$2:J454),$J$2:$J$1001,0),1)&gt;=100000,INDEX($Q$1005:$U$1005,1,MATCH(COLUMNS($Q$1006:Q1006),$Q$1006:$U$1006,0))&gt;=100000), " ",IF(INDEX($Q$2:$U$1001,MATCH(ROWS($J$2:J454),$J$2:$J$1001,0),MATCH(COLUMNS($Q$1006:Q1006),$Q$1006:$U$1006,0)), HYPERLINK("#",""), HYPERLINK(CONCATENATE("#metadata!", ADDRESS(INDEX($L$2:$L$1001,MATCH(ROWS($J$2:J454),$J$2:$J$1001,0),0), INDEX($Q$1004:$U$1004,1,MATCH(COLUMNS($Q$1006:Q1006),$Q$1006:$U$1006,0)))),"Fix")))</f>
        <v xml:space="preserve"> </v>
      </c>
      <c r="C454" s="3" t="str">
        <f ca="1">IF(OR(INDEX($K$2:$K$1001,MATCH(ROWS($J$2:J454),$J$2:$J$1001,0),1)&gt;=100000,INDEX($Q$1005:$U$1005,1,MATCH(COLUMNS($Q$1006:R1006),$Q$1006:$U$1006,0))&gt;=100000), " ",IF(INDEX($Q$2:$U$1001,MATCH(ROWS($J$2:J454),$J$2:$J$1001,0),MATCH(COLUMNS($Q$1006:R1006),$Q$1006:$U$1006,0)), HYPERLINK("#",""), HYPERLINK(CONCATENATE("#metadata!", ADDRESS(INDEX($L$2:$L$1001,MATCH(ROWS($J$2:J454),$J$2:$J$1001,0),0), INDEX($Q$1004:$U$1004,1,MATCH(COLUMNS($Q$1006:R1006),$Q$1006:$U$1006,0)))),"Fix")))</f>
        <v xml:space="preserve"> </v>
      </c>
      <c r="D454" s="3" t="str">
        <f ca="1">IF(OR(INDEX($K$2:$K$1001,MATCH(ROWS($J$2:J454),$J$2:$J$1001,0),1)&gt;=100000,INDEX($Q$1005:$U$1005,1,MATCH(COLUMNS($Q$1006:S1006),$Q$1006:$U$1006,0))&gt;=100000), " ",IF(INDEX($Q$2:$U$1001,MATCH(ROWS($J$2:J454),$J$2:$J$1001,0),MATCH(COLUMNS($Q$1006:S1006),$Q$1006:$U$1006,0)), HYPERLINK("#",""), HYPERLINK(CONCATENATE("#metadata!", ADDRESS(INDEX($L$2:$L$1001,MATCH(ROWS($J$2:J454),$J$2:$J$1001,0),0), INDEX($Q$1004:$U$1004,1,MATCH(COLUMNS($Q$1006:S1006),$Q$1006:$U$1006,0)))),"Fix")))</f>
        <v xml:space="preserve"> </v>
      </c>
      <c r="E454" s="3" t="str">
        <f ca="1">IF(OR(INDEX($K$2:$K$1001,MATCH(ROWS($J$2:J454),$J$2:$J$1001,0),1)&gt;=100000,INDEX($Q$1005:$U$1005,1,MATCH(COLUMNS($Q$1006:T1006),$Q$1006:$U$1006,0))&gt;=100000), " ",IF(INDEX($Q$2:$U$1001,MATCH(ROWS($J$2:J454),$J$2:$J$1001,0),MATCH(COLUMNS($Q$1006:T1006),$Q$1006:$U$1006,0)), HYPERLINK("#",""), HYPERLINK(CONCATENATE("#metadata!", ADDRESS(INDEX($L$2:$L$1001,MATCH(ROWS($J$2:J454),$J$2:$J$1001,0),0), INDEX($Q$1004:$U$1004,1,MATCH(COLUMNS($Q$1006:T1006),$Q$1006:$U$1006,0)))),"Fix")))</f>
        <v xml:space="preserve"> </v>
      </c>
      <c r="F454" s="3" t="str">
        <f ca="1">IF(OR(INDEX($K$2:$K$1001,MATCH(ROWS($J$2:J454),$J$2:$J$1001,0),1)&gt;=100000,INDEX($Q$1005:$U$1005,1,MATCH(COLUMNS($Q$1006:U1006),$Q$1006:$U$1006,0))&gt;=100000), " ",IF(INDEX($Q$2:$U$1001,MATCH(ROWS($J$2:J454),$J$2:$J$1001,0),MATCH(COLUMNS($Q$1006:U1006),$Q$1006:$U$1006,0)), HYPERLINK("#",""), HYPERLINK(CONCATENATE("#metadata!", ADDRESS(INDEX($L$2:$L$1001,MATCH(ROWS($J$2:J454),$J$2:$J$1001,0),0), INDEX($Q$1004:$U$1004,1,MATCH(COLUMNS($Q$1006:U1006),$Q$1006:$U$1006,0)))),"Fix")))</f>
        <v xml:space="preserve"> </v>
      </c>
      <c r="J454">
        <v>453</v>
      </c>
      <c r="K454">
        <v>100454</v>
      </c>
      <c r="L454">
        <v>454</v>
      </c>
      <c r="M454" t="b">
        <f t="shared" si="7"/>
        <v>1</v>
      </c>
      <c r="N454" t="b">
        <f>COUNTBLANK(metadata!B454:F454)=COLUMNS(metadata!B454:F454)</f>
        <v>1</v>
      </c>
      <c r="O454" t="str">
        <v/>
      </c>
      <c r="Q454" t="b">
        <f ca="1">AND(IF(metadata!B454="",FALSE,TRUE),COUNTIF(metadata!B:B, metadata!B454) = 1,NOT(ISERROR(SUMPRODUCT(SEARCH(MID(metadata!B454,ROW(INDIRECT("1:"&amp;LEN(metadata!B454))), 1),"0123456789abcdefghijklmnopqrstuvwxyzABCDEFGHIJKLMNOPQRSTUVWXYZ.")))))</f>
        <v>0</v>
      </c>
      <c r="R454" t="b">
        <f>AND(IF(metadata!C454="",FALSE,TRUE),OR(EXACT(metadata!C454,"saline"),EXACT(metadata!C454,"non-saline")))</f>
        <v>0</v>
      </c>
      <c r="S454" t="b">
        <f>AND(IF(metadata!D454="",FALSE,TRUE),OR(EXACT(metadata!D454,"surface (non-saline)"),EXACT(metadata!D454,"aerosol (non-saline)"),EXACT(metadata!D454,"sediment (non-saline)"),EXACT(metadata!D454,"surface (saline)"),EXACT(metadata!D454,"aerosol (saline)"),EXACT(metadata!D454,"sediment (saline)")))</f>
        <v>0</v>
      </c>
      <c r="T454" t="b">
        <f>AND(IF(metadata!E454="",FALSE,TRUE),EXACT(metadata!E454,"built environment"))</f>
        <v>0</v>
      </c>
      <c r="U454" t="b">
        <f>OR(AND(IF(metadata!F454="",FALSE,TRUE),EXACT(metadata!F454,"not applicable")),AND(IF(metadata!F454="",FALSE,TRUE),EXACT(metadata!F454,"anaerobic digester content")))</f>
        <v>0</v>
      </c>
    </row>
    <row r="455" spans="1:21" x14ac:dyDescent="0.2">
      <c r="A455" s="4" t="str">
        <f ca="1">IF(B455=" "," ",HYPERLINK(CONCATENATE("#metadata!",ADDRESS(INDEX($L$2:$L$1001,MATCH(ROWS($J$2:J455),$J$2:$J$1001,0),0),1)),INDEX($O$2:$O$1001,MATCH(ROWS($J$2:J455),$J$2:$J$1001,0),0)))</f>
        <v xml:space="preserve"> </v>
      </c>
      <c r="B455" s="3" t="str">
        <f ca="1">IF(OR(INDEX($K$2:$K$1001,MATCH(ROWS($J$2:J455),$J$2:$J$1001,0),1)&gt;=100000,INDEX($Q$1005:$U$1005,1,MATCH(COLUMNS($Q$1006:Q1006),$Q$1006:$U$1006,0))&gt;=100000), " ",IF(INDEX($Q$2:$U$1001,MATCH(ROWS($J$2:J455),$J$2:$J$1001,0),MATCH(COLUMNS($Q$1006:Q1006),$Q$1006:$U$1006,0)), HYPERLINK("#",""), HYPERLINK(CONCATENATE("#metadata!", ADDRESS(INDEX($L$2:$L$1001,MATCH(ROWS($J$2:J455),$J$2:$J$1001,0),0), INDEX($Q$1004:$U$1004,1,MATCH(COLUMNS($Q$1006:Q1006),$Q$1006:$U$1006,0)))),"Fix")))</f>
        <v xml:space="preserve"> </v>
      </c>
      <c r="C455" s="3" t="str">
        <f ca="1">IF(OR(INDEX($K$2:$K$1001,MATCH(ROWS($J$2:J455),$J$2:$J$1001,0),1)&gt;=100000,INDEX($Q$1005:$U$1005,1,MATCH(COLUMNS($Q$1006:R1006),$Q$1006:$U$1006,0))&gt;=100000), " ",IF(INDEX($Q$2:$U$1001,MATCH(ROWS($J$2:J455),$J$2:$J$1001,0),MATCH(COLUMNS($Q$1006:R1006),$Q$1006:$U$1006,0)), HYPERLINK("#",""), HYPERLINK(CONCATENATE("#metadata!", ADDRESS(INDEX($L$2:$L$1001,MATCH(ROWS($J$2:J455),$J$2:$J$1001,0),0), INDEX($Q$1004:$U$1004,1,MATCH(COLUMNS($Q$1006:R1006),$Q$1006:$U$1006,0)))),"Fix")))</f>
        <v xml:space="preserve"> </v>
      </c>
      <c r="D455" s="3" t="str">
        <f ca="1">IF(OR(INDEX($K$2:$K$1001,MATCH(ROWS($J$2:J455),$J$2:$J$1001,0),1)&gt;=100000,INDEX($Q$1005:$U$1005,1,MATCH(COLUMNS($Q$1006:S1006),$Q$1006:$U$1006,0))&gt;=100000), " ",IF(INDEX($Q$2:$U$1001,MATCH(ROWS($J$2:J455),$J$2:$J$1001,0),MATCH(COLUMNS($Q$1006:S1006),$Q$1006:$U$1006,0)), HYPERLINK("#",""), HYPERLINK(CONCATENATE("#metadata!", ADDRESS(INDEX($L$2:$L$1001,MATCH(ROWS($J$2:J455),$J$2:$J$1001,0),0), INDEX($Q$1004:$U$1004,1,MATCH(COLUMNS($Q$1006:S1006),$Q$1006:$U$1006,0)))),"Fix")))</f>
        <v xml:space="preserve"> </v>
      </c>
      <c r="E455" s="3" t="str">
        <f ca="1">IF(OR(INDEX($K$2:$K$1001,MATCH(ROWS($J$2:J455),$J$2:$J$1001,0),1)&gt;=100000,INDEX($Q$1005:$U$1005,1,MATCH(COLUMNS($Q$1006:T1006),$Q$1006:$U$1006,0))&gt;=100000), " ",IF(INDEX($Q$2:$U$1001,MATCH(ROWS($J$2:J455),$J$2:$J$1001,0),MATCH(COLUMNS($Q$1006:T1006),$Q$1006:$U$1006,0)), HYPERLINK("#",""), HYPERLINK(CONCATENATE("#metadata!", ADDRESS(INDEX($L$2:$L$1001,MATCH(ROWS($J$2:J455),$J$2:$J$1001,0),0), INDEX($Q$1004:$U$1004,1,MATCH(COLUMNS($Q$1006:T1006),$Q$1006:$U$1006,0)))),"Fix")))</f>
        <v xml:space="preserve"> </v>
      </c>
      <c r="F455" s="3" t="str">
        <f ca="1">IF(OR(INDEX($K$2:$K$1001,MATCH(ROWS($J$2:J455),$J$2:$J$1001,0),1)&gt;=100000,INDEX($Q$1005:$U$1005,1,MATCH(COLUMNS($Q$1006:U1006),$Q$1006:$U$1006,0))&gt;=100000), " ",IF(INDEX($Q$2:$U$1001,MATCH(ROWS($J$2:J455),$J$2:$J$1001,0),MATCH(COLUMNS($Q$1006:U1006),$Q$1006:$U$1006,0)), HYPERLINK("#",""), HYPERLINK(CONCATENATE("#metadata!", ADDRESS(INDEX($L$2:$L$1001,MATCH(ROWS($J$2:J455),$J$2:$J$1001,0),0), INDEX($Q$1004:$U$1004,1,MATCH(COLUMNS($Q$1006:U1006),$Q$1006:$U$1006,0)))),"Fix")))</f>
        <v xml:space="preserve"> </v>
      </c>
      <c r="J455">
        <v>454</v>
      </c>
      <c r="K455">
        <v>100455</v>
      </c>
      <c r="L455">
        <v>455</v>
      </c>
      <c r="M455" t="b">
        <f t="shared" si="7"/>
        <v>1</v>
      </c>
      <c r="N455" t="b">
        <f>COUNTBLANK(metadata!B455:F455)=COLUMNS(metadata!B455:F455)</f>
        <v>1</v>
      </c>
      <c r="O455" t="str">
        <v/>
      </c>
      <c r="Q455" t="b">
        <f ca="1">AND(IF(metadata!B455="",FALSE,TRUE),COUNTIF(metadata!B:B, metadata!B455) = 1,NOT(ISERROR(SUMPRODUCT(SEARCH(MID(metadata!B455,ROW(INDIRECT("1:"&amp;LEN(metadata!B455))), 1),"0123456789abcdefghijklmnopqrstuvwxyzABCDEFGHIJKLMNOPQRSTUVWXYZ.")))))</f>
        <v>0</v>
      </c>
      <c r="R455" t="b">
        <f>AND(IF(metadata!C455="",FALSE,TRUE),OR(EXACT(metadata!C455,"saline"),EXACT(metadata!C455,"non-saline")))</f>
        <v>0</v>
      </c>
      <c r="S455" t="b">
        <f>AND(IF(metadata!D455="",FALSE,TRUE),OR(EXACT(metadata!D455,"surface (non-saline)"),EXACT(metadata!D455,"aerosol (non-saline)"),EXACT(metadata!D455,"sediment (non-saline)"),EXACT(metadata!D455,"surface (saline)"),EXACT(metadata!D455,"aerosol (saline)"),EXACT(metadata!D455,"sediment (saline)")))</f>
        <v>0</v>
      </c>
      <c r="T455" t="b">
        <f>AND(IF(metadata!E455="",FALSE,TRUE),EXACT(metadata!E455,"built environment"))</f>
        <v>0</v>
      </c>
      <c r="U455" t="b">
        <f>OR(AND(IF(metadata!F455="",FALSE,TRUE),EXACT(metadata!F455,"not applicable")),AND(IF(metadata!F455="",FALSE,TRUE),EXACT(metadata!F455,"anaerobic digester content")))</f>
        <v>0</v>
      </c>
    </row>
    <row r="456" spans="1:21" x14ac:dyDescent="0.2">
      <c r="A456" s="4" t="str">
        <f ca="1">IF(B456=" "," ",HYPERLINK(CONCATENATE("#metadata!",ADDRESS(INDEX($L$2:$L$1001,MATCH(ROWS($J$2:J456),$J$2:$J$1001,0),0),1)),INDEX($O$2:$O$1001,MATCH(ROWS($J$2:J456),$J$2:$J$1001,0),0)))</f>
        <v xml:space="preserve"> </v>
      </c>
      <c r="B456" s="3" t="str">
        <f ca="1">IF(OR(INDEX($K$2:$K$1001,MATCH(ROWS($J$2:J456),$J$2:$J$1001,0),1)&gt;=100000,INDEX($Q$1005:$U$1005,1,MATCH(COLUMNS($Q$1006:Q1006),$Q$1006:$U$1006,0))&gt;=100000), " ",IF(INDEX($Q$2:$U$1001,MATCH(ROWS($J$2:J456),$J$2:$J$1001,0),MATCH(COLUMNS($Q$1006:Q1006),$Q$1006:$U$1006,0)), HYPERLINK("#",""), HYPERLINK(CONCATENATE("#metadata!", ADDRESS(INDEX($L$2:$L$1001,MATCH(ROWS($J$2:J456),$J$2:$J$1001,0),0), INDEX($Q$1004:$U$1004,1,MATCH(COLUMNS($Q$1006:Q1006),$Q$1006:$U$1006,0)))),"Fix")))</f>
        <v xml:space="preserve"> </v>
      </c>
      <c r="C456" s="3" t="str">
        <f ca="1">IF(OR(INDEX($K$2:$K$1001,MATCH(ROWS($J$2:J456),$J$2:$J$1001,0),1)&gt;=100000,INDEX($Q$1005:$U$1005,1,MATCH(COLUMNS($Q$1006:R1006),$Q$1006:$U$1006,0))&gt;=100000), " ",IF(INDEX($Q$2:$U$1001,MATCH(ROWS($J$2:J456),$J$2:$J$1001,0),MATCH(COLUMNS($Q$1006:R1006),$Q$1006:$U$1006,0)), HYPERLINK("#",""), HYPERLINK(CONCATENATE("#metadata!", ADDRESS(INDEX($L$2:$L$1001,MATCH(ROWS($J$2:J456),$J$2:$J$1001,0),0), INDEX($Q$1004:$U$1004,1,MATCH(COLUMNS($Q$1006:R1006),$Q$1006:$U$1006,0)))),"Fix")))</f>
        <v xml:space="preserve"> </v>
      </c>
      <c r="D456" s="3" t="str">
        <f ca="1">IF(OR(INDEX($K$2:$K$1001,MATCH(ROWS($J$2:J456),$J$2:$J$1001,0),1)&gt;=100000,INDEX($Q$1005:$U$1005,1,MATCH(COLUMNS($Q$1006:S1006),$Q$1006:$U$1006,0))&gt;=100000), " ",IF(INDEX($Q$2:$U$1001,MATCH(ROWS($J$2:J456),$J$2:$J$1001,0),MATCH(COLUMNS($Q$1006:S1006),$Q$1006:$U$1006,0)), HYPERLINK("#",""), HYPERLINK(CONCATENATE("#metadata!", ADDRESS(INDEX($L$2:$L$1001,MATCH(ROWS($J$2:J456),$J$2:$J$1001,0),0), INDEX($Q$1004:$U$1004,1,MATCH(COLUMNS($Q$1006:S1006),$Q$1006:$U$1006,0)))),"Fix")))</f>
        <v xml:space="preserve"> </v>
      </c>
      <c r="E456" s="3" t="str">
        <f ca="1">IF(OR(INDEX($K$2:$K$1001,MATCH(ROWS($J$2:J456),$J$2:$J$1001,0),1)&gt;=100000,INDEX($Q$1005:$U$1005,1,MATCH(COLUMNS($Q$1006:T1006),$Q$1006:$U$1006,0))&gt;=100000), " ",IF(INDEX($Q$2:$U$1001,MATCH(ROWS($J$2:J456),$J$2:$J$1001,0),MATCH(COLUMNS($Q$1006:T1006),$Q$1006:$U$1006,0)), HYPERLINK("#",""), HYPERLINK(CONCATENATE("#metadata!", ADDRESS(INDEX($L$2:$L$1001,MATCH(ROWS($J$2:J456),$J$2:$J$1001,0),0), INDEX($Q$1004:$U$1004,1,MATCH(COLUMNS($Q$1006:T1006),$Q$1006:$U$1006,0)))),"Fix")))</f>
        <v xml:space="preserve"> </v>
      </c>
      <c r="F456" s="3" t="str">
        <f ca="1">IF(OR(INDEX($K$2:$K$1001,MATCH(ROWS($J$2:J456),$J$2:$J$1001,0),1)&gt;=100000,INDEX($Q$1005:$U$1005,1,MATCH(COLUMNS($Q$1006:U1006),$Q$1006:$U$1006,0))&gt;=100000), " ",IF(INDEX($Q$2:$U$1001,MATCH(ROWS($J$2:J456),$J$2:$J$1001,0),MATCH(COLUMNS($Q$1006:U1006),$Q$1006:$U$1006,0)), HYPERLINK("#",""), HYPERLINK(CONCATENATE("#metadata!", ADDRESS(INDEX($L$2:$L$1001,MATCH(ROWS($J$2:J456),$J$2:$J$1001,0),0), INDEX($Q$1004:$U$1004,1,MATCH(COLUMNS($Q$1006:U1006),$Q$1006:$U$1006,0)))),"Fix")))</f>
        <v xml:space="preserve"> </v>
      </c>
      <c r="J456">
        <v>455</v>
      </c>
      <c r="K456">
        <v>100456</v>
      </c>
      <c r="L456">
        <v>456</v>
      </c>
      <c r="M456" t="b">
        <f t="shared" si="7"/>
        <v>1</v>
      </c>
      <c r="N456" t="b">
        <f>COUNTBLANK(metadata!B456:F456)=COLUMNS(metadata!B456:F456)</f>
        <v>1</v>
      </c>
      <c r="O456" t="str">
        <v/>
      </c>
      <c r="Q456" t="b">
        <f ca="1">AND(IF(metadata!B456="",FALSE,TRUE),COUNTIF(metadata!B:B, metadata!B456) = 1,NOT(ISERROR(SUMPRODUCT(SEARCH(MID(metadata!B456,ROW(INDIRECT("1:"&amp;LEN(metadata!B456))), 1),"0123456789abcdefghijklmnopqrstuvwxyzABCDEFGHIJKLMNOPQRSTUVWXYZ.")))))</f>
        <v>0</v>
      </c>
      <c r="R456" t="b">
        <f>AND(IF(metadata!C456="",FALSE,TRUE),OR(EXACT(metadata!C456,"saline"),EXACT(metadata!C456,"non-saline")))</f>
        <v>0</v>
      </c>
      <c r="S456" t="b">
        <f>AND(IF(metadata!D456="",FALSE,TRUE),OR(EXACT(metadata!D456,"surface (non-saline)"),EXACT(metadata!D456,"aerosol (non-saline)"),EXACT(metadata!D456,"sediment (non-saline)"),EXACT(metadata!D456,"surface (saline)"),EXACT(metadata!D456,"aerosol (saline)"),EXACT(metadata!D456,"sediment (saline)")))</f>
        <v>0</v>
      </c>
      <c r="T456" t="b">
        <f>AND(IF(metadata!E456="",FALSE,TRUE),EXACT(metadata!E456,"built environment"))</f>
        <v>0</v>
      </c>
      <c r="U456" t="b">
        <f>OR(AND(IF(metadata!F456="",FALSE,TRUE),EXACT(metadata!F456,"not applicable")),AND(IF(metadata!F456="",FALSE,TRUE),EXACT(metadata!F456,"anaerobic digester content")))</f>
        <v>0</v>
      </c>
    </row>
    <row r="457" spans="1:21" x14ac:dyDescent="0.2">
      <c r="A457" s="4" t="str">
        <f ca="1">IF(B457=" "," ",HYPERLINK(CONCATENATE("#metadata!",ADDRESS(INDEX($L$2:$L$1001,MATCH(ROWS($J$2:J457),$J$2:$J$1001,0),0),1)),INDEX($O$2:$O$1001,MATCH(ROWS($J$2:J457),$J$2:$J$1001,0),0)))</f>
        <v xml:space="preserve"> </v>
      </c>
      <c r="B457" s="3" t="str">
        <f ca="1">IF(OR(INDEX($K$2:$K$1001,MATCH(ROWS($J$2:J457),$J$2:$J$1001,0),1)&gt;=100000,INDEX($Q$1005:$U$1005,1,MATCH(COLUMNS($Q$1006:Q1006),$Q$1006:$U$1006,0))&gt;=100000), " ",IF(INDEX($Q$2:$U$1001,MATCH(ROWS($J$2:J457),$J$2:$J$1001,0),MATCH(COLUMNS($Q$1006:Q1006),$Q$1006:$U$1006,0)), HYPERLINK("#",""), HYPERLINK(CONCATENATE("#metadata!", ADDRESS(INDEX($L$2:$L$1001,MATCH(ROWS($J$2:J457),$J$2:$J$1001,0),0), INDEX($Q$1004:$U$1004,1,MATCH(COLUMNS($Q$1006:Q1006),$Q$1006:$U$1006,0)))),"Fix")))</f>
        <v xml:space="preserve"> </v>
      </c>
      <c r="C457" s="3" t="str">
        <f ca="1">IF(OR(INDEX($K$2:$K$1001,MATCH(ROWS($J$2:J457),$J$2:$J$1001,0),1)&gt;=100000,INDEX($Q$1005:$U$1005,1,MATCH(COLUMNS($Q$1006:R1006),$Q$1006:$U$1006,0))&gt;=100000), " ",IF(INDEX($Q$2:$U$1001,MATCH(ROWS($J$2:J457),$J$2:$J$1001,0),MATCH(COLUMNS($Q$1006:R1006),$Q$1006:$U$1006,0)), HYPERLINK("#",""), HYPERLINK(CONCATENATE("#metadata!", ADDRESS(INDEX($L$2:$L$1001,MATCH(ROWS($J$2:J457),$J$2:$J$1001,0),0), INDEX($Q$1004:$U$1004,1,MATCH(COLUMNS($Q$1006:R1006),$Q$1006:$U$1006,0)))),"Fix")))</f>
        <v xml:space="preserve"> </v>
      </c>
      <c r="D457" s="3" t="str">
        <f ca="1">IF(OR(INDEX($K$2:$K$1001,MATCH(ROWS($J$2:J457),$J$2:$J$1001,0),1)&gt;=100000,INDEX($Q$1005:$U$1005,1,MATCH(COLUMNS($Q$1006:S1006),$Q$1006:$U$1006,0))&gt;=100000), " ",IF(INDEX($Q$2:$U$1001,MATCH(ROWS($J$2:J457),$J$2:$J$1001,0),MATCH(COLUMNS($Q$1006:S1006),$Q$1006:$U$1006,0)), HYPERLINK("#",""), HYPERLINK(CONCATENATE("#metadata!", ADDRESS(INDEX($L$2:$L$1001,MATCH(ROWS($J$2:J457),$J$2:$J$1001,0),0), INDEX($Q$1004:$U$1004,1,MATCH(COLUMNS($Q$1006:S1006),$Q$1006:$U$1006,0)))),"Fix")))</f>
        <v xml:space="preserve"> </v>
      </c>
      <c r="E457" s="3" t="str">
        <f ca="1">IF(OR(INDEX($K$2:$K$1001,MATCH(ROWS($J$2:J457),$J$2:$J$1001,0),1)&gt;=100000,INDEX($Q$1005:$U$1005,1,MATCH(COLUMNS($Q$1006:T1006),$Q$1006:$U$1006,0))&gt;=100000), " ",IF(INDEX($Q$2:$U$1001,MATCH(ROWS($J$2:J457),$J$2:$J$1001,0),MATCH(COLUMNS($Q$1006:T1006),$Q$1006:$U$1006,0)), HYPERLINK("#",""), HYPERLINK(CONCATENATE("#metadata!", ADDRESS(INDEX($L$2:$L$1001,MATCH(ROWS($J$2:J457),$J$2:$J$1001,0),0), INDEX($Q$1004:$U$1004,1,MATCH(COLUMNS($Q$1006:T1006),$Q$1006:$U$1006,0)))),"Fix")))</f>
        <v xml:space="preserve"> </v>
      </c>
      <c r="F457" s="3" t="str">
        <f ca="1">IF(OR(INDEX($K$2:$K$1001,MATCH(ROWS($J$2:J457),$J$2:$J$1001,0),1)&gt;=100000,INDEX($Q$1005:$U$1005,1,MATCH(COLUMNS($Q$1006:U1006),$Q$1006:$U$1006,0))&gt;=100000), " ",IF(INDEX($Q$2:$U$1001,MATCH(ROWS($J$2:J457),$J$2:$J$1001,0),MATCH(COLUMNS($Q$1006:U1006),$Q$1006:$U$1006,0)), HYPERLINK("#",""), HYPERLINK(CONCATENATE("#metadata!", ADDRESS(INDEX($L$2:$L$1001,MATCH(ROWS($J$2:J457),$J$2:$J$1001,0),0), INDEX($Q$1004:$U$1004,1,MATCH(COLUMNS($Q$1006:U1006),$Q$1006:$U$1006,0)))),"Fix")))</f>
        <v xml:space="preserve"> </v>
      </c>
      <c r="J457">
        <v>456</v>
      </c>
      <c r="K457">
        <v>100457</v>
      </c>
      <c r="L457">
        <v>457</v>
      </c>
      <c r="M457" t="b">
        <f t="shared" si="7"/>
        <v>1</v>
      </c>
      <c r="N457" t="b">
        <f>COUNTBLANK(metadata!B457:F457)=COLUMNS(metadata!B457:F457)</f>
        <v>1</v>
      </c>
      <c r="O457" t="str">
        <v/>
      </c>
      <c r="Q457" t="b">
        <f ca="1">AND(IF(metadata!B457="",FALSE,TRUE),COUNTIF(metadata!B:B, metadata!B457) = 1,NOT(ISERROR(SUMPRODUCT(SEARCH(MID(metadata!B457,ROW(INDIRECT("1:"&amp;LEN(metadata!B457))), 1),"0123456789abcdefghijklmnopqrstuvwxyzABCDEFGHIJKLMNOPQRSTUVWXYZ.")))))</f>
        <v>0</v>
      </c>
      <c r="R457" t="b">
        <f>AND(IF(metadata!C457="",FALSE,TRUE),OR(EXACT(metadata!C457,"saline"),EXACT(metadata!C457,"non-saline")))</f>
        <v>0</v>
      </c>
      <c r="S457" t="b">
        <f>AND(IF(metadata!D457="",FALSE,TRUE),OR(EXACT(metadata!D457,"surface (non-saline)"),EXACT(metadata!D457,"aerosol (non-saline)"),EXACT(metadata!D457,"sediment (non-saline)"),EXACT(metadata!D457,"surface (saline)"),EXACT(metadata!D457,"aerosol (saline)"),EXACT(metadata!D457,"sediment (saline)")))</f>
        <v>0</v>
      </c>
      <c r="T457" t="b">
        <f>AND(IF(metadata!E457="",FALSE,TRUE),EXACT(metadata!E457,"built environment"))</f>
        <v>0</v>
      </c>
      <c r="U457" t="b">
        <f>OR(AND(IF(metadata!F457="",FALSE,TRUE),EXACT(metadata!F457,"not applicable")),AND(IF(metadata!F457="",FALSE,TRUE),EXACT(metadata!F457,"anaerobic digester content")))</f>
        <v>0</v>
      </c>
    </row>
    <row r="458" spans="1:21" x14ac:dyDescent="0.2">
      <c r="A458" s="4" t="str">
        <f ca="1">IF(B458=" "," ",HYPERLINK(CONCATENATE("#metadata!",ADDRESS(INDEX($L$2:$L$1001,MATCH(ROWS($J$2:J458),$J$2:$J$1001,0),0),1)),INDEX($O$2:$O$1001,MATCH(ROWS($J$2:J458),$J$2:$J$1001,0),0)))</f>
        <v xml:space="preserve"> </v>
      </c>
      <c r="B458" s="3" t="str">
        <f ca="1">IF(OR(INDEX($K$2:$K$1001,MATCH(ROWS($J$2:J458),$J$2:$J$1001,0),1)&gt;=100000,INDEX($Q$1005:$U$1005,1,MATCH(COLUMNS($Q$1006:Q1006),$Q$1006:$U$1006,0))&gt;=100000), " ",IF(INDEX($Q$2:$U$1001,MATCH(ROWS($J$2:J458),$J$2:$J$1001,0),MATCH(COLUMNS($Q$1006:Q1006),$Q$1006:$U$1006,0)), HYPERLINK("#",""), HYPERLINK(CONCATENATE("#metadata!", ADDRESS(INDEX($L$2:$L$1001,MATCH(ROWS($J$2:J458),$J$2:$J$1001,0),0), INDEX($Q$1004:$U$1004,1,MATCH(COLUMNS($Q$1006:Q1006),$Q$1006:$U$1006,0)))),"Fix")))</f>
        <v xml:space="preserve"> </v>
      </c>
      <c r="C458" s="3" t="str">
        <f ca="1">IF(OR(INDEX($K$2:$K$1001,MATCH(ROWS($J$2:J458),$J$2:$J$1001,0),1)&gt;=100000,INDEX($Q$1005:$U$1005,1,MATCH(COLUMNS($Q$1006:R1006),$Q$1006:$U$1006,0))&gt;=100000), " ",IF(INDEX($Q$2:$U$1001,MATCH(ROWS($J$2:J458),$J$2:$J$1001,0),MATCH(COLUMNS($Q$1006:R1006),$Q$1006:$U$1006,0)), HYPERLINK("#",""), HYPERLINK(CONCATENATE("#metadata!", ADDRESS(INDEX($L$2:$L$1001,MATCH(ROWS($J$2:J458),$J$2:$J$1001,0),0), INDEX($Q$1004:$U$1004,1,MATCH(COLUMNS($Q$1006:R1006),$Q$1006:$U$1006,0)))),"Fix")))</f>
        <v xml:space="preserve"> </v>
      </c>
      <c r="D458" s="3" t="str">
        <f ca="1">IF(OR(INDEX($K$2:$K$1001,MATCH(ROWS($J$2:J458),$J$2:$J$1001,0),1)&gt;=100000,INDEX($Q$1005:$U$1005,1,MATCH(COLUMNS($Q$1006:S1006),$Q$1006:$U$1006,0))&gt;=100000), " ",IF(INDEX($Q$2:$U$1001,MATCH(ROWS($J$2:J458),$J$2:$J$1001,0),MATCH(COLUMNS($Q$1006:S1006),$Q$1006:$U$1006,0)), HYPERLINK("#",""), HYPERLINK(CONCATENATE("#metadata!", ADDRESS(INDEX($L$2:$L$1001,MATCH(ROWS($J$2:J458),$J$2:$J$1001,0),0), INDEX($Q$1004:$U$1004,1,MATCH(COLUMNS($Q$1006:S1006),$Q$1006:$U$1006,0)))),"Fix")))</f>
        <v xml:space="preserve"> </v>
      </c>
      <c r="E458" s="3" t="str">
        <f ca="1">IF(OR(INDEX($K$2:$K$1001,MATCH(ROWS($J$2:J458),$J$2:$J$1001,0),1)&gt;=100000,INDEX($Q$1005:$U$1005,1,MATCH(COLUMNS($Q$1006:T1006),$Q$1006:$U$1006,0))&gt;=100000), " ",IF(INDEX($Q$2:$U$1001,MATCH(ROWS($J$2:J458),$J$2:$J$1001,0),MATCH(COLUMNS($Q$1006:T1006),$Q$1006:$U$1006,0)), HYPERLINK("#",""), HYPERLINK(CONCATENATE("#metadata!", ADDRESS(INDEX($L$2:$L$1001,MATCH(ROWS($J$2:J458),$J$2:$J$1001,0),0), INDEX($Q$1004:$U$1004,1,MATCH(COLUMNS($Q$1006:T1006),$Q$1006:$U$1006,0)))),"Fix")))</f>
        <v xml:space="preserve"> </v>
      </c>
      <c r="F458" s="3" t="str">
        <f ca="1">IF(OR(INDEX($K$2:$K$1001,MATCH(ROWS($J$2:J458),$J$2:$J$1001,0),1)&gt;=100000,INDEX($Q$1005:$U$1005,1,MATCH(COLUMNS($Q$1006:U1006),$Q$1006:$U$1006,0))&gt;=100000), " ",IF(INDEX($Q$2:$U$1001,MATCH(ROWS($J$2:J458),$J$2:$J$1001,0),MATCH(COLUMNS($Q$1006:U1006),$Q$1006:$U$1006,0)), HYPERLINK("#",""), HYPERLINK(CONCATENATE("#metadata!", ADDRESS(INDEX($L$2:$L$1001,MATCH(ROWS($J$2:J458),$J$2:$J$1001,0),0), INDEX($Q$1004:$U$1004,1,MATCH(COLUMNS($Q$1006:U1006),$Q$1006:$U$1006,0)))),"Fix")))</f>
        <v xml:space="preserve"> </v>
      </c>
      <c r="J458">
        <v>457</v>
      </c>
      <c r="K458">
        <v>100458</v>
      </c>
      <c r="L458">
        <v>458</v>
      </c>
      <c r="M458" t="b">
        <f t="shared" si="7"/>
        <v>1</v>
      </c>
      <c r="N458" t="b">
        <f>COUNTBLANK(metadata!B458:F458)=COLUMNS(metadata!B458:F458)</f>
        <v>1</v>
      </c>
      <c r="O458" t="str">
        <v/>
      </c>
      <c r="Q458" t="b">
        <f ca="1">AND(IF(metadata!B458="",FALSE,TRUE),COUNTIF(metadata!B:B, metadata!B458) = 1,NOT(ISERROR(SUMPRODUCT(SEARCH(MID(metadata!B458,ROW(INDIRECT("1:"&amp;LEN(metadata!B458))), 1),"0123456789abcdefghijklmnopqrstuvwxyzABCDEFGHIJKLMNOPQRSTUVWXYZ.")))))</f>
        <v>0</v>
      </c>
      <c r="R458" t="b">
        <f>AND(IF(metadata!C458="",FALSE,TRUE),OR(EXACT(metadata!C458,"saline"),EXACT(metadata!C458,"non-saline")))</f>
        <v>0</v>
      </c>
      <c r="S458" t="b">
        <f>AND(IF(metadata!D458="",FALSE,TRUE),OR(EXACT(metadata!D458,"surface (non-saline)"),EXACT(metadata!D458,"aerosol (non-saline)"),EXACT(metadata!D458,"sediment (non-saline)"),EXACT(metadata!D458,"surface (saline)"),EXACT(metadata!D458,"aerosol (saline)"),EXACT(metadata!D458,"sediment (saline)")))</f>
        <v>0</v>
      </c>
      <c r="T458" t="b">
        <f>AND(IF(metadata!E458="",FALSE,TRUE),EXACT(metadata!E458,"built environment"))</f>
        <v>0</v>
      </c>
      <c r="U458" t="b">
        <f>OR(AND(IF(metadata!F458="",FALSE,TRUE),EXACT(metadata!F458,"not applicable")),AND(IF(metadata!F458="",FALSE,TRUE),EXACT(metadata!F458,"anaerobic digester content")))</f>
        <v>0</v>
      </c>
    </row>
    <row r="459" spans="1:21" x14ac:dyDescent="0.2">
      <c r="A459" s="4" t="str">
        <f ca="1">IF(B459=" "," ",HYPERLINK(CONCATENATE("#metadata!",ADDRESS(INDEX($L$2:$L$1001,MATCH(ROWS($J$2:J459),$J$2:$J$1001,0),0),1)),INDEX($O$2:$O$1001,MATCH(ROWS($J$2:J459),$J$2:$J$1001,0),0)))</f>
        <v xml:space="preserve"> </v>
      </c>
      <c r="B459" s="3" t="str">
        <f ca="1">IF(OR(INDEX($K$2:$K$1001,MATCH(ROWS($J$2:J459),$J$2:$J$1001,0),1)&gt;=100000,INDEX($Q$1005:$U$1005,1,MATCH(COLUMNS($Q$1006:Q1006),$Q$1006:$U$1006,0))&gt;=100000), " ",IF(INDEX($Q$2:$U$1001,MATCH(ROWS($J$2:J459),$J$2:$J$1001,0),MATCH(COLUMNS($Q$1006:Q1006),$Q$1006:$U$1006,0)), HYPERLINK("#",""), HYPERLINK(CONCATENATE("#metadata!", ADDRESS(INDEX($L$2:$L$1001,MATCH(ROWS($J$2:J459),$J$2:$J$1001,0),0), INDEX($Q$1004:$U$1004,1,MATCH(COLUMNS($Q$1006:Q1006),$Q$1006:$U$1006,0)))),"Fix")))</f>
        <v xml:space="preserve"> </v>
      </c>
      <c r="C459" s="3" t="str">
        <f ca="1">IF(OR(INDEX($K$2:$K$1001,MATCH(ROWS($J$2:J459),$J$2:$J$1001,0),1)&gt;=100000,INDEX($Q$1005:$U$1005,1,MATCH(COLUMNS($Q$1006:R1006),$Q$1006:$U$1006,0))&gt;=100000), " ",IF(INDEX($Q$2:$U$1001,MATCH(ROWS($J$2:J459),$J$2:$J$1001,0),MATCH(COLUMNS($Q$1006:R1006),$Q$1006:$U$1006,0)), HYPERLINK("#",""), HYPERLINK(CONCATENATE("#metadata!", ADDRESS(INDEX($L$2:$L$1001,MATCH(ROWS($J$2:J459),$J$2:$J$1001,0),0), INDEX($Q$1004:$U$1004,1,MATCH(COLUMNS($Q$1006:R1006),$Q$1006:$U$1006,0)))),"Fix")))</f>
        <v xml:space="preserve"> </v>
      </c>
      <c r="D459" s="3" t="str">
        <f ca="1">IF(OR(INDEX($K$2:$K$1001,MATCH(ROWS($J$2:J459),$J$2:$J$1001,0),1)&gt;=100000,INDEX($Q$1005:$U$1005,1,MATCH(COLUMNS($Q$1006:S1006),$Q$1006:$U$1006,0))&gt;=100000), " ",IF(INDEX($Q$2:$U$1001,MATCH(ROWS($J$2:J459),$J$2:$J$1001,0),MATCH(COLUMNS($Q$1006:S1006),$Q$1006:$U$1006,0)), HYPERLINK("#",""), HYPERLINK(CONCATENATE("#metadata!", ADDRESS(INDEX($L$2:$L$1001,MATCH(ROWS($J$2:J459),$J$2:$J$1001,0),0), INDEX($Q$1004:$U$1004,1,MATCH(COLUMNS($Q$1006:S1006),$Q$1006:$U$1006,0)))),"Fix")))</f>
        <v xml:space="preserve"> </v>
      </c>
      <c r="E459" s="3" t="str">
        <f ca="1">IF(OR(INDEX($K$2:$K$1001,MATCH(ROWS($J$2:J459),$J$2:$J$1001,0),1)&gt;=100000,INDEX($Q$1005:$U$1005,1,MATCH(COLUMNS($Q$1006:T1006),$Q$1006:$U$1006,0))&gt;=100000), " ",IF(INDEX($Q$2:$U$1001,MATCH(ROWS($J$2:J459),$J$2:$J$1001,0),MATCH(COLUMNS($Q$1006:T1006),$Q$1006:$U$1006,0)), HYPERLINK("#",""), HYPERLINK(CONCATENATE("#metadata!", ADDRESS(INDEX($L$2:$L$1001,MATCH(ROWS($J$2:J459),$J$2:$J$1001,0),0), INDEX($Q$1004:$U$1004,1,MATCH(COLUMNS($Q$1006:T1006),$Q$1006:$U$1006,0)))),"Fix")))</f>
        <v xml:space="preserve"> </v>
      </c>
      <c r="F459" s="3" t="str">
        <f ca="1">IF(OR(INDEX($K$2:$K$1001,MATCH(ROWS($J$2:J459),$J$2:$J$1001,0),1)&gt;=100000,INDEX($Q$1005:$U$1005,1,MATCH(COLUMNS($Q$1006:U1006),$Q$1006:$U$1006,0))&gt;=100000), " ",IF(INDEX($Q$2:$U$1001,MATCH(ROWS($J$2:J459),$J$2:$J$1001,0),MATCH(COLUMNS($Q$1006:U1006),$Q$1006:$U$1006,0)), HYPERLINK("#",""), HYPERLINK(CONCATENATE("#metadata!", ADDRESS(INDEX($L$2:$L$1001,MATCH(ROWS($J$2:J459),$J$2:$J$1001,0),0), INDEX($Q$1004:$U$1004,1,MATCH(COLUMNS($Q$1006:U1006),$Q$1006:$U$1006,0)))),"Fix")))</f>
        <v xml:space="preserve"> </v>
      </c>
      <c r="J459">
        <v>458</v>
      </c>
      <c r="K459">
        <v>100459</v>
      </c>
      <c r="L459">
        <v>459</v>
      </c>
      <c r="M459" t="b">
        <f t="shared" si="7"/>
        <v>1</v>
      </c>
      <c r="N459" t="b">
        <f>COUNTBLANK(metadata!B459:F459)=COLUMNS(metadata!B459:F459)</f>
        <v>1</v>
      </c>
      <c r="O459" t="str">
        <v/>
      </c>
      <c r="Q459" t="b">
        <f ca="1">AND(IF(metadata!B459="",FALSE,TRUE),COUNTIF(metadata!B:B, metadata!B459) = 1,NOT(ISERROR(SUMPRODUCT(SEARCH(MID(metadata!B459,ROW(INDIRECT("1:"&amp;LEN(metadata!B459))), 1),"0123456789abcdefghijklmnopqrstuvwxyzABCDEFGHIJKLMNOPQRSTUVWXYZ.")))))</f>
        <v>0</v>
      </c>
      <c r="R459" t="b">
        <f>AND(IF(metadata!C459="",FALSE,TRUE),OR(EXACT(metadata!C459,"saline"),EXACT(metadata!C459,"non-saline")))</f>
        <v>0</v>
      </c>
      <c r="S459" t="b">
        <f>AND(IF(metadata!D459="",FALSE,TRUE),OR(EXACT(metadata!D459,"surface (non-saline)"),EXACT(metadata!D459,"aerosol (non-saline)"),EXACT(metadata!D459,"sediment (non-saline)"),EXACT(metadata!D459,"surface (saline)"),EXACT(metadata!D459,"aerosol (saline)"),EXACT(metadata!D459,"sediment (saline)")))</f>
        <v>0</v>
      </c>
      <c r="T459" t="b">
        <f>AND(IF(metadata!E459="",FALSE,TRUE),EXACT(metadata!E459,"built environment"))</f>
        <v>0</v>
      </c>
      <c r="U459" t="b">
        <f>OR(AND(IF(metadata!F459="",FALSE,TRUE),EXACT(metadata!F459,"not applicable")),AND(IF(metadata!F459="",FALSE,TRUE),EXACT(metadata!F459,"anaerobic digester content")))</f>
        <v>0</v>
      </c>
    </row>
    <row r="460" spans="1:21" x14ac:dyDescent="0.2">
      <c r="A460" s="4" t="str">
        <f ca="1">IF(B460=" "," ",HYPERLINK(CONCATENATE("#metadata!",ADDRESS(INDEX($L$2:$L$1001,MATCH(ROWS($J$2:J460),$J$2:$J$1001,0),0),1)),INDEX($O$2:$O$1001,MATCH(ROWS($J$2:J460),$J$2:$J$1001,0),0)))</f>
        <v xml:space="preserve"> </v>
      </c>
      <c r="B460" s="3" t="str">
        <f ca="1">IF(OR(INDEX($K$2:$K$1001,MATCH(ROWS($J$2:J460),$J$2:$J$1001,0),1)&gt;=100000,INDEX($Q$1005:$U$1005,1,MATCH(COLUMNS($Q$1006:Q1006),$Q$1006:$U$1006,0))&gt;=100000), " ",IF(INDEX($Q$2:$U$1001,MATCH(ROWS($J$2:J460),$J$2:$J$1001,0),MATCH(COLUMNS($Q$1006:Q1006),$Q$1006:$U$1006,0)), HYPERLINK("#",""), HYPERLINK(CONCATENATE("#metadata!", ADDRESS(INDEX($L$2:$L$1001,MATCH(ROWS($J$2:J460),$J$2:$J$1001,0),0), INDEX($Q$1004:$U$1004,1,MATCH(COLUMNS($Q$1006:Q1006),$Q$1006:$U$1006,0)))),"Fix")))</f>
        <v xml:space="preserve"> </v>
      </c>
      <c r="C460" s="3" t="str">
        <f ca="1">IF(OR(INDEX($K$2:$K$1001,MATCH(ROWS($J$2:J460),$J$2:$J$1001,0),1)&gt;=100000,INDEX($Q$1005:$U$1005,1,MATCH(COLUMNS($Q$1006:R1006),$Q$1006:$U$1006,0))&gt;=100000), " ",IF(INDEX($Q$2:$U$1001,MATCH(ROWS($J$2:J460),$J$2:$J$1001,0),MATCH(COLUMNS($Q$1006:R1006),$Q$1006:$U$1006,0)), HYPERLINK("#",""), HYPERLINK(CONCATENATE("#metadata!", ADDRESS(INDEX($L$2:$L$1001,MATCH(ROWS($J$2:J460),$J$2:$J$1001,0),0), INDEX($Q$1004:$U$1004,1,MATCH(COLUMNS($Q$1006:R1006),$Q$1006:$U$1006,0)))),"Fix")))</f>
        <v xml:space="preserve"> </v>
      </c>
      <c r="D460" s="3" t="str">
        <f ca="1">IF(OR(INDEX($K$2:$K$1001,MATCH(ROWS($J$2:J460),$J$2:$J$1001,0),1)&gt;=100000,INDEX($Q$1005:$U$1005,1,MATCH(COLUMNS($Q$1006:S1006),$Q$1006:$U$1006,0))&gt;=100000), " ",IF(INDEX($Q$2:$U$1001,MATCH(ROWS($J$2:J460),$J$2:$J$1001,0),MATCH(COLUMNS($Q$1006:S1006),$Q$1006:$U$1006,0)), HYPERLINK("#",""), HYPERLINK(CONCATENATE("#metadata!", ADDRESS(INDEX($L$2:$L$1001,MATCH(ROWS($J$2:J460),$J$2:$J$1001,0),0), INDEX($Q$1004:$U$1004,1,MATCH(COLUMNS($Q$1006:S1006),$Q$1006:$U$1006,0)))),"Fix")))</f>
        <v xml:space="preserve"> </v>
      </c>
      <c r="E460" s="3" t="str">
        <f ca="1">IF(OR(INDEX($K$2:$K$1001,MATCH(ROWS($J$2:J460),$J$2:$J$1001,0),1)&gt;=100000,INDEX($Q$1005:$U$1005,1,MATCH(COLUMNS($Q$1006:T1006),$Q$1006:$U$1006,0))&gt;=100000), " ",IF(INDEX($Q$2:$U$1001,MATCH(ROWS($J$2:J460),$J$2:$J$1001,0),MATCH(COLUMNS($Q$1006:T1006),$Q$1006:$U$1006,0)), HYPERLINK("#",""), HYPERLINK(CONCATENATE("#metadata!", ADDRESS(INDEX($L$2:$L$1001,MATCH(ROWS($J$2:J460),$J$2:$J$1001,0),0), INDEX($Q$1004:$U$1004,1,MATCH(COLUMNS($Q$1006:T1006),$Q$1006:$U$1006,0)))),"Fix")))</f>
        <v xml:space="preserve"> </v>
      </c>
      <c r="F460" s="3" t="str">
        <f ca="1">IF(OR(INDEX($K$2:$K$1001,MATCH(ROWS($J$2:J460),$J$2:$J$1001,0),1)&gt;=100000,INDEX($Q$1005:$U$1005,1,MATCH(COLUMNS($Q$1006:U1006),$Q$1006:$U$1006,0))&gt;=100000), " ",IF(INDEX($Q$2:$U$1001,MATCH(ROWS($J$2:J460),$J$2:$J$1001,0),MATCH(COLUMNS($Q$1006:U1006),$Q$1006:$U$1006,0)), HYPERLINK("#",""), HYPERLINK(CONCATENATE("#metadata!", ADDRESS(INDEX($L$2:$L$1001,MATCH(ROWS($J$2:J460),$J$2:$J$1001,0),0), INDEX($Q$1004:$U$1004,1,MATCH(COLUMNS($Q$1006:U1006),$Q$1006:$U$1006,0)))),"Fix")))</f>
        <v xml:space="preserve"> </v>
      </c>
      <c r="J460">
        <v>459</v>
      </c>
      <c r="K460">
        <v>100460</v>
      </c>
      <c r="L460">
        <v>460</v>
      </c>
      <c r="M460" t="b">
        <f t="shared" si="7"/>
        <v>1</v>
      </c>
      <c r="N460" t="b">
        <f>COUNTBLANK(metadata!B460:F460)=COLUMNS(metadata!B460:F460)</f>
        <v>1</v>
      </c>
      <c r="O460" t="str">
        <v/>
      </c>
      <c r="Q460" t="b">
        <f ca="1">AND(IF(metadata!B460="",FALSE,TRUE),COUNTIF(metadata!B:B, metadata!B460) = 1,NOT(ISERROR(SUMPRODUCT(SEARCH(MID(metadata!B460,ROW(INDIRECT("1:"&amp;LEN(metadata!B460))), 1),"0123456789abcdefghijklmnopqrstuvwxyzABCDEFGHIJKLMNOPQRSTUVWXYZ.")))))</f>
        <v>0</v>
      </c>
      <c r="R460" t="b">
        <f>AND(IF(metadata!C460="",FALSE,TRUE),OR(EXACT(metadata!C460,"saline"),EXACT(metadata!C460,"non-saline")))</f>
        <v>0</v>
      </c>
      <c r="S460" t="b">
        <f>AND(IF(metadata!D460="",FALSE,TRUE),OR(EXACT(metadata!D460,"surface (non-saline)"),EXACT(metadata!D460,"aerosol (non-saline)"),EXACT(metadata!D460,"sediment (non-saline)"),EXACT(metadata!D460,"surface (saline)"),EXACT(metadata!D460,"aerosol (saline)"),EXACT(metadata!D460,"sediment (saline)")))</f>
        <v>0</v>
      </c>
      <c r="T460" t="b">
        <f>AND(IF(metadata!E460="",FALSE,TRUE),EXACT(metadata!E460,"built environment"))</f>
        <v>0</v>
      </c>
      <c r="U460" t="b">
        <f>OR(AND(IF(metadata!F460="",FALSE,TRUE),EXACT(metadata!F460,"not applicable")),AND(IF(metadata!F460="",FALSE,TRUE),EXACT(metadata!F460,"anaerobic digester content")))</f>
        <v>0</v>
      </c>
    </row>
    <row r="461" spans="1:21" x14ac:dyDescent="0.2">
      <c r="A461" s="4" t="str">
        <f ca="1">IF(B461=" "," ",HYPERLINK(CONCATENATE("#metadata!",ADDRESS(INDEX($L$2:$L$1001,MATCH(ROWS($J$2:J461),$J$2:$J$1001,0),0),1)),INDEX($O$2:$O$1001,MATCH(ROWS($J$2:J461),$J$2:$J$1001,0),0)))</f>
        <v xml:space="preserve"> </v>
      </c>
      <c r="B461" s="3" t="str">
        <f ca="1">IF(OR(INDEX($K$2:$K$1001,MATCH(ROWS($J$2:J461),$J$2:$J$1001,0),1)&gt;=100000,INDEX($Q$1005:$U$1005,1,MATCH(COLUMNS($Q$1006:Q1006),$Q$1006:$U$1006,0))&gt;=100000), " ",IF(INDEX($Q$2:$U$1001,MATCH(ROWS($J$2:J461),$J$2:$J$1001,0),MATCH(COLUMNS($Q$1006:Q1006),$Q$1006:$U$1006,0)), HYPERLINK("#",""), HYPERLINK(CONCATENATE("#metadata!", ADDRESS(INDEX($L$2:$L$1001,MATCH(ROWS($J$2:J461),$J$2:$J$1001,0),0), INDEX($Q$1004:$U$1004,1,MATCH(COLUMNS($Q$1006:Q1006),$Q$1006:$U$1006,0)))),"Fix")))</f>
        <v xml:space="preserve"> </v>
      </c>
      <c r="C461" s="3" t="str">
        <f ca="1">IF(OR(INDEX($K$2:$K$1001,MATCH(ROWS($J$2:J461),$J$2:$J$1001,0),1)&gt;=100000,INDEX($Q$1005:$U$1005,1,MATCH(COLUMNS($Q$1006:R1006),$Q$1006:$U$1006,0))&gt;=100000), " ",IF(INDEX($Q$2:$U$1001,MATCH(ROWS($J$2:J461),$J$2:$J$1001,0),MATCH(COLUMNS($Q$1006:R1006),$Q$1006:$U$1006,0)), HYPERLINK("#",""), HYPERLINK(CONCATENATE("#metadata!", ADDRESS(INDEX($L$2:$L$1001,MATCH(ROWS($J$2:J461),$J$2:$J$1001,0),0), INDEX($Q$1004:$U$1004,1,MATCH(COLUMNS($Q$1006:R1006),$Q$1006:$U$1006,0)))),"Fix")))</f>
        <v xml:space="preserve"> </v>
      </c>
      <c r="D461" s="3" t="str">
        <f ca="1">IF(OR(INDEX($K$2:$K$1001,MATCH(ROWS($J$2:J461),$J$2:$J$1001,0),1)&gt;=100000,INDEX($Q$1005:$U$1005,1,MATCH(COLUMNS($Q$1006:S1006),$Q$1006:$U$1006,0))&gt;=100000), " ",IF(INDEX($Q$2:$U$1001,MATCH(ROWS($J$2:J461),$J$2:$J$1001,0),MATCH(COLUMNS($Q$1006:S1006),$Q$1006:$U$1006,0)), HYPERLINK("#",""), HYPERLINK(CONCATENATE("#metadata!", ADDRESS(INDEX($L$2:$L$1001,MATCH(ROWS($J$2:J461),$J$2:$J$1001,0),0), INDEX($Q$1004:$U$1004,1,MATCH(COLUMNS($Q$1006:S1006),$Q$1006:$U$1006,0)))),"Fix")))</f>
        <v xml:space="preserve"> </v>
      </c>
      <c r="E461" s="3" t="str">
        <f ca="1">IF(OR(INDEX($K$2:$K$1001,MATCH(ROWS($J$2:J461),$J$2:$J$1001,0),1)&gt;=100000,INDEX($Q$1005:$U$1005,1,MATCH(COLUMNS($Q$1006:T1006),$Q$1006:$U$1006,0))&gt;=100000), " ",IF(INDEX($Q$2:$U$1001,MATCH(ROWS($J$2:J461),$J$2:$J$1001,0),MATCH(COLUMNS($Q$1006:T1006),$Q$1006:$U$1006,0)), HYPERLINK("#",""), HYPERLINK(CONCATENATE("#metadata!", ADDRESS(INDEX($L$2:$L$1001,MATCH(ROWS($J$2:J461),$J$2:$J$1001,0),0), INDEX($Q$1004:$U$1004,1,MATCH(COLUMNS($Q$1006:T1006),$Q$1006:$U$1006,0)))),"Fix")))</f>
        <v xml:space="preserve"> </v>
      </c>
      <c r="F461" s="3" t="str">
        <f ca="1">IF(OR(INDEX($K$2:$K$1001,MATCH(ROWS($J$2:J461),$J$2:$J$1001,0),1)&gt;=100000,INDEX($Q$1005:$U$1005,1,MATCH(COLUMNS($Q$1006:U1006),$Q$1006:$U$1006,0))&gt;=100000), " ",IF(INDEX($Q$2:$U$1001,MATCH(ROWS($J$2:J461),$J$2:$J$1001,0),MATCH(COLUMNS($Q$1006:U1006),$Q$1006:$U$1006,0)), HYPERLINK("#",""), HYPERLINK(CONCATENATE("#metadata!", ADDRESS(INDEX($L$2:$L$1001,MATCH(ROWS($J$2:J461),$J$2:$J$1001,0),0), INDEX($Q$1004:$U$1004,1,MATCH(COLUMNS($Q$1006:U1006),$Q$1006:$U$1006,0)))),"Fix")))</f>
        <v xml:space="preserve"> </v>
      </c>
      <c r="J461">
        <v>460</v>
      </c>
      <c r="K461">
        <v>100461</v>
      </c>
      <c r="L461">
        <v>461</v>
      </c>
      <c r="M461" t="b">
        <f t="shared" si="7"/>
        <v>1</v>
      </c>
      <c r="N461" t="b">
        <f>COUNTBLANK(metadata!B461:F461)=COLUMNS(metadata!B461:F461)</f>
        <v>1</v>
      </c>
      <c r="O461" t="str">
        <v/>
      </c>
      <c r="Q461" t="b">
        <f ca="1">AND(IF(metadata!B461="",FALSE,TRUE),COUNTIF(metadata!B:B, metadata!B461) = 1,NOT(ISERROR(SUMPRODUCT(SEARCH(MID(metadata!B461,ROW(INDIRECT("1:"&amp;LEN(metadata!B461))), 1),"0123456789abcdefghijklmnopqrstuvwxyzABCDEFGHIJKLMNOPQRSTUVWXYZ.")))))</f>
        <v>0</v>
      </c>
      <c r="R461" t="b">
        <f>AND(IF(metadata!C461="",FALSE,TRUE),OR(EXACT(metadata!C461,"saline"),EXACT(metadata!C461,"non-saline")))</f>
        <v>0</v>
      </c>
      <c r="S461" t="b">
        <f>AND(IF(metadata!D461="",FALSE,TRUE),OR(EXACT(metadata!D461,"surface (non-saline)"),EXACT(metadata!D461,"aerosol (non-saline)"),EXACT(metadata!D461,"sediment (non-saline)"),EXACT(metadata!D461,"surface (saline)"),EXACT(metadata!D461,"aerosol (saline)"),EXACT(metadata!D461,"sediment (saline)")))</f>
        <v>0</v>
      </c>
      <c r="T461" t="b">
        <f>AND(IF(metadata!E461="",FALSE,TRUE),EXACT(metadata!E461,"built environment"))</f>
        <v>0</v>
      </c>
      <c r="U461" t="b">
        <f>OR(AND(IF(metadata!F461="",FALSE,TRUE),EXACT(metadata!F461,"not applicable")),AND(IF(metadata!F461="",FALSE,TRUE),EXACT(metadata!F461,"anaerobic digester content")))</f>
        <v>0</v>
      </c>
    </row>
    <row r="462" spans="1:21" x14ac:dyDescent="0.2">
      <c r="A462" s="4" t="str">
        <f ca="1">IF(B462=" "," ",HYPERLINK(CONCATENATE("#metadata!",ADDRESS(INDEX($L$2:$L$1001,MATCH(ROWS($J$2:J462),$J$2:$J$1001,0),0),1)),INDEX($O$2:$O$1001,MATCH(ROWS($J$2:J462),$J$2:$J$1001,0),0)))</f>
        <v xml:space="preserve"> </v>
      </c>
      <c r="B462" s="3" t="str">
        <f ca="1">IF(OR(INDEX($K$2:$K$1001,MATCH(ROWS($J$2:J462),$J$2:$J$1001,0),1)&gt;=100000,INDEX($Q$1005:$U$1005,1,MATCH(COLUMNS($Q$1006:Q1006),$Q$1006:$U$1006,0))&gt;=100000), " ",IF(INDEX($Q$2:$U$1001,MATCH(ROWS($J$2:J462),$J$2:$J$1001,0),MATCH(COLUMNS($Q$1006:Q1006),$Q$1006:$U$1006,0)), HYPERLINK("#",""), HYPERLINK(CONCATENATE("#metadata!", ADDRESS(INDEX($L$2:$L$1001,MATCH(ROWS($J$2:J462),$J$2:$J$1001,0),0), INDEX($Q$1004:$U$1004,1,MATCH(COLUMNS($Q$1006:Q1006),$Q$1006:$U$1006,0)))),"Fix")))</f>
        <v xml:space="preserve"> </v>
      </c>
      <c r="C462" s="3" t="str">
        <f ca="1">IF(OR(INDEX($K$2:$K$1001,MATCH(ROWS($J$2:J462),$J$2:$J$1001,0),1)&gt;=100000,INDEX($Q$1005:$U$1005,1,MATCH(COLUMNS($Q$1006:R1006),$Q$1006:$U$1006,0))&gt;=100000), " ",IF(INDEX($Q$2:$U$1001,MATCH(ROWS($J$2:J462),$J$2:$J$1001,0),MATCH(COLUMNS($Q$1006:R1006),$Q$1006:$U$1006,0)), HYPERLINK("#",""), HYPERLINK(CONCATENATE("#metadata!", ADDRESS(INDEX($L$2:$L$1001,MATCH(ROWS($J$2:J462),$J$2:$J$1001,0),0), INDEX($Q$1004:$U$1004,1,MATCH(COLUMNS($Q$1006:R1006),$Q$1006:$U$1006,0)))),"Fix")))</f>
        <v xml:space="preserve"> </v>
      </c>
      <c r="D462" s="3" t="str">
        <f ca="1">IF(OR(INDEX($K$2:$K$1001,MATCH(ROWS($J$2:J462),$J$2:$J$1001,0),1)&gt;=100000,INDEX($Q$1005:$U$1005,1,MATCH(COLUMNS($Q$1006:S1006),$Q$1006:$U$1006,0))&gt;=100000), " ",IF(INDEX($Q$2:$U$1001,MATCH(ROWS($J$2:J462),$J$2:$J$1001,0),MATCH(COLUMNS($Q$1006:S1006),$Q$1006:$U$1006,0)), HYPERLINK("#",""), HYPERLINK(CONCATENATE("#metadata!", ADDRESS(INDEX($L$2:$L$1001,MATCH(ROWS($J$2:J462),$J$2:$J$1001,0),0), INDEX($Q$1004:$U$1004,1,MATCH(COLUMNS($Q$1006:S1006),$Q$1006:$U$1006,0)))),"Fix")))</f>
        <v xml:space="preserve"> </v>
      </c>
      <c r="E462" s="3" t="str">
        <f ca="1">IF(OR(INDEX($K$2:$K$1001,MATCH(ROWS($J$2:J462),$J$2:$J$1001,0),1)&gt;=100000,INDEX($Q$1005:$U$1005,1,MATCH(COLUMNS($Q$1006:T1006),$Q$1006:$U$1006,0))&gt;=100000), " ",IF(INDEX($Q$2:$U$1001,MATCH(ROWS($J$2:J462),$J$2:$J$1001,0),MATCH(COLUMNS($Q$1006:T1006),$Q$1006:$U$1006,0)), HYPERLINK("#",""), HYPERLINK(CONCATENATE("#metadata!", ADDRESS(INDEX($L$2:$L$1001,MATCH(ROWS($J$2:J462),$J$2:$J$1001,0),0), INDEX($Q$1004:$U$1004,1,MATCH(COLUMNS($Q$1006:T1006),$Q$1006:$U$1006,0)))),"Fix")))</f>
        <v xml:space="preserve"> </v>
      </c>
      <c r="F462" s="3" t="str">
        <f ca="1">IF(OR(INDEX($K$2:$K$1001,MATCH(ROWS($J$2:J462),$J$2:$J$1001,0),1)&gt;=100000,INDEX($Q$1005:$U$1005,1,MATCH(COLUMNS($Q$1006:U1006),$Q$1006:$U$1006,0))&gt;=100000), " ",IF(INDEX($Q$2:$U$1001,MATCH(ROWS($J$2:J462),$J$2:$J$1001,0),MATCH(COLUMNS($Q$1006:U1006),$Q$1006:$U$1006,0)), HYPERLINK("#",""), HYPERLINK(CONCATENATE("#metadata!", ADDRESS(INDEX($L$2:$L$1001,MATCH(ROWS($J$2:J462),$J$2:$J$1001,0),0), INDEX($Q$1004:$U$1004,1,MATCH(COLUMNS($Q$1006:U1006),$Q$1006:$U$1006,0)))),"Fix")))</f>
        <v xml:space="preserve"> </v>
      </c>
      <c r="J462">
        <v>461</v>
      </c>
      <c r="K462">
        <v>100462</v>
      </c>
      <c r="L462">
        <v>462</v>
      </c>
      <c r="M462" t="b">
        <f t="shared" si="7"/>
        <v>1</v>
      </c>
      <c r="N462" t="b">
        <f>COUNTBLANK(metadata!B462:F462)=COLUMNS(metadata!B462:F462)</f>
        <v>1</v>
      </c>
      <c r="O462" t="str">
        <v/>
      </c>
      <c r="Q462" t="b">
        <f ca="1">AND(IF(metadata!B462="",FALSE,TRUE),COUNTIF(metadata!B:B, metadata!B462) = 1,NOT(ISERROR(SUMPRODUCT(SEARCH(MID(metadata!B462,ROW(INDIRECT("1:"&amp;LEN(metadata!B462))), 1),"0123456789abcdefghijklmnopqrstuvwxyzABCDEFGHIJKLMNOPQRSTUVWXYZ.")))))</f>
        <v>0</v>
      </c>
      <c r="R462" t="b">
        <f>AND(IF(metadata!C462="",FALSE,TRUE),OR(EXACT(metadata!C462,"saline"),EXACT(metadata!C462,"non-saline")))</f>
        <v>0</v>
      </c>
      <c r="S462" t="b">
        <f>AND(IF(metadata!D462="",FALSE,TRUE),OR(EXACT(metadata!D462,"surface (non-saline)"),EXACT(metadata!D462,"aerosol (non-saline)"),EXACT(metadata!D462,"sediment (non-saline)"),EXACT(metadata!D462,"surface (saline)"),EXACT(metadata!D462,"aerosol (saline)"),EXACT(metadata!D462,"sediment (saline)")))</f>
        <v>0</v>
      </c>
      <c r="T462" t="b">
        <f>AND(IF(metadata!E462="",FALSE,TRUE),EXACT(metadata!E462,"built environment"))</f>
        <v>0</v>
      </c>
      <c r="U462" t="b">
        <f>OR(AND(IF(metadata!F462="",FALSE,TRUE),EXACT(metadata!F462,"not applicable")),AND(IF(metadata!F462="",FALSE,TRUE),EXACT(metadata!F462,"anaerobic digester content")))</f>
        <v>0</v>
      </c>
    </row>
    <row r="463" spans="1:21" x14ac:dyDescent="0.2">
      <c r="A463" s="4" t="str">
        <f ca="1">IF(B463=" "," ",HYPERLINK(CONCATENATE("#metadata!",ADDRESS(INDEX($L$2:$L$1001,MATCH(ROWS($J$2:J463),$J$2:$J$1001,0),0),1)),INDEX($O$2:$O$1001,MATCH(ROWS($J$2:J463),$J$2:$J$1001,0),0)))</f>
        <v xml:space="preserve"> </v>
      </c>
      <c r="B463" s="3" t="str">
        <f ca="1">IF(OR(INDEX($K$2:$K$1001,MATCH(ROWS($J$2:J463),$J$2:$J$1001,0),1)&gt;=100000,INDEX($Q$1005:$U$1005,1,MATCH(COLUMNS($Q$1006:Q1006),$Q$1006:$U$1006,0))&gt;=100000), " ",IF(INDEX($Q$2:$U$1001,MATCH(ROWS($J$2:J463),$J$2:$J$1001,0),MATCH(COLUMNS($Q$1006:Q1006),$Q$1006:$U$1006,0)), HYPERLINK("#",""), HYPERLINK(CONCATENATE("#metadata!", ADDRESS(INDEX($L$2:$L$1001,MATCH(ROWS($J$2:J463),$J$2:$J$1001,0),0), INDEX($Q$1004:$U$1004,1,MATCH(COLUMNS($Q$1006:Q1006),$Q$1006:$U$1006,0)))),"Fix")))</f>
        <v xml:space="preserve"> </v>
      </c>
      <c r="C463" s="3" t="str">
        <f ca="1">IF(OR(INDEX($K$2:$K$1001,MATCH(ROWS($J$2:J463),$J$2:$J$1001,0),1)&gt;=100000,INDEX($Q$1005:$U$1005,1,MATCH(COLUMNS($Q$1006:R1006),$Q$1006:$U$1006,0))&gt;=100000), " ",IF(INDEX($Q$2:$U$1001,MATCH(ROWS($J$2:J463),$J$2:$J$1001,0),MATCH(COLUMNS($Q$1006:R1006),$Q$1006:$U$1006,0)), HYPERLINK("#",""), HYPERLINK(CONCATENATE("#metadata!", ADDRESS(INDEX($L$2:$L$1001,MATCH(ROWS($J$2:J463),$J$2:$J$1001,0),0), INDEX($Q$1004:$U$1004,1,MATCH(COLUMNS($Q$1006:R1006),$Q$1006:$U$1006,0)))),"Fix")))</f>
        <v xml:space="preserve"> </v>
      </c>
      <c r="D463" s="3" t="str">
        <f ca="1">IF(OR(INDEX($K$2:$K$1001,MATCH(ROWS($J$2:J463),$J$2:$J$1001,0),1)&gt;=100000,INDEX($Q$1005:$U$1005,1,MATCH(COLUMNS($Q$1006:S1006),$Q$1006:$U$1006,0))&gt;=100000), " ",IF(INDEX($Q$2:$U$1001,MATCH(ROWS($J$2:J463),$J$2:$J$1001,0),MATCH(COLUMNS($Q$1006:S1006),$Q$1006:$U$1006,0)), HYPERLINK("#",""), HYPERLINK(CONCATENATE("#metadata!", ADDRESS(INDEX($L$2:$L$1001,MATCH(ROWS($J$2:J463),$J$2:$J$1001,0),0), INDEX($Q$1004:$U$1004,1,MATCH(COLUMNS($Q$1006:S1006),$Q$1006:$U$1006,0)))),"Fix")))</f>
        <v xml:space="preserve"> </v>
      </c>
      <c r="E463" s="3" t="str">
        <f ca="1">IF(OR(INDEX($K$2:$K$1001,MATCH(ROWS($J$2:J463),$J$2:$J$1001,0),1)&gt;=100000,INDEX($Q$1005:$U$1005,1,MATCH(COLUMNS($Q$1006:T1006),$Q$1006:$U$1006,0))&gt;=100000), " ",IF(INDEX($Q$2:$U$1001,MATCH(ROWS($J$2:J463),$J$2:$J$1001,0),MATCH(COLUMNS($Q$1006:T1006),$Q$1006:$U$1006,0)), HYPERLINK("#",""), HYPERLINK(CONCATENATE("#metadata!", ADDRESS(INDEX($L$2:$L$1001,MATCH(ROWS($J$2:J463),$J$2:$J$1001,0),0), INDEX($Q$1004:$U$1004,1,MATCH(COLUMNS($Q$1006:T1006),$Q$1006:$U$1006,0)))),"Fix")))</f>
        <v xml:space="preserve"> </v>
      </c>
      <c r="F463" s="3" t="str">
        <f ca="1">IF(OR(INDEX($K$2:$K$1001,MATCH(ROWS($J$2:J463),$J$2:$J$1001,0),1)&gt;=100000,INDEX($Q$1005:$U$1005,1,MATCH(COLUMNS($Q$1006:U1006),$Q$1006:$U$1006,0))&gt;=100000), " ",IF(INDEX($Q$2:$U$1001,MATCH(ROWS($J$2:J463),$J$2:$J$1001,0),MATCH(COLUMNS($Q$1006:U1006),$Q$1006:$U$1006,0)), HYPERLINK("#",""), HYPERLINK(CONCATENATE("#metadata!", ADDRESS(INDEX($L$2:$L$1001,MATCH(ROWS($J$2:J463),$J$2:$J$1001,0),0), INDEX($Q$1004:$U$1004,1,MATCH(COLUMNS($Q$1006:U1006),$Q$1006:$U$1006,0)))),"Fix")))</f>
        <v xml:space="preserve"> </v>
      </c>
      <c r="J463">
        <v>462</v>
      </c>
      <c r="K463">
        <v>100463</v>
      </c>
      <c r="L463">
        <v>463</v>
      </c>
      <c r="M463" t="b">
        <f t="shared" si="7"/>
        <v>1</v>
      </c>
      <c r="N463" t="b">
        <f>COUNTBLANK(metadata!B463:F463)=COLUMNS(metadata!B463:F463)</f>
        <v>1</v>
      </c>
      <c r="O463" t="str">
        <v/>
      </c>
      <c r="Q463" t="b">
        <f ca="1">AND(IF(metadata!B463="",FALSE,TRUE),COUNTIF(metadata!B:B, metadata!B463) = 1,NOT(ISERROR(SUMPRODUCT(SEARCH(MID(metadata!B463,ROW(INDIRECT("1:"&amp;LEN(metadata!B463))), 1),"0123456789abcdefghijklmnopqrstuvwxyzABCDEFGHIJKLMNOPQRSTUVWXYZ.")))))</f>
        <v>0</v>
      </c>
      <c r="R463" t="b">
        <f>AND(IF(metadata!C463="",FALSE,TRUE),OR(EXACT(metadata!C463,"saline"),EXACT(metadata!C463,"non-saline")))</f>
        <v>0</v>
      </c>
      <c r="S463" t="b">
        <f>AND(IF(metadata!D463="",FALSE,TRUE),OR(EXACT(metadata!D463,"surface (non-saline)"),EXACT(metadata!D463,"aerosol (non-saline)"),EXACT(metadata!D463,"sediment (non-saline)"),EXACT(metadata!D463,"surface (saline)"),EXACT(metadata!D463,"aerosol (saline)"),EXACT(metadata!D463,"sediment (saline)")))</f>
        <v>0</v>
      </c>
      <c r="T463" t="b">
        <f>AND(IF(metadata!E463="",FALSE,TRUE),EXACT(metadata!E463,"built environment"))</f>
        <v>0</v>
      </c>
      <c r="U463" t="b">
        <f>OR(AND(IF(metadata!F463="",FALSE,TRUE),EXACT(metadata!F463,"not applicable")),AND(IF(metadata!F463="",FALSE,TRUE),EXACT(metadata!F463,"anaerobic digester content")))</f>
        <v>0</v>
      </c>
    </row>
    <row r="464" spans="1:21" x14ac:dyDescent="0.2">
      <c r="A464" s="4" t="str">
        <f ca="1">IF(B464=" "," ",HYPERLINK(CONCATENATE("#metadata!",ADDRESS(INDEX($L$2:$L$1001,MATCH(ROWS($J$2:J464),$J$2:$J$1001,0),0),1)),INDEX($O$2:$O$1001,MATCH(ROWS($J$2:J464),$J$2:$J$1001,0),0)))</f>
        <v xml:space="preserve"> </v>
      </c>
      <c r="B464" s="3" t="str">
        <f ca="1">IF(OR(INDEX($K$2:$K$1001,MATCH(ROWS($J$2:J464),$J$2:$J$1001,0),1)&gt;=100000,INDEX($Q$1005:$U$1005,1,MATCH(COLUMNS($Q$1006:Q1006),$Q$1006:$U$1006,0))&gt;=100000), " ",IF(INDEX($Q$2:$U$1001,MATCH(ROWS($J$2:J464),$J$2:$J$1001,0),MATCH(COLUMNS($Q$1006:Q1006),$Q$1006:$U$1006,0)), HYPERLINK("#",""), HYPERLINK(CONCATENATE("#metadata!", ADDRESS(INDEX($L$2:$L$1001,MATCH(ROWS($J$2:J464),$J$2:$J$1001,0),0), INDEX($Q$1004:$U$1004,1,MATCH(COLUMNS($Q$1006:Q1006),$Q$1006:$U$1006,0)))),"Fix")))</f>
        <v xml:space="preserve"> </v>
      </c>
      <c r="C464" s="3" t="str">
        <f ca="1">IF(OR(INDEX($K$2:$K$1001,MATCH(ROWS($J$2:J464),$J$2:$J$1001,0),1)&gt;=100000,INDEX($Q$1005:$U$1005,1,MATCH(COLUMNS($Q$1006:R1006),$Q$1006:$U$1006,0))&gt;=100000), " ",IF(INDEX($Q$2:$U$1001,MATCH(ROWS($J$2:J464),$J$2:$J$1001,0),MATCH(COLUMNS($Q$1006:R1006),$Q$1006:$U$1006,0)), HYPERLINK("#",""), HYPERLINK(CONCATENATE("#metadata!", ADDRESS(INDEX($L$2:$L$1001,MATCH(ROWS($J$2:J464),$J$2:$J$1001,0),0), INDEX($Q$1004:$U$1004,1,MATCH(COLUMNS($Q$1006:R1006),$Q$1006:$U$1006,0)))),"Fix")))</f>
        <v xml:space="preserve"> </v>
      </c>
      <c r="D464" s="3" t="str">
        <f ca="1">IF(OR(INDEX($K$2:$K$1001,MATCH(ROWS($J$2:J464),$J$2:$J$1001,0),1)&gt;=100000,INDEX($Q$1005:$U$1005,1,MATCH(COLUMNS($Q$1006:S1006),$Q$1006:$U$1006,0))&gt;=100000), " ",IF(INDEX($Q$2:$U$1001,MATCH(ROWS($J$2:J464),$J$2:$J$1001,0),MATCH(COLUMNS($Q$1006:S1006),$Q$1006:$U$1006,0)), HYPERLINK("#",""), HYPERLINK(CONCATENATE("#metadata!", ADDRESS(INDEX($L$2:$L$1001,MATCH(ROWS($J$2:J464),$J$2:$J$1001,0),0), INDEX($Q$1004:$U$1004,1,MATCH(COLUMNS($Q$1006:S1006),$Q$1006:$U$1006,0)))),"Fix")))</f>
        <v xml:space="preserve"> </v>
      </c>
      <c r="E464" s="3" t="str">
        <f ca="1">IF(OR(INDEX($K$2:$K$1001,MATCH(ROWS($J$2:J464),$J$2:$J$1001,0),1)&gt;=100000,INDEX($Q$1005:$U$1005,1,MATCH(COLUMNS($Q$1006:T1006),$Q$1006:$U$1006,0))&gt;=100000), " ",IF(INDEX($Q$2:$U$1001,MATCH(ROWS($J$2:J464),$J$2:$J$1001,0),MATCH(COLUMNS($Q$1006:T1006),$Q$1006:$U$1006,0)), HYPERLINK("#",""), HYPERLINK(CONCATENATE("#metadata!", ADDRESS(INDEX($L$2:$L$1001,MATCH(ROWS($J$2:J464),$J$2:$J$1001,0),0), INDEX($Q$1004:$U$1004,1,MATCH(COLUMNS($Q$1006:T1006),$Q$1006:$U$1006,0)))),"Fix")))</f>
        <v xml:space="preserve"> </v>
      </c>
      <c r="F464" s="3" t="str">
        <f ca="1">IF(OR(INDEX($K$2:$K$1001,MATCH(ROWS($J$2:J464),$J$2:$J$1001,0),1)&gt;=100000,INDEX($Q$1005:$U$1005,1,MATCH(COLUMNS($Q$1006:U1006),$Q$1006:$U$1006,0))&gt;=100000), " ",IF(INDEX($Q$2:$U$1001,MATCH(ROWS($J$2:J464),$J$2:$J$1001,0),MATCH(COLUMNS($Q$1006:U1006),$Q$1006:$U$1006,0)), HYPERLINK("#",""), HYPERLINK(CONCATENATE("#metadata!", ADDRESS(INDEX($L$2:$L$1001,MATCH(ROWS($J$2:J464),$J$2:$J$1001,0),0), INDEX($Q$1004:$U$1004,1,MATCH(COLUMNS($Q$1006:U1006),$Q$1006:$U$1006,0)))),"Fix")))</f>
        <v xml:space="preserve"> </v>
      </c>
      <c r="J464">
        <v>463</v>
      </c>
      <c r="K464">
        <v>100464</v>
      </c>
      <c r="L464">
        <v>464</v>
      </c>
      <c r="M464" t="b">
        <f t="shared" si="7"/>
        <v>1</v>
      </c>
      <c r="N464" t="b">
        <f>COUNTBLANK(metadata!B464:F464)=COLUMNS(metadata!B464:F464)</f>
        <v>1</v>
      </c>
      <c r="O464" t="str">
        <v/>
      </c>
      <c r="Q464" t="b">
        <f ca="1">AND(IF(metadata!B464="",FALSE,TRUE),COUNTIF(metadata!B:B, metadata!B464) = 1,NOT(ISERROR(SUMPRODUCT(SEARCH(MID(metadata!B464,ROW(INDIRECT("1:"&amp;LEN(metadata!B464))), 1),"0123456789abcdefghijklmnopqrstuvwxyzABCDEFGHIJKLMNOPQRSTUVWXYZ.")))))</f>
        <v>0</v>
      </c>
      <c r="R464" t="b">
        <f>AND(IF(metadata!C464="",FALSE,TRUE),OR(EXACT(metadata!C464,"saline"),EXACT(metadata!C464,"non-saline")))</f>
        <v>0</v>
      </c>
      <c r="S464" t="b">
        <f>AND(IF(metadata!D464="",FALSE,TRUE),OR(EXACT(metadata!D464,"surface (non-saline)"),EXACT(metadata!D464,"aerosol (non-saline)"),EXACT(metadata!D464,"sediment (non-saline)"),EXACT(metadata!D464,"surface (saline)"),EXACT(metadata!D464,"aerosol (saline)"),EXACT(metadata!D464,"sediment (saline)")))</f>
        <v>0</v>
      </c>
      <c r="T464" t="b">
        <f>AND(IF(metadata!E464="",FALSE,TRUE),EXACT(metadata!E464,"built environment"))</f>
        <v>0</v>
      </c>
      <c r="U464" t="b">
        <f>OR(AND(IF(metadata!F464="",FALSE,TRUE),EXACT(metadata!F464,"not applicable")),AND(IF(metadata!F464="",FALSE,TRUE),EXACT(metadata!F464,"anaerobic digester content")))</f>
        <v>0</v>
      </c>
    </row>
    <row r="465" spans="1:21" x14ac:dyDescent="0.2">
      <c r="A465" s="4" t="str">
        <f ca="1">IF(B465=" "," ",HYPERLINK(CONCATENATE("#metadata!",ADDRESS(INDEX($L$2:$L$1001,MATCH(ROWS($J$2:J465),$J$2:$J$1001,0),0),1)),INDEX($O$2:$O$1001,MATCH(ROWS($J$2:J465),$J$2:$J$1001,0),0)))</f>
        <v xml:space="preserve"> </v>
      </c>
      <c r="B465" s="3" t="str">
        <f ca="1">IF(OR(INDEX($K$2:$K$1001,MATCH(ROWS($J$2:J465),$J$2:$J$1001,0),1)&gt;=100000,INDEX($Q$1005:$U$1005,1,MATCH(COLUMNS($Q$1006:Q1006),$Q$1006:$U$1006,0))&gt;=100000), " ",IF(INDEX($Q$2:$U$1001,MATCH(ROWS($J$2:J465),$J$2:$J$1001,0),MATCH(COLUMNS($Q$1006:Q1006),$Q$1006:$U$1006,0)), HYPERLINK("#",""), HYPERLINK(CONCATENATE("#metadata!", ADDRESS(INDEX($L$2:$L$1001,MATCH(ROWS($J$2:J465),$J$2:$J$1001,0),0), INDEX($Q$1004:$U$1004,1,MATCH(COLUMNS($Q$1006:Q1006),$Q$1006:$U$1006,0)))),"Fix")))</f>
        <v xml:space="preserve"> </v>
      </c>
      <c r="C465" s="3" t="str">
        <f ca="1">IF(OR(INDEX($K$2:$K$1001,MATCH(ROWS($J$2:J465),$J$2:$J$1001,0),1)&gt;=100000,INDEX($Q$1005:$U$1005,1,MATCH(COLUMNS($Q$1006:R1006),$Q$1006:$U$1006,0))&gt;=100000), " ",IF(INDEX($Q$2:$U$1001,MATCH(ROWS($J$2:J465),$J$2:$J$1001,0),MATCH(COLUMNS($Q$1006:R1006),$Q$1006:$U$1006,0)), HYPERLINK("#",""), HYPERLINK(CONCATENATE("#metadata!", ADDRESS(INDEX($L$2:$L$1001,MATCH(ROWS($J$2:J465),$J$2:$J$1001,0),0), INDEX($Q$1004:$U$1004,1,MATCH(COLUMNS($Q$1006:R1006),$Q$1006:$U$1006,0)))),"Fix")))</f>
        <v xml:space="preserve"> </v>
      </c>
      <c r="D465" s="3" t="str">
        <f ca="1">IF(OR(INDEX($K$2:$K$1001,MATCH(ROWS($J$2:J465),$J$2:$J$1001,0),1)&gt;=100000,INDEX($Q$1005:$U$1005,1,MATCH(COLUMNS($Q$1006:S1006),$Q$1006:$U$1006,0))&gt;=100000), " ",IF(INDEX($Q$2:$U$1001,MATCH(ROWS($J$2:J465),$J$2:$J$1001,0),MATCH(COLUMNS($Q$1006:S1006),$Q$1006:$U$1006,0)), HYPERLINK("#",""), HYPERLINK(CONCATENATE("#metadata!", ADDRESS(INDEX($L$2:$L$1001,MATCH(ROWS($J$2:J465),$J$2:$J$1001,0),0), INDEX($Q$1004:$U$1004,1,MATCH(COLUMNS($Q$1006:S1006),$Q$1006:$U$1006,0)))),"Fix")))</f>
        <v xml:space="preserve"> </v>
      </c>
      <c r="E465" s="3" t="str">
        <f ca="1">IF(OR(INDEX($K$2:$K$1001,MATCH(ROWS($J$2:J465),$J$2:$J$1001,0),1)&gt;=100000,INDEX($Q$1005:$U$1005,1,MATCH(COLUMNS($Q$1006:T1006),$Q$1006:$U$1006,0))&gt;=100000), " ",IF(INDEX($Q$2:$U$1001,MATCH(ROWS($J$2:J465),$J$2:$J$1001,0),MATCH(COLUMNS($Q$1006:T1006),$Q$1006:$U$1006,0)), HYPERLINK("#",""), HYPERLINK(CONCATENATE("#metadata!", ADDRESS(INDEX($L$2:$L$1001,MATCH(ROWS($J$2:J465),$J$2:$J$1001,0),0), INDEX($Q$1004:$U$1004,1,MATCH(COLUMNS($Q$1006:T1006),$Q$1006:$U$1006,0)))),"Fix")))</f>
        <v xml:space="preserve"> </v>
      </c>
      <c r="F465" s="3" t="str">
        <f ca="1">IF(OR(INDEX($K$2:$K$1001,MATCH(ROWS($J$2:J465),$J$2:$J$1001,0),1)&gt;=100000,INDEX($Q$1005:$U$1005,1,MATCH(COLUMNS($Q$1006:U1006),$Q$1006:$U$1006,0))&gt;=100000), " ",IF(INDEX($Q$2:$U$1001,MATCH(ROWS($J$2:J465),$J$2:$J$1001,0),MATCH(COLUMNS($Q$1006:U1006),$Q$1006:$U$1006,0)), HYPERLINK("#",""), HYPERLINK(CONCATENATE("#metadata!", ADDRESS(INDEX($L$2:$L$1001,MATCH(ROWS($J$2:J465),$J$2:$J$1001,0),0), INDEX($Q$1004:$U$1004,1,MATCH(COLUMNS($Q$1006:U1006),$Q$1006:$U$1006,0)))),"Fix")))</f>
        <v xml:space="preserve"> </v>
      </c>
      <c r="J465">
        <v>464</v>
      </c>
      <c r="K465">
        <v>100465</v>
      </c>
      <c r="L465">
        <v>465</v>
      </c>
      <c r="M465" t="b">
        <f t="shared" si="7"/>
        <v>1</v>
      </c>
      <c r="N465" t="b">
        <f>COUNTBLANK(metadata!B465:F465)=COLUMNS(metadata!B465:F465)</f>
        <v>1</v>
      </c>
      <c r="O465" t="str">
        <v/>
      </c>
      <c r="Q465" t="b">
        <f ca="1">AND(IF(metadata!B465="",FALSE,TRUE),COUNTIF(metadata!B:B, metadata!B465) = 1,NOT(ISERROR(SUMPRODUCT(SEARCH(MID(metadata!B465,ROW(INDIRECT("1:"&amp;LEN(metadata!B465))), 1),"0123456789abcdefghijklmnopqrstuvwxyzABCDEFGHIJKLMNOPQRSTUVWXYZ.")))))</f>
        <v>0</v>
      </c>
      <c r="R465" t="b">
        <f>AND(IF(metadata!C465="",FALSE,TRUE),OR(EXACT(metadata!C465,"saline"),EXACT(metadata!C465,"non-saline")))</f>
        <v>0</v>
      </c>
      <c r="S465" t="b">
        <f>AND(IF(metadata!D465="",FALSE,TRUE),OR(EXACT(metadata!D465,"surface (non-saline)"),EXACT(metadata!D465,"aerosol (non-saline)"),EXACT(metadata!D465,"sediment (non-saline)"),EXACT(metadata!D465,"surface (saline)"),EXACT(metadata!D465,"aerosol (saline)"),EXACT(metadata!D465,"sediment (saline)")))</f>
        <v>0</v>
      </c>
      <c r="T465" t="b">
        <f>AND(IF(metadata!E465="",FALSE,TRUE),EXACT(metadata!E465,"built environment"))</f>
        <v>0</v>
      </c>
      <c r="U465" t="b">
        <f>OR(AND(IF(metadata!F465="",FALSE,TRUE),EXACT(metadata!F465,"not applicable")),AND(IF(metadata!F465="",FALSE,TRUE),EXACT(metadata!F465,"anaerobic digester content")))</f>
        <v>0</v>
      </c>
    </row>
    <row r="466" spans="1:21" x14ac:dyDescent="0.2">
      <c r="A466" s="4" t="str">
        <f ca="1">IF(B466=" "," ",HYPERLINK(CONCATENATE("#metadata!",ADDRESS(INDEX($L$2:$L$1001,MATCH(ROWS($J$2:J466),$J$2:$J$1001,0),0),1)),INDEX($O$2:$O$1001,MATCH(ROWS($J$2:J466),$J$2:$J$1001,0),0)))</f>
        <v xml:space="preserve"> </v>
      </c>
      <c r="B466" s="3" t="str">
        <f ca="1">IF(OR(INDEX($K$2:$K$1001,MATCH(ROWS($J$2:J466),$J$2:$J$1001,0),1)&gt;=100000,INDEX($Q$1005:$U$1005,1,MATCH(COLUMNS($Q$1006:Q1006),$Q$1006:$U$1006,0))&gt;=100000), " ",IF(INDEX($Q$2:$U$1001,MATCH(ROWS($J$2:J466),$J$2:$J$1001,0),MATCH(COLUMNS($Q$1006:Q1006),$Q$1006:$U$1006,0)), HYPERLINK("#",""), HYPERLINK(CONCATENATE("#metadata!", ADDRESS(INDEX($L$2:$L$1001,MATCH(ROWS($J$2:J466),$J$2:$J$1001,0),0), INDEX($Q$1004:$U$1004,1,MATCH(COLUMNS($Q$1006:Q1006),$Q$1006:$U$1006,0)))),"Fix")))</f>
        <v xml:space="preserve"> </v>
      </c>
      <c r="C466" s="3" t="str">
        <f ca="1">IF(OR(INDEX($K$2:$K$1001,MATCH(ROWS($J$2:J466),$J$2:$J$1001,0),1)&gt;=100000,INDEX($Q$1005:$U$1005,1,MATCH(COLUMNS($Q$1006:R1006),$Q$1006:$U$1006,0))&gt;=100000), " ",IF(INDEX($Q$2:$U$1001,MATCH(ROWS($J$2:J466),$J$2:$J$1001,0),MATCH(COLUMNS($Q$1006:R1006),$Q$1006:$U$1006,0)), HYPERLINK("#",""), HYPERLINK(CONCATENATE("#metadata!", ADDRESS(INDEX($L$2:$L$1001,MATCH(ROWS($J$2:J466),$J$2:$J$1001,0),0), INDEX($Q$1004:$U$1004,1,MATCH(COLUMNS($Q$1006:R1006),$Q$1006:$U$1006,0)))),"Fix")))</f>
        <v xml:space="preserve"> </v>
      </c>
      <c r="D466" s="3" t="str">
        <f ca="1">IF(OR(INDEX($K$2:$K$1001,MATCH(ROWS($J$2:J466),$J$2:$J$1001,0),1)&gt;=100000,INDEX($Q$1005:$U$1005,1,MATCH(COLUMNS($Q$1006:S1006),$Q$1006:$U$1006,0))&gt;=100000), " ",IF(INDEX($Q$2:$U$1001,MATCH(ROWS($J$2:J466),$J$2:$J$1001,0),MATCH(COLUMNS($Q$1006:S1006),$Q$1006:$U$1006,0)), HYPERLINK("#",""), HYPERLINK(CONCATENATE("#metadata!", ADDRESS(INDEX($L$2:$L$1001,MATCH(ROWS($J$2:J466),$J$2:$J$1001,0),0), INDEX($Q$1004:$U$1004,1,MATCH(COLUMNS($Q$1006:S1006),$Q$1006:$U$1006,0)))),"Fix")))</f>
        <v xml:space="preserve"> </v>
      </c>
      <c r="E466" s="3" t="str">
        <f ca="1">IF(OR(INDEX($K$2:$K$1001,MATCH(ROWS($J$2:J466),$J$2:$J$1001,0),1)&gt;=100000,INDEX($Q$1005:$U$1005,1,MATCH(COLUMNS($Q$1006:T1006),$Q$1006:$U$1006,0))&gt;=100000), " ",IF(INDEX($Q$2:$U$1001,MATCH(ROWS($J$2:J466),$J$2:$J$1001,0),MATCH(COLUMNS($Q$1006:T1006),$Q$1006:$U$1006,0)), HYPERLINK("#",""), HYPERLINK(CONCATENATE("#metadata!", ADDRESS(INDEX($L$2:$L$1001,MATCH(ROWS($J$2:J466),$J$2:$J$1001,0),0), INDEX($Q$1004:$U$1004,1,MATCH(COLUMNS($Q$1006:T1006),$Q$1006:$U$1006,0)))),"Fix")))</f>
        <v xml:space="preserve"> </v>
      </c>
      <c r="F466" s="3" t="str">
        <f ca="1">IF(OR(INDEX($K$2:$K$1001,MATCH(ROWS($J$2:J466),$J$2:$J$1001,0),1)&gt;=100000,INDEX($Q$1005:$U$1005,1,MATCH(COLUMNS($Q$1006:U1006),$Q$1006:$U$1006,0))&gt;=100000), " ",IF(INDEX($Q$2:$U$1001,MATCH(ROWS($J$2:J466),$J$2:$J$1001,0),MATCH(COLUMNS($Q$1006:U1006),$Q$1006:$U$1006,0)), HYPERLINK("#",""), HYPERLINK(CONCATENATE("#metadata!", ADDRESS(INDEX($L$2:$L$1001,MATCH(ROWS($J$2:J466),$J$2:$J$1001,0),0), INDEX($Q$1004:$U$1004,1,MATCH(COLUMNS($Q$1006:U1006),$Q$1006:$U$1006,0)))),"Fix")))</f>
        <v xml:space="preserve"> </v>
      </c>
      <c r="J466">
        <v>465</v>
      </c>
      <c r="K466">
        <v>100466</v>
      </c>
      <c r="L466">
        <v>466</v>
      </c>
      <c r="M466" t="b">
        <f t="shared" si="7"/>
        <v>1</v>
      </c>
      <c r="N466" t="b">
        <f>COUNTBLANK(metadata!B466:F466)=COLUMNS(metadata!B466:F466)</f>
        <v>1</v>
      </c>
      <c r="O466" t="str">
        <v/>
      </c>
      <c r="Q466" t="b">
        <f ca="1">AND(IF(metadata!B466="",FALSE,TRUE),COUNTIF(metadata!B:B, metadata!B466) = 1,NOT(ISERROR(SUMPRODUCT(SEARCH(MID(metadata!B466,ROW(INDIRECT("1:"&amp;LEN(metadata!B466))), 1),"0123456789abcdefghijklmnopqrstuvwxyzABCDEFGHIJKLMNOPQRSTUVWXYZ.")))))</f>
        <v>0</v>
      </c>
      <c r="R466" t="b">
        <f>AND(IF(metadata!C466="",FALSE,TRUE),OR(EXACT(metadata!C466,"saline"),EXACT(metadata!C466,"non-saline")))</f>
        <v>0</v>
      </c>
      <c r="S466" t="b">
        <f>AND(IF(metadata!D466="",FALSE,TRUE),OR(EXACT(metadata!D466,"surface (non-saline)"),EXACT(metadata!D466,"aerosol (non-saline)"),EXACT(metadata!D466,"sediment (non-saline)"),EXACT(metadata!D466,"surface (saline)"),EXACT(metadata!D466,"aerosol (saline)"),EXACT(metadata!D466,"sediment (saline)")))</f>
        <v>0</v>
      </c>
      <c r="T466" t="b">
        <f>AND(IF(metadata!E466="",FALSE,TRUE),EXACT(metadata!E466,"built environment"))</f>
        <v>0</v>
      </c>
      <c r="U466" t="b">
        <f>OR(AND(IF(metadata!F466="",FALSE,TRUE),EXACT(metadata!F466,"not applicable")),AND(IF(metadata!F466="",FALSE,TRUE),EXACT(metadata!F466,"anaerobic digester content")))</f>
        <v>0</v>
      </c>
    </row>
    <row r="467" spans="1:21" x14ac:dyDescent="0.2">
      <c r="A467" s="4" t="str">
        <f ca="1">IF(B467=" "," ",HYPERLINK(CONCATENATE("#metadata!",ADDRESS(INDEX($L$2:$L$1001,MATCH(ROWS($J$2:J467),$J$2:$J$1001,0),0),1)),INDEX($O$2:$O$1001,MATCH(ROWS($J$2:J467),$J$2:$J$1001,0),0)))</f>
        <v xml:space="preserve"> </v>
      </c>
      <c r="B467" s="3" t="str">
        <f ca="1">IF(OR(INDEX($K$2:$K$1001,MATCH(ROWS($J$2:J467),$J$2:$J$1001,0),1)&gt;=100000,INDEX($Q$1005:$U$1005,1,MATCH(COLUMNS($Q$1006:Q1006),$Q$1006:$U$1006,0))&gt;=100000), " ",IF(INDEX($Q$2:$U$1001,MATCH(ROWS($J$2:J467),$J$2:$J$1001,0),MATCH(COLUMNS($Q$1006:Q1006),$Q$1006:$U$1006,0)), HYPERLINK("#",""), HYPERLINK(CONCATENATE("#metadata!", ADDRESS(INDEX($L$2:$L$1001,MATCH(ROWS($J$2:J467),$J$2:$J$1001,0),0), INDEX($Q$1004:$U$1004,1,MATCH(COLUMNS($Q$1006:Q1006),$Q$1006:$U$1006,0)))),"Fix")))</f>
        <v xml:space="preserve"> </v>
      </c>
      <c r="C467" s="3" t="str">
        <f ca="1">IF(OR(INDEX($K$2:$K$1001,MATCH(ROWS($J$2:J467),$J$2:$J$1001,0),1)&gt;=100000,INDEX($Q$1005:$U$1005,1,MATCH(COLUMNS($Q$1006:R1006),$Q$1006:$U$1006,0))&gt;=100000), " ",IF(INDEX($Q$2:$U$1001,MATCH(ROWS($J$2:J467),$J$2:$J$1001,0),MATCH(COLUMNS($Q$1006:R1006),$Q$1006:$U$1006,0)), HYPERLINK("#",""), HYPERLINK(CONCATENATE("#metadata!", ADDRESS(INDEX($L$2:$L$1001,MATCH(ROWS($J$2:J467),$J$2:$J$1001,0),0), INDEX($Q$1004:$U$1004,1,MATCH(COLUMNS($Q$1006:R1006),$Q$1006:$U$1006,0)))),"Fix")))</f>
        <v xml:space="preserve"> </v>
      </c>
      <c r="D467" s="3" t="str">
        <f ca="1">IF(OR(INDEX($K$2:$K$1001,MATCH(ROWS($J$2:J467),$J$2:$J$1001,0),1)&gt;=100000,INDEX($Q$1005:$U$1005,1,MATCH(COLUMNS($Q$1006:S1006),$Q$1006:$U$1006,0))&gt;=100000), " ",IF(INDEX($Q$2:$U$1001,MATCH(ROWS($J$2:J467),$J$2:$J$1001,0),MATCH(COLUMNS($Q$1006:S1006),$Q$1006:$U$1006,0)), HYPERLINK("#",""), HYPERLINK(CONCATENATE("#metadata!", ADDRESS(INDEX($L$2:$L$1001,MATCH(ROWS($J$2:J467),$J$2:$J$1001,0),0), INDEX($Q$1004:$U$1004,1,MATCH(COLUMNS($Q$1006:S1006),$Q$1006:$U$1006,0)))),"Fix")))</f>
        <v xml:space="preserve"> </v>
      </c>
      <c r="E467" s="3" t="str">
        <f ca="1">IF(OR(INDEX($K$2:$K$1001,MATCH(ROWS($J$2:J467),$J$2:$J$1001,0),1)&gt;=100000,INDEX($Q$1005:$U$1005,1,MATCH(COLUMNS($Q$1006:T1006),$Q$1006:$U$1006,0))&gt;=100000), " ",IF(INDEX($Q$2:$U$1001,MATCH(ROWS($J$2:J467),$J$2:$J$1001,0),MATCH(COLUMNS($Q$1006:T1006),$Q$1006:$U$1006,0)), HYPERLINK("#",""), HYPERLINK(CONCATENATE("#metadata!", ADDRESS(INDEX($L$2:$L$1001,MATCH(ROWS($J$2:J467),$J$2:$J$1001,0),0), INDEX($Q$1004:$U$1004,1,MATCH(COLUMNS($Q$1006:T1006),$Q$1006:$U$1006,0)))),"Fix")))</f>
        <v xml:space="preserve"> </v>
      </c>
      <c r="F467" s="3" t="str">
        <f ca="1">IF(OR(INDEX($K$2:$K$1001,MATCH(ROWS($J$2:J467),$J$2:$J$1001,0),1)&gt;=100000,INDEX($Q$1005:$U$1005,1,MATCH(COLUMNS($Q$1006:U1006),$Q$1006:$U$1006,0))&gt;=100000), " ",IF(INDEX($Q$2:$U$1001,MATCH(ROWS($J$2:J467),$J$2:$J$1001,0),MATCH(COLUMNS($Q$1006:U1006),$Q$1006:$U$1006,0)), HYPERLINK("#",""), HYPERLINK(CONCATENATE("#metadata!", ADDRESS(INDEX($L$2:$L$1001,MATCH(ROWS($J$2:J467),$J$2:$J$1001,0),0), INDEX($Q$1004:$U$1004,1,MATCH(COLUMNS($Q$1006:U1006),$Q$1006:$U$1006,0)))),"Fix")))</f>
        <v xml:space="preserve"> </v>
      </c>
      <c r="J467">
        <v>466</v>
      </c>
      <c r="K467">
        <v>100467</v>
      </c>
      <c r="L467">
        <v>467</v>
      </c>
      <c r="M467" t="b">
        <f t="shared" si="7"/>
        <v>1</v>
      </c>
      <c r="N467" t="b">
        <f>COUNTBLANK(metadata!B467:F467)=COLUMNS(metadata!B467:F467)</f>
        <v>1</v>
      </c>
      <c r="O467" t="str">
        <v/>
      </c>
      <c r="Q467" t="b">
        <f ca="1">AND(IF(metadata!B467="",FALSE,TRUE),COUNTIF(metadata!B:B, metadata!B467) = 1,NOT(ISERROR(SUMPRODUCT(SEARCH(MID(metadata!B467,ROW(INDIRECT("1:"&amp;LEN(metadata!B467))), 1),"0123456789abcdefghijklmnopqrstuvwxyzABCDEFGHIJKLMNOPQRSTUVWXYZ.")))))</f>
        <v>0</v>
      </c>
      <c r="R467" t="b">
        <f>AND(IF(metadata!C467="",FALSE,TRUE),OR(EXACT(metadata!C467,"saline"),EXACT(metadata!C467,"non-saline")))</f>
        <v>0</v>
      </c>
      <c r="S467" t="b">
        <f>AND(IF(metadata!D467="",FALSE,TRUE),OR(EXACT(metadata!D467,"surface (non-saline)"),EXACT(metadata!D467,"aerosol (non-saline)"),EXACT(metadata!D467,"sediment (non-saline)"),EXACT(metadata!D467,"surface (saline)"),EXACT(metadata!D467,"aerosol (saline)"),EXACT(metadata!D467,"sediment (saline)")))</f>
        <v>0</v>
      </c>
      <c r="T467" t="b">
        <f>AND(IF(metadata!E467="",FALSE,TRUE),EXACT(metadata!E467,"built environment"))</f>
        <v>0</v>
      </c>
      <c r="U467" t="b">
        <f>OR(AND(IF(metadata!F467="",FALSE,TRUE),EXACT(metadata!F467,"not applicable")),AND(IF(metadata!F467="",FALSE,TRUE),EXACT(metadata!F467,"anaerobic digester content")))</f>
        <v>0</v>
      </c>
    </row>
    <row r="468" spans="1:21" x14ac:dyDescent="0.2">
      <c r="A468" s="4" t="str">
        <f ca="1">IF(B468=" "," ",HYPERLINK(CONCATENATE("#metadata!",ADDRESS(INDEX($L$2:$L$1001,MATCH(ROWS($J$2:J468),$J$2:$J$1001,0),0),1)),INDEX($O$2:$O$1001,MATCH(ROWS($J$2:J468),$J$2:$J$1001,0),0)))</f>
        <v xml:space="preserve"> </v>
      </c>
      <c r="B468" s="3" t="str">
        <f ca="1">IF(OR(INDEX($K$2:$K$1001,MATCH(ROWS($J$2:J468),$J$2:$J$1001,0),1)&gt;=100000,INDEX($Q$1005:$U$1005,1,MATCH(COLUMNS($Q$1006:Q1006),$Q$1006:$U$1006,0))&gt;=100000), " ",IF(INDEX($Q$2:$U$1001,MATCH(ROWS($J$2:J468),$J$2:$J$1001,0),MATCH(COLUMNS($Q$1006:Q1006),$Q$1006:$U$1006,0)), HYPERLINK("#",""), HYPERLINK(CONCATENATE("#metadata!", ADDRESS(INDEX($L$2:$L$1001,MATCH(ROWS($J$2:J468),$J$2:$J$1001,0),0), INDEX($Q$1004:$U$1004,1,MATCH(COLUMNS($Q$1006:Q1006),$Q$1006:$U$1006,0)))),"Fix")))</f>
        <v xml:space="preserve"> </v>
      </c>
      <c r="C468" s="3" t="str">
        <f ca="1">IF(OR(INDEX($K$2:$K$1001,MATCH(ROWS($J$2:J468),$J$2:$J$1001,0),1)&gt;=100000,INDEX($Q$1005:$U$1005,1,MATCH(COLUMNS($Q$1006:R1006),$Q$1006:$U$1006,0))&gt;=100000), " ",IF(INDEX($Q$2:$U$1001,MATCH(ROWS($J$2:J468),$J$2:$J$1001,0),MATCH(COLUMNS($Q$1006:R1006),$Q$1006:$U$1006,0)), HYPERLINK("#",""), HYPERLINK(CONCATENATE("#metadata!", ADDRESS(INDEX($L$2:$L$1001,MATCH(ROWS($J$2:J468),$J$2:$J$1001,0),0), INDEX($Q$1004:$U$1004,1,MATCH(COLUMNS($Q$1006:R1006),$Q$1006:$U$1006,0)))),"Fix")))</f>
        <v xml:space="preserve"> </v>
      </c>
      <c r="D468" s="3" t="str">
        <f ca="1">IF(OR(INDEX($K$2:$K$1001,MATCH(ROWS($J$2:J468),$J$2:$J$1001,0),1)&gt;=100000,INDEX($Q$1005:$U$1005,1,MATCH(COLUMNS($Q$1006:S1006),$Q$1006:$U$1006,0))&gt;=100000), " ",IF(INDEX($Q$2:$U$1001,MATCH(ROWS($J$2:J468),$J$2:$J$1001,0),MATCH(COLUMNS($Q$1006:S1006),$Q$1006:$U$1006,0)), HYPERLINK("#",""), HYPERLINK(CONCATENATE("#metadata!", ADDRESS(INDEX($L$2:$L$1001,MATCH(ROWS($J$2:J468),$J$2:$J$1001,0),0), INDEX($Q$1004:$U$1004,1,MATCH(COLUMNS($Q$1006:S1006),$Q$1006:$U$1006,0)))),"Fix")))</f>
        <v xml:space="preserve"> </v>
      </c>
      <c r="E468" s="3" t="str">
        <f ca="1">IF(OR(INDEX($K$2:$K$1001,MATCH(ROWS($J$2:J468),$J$2:$J$1001,0),1)&gt;=100000,INDEX($Q$1005:$U$1005,1,MATCH(COLUMNS($Q$1006:T1006),$Q$1006:$U$1006,0))&gt;=100000), " ",IF(INDEX($Q$2:$U$1001,MATCH(ROWS($J$2:J468),$J$2:$J$1001,0),MATCH(COLUMNS($Q$1006:T1006),$Q$1006:$U$1006,0)), HYPERLINK("#",""), HYPERLINK(CONCATENATE("#metadata!", ADDRESS(INDEX($L$2:$L$1001,MATCH(ROWS($J$2:J468),$J$2:$J$1001,0),0), INDEX($Q$1004:$U$1004,1,MATCH(COLUMNS($Q$1006:T1006),$Q$1006:$U$1006,0)))),"Fix")))</f>
        <v xml:space="preserve"> </v>
      </c>
      <c r="F468" s="3" t="str">
        <f ca="1">IF(OR(INDEX($K$2:$K$1001,MATCH(ROWS($J$2:J468),$J$2:$J$1001,0),1)&gt;=100000,INDEX($Q$1005:$U$1005,1,MATCH(COLUMNS($Q$1006:U1006),$Q$1006:$U$1006,0))&gt;=100000), " ",IF(INDEX($Q$2:$U$1001,MATCH(ROWS($J$2:J468),$J$2:$J$1001,0),MATCH(COLUMNS($Q$1006:U1006),$Q$1006:$U$1006,0)), HYPERLINK("#",""), HYPERLINK(CONCATENATE("#metadata!", ADDRESS(INDEX($L$2:$L$1001,MATCH(ROWS($J$2:J468),$J$2:$J$1001,0),0), INDEX($Q$1004:$U$1004,1,MATCH(COLUMNS($Q$1006:U1006),$Q$1006:$U$1006,0)))),"Fix")))</f>
        <v xml:space="preserve"> </v>
      </c>
      <c r="J468">
        <v>467</v>
      </c>
      <c r="K468">
        <v>100468</v>
      </c>
      <c r="L468">
        <v>468</v>
      </c>
      <c r="M468" t="b">
        <f t="shared" si="7"/>
        <v>1</v>
      </c>
      <c r="N468" t="b">
        <f>COUNTBLANK(metadata!B468:F468)=COLUMNS(metadata!B468:F468)</f>
        <v>1</v>
      </c>
      <c r="O468" t="str">
        <v/>
      </c>
      <c r="Q468" t="b">
        <f ca="1">AND(IF(metadata!B468="",FALSE,TRUE),COUNTIF(metadata!B:B, metadata!B468) = 1,NOT(ISERROR(SUMPRODUCT(SEARCH(MID(metadata!B468,ROW(INDIRECT("1:"&amp;LEN(metadata!B468))), 1),"0123456789abcdefghijklmnopqrstuvwxyzABCDEFGHIJKLMNOPQRSTUVWXYZ.")))))</f>
        <v>0</v>
      </c>
      <c r="R468" t="b">
        <f>AND(IF(metadata!C468="",FALSE,TRUE),OR(EXACT(metadata!C468,"saline"),EXACT(metadata!C468,"non-saline")))</f>
        <v>0</v>
      </c>
      <c r="S468" t="b">
        <f>AND(IF(metadata!D468="",FALSE,TRUE),OR(EXACT(metadata!D468,"surface (non-saline)"),EXACT(metadata!D468,"aerosol (non-saline)"),EXACT(metadata!D468,"sediment (non-saline)"),EXACT(metadata!D468,"surface (saline)"),EXACT(metadata!D468,"aerosol (saline)"),EXACT(metadata!D468,"sediment (saline)")))</f>
        <v>0</v>
      </c>
      <c r="T468" t="b">
        <f>AND(IF(metadata!E468="",FALSE,TRUE),EXACT(metadata!E468,"built environment"))</f>
        <v>0</v>
      </c>
      <c r="U468" t="b">
        <f>OR(AND(IF(metadata!F468="",FALSE,TRUE),EXACT(metadata!F468,"not applicable")),AND(IF(metadata!F468="",FALSE,TRUE),EXACT(metadata!F468,"anaerobic digester content")))</f>
        <v>0</v>
      </c>
    </row>
    <row r="469" spans="1:21" x14ac:dyDescent="0.2">
      <c r="A469" s="4" t="str">
        <f ca="1">IF(B469=" "," ",HYPERLINK(CONCATENATE("#metadata!",ADDRESS(INDEX($L$2:$L$1001,MATCH(ROWS($J$2:J469),$J$2:$J$1001,0),0),1)),INDEX($O$2:$O$1001,MATCH(ROWS($J$2:J469),$J$2:$J$1001,0),0)))</f>
        <v xml:space="preserve"> </v>
      </c>
      <c r="B469" s="3" t="str">
        <f ca="1">IF(OR(INDEX($K$2:$K$1001,MATCH(ROWS($J$2:J469),$J$2:$J$1001,0),1)&gt;=100000,INDEX($Q$1005:$U$1005,1,MATCH(COLUMNS($Q$1006:Q1006),$Q$1006:$U$1006,0))&gt;=100000), " ",IF(INDEX($Q$2:$U$1001,MATCH(ROWS($J$2:J469),$J$2:$J$1001,0),MATCH(COLUMNS($Q$1006:Q1006),$Q$1006:$U$1006,0)), HYPERLINK("#",""), HYPERLINK(CONCATENATE("#metadata!", ADDRESS(INDEX($L$2:$L$1001,MATCH(ROWS($J$2:J469),$J$2:$J$1001,0),0), INDEX($Q$1004:$U$1004,1,MATCH(COLUMNS($Q$1006:Q1006),$Q$1006:$U$1006,0)))),"Fix")))</f>
        <v xml:space="preserve"> </v>
      </c>
      <c r="C469" s="3" t="str">
        <f ca="1">IF(OR(INDEX($K$2:$K$1001,MATCH(ROWS($J$2:J469),$J$2:$J$1001,0),1)&gt;=100000,INDEX($Q$1005:$U$1005,1,MATCH(COLUMNS($Q$1006:R1006),$Q$1006:$U$1006,0))&gt;=100000), " ",IF(INDEX($Q$2:$U$1001,MATCH(ROWS($J$2:J469),$J$2:$J$1001,0),MATCH(COLUMNS($Q$1006:R1006),$Q$1006:$U$1006,0)), HYPERLINK("#",""), HYPERLINK(CONCATENATE("#metadata!", ADDRESS(INDEX($L$2:$L$1001,MATCH(ROWS($J$2:J469),$J$2:$J$1001,0),0), INDEX($Q$1004:$U$1004,1,MATCH(COLUMNS($Q$1006:R1006),$Q$1006:$U$1006,0)))),"Fix")))</f>
        <v xml:space="preserve"> </v>
      </c>
      <c r="D469" s="3" t="str">
        <f ca="1">IF(OR(INDEX($K$2:$K$1001,MATCH(ROWS($J$2:J469),$J$2:$J$1001,0),1)&gt;=100000,INDEX($Q$1005:$U$1005,1,MATCH(COLUMNS($Q$1006:S1006),$Q$1006:$U$1006,0))&gt;=100000), " ",IF(INDEX($Q$2:$U$1001,MATCH(ROWS($J$2:J469),$J$2:$J$1001,0),MATCH(COLUMNS($Q$1006:S1006),$Q$1006:$U$1006,0)), HYPERLINK("#",""), HYPERLINK(CONCATENATE("#metadata!", ADDRESS(INDEX($L$2:$L$1001,MATCH(ROWS($J$2:J469),$J$2:$J$1001,0),0), INDEX($Q$1004:$U$1004,1,MATCH(COLUMNS($Q$1006:S1006),$Q$1006:$U$1006,0)))),"Fix")))</f>
        <v xml:space="preserve"> </v>
      </c>
      <c r="E469" s="3" t="str">
        <f ca="1">IF(OR(INDEX($K$2:$K$1001,MATCH(ROWS($J$2:J469),$J$2:$J$1001,0),1)&gt;=100000,INDEX($Q$1005:$U$1005,1,MATCH(COLUMNS($Q$1006:T1006),$Q$1006:$U$1006,0))&gt;=100000), " ",IF(INDEX($Q$2:$U$1001,MATCH(ROWS($J$2:J469),$J$2:$J$1001,0),MATCH(COLUMNS($Q$1006:T1006),$Q$1006:$U$1006,0)), HYPERLINK("#",""), HYPERLINK(CONCATENATE("#metadata!", ADDRESS(INDEX($L$2:$L$1001,MATCH(ROWS($J$2:J469),$J$2:$J$1001,0),0), INDEX($Q$1004:$U$1004,1,MATCH(COLUMNS($Q$1006:T1006),$Q$1006:$U$1006,0)))),"Fix")))</f>
        <v xml:space="preserve"> </v>
      </c>
      <c r="F469" s="3" t="str">
        <f ca="1">IF(OR(INDEX($K$2:$K$1001,MATCH(ROWS($J$2:J469),$J$2:$J$1001,0),1)&gt;=100000,INDEX($Q$1005:$U$1005,1,MATCH(COLUMNS($Q$1006:U1006),$Q$1006:$U$1006,0))&gt;=100000), " ",IF(INDEX($Q$2:$U$1001,MATCH(ROWS($J$2:J469),$J$2:$J$1001,0),MATCH(COLUMNS($Q$1006:U1006),$Q$1006:$U$1006,0)), HYPERLINK("#",""), HYPERLINK(CONCATENATE("#metadata!", ADDRESS(INDEX($L$2:$L$1001,MATCH(ROWS($J$2:J469),$J$2:$J$1001,0),0), INDEX($Q$1004:$U$1004,1,MATCH(COLUMNS($Q$1006:U1006),$Q$1006:$U$1006,0)))),"Fix")))</f>
        <v xml:space="preserve"> </v>
      </c>
      <c r="J469">
        <v>468</v>
      </c>
      <c r="K469">
        <v>100469</v>
      </c>
      <c r="L469">
        <v>469</v>
      </c>
      <c r="M469" t="b">
        <f t="shared" si="7"/>
        <v>1</v>
      </c>
      <c r="N469" t="b">
        <f>COUNTBLANK(metadata!B469:F469)=COLUMNS(metadata!B469:F469)</f>
        <v>1</v>
      </c>
      <c r="O469" t="str">
        <v/>
      </c>
      <c r="Q469" t="b">
        <f ca="1">AND(IF(metadata!B469="",FALSE,TRUE),COUNTIF(metadata!B:B, metadata!B469) = 1,NOT(ISERROR(SUMPRODUCT(SEARCH(MID(metadata!B469,ROW(INDIRECT("1:"&amp;LEN(metadata!B469))), 1),"0123456789abcdefghijklmnopqrstuvwxyzABCDEFGHIJKLMNOPQRSTUVWXYZ.")))))</f>
        <v>0</v>
      </c>
      <c r="R469" t="b">
        <f>AND(IF(metadata!C469="",FALSE,TRUE),OR(EXACT(metadata!C469,"saline"),EXACT(metadata!C469,"non-saline")))</f>
        <v>0</v>
      </c>
      <c r="S469" t="b">
        <f>AND(IF(metadata!D469="",FALSE,TRUE),OR(EXACT(metadata!D469,"surface (non-saline)"),EXACT(metadata!D469,"aerosol (non-saline)"),EXACT(metadata!D469,"sediment (non-saline)"),EXACT(metadata!D469,"surface (saline)"),EXACT(metadata!D469,"aerosol (saline)"),EXACT(metadata!D469,"sediment (saline)")))</f>
        <v>0</v>
      </c>
      <c r="T469" t="b">
        <f>AND(IF(metadata!E469="",FALSE,TRUE),EXACT(metadata!E469,"built environment"))</f>
        <v>0</v>
      </c>
      <c r="U469" t="b">
        <f>OR(AND(IF(metadata!F469="",FALSE,TRUE),EXACT(metadata!F469,"not applicable")),AND(IF(metadata!F469="",FALSE,TRUE),EXACT(metadata!F469,"anaerobic digester content")))</f>
        <v>0</v>
      </c>
    </row>
    <row r="470" spans="1:21" x14ac:dyDescent="0.2">
      <c r="A470" s="4" t="str">
        <f ca="1">IF(B470=" "," ",HYPERLINK(CONCATENATE("#metadata!",ADDRESS(INDEX($L$2:$L$1001,MATCH(ROWS($J$2:J470),$J$2:$J$1001,0),0),1)),INDEX($O$2:$O$1001,MATCH(ROWS($J$2:J470),$J$2:$J$1001,0),0)))</f>
        <v xml:space="preserve"> </v>
      </c>
      <c r="B470" s="3" t="str">
        <f ca="1">IF(OR(INDEX($K$2:$K$1001,MATCH(ROWS($J$2:J470),$J$2:$J$1001,0),1)&gt;=100000,INDEX($Q$1005:$U$1005,1,MATCH(COLUMNS($Q$1006:Q1006),$Q$1006:$U$1006,0))&gt;=100000), " ",IF(INDEX($Q$2:$U$1001,MATCH(ROWS($J$2:J470),$J$2:$J$1001,0),MATCH(COLUMNS($Q$1006:Q1006),$Q$1006:$U$1006,0)), HYPERLINK("#",""), HYPERLINK(CONCATENATE("#metadata!", ADDRESS(INDEX($L$2:$L$1001,MATCH(ROWS($J$2:J470),$J$2:$J$1001,0),0), INDEX($Q$1004:$U$1004,1,MATCH(COLUMNS($Q$1006:Q1006),$Q$1006:$U$1006,0)))),"Fix")))</f>
        <v xml:space="preserve"> </v>
      </c>
      <c r="C470" s="3" t="str">
        <f ca="1">IF(OR(INDEX($K$2:$K$1001,MATCH(ROWS($J$2:J470),$J$2:$J$1001,0),1)&gt;=100000,INDEX($Q$1005:$U$1005,1,MATCH(COLUMNS($Q$1006:R1006),$Q$1006:$U$1006,0))&gt;=100000), " ",IF(INDEX($Q$2:$U$1001,MATCH(ROWS($J$2:J470),$J$2:$J$1001,0),MATCH(COLUMNS($Q$1006:R1006),$Q$1006:$U$1006,0)), HYPERLINK("#",""), HYPERLINK(CONCATENATE("#metadata!", ADDRESS(INDEX($L$2:$L$1001,MATCH(ROWS($J$2:J470),$J$2:$J$1001,0),0), INDEX($Q$1004:$U$1004,1,MATCH(COLUMNS($Q$1006:R1006),$Q$1006:$U$1006,0)))),"Fix")))</f>
        <v xml:space="preserve"> </v>
      </c>
      <c r="D470" s="3" t="str">
        <f ca="1">IF(OR(INDEX($K$2:$K$1001,MATCH(ROWS($J$2:J470),$J$2:$J$1001,0),1)&gt;=100000,INDEX($Q$1005:$U$1005,1,MATCH(COLUMNS($Q$1006:S1006),$Q$1006:$U$1006,0))&gt;=100000), " ",IF(INDEX($Q$2:$U$1001,MATCH(ROWS($J$2:J470),$J$2:$J$1001,0),MATCH(COLUMNS($Q$1006:S1006),$Q$1006:$U$1006,0)), HYPERLINK("#",""), HYPERLINK(CONCATENATE("#metadata!", ADDRESS(INDEX($L$2:$L$1001,MATCH(ROWS($J$2:J470),$J$2:$J$1001,0),0), INDEX($Q$1004:$U$1004,1,MATCH(COLUMNS($Q$1006:S1006),$Q$1006:$U$1006,0)))),"Fix")))</f>
        <v xml:space="preserve"> </v>
      </c>
      <c r="E470" s="3" t="str">
        <f ca="1">IF(OR(INDEX($K$2:$K$1001,MATCH(ROWS($J$2:J470),$J$2:$J$1001,0),1)&gt;=100000,INDEX($Q$1005:$U$1005,1,MATCH(COLUMNS($Q$1006:T1006),$Q$1006:$U$1006,0))&gt;=100000), " ",IF(INDEX($Q$2:$U$1001,MATCH(ROWS($J$2:J470),$J$2:$J$1001,0),MATCH(COLUMNS($Q$1006:T1006),$Q$1006:$U$1006,0)), HYPERLINK("#",""), HYPERLINK(CONCATENATE("#metadata!", ADDRESS(INDEX($L$2:$L$1001,MATCH(ROWS($J$2:J470),$J$2:$J$1001,0),0), INDEX($Q$1004:$U$1004,1,MATCH(COLUMNS($Q$1006:T1006),$Q$1006:$U$1006,0)))),"Fix")))</f>
        <v xml:space="preserve"> </v>
      </c>
      <c r="F470" s="3" t="str">
        <f ca="1">IF(OR(INDEX($K$2:$K$1001,MATCH(ROWS($J$2:J470),$J$2:$J$1001,0),1)&gt;=100000,INDEX($Q$1005:$U$1005,1,MATCH(COLUMNS($Q$1006:U1006),$Q$1006:$U$1006,0))&gt;=100000), " ",IF(INDEX($Q$2:$U$1001,MATCH(ROWS($J$2:J470),$J$2:$J$1001,0),MATCH(COLUMNS($Q$1006:U1006),$Q$1006:$U$1006,0)), HYPERLINK("#",""), HYPERLINK(CONCATENATE("#metadata!", ADDRESS(INDEX($L$2:$L$1001,MATCH(ROWS($J$2:J470),$J$2:$J$1001,0),0), INDEX($Q$1004:$U$1004,1,MATCH(COLUMNS($Q$1006:U1006),$Q$1006:$U$1006,0)))),"Fix")))</f>
        <v xml:space="preserve"> </v>
      </c>
      <c r="J470">
        <v>469</v>
      </c>
      <c r="K470">
        <v>100470</v>
      </c>
      <c r="L470">
        <v>470</v>
      </c>
      <c r="M470" t="b">
        <f t="shared" si="7"/>
        <v>1</v>
      </c>
      <c r="N470" t="b">
        <f>COUNTBLANK(metadata!B470:F470)=COLUMNS(metadata!B470:F470)</f>
        <v>1</v>
      </c>
      <c r="O470" t="str">
        <v/>
      </c>
      <c r="Q470" t="b">
        <f ca="1">AND(IF(metadata!B470="",FALSE,TRUE),COUNTIF(metadata!B:B, metadata!B470) = 1,NOT(ISERROR(SUMPRODUCT(SEARCH(MID(metadata!B470,ROW(INDIRECT("1:"&amp;LEN(metadata!B470))), 1),"0123456789abcdefghijklmnopqrstuvwxyzABCDEFGHIJKLMNOPQRSTUVWXYZ.")))))</f>
        <v>0</v>
      </c>
      <c r="R470" t="b">
        <f>AND(IF(metadata!C470="",FALSE,TRUE),OR(EXACT(metadata!C470,"saline"),EXACT(metadata!C470,"non-saline")))</f>
        <v>0</v>
      </c>
      <c r="S470" t="b">
        <f>AND(IF(metadata!D470="",FALSE,TRUE),OR(EXACT(metadata!D470,"surface (non-saline)"),EXACT(metadata!D470,"aerosol (non-saline)"),EXACT(metadata!D470,"sediment (non-saline)"),EXACT(metadata!D470,"surface (saline)"),EXACT(metadata!D470,"aerosol (saline)"),EXACT(metadata!D470,"sediment (saline)")))</f>
        <v>0</v>
      </c>
      <c r="T470" t="b">
        <f>AND(IF(metadata!E470="",FALSE,TRUE),EXACT(metadata!E470,"built environment"))</f>
        <v>0</v>
      </c>
      <c r="U470" t="b">
        <f>OR(AND(IF(metadata!F470="",FALSE,TRUE),EXACT(metadata!F470,"not applicable")),AND(IF(metadata!F470="",FALSE,TRUE),EXACT(metadata!F470,"anaerobic digester content")))</f>
        <v>0</v>
      </c>
    </row>
    <row r="471" spans="1:21" x14ac:dyDescent="0.2">
      <c r="A471" s="4" t="str">
        <f ca="1">IF(B471=" "," ",HYPERLINK(CONCATENATE("#metadata!",ADDRESS(INDEX($L$2:$L$1001,MATCH(ROWS($J$2:J471),$J$2:$J$1001,0),0),1)),INDEX($O$2:$O$1001,MATCH(ROWS($J$2:J471),$J$2:$J$1001,0),0)))</f>
        <v xml:space="preserve"> </v>
      </c>
      <c r="B471" s="3" t="str">
        <f ca="1">IF(OR(INDEX($K$2:$K$1001,MATCH(ROWS($J$2:J471),$J$2:$J$1001,0),1)&gt;=100000,INDEX($Q$1005:$U$1005,1,MATCH(COLUMNS($Q$1006:Q1006),$Q$1006:$U$1006,0))&gt;=100000), " ",IF(INDEX($Q$2:$U$1001,MATCH(ROWS($J$2:J471),$J$2:$J$1001,0),MATCH(COLUMNS($Q$1006:Q1006),$Q$1006:$U$1006,0)), HYPERLINK("#",""), HYPERLINK(CONCATENATE("#metadata!", ADDRESS(INDEX($L$2:$L$1001,MATCH(ROWS($J$2:J471),$J$2:$J$1001,0),0), INDEX($Q$1004:$U$1004,1,MATCH(COLUMNS($Q$1006:Q1006),$Q$1006:$U$1006,0)))),"Fix")))</f>
        <v xml:space="preserve"> </v>
      </c>
      <c r="C471" s="3" t="str">
        <f ca="1">IF(OR(INDEX($K$2:$K$1001,MATCH(ROWS($J$2:J471),$J$2:$J$1001,0),1)&gt;=100000,INDEX($Q$1005:$U$1005,1,MATCH(COLUMNS($Q$1006:R1006),$Q$1006:$U$1006,0))&gt;=100000), " ",IF(INDEX($Q$2:$U$1001,MATCH(ROWS($J$2:J471),$J$2:$J$1001,0),MATCH(COLUMNS($Q$1006:R1006),$Q$1006:$U$1006,0)), HYPERLINK("#",""), HYPERLINK(CONCATENATE("#metadata!", ADDRESS(INDEX($L$2:$L$1001,MATCH(ROWS($J$2:J471),$J$2:$J$1001,0),0), INDEX($Q$1004:$U$1004,1,MATCH(COLUMNS($Q$1006:R1006),$Q$1006:$U$1006,0)))),"Fix")))</f>
        <v xml:space="preserve"> </v>
      </c>
      <c r="D471" s="3" t="str">
        <f ca="1">IF(OR(INDEX($K$2:$K$1001,MATCH(ROWS($J$2:J471),$J$2:$J$1001,0),1)&gt;=100000,INDEX($Q$1005:$U$1005,1,MATCH(COLUMNS($Q$1006:S1006),$Q$1006:$U$1006,0))&gt;=100000), " ",IF(INDEX($Q$2:$U$1001,MATCH(ROWS($J$2:J471),$J$2:$J$1001,0),MATCH(COLUMNS($Q$1006:S1006),$Q$1006:$U$1006,0)), HYPERLINK("#",""), HYPERLINK(CONCATENATE("#metadata!", ADDRESS(INDEX($L$2:$L$1001,MATCH(ROWS($J$2:J471),$J$2:$J$1001,0),0), INDEX($Q$1004:$U$1004,1,MATCH(COLUMNS($Q$1006:S1006),$Q$1006:$U$1006,0)))),"Fix")))</f>
        <v xml:space="preserve"> </v>
      </c>
      <c r="E471" s="3" t="str">
        <f ca="1">IF(OR(INDEX($K$2:$K$1001,MATCH(ROWS($J$2:J471),$J$2:$J$1001,0),1)&gt;=100000,INDEX($Q$1005:$U$1005,1,MATCH(COLUMNS($Q$1006:T1006),$Q$1006:$U$1006,0))&gt;=100000), " ",IF(INDEX($Q$2:$U$1001,MATCH(ROWS($J$2:J471),$J$2:$J$1001,0),MATCH(COLUMNS($Q$1006:T1006),$Q$1006:$U$1006,0)), HYPERLINK("#",""), HYPERLINK(CONCATENATE("#metadata!", ADDRESS(INDEX($L$2:$L$1001,MATCH(ROWS($J$2:J471),$J$2:$J$1001,0),0), INDEX($Q$1004:$U$1004,1,MATCH(COLUMNS($Q$1006:T1006),$Q$1006:$U$1006,0)))),"Fix")))</f>
        <v xml:space="preserve"> </v>
      </c>
      <c r="F471" s="3" t="str">
        <f ca="1">IF(OR(INDEX($K$2:$K$1001,MATCH(ROWS($J$2:J471),$J$2:$J$1001,0),1)&gt;=100000,INDEX($Q$1005:$U$1005,1,MATCH(COLUMNS($Q$1006:U1006),$Q$1006:$U$1006,0))&gt;=100000), " ",IF(INDEX($Q$2:$U$1001,MATCH(ROWS($J$2:J471),$J$2:$J$1001,0),MATCH(COLUMNS($Q$1006:U1006),$Q$1006:$U$1006,0)), HYPERLINK("#",""), HYPERLINK(CONCATENATE("#metadata!", ADDRESS(INDEX($L$2:$L$1001,MATCH(ROWS($J$2:J471),$J$2:$J$1001,0),0), INDEX($Q$1004:$U$1004,1,MATCH(COLUMNS($Q$1006:U1006),$Q$1006:$U$1006,0)))),"Fix")))</f>
        <v xml:space="preserve"> </v>
      </c>
      <c r="J471">
        <v>470</v>
      </c>
      <c r="K471">
        <v>100471</v>
      </c>
      <c r="L471">
        <v>471</v>
      </c>
      <c r="M471" t="b">
        <f t="shared" si="7"/>
        <v>1</v>
      </c>
      <c r="N471" t="b">
        <f>COUNTBLANK(metadata!B471:F471)=COLUMNS(metadata!B471:F471)</f>
        <v>1</v>
      </c>
      <c r="O471" t="str">
        <v/>
      </c>
      <c r="Q471" t="b">
        <f ca="1">AND(IF(metadata!B471="",FALSE,TRUE),COUNTIF(metadata!B:B, metadata!B471) = 1,NOT(ISERROR(SUMPRODUCT(SEARCH(MID(metadata!B471,ROW(INDIRECT("1:"&amp;LEN(metadata!B471))), 1),"0123456789abcdefghijklmnopqrstuvwxyzABCDEFGHIJKLMNOPQRSTUVWXYZ.")))))</f>
        <v>0</v>
      </c>
      <c r="R471" t="b">
        <f>AND(IF(metadata!C471="",FALSE,TRUE),OR(EXACT(metadata!C471,"saline"),EXACT(metadata!C471,"non-saline")))</f>
        <v>0</v>
      </c>
      <c r="S471" t="b">
        <f>AND(IF(metadata!D471="",FALSE,TRUE),OR(EXACT(metadata!D471,"surface (non-saline)"),EXACT(metadata!D471,"aerosol (non-saline)"),EXACT(metadata!D471,"sediment (non-saline)"),EXACT(metadata!D471,"surface (saline)"),EXACT(metadata!D471,"aerosol (saline)"),EXACT(metadata!D471,"sediment (saline)")))</f>
        <v>0</v>
      </c>
      <c r="T471" t="b">
        <f>AND(IF(metadata!E471="",FALSE,TRUE),EXACT(metadata!E471,"built environment"))</f>
        <v>0</v>
      </c>
      <c r="U471" t="b">
        <f>OR(AND(IF(metadata!F471="",FALSE,TRUE),EXACT(metadata!F471,"not applicable")),AND(IF(metadata!F471="",FALSE,TRUE),EXACT(metadata!F471,"anaerobic digester content")))</f>
        <v>0</v>
      </c>
    </row>
    <row r="472" spans="1:21" x14ac:dyDescent="0.2">
      <c r="A472" s="4" t="str">
        <f ca="1">IF(B472=" "," ",HYPERLINK(CONCATENATE("#metadata!",ADDRESS(INDEX($L$2:$L$1001,MATCH(ROWS($J$2:J472),$J$2:$J$1001,0),0),1)),INDEX($O$2:$O$1001,MATCH(ROWS($J$2:J472),$J$2:$J$1001,0),0)))</f>
        <v xml:space="preserve"> </v>
      </c>
      <c r="B472" s="3" t="str">
        <f ca="1">IF(OR(INDEX($K$2:$K$1001,MATCH(ROWS($J$2:J472),$J$2:$J$1001,0),1)&gt;=100000,INDEX($Q$1005:$U$1005,1,MATCH(COLUMNS($Q$1006:Q1006),$Q$1006:$U$1006,0))&gt;=100000), " ",IF(INDEX($Q$2:$U$1001,MATCH(ROWS($J$2:J472),$J$2:$J$1001,0),MATCH(COLUMNS($Q$1006:Q1006),$Q$1006:$U$1006,0)), HYPERLINK("#",""), HYPERLINK(CONCATENATE("#metadata!", ADDRESS(INDEX($L$2:$L$1001,MATCH(ROWS($J$2:J472),$J$2:$J$1001,0),0), INDEX($Q$1004:$U$1004,1,MATCH(COLUMNS($Q$1006:Q1006),$Q$1006:$U$1006,0)))),"Fix")))</f>
        <v xml:space="preserve"> </v>
      </c>
      <c r="C472" s="3" t="str">
        <f ca="1">IF(OR(INDEX($K$2:$K$1001,MATCH(ROWS($J$2:J472),$J$2:$J$1001,0),1)&gt;=100000,INDEX($Q$1005:$U$1005,1,MATCH(COLUMNS($Q$1006:R1006),$Q$1006:$U$1006,0))&gt;=100000), " ",IF(INDEX($Q$2:$U$1001,MATCH(ROWS($J$2:J472),$J$2:$J$1001,0),MATCH(COLUMNS($Q$1006:R1006),$Q$1006:$U$1006,0)), HYPERLINK("#",""), HYPERLINK(CONCATENATE("#metadata!", ADDRESS(INDEX($L$2:$L$1001,MATCH(ROWS($J$2:J472),$J$2:$J$1001,0),0), INDEX($Q$1004:$U$1004,1,MATCH(COLUMNS($Q$1006:R1006),$Q$1006:$U$1006,0)))),"Fix")))</f>
        <v xml:space="preserve"> </v>
      </c>
      <c r="D472" s="3" t="str">
        <f ca="1">IF(OR(INDEX($K$2:$K$1001,MATCH(ROWS($J$2:J472),$J$2:$J$1001,0),1)&gt;=100000,INDEX($Q$1005:$U$1005,1,MATCH(COLUMNS($Q$1006:S1006),$Q$1006:$U$1006,0))&gt;=100000), " ",IF(INDEX($Q$2:$U$1001,MATCH(ROWS($J$2:J472),$J$2:$J$1001,0),MATCH(COLUMNS($Q$1006:S1006),$Q$1006:$U$1006,0)), HYPERLINK("#",""), HYPERLINK(CONCATENATE("#metadata!", ADDRESS(INDEX($L$2:$L$1001,MATCH(ROWS($J$2:J472),$J$2:$J$1001,0),0), INDEX($Q$1004:$U$1004,1,MATCH(COLUMNS($Q$1006:S1006),$Q$1006:$U$1006,0)))),"Fix")))</f>
        <v xml:space="preserve"> </v>
      </c>
      <c r="E472" s="3" t="str">
        <f ca="1">IF(OR(INDEX($K$2:$K$1001,MATCH(ROWS($J$2:J472),$J$2:$J$1001,0),1)&gt;=100000,INDEX($Q$1005:$U$1005,1,MATCH(COLUMNS($Q$1006:T1006),$Q$1006:$U$1006,0))&gt;=100000), " ",IF(INDEX($Q$2:$U$1001,MATCH(ROWS($J$2:J472),$J$2:$J$1001,0),MATCH(COLUMNS($Q$1006:T1006),$Q$1006:$U$1006,0)), HYPERLINK("#",""), HYPERLINK(CONCATENATE("#metadata!", ADDRESS(INDEX($L$2:$L$1001,MATCH(ROWS($J$2:J472),$J$2:$J$1001,0),0), INDEX($Q$1004:$U$1004,1,MATCH(COLUMNS($Q$1006:T1006),$Q$1006:$U$1006,0)))),"Fix")))</f>
        <v xml:space="preserve"> </v>
      </c>
      <c r="F472" s="3" t="str">
        <f ca="1">IF(OR(INDEX($K$2:$K$1001,MATCH(ROWS($J$2:J472),$J$2:$J$1001,0),1)&gt;=100000,INDEX($Q$1005:$U$1005,1,MATCH(COLUMNS($Q$1006:U1006),$Q$1006:$U$1006,0))&gt;=100000), " ",IF(INDEX($Q$2:$U$1001,MATCH(ROWS($J$2:J472),$J$2:$J$1001,0),MATCH(COLUMNS($Q$1006:U1006),$Q$1006:$U$1006,0)), HYPERLINK("#",""), HYPERLINK(CONCATENATE("#metadata!", ADDRESS(INDEX($L$2:$L$1001,MATCH(ROWS($J$2:J472),$J$2:$J$1001,0),0), INDEX($Q$1004:$U$1004,1,MATCH(COLUMNS($Q$1006:U1006),$Q$1006:$U$1006,0)))),"Fix")))</f>
        <v xml:space="preserve"> </v>
      </c>
      <c r="J472">
        <v>471</v>
      </c>
      <c r="K472">
        <v>100472</v>
      </c>
      <c r="L472">
        <v>472</v>
      </c>
      <c r="M472" t="b">
        <f t="shared" si="7"/>
        <v>1</v>
      </c>
      <c r="N472" t="b">
        <f>COUNTBLANK(metadata!B472:F472)=COLUMNS(metadata!B472:F472)</f>
        <v>1</v>
      </c>
      <c r="O472" t="str">
        <v/>
      </c>
      <c r="Q472" t="b">
        <f ca="1">AND(IF(metadata!B472="",FALSE,TRUE),COUNTIF(metadata!B:B, metadata!B472) = 1,NOT(ISERROR(SUMPRODUCT(SEARCH(MID(metadata!B472,ROW(INDIRECT("1:"&amp;LEN(metadata!B472))), 1),"0123456789abcdefghijklmnopqrstuvwxyzABCDEFGHIJKLMNOPQRSTUVWXYZ.")))))</f>
        <v>0</v>
      </c>
      <c r="R472" t="b">
        <f>AND(IF(metadata!C472="",FALSE,TRUE),OR(EXACT(metadata!C472,"saline"),EXACT(metadata!C472,"non-saline")))</f>
        <v>0</v>
      </c>
      <c r="S472" t="b">
        <f>AND(IF(metadata!D472="",FALSE,TRUE),OR(EXACT(metadata!D472,"surface (non-saline)"),EXACT(metadata!D472,"aerosol (non-saline)"),EXACT(metadata!D472,"sediment (non-saline)"),EXACT(metadata!D472,"surface (saline)"),EXACT(metadata!D472,"aerosol (saline)"),EXACT(metadata!D472,"sediment (saline)")))</f>
        <v>0</v>
      </c>
      <c r="T472" t="b">
        <f>AND(IF(metadata!E472="",FALSE,TRUE),EXACT(metadata!E472,"built environment"))</f>
        <v>0</v>
      </c>
      <c r="U472" t="b">
        <f>OR(AND(IF(metadata!F472="",FALSE,TRUE),EXACT(metadata!F472,"not applicable")),AND(IF(metadata!F472="",FALSE,TRUE),EXACT(metadata!F472,"anaerobic digester content")))</f>
        <v>0</v>
      </c>
    </row>
    <row r="473" spans="1:21" x14ac:dyDescent="0.2">
      <c r="A473" s="4" t="str">
        <f ca="1">IF(B473=" "," ",HYPERLINK(CONCATENATE("#metadata!",ADDRESS(INDEX($L$2:$L$1001,MATCH(ROWS($J$2:J473),$J$2:$J$1001,0),0),1)),INDEX($O$2:$O$1001,MATCH(ROWS($J$2:J473),$J$2:$J$1001,0),0)))</f>
        <v xml:space="preserve"> </v>
      </c>
      <c r="B473" s="3" t="str">
        <f ca="1">IF(OR(INDEX($K$2:$K$1001,MATCH(ROWS($J$2:J473),$J$2:$J$1001,0),1)&gt;=100000,INDEX($Q$1005:$U$1005,1,MATCH(COLUMNS($Q$1006:Q1006),$Q$1006:$U$1006,0))&gt;=100000), " ",IF(INDEX($Q$2:$U$1001,MATCH(ROWS($J$2:J473),$J$2:$J$1001,0),MATCH(COLUMNS($Q$1006:Q1006),$Q$1006:$U$1006,0)), HYPERLINK("#",""), HYPERLINK(CONCATENATE("#metadata!", ADDRESS(INDEX($L$2:$L$1001,MATCH(ROWS($J$2:J473),$J$2:$J$1001,0),0), INDEX($Q$1004:$U$1004,1,MATCH(COLUMNS($Q$1006:Q1006),$Q$1006:$U$1006,0)))),"Fix")))</f>
        <v xml:space="preserve"> </v>
      </c>
      <c r="C473" s="3" t="str">
        <f ca="1">IF(OR(INDEX($K$2:$K$1001,MATCH(ROWS($J$2:J473),$J$2:$J$1001,0),1)&gt;=100000,INDEX($Q$1005:$U$1005,1,MATCH(COLUMNS($Q$1006:R1006),$Q$1006:$U$1006,0))&gt;=100000), " ",IF(INDEX($Q$2:$U$1001,MATCH(ROWS($J$2:J473),$J$2:$J$1001,0),MATCH(COLUMNS($Q$1006:R1006),$Q$1006:$U$1006,0)), HYPERLINK("#",""), HYPERLINK(CONCATENATE("#metadata!", ADDRESS(INDEX($L$2:$L$1001,MATCH(ROWS($J$2:J473),$J$2:$J$1001,0),0), INDEX($Q$1004:$U$1004,1,MATCH(COLUMNS($Q$1006:R1006),$Q$1006:$U$1006,0)))),"Fix")))</f>
        <v xml:space="preserve"> </v>
      </c>
      <c r="D473" s="3" t="str">
        <f ca="1">IF(OR(INDEX($K$2:$K$1001,MATCH(ROWS($J$2:J473),$J$2:$J$1001,0),1)&gt;=100000,INDEX($Q$1005:$U$1005,1,MATCH(COLUMNS($Q$1006:S1006),$Q$1006:$U$1006,0))&gt;=100000), " ",IF(INDEX($Q$2:$U$1001,MATCH(ROWS($J$2:J473),$J$2:$J$1001,0),MATCH(COLUMNS($Q$1006:S1006),$Q$1006:$U$1006,0)), HYPERLINK("#",""), HYPERLINK(CONCATENATE("#metadata!", ADDRESS(INDEX($L$2:$L$1001,MATCH(ROWS($J$2:J473),$J$2:$J$1001,0),0), INDEX($Q$1004:$U$1004,1,MATCH(COLUMNS($Q$1006:S1006),$Q$1006:$U$1006,0)))),"Fix")))</f>
        <v xml:space="preserve"> </v>
      </c>
      <c r="E473" s="3" t="str">
        <f ca="1">IF(OR(INDEX($K$2:$K$1001,MATCH(ROWS($J$2:J473),$J$2:$J$1001,0),1)&gt;=100000,INDEX($Q$1005:$U$1005,1,MATCH(COLUMNS($Q$1006:T1006),$Q$1006:$U$1006,0))&gt;=100000), " ",IF(INDEX($Q$2:$U$1001,MATCH(ROWS($J$2:J473),$J$2:$J$1001,0),MATCH(COLUMNS($Q$1006:T1006),$Q$1006:$U$1006,0)), HYPERLINK("#",""), HYPERLINK(CONCATENATE("#metadata!", ADDRESS(INDEX($L$2:$L$1001,MATCH(ROWS($J$2:J473),$J$2:$J$1001,0),0), INDEX($Q$1004:$U$1004,1,MATCH(COLUMNS($Q$1006:T1006),$Q$1006:$U$1006,0)))),"Fix")))</f>
        <v xml:space="preserve"> </v>
      </c>
      <c r="F473" s="3" t="str">
        <f ca="1">IF(OR(INDEX($K$2:$K$1001,MATCH(ROWS($J$2:J473),$J$2:$J$1001,0),1)&gt;=100000,INDEX($Q$1005:$U$1005,1,MATCH(COLUMNS($Q$1006:U1006),$Q$1006:$U$1006,0))&gt;=100000), " ",IF(INDEX($Q$2:$U$1001,MATCH(ROWS($J$2:J473),$J$2:$J$1001,0),MATCH(COLUMNS($Q$1006:U1006),$Q$1006:$U$1006,0)), HYPERLINK("#",""), HYPERLINK(CONCATENATE("#metadata!", ADDRESS(INDEX($L$2:$L$1001,MATCH(ROWS($J$2:J473),$J$2:$J$1001,0),0), INDEX($Q$1004:$U$1004,1,MATCH(COLUMNS($Q$1006:U1006),$Q$1006:$U$1006,0)))),"Fix")))</f>
        <v xml:space="preserve"> </v>
      </c>
      <c r="J473">
        <v>472</v>
      </c>
      <c r="K473">
        <v>100473</v>
      </c>
      <c r="L473">
        <v>473</v>
      </c>
      <c r="M473" t="b">
        <f t="shared" si="7"/>
        <v>1</v>
      </c>
      <c r="N473" t="b">
        <f>COUNTBLANK(metadata!B473:F473)=COLUMNS(metadata!B473:F473)</f>
        <v>1</v>
      </c>
      <c r="O473" t="str">
        <v/>
      </c>
      <c r="Q473" t="b">
        <f ca="1">AND(IF(metadata!B473="",FALSE,TRUE),COUNTIF(metadata!B:B, metadata!B473) = 1,NOT(ISERROR(SUMPRODUCT(SEARCH(MID(metadata!B473,ROW(INDIRECT("1:"&amp;LEN(metadata!B473))), 1),"0123456789abcdefghijklmnopqrstuvwxyzABCDEFGHIJKLMNOPQRSTUVWXYZ.")))))</f>
        <v>0</v>
      </c>
      <c r="R473" t="b">
        <f>AND(IF(metadata!C473="",FALSE,TRUE),OR(EXACT(metadata!C473,"saline"),EXACT(metadata!C473,"non-saline")))</f>
        <v>0</v>
      </c>
      <c r="S473" t="b">
        <f>AND(IF(metadata!D473="",FALSE,TRUE),OR(EXACT(metadata!D473,"surface (non-saline)"),EXACT(metadata!D473,"aerosol (non-saline)"),EXACT(metadata!D473,"sediment (non-saline)"),EXACT(metadata!D473,"surface (saline)"),EXACT(metadata!D473,"aerosol (saline)"),EXACT(metadata!D473,"sediment (saline)")))</f>
        <v>0</v>
      </c>
      <c r="T473" t="b">
        <f>AND(IF(metadata!E473="",FALSE,TRUE),EXACT(metadata!E473,"built environment"))</f>
        <v>0</v>
      </c>
      <c r="U473" t="b">
        <f>OR(AND(IF(metadata!F473="",FALSE,TRUE),EXACT(metadata!F473,"not applicable")),AND(IF(metadata!F473="",FALSE,TRUE),EXACT(metadata!F473,"anaerobic digester content")))</f>
        <v>0</v>
      </c>
    </row>
    <row r="474" spans="1:21" x14ac:dyDescent="0.2">
      <c r="A474" s="4" t="str">
        <f ca="1">IF(B474=" "," ",HYPERLINK(CONCATENATE("#metadata!",ADDRESS(INDEX($L$2:$L$1001,MATCH(ROWS($J$2:J474),$J$2:$J$1001,0),0),1)),INDEX($O$2:$O$1001,MATCH(ROWS($J$2:J474),$J$2:$J$1001,0),0)))</f>
        <v xml:space="preserve"> </v>
      </c>
      <c r="B474" s="3" t="str">
        <f ca="1">IF(OR(INDEX($K$2:$K$1001,MATCH(ROWS($J$2:J474),$J$2:$J$1001,0),1)&gt;=100000,INDEX($Q$1005:$U$1005,1,MATCH(COLUMNS($Q$1006:Q1006),$Q$1006:$U$1006,0))&gt;=100000), " ",IF(INDEX($Q$2:$U$1001,MATCH(ROWS($J$2:J474),$J$2:$J$1001,0),MATCH(COLUMNS($Q$1006:Q1006),$Q$1006:$U$1006,0)), HYPERLINK("#",""), HYPERLINK(CONCATENATE("#metadata!", ADDRESS(INDEX($L$2:$L$1001,MATCH(ROWS($J$2:J474),$J$2:$J$1001,0),0), INDEX($Q$1004:$U$1004,1,MATCH(COLUMNS($Q$1006:Q1006),$Q$1006:$U$1006,0)))),"Fix")))</f>
        <v xml:space="preserve"> </v>
      </c>
      <c r="C474" s="3" t="str">
        <f ca="1">IF(OR(INDEX($K$2:$K$1001,MATCH(ROWS($J$2:J474),$J$2:$J$1001,0),1)&gt;=100000,INDEX($Q$1005:$U$1005,1,MATCH(COLUMNS($Q$1006:R1006),$Q$1006:$U$1006,0))&gt;=100000), " ",IF(INDEX($Q$2:$U$1001,MATCH(ROWS($J$2:J474),$J$2:$J$1001,0),MATCH(COLUMNS($Q$1006:R1006),$Q$1006:$U$1006,0)), HYPERLINK("#",""), HYPERLINK(CONCATENATE("#metadata!", ADDRESS(INDEX($L$2:$L$1001,MATCH(ROWS($J$2:J474),$J$2:$J$1001,0),0), INDEX($Q$1004:$U$1004,1,MATCH(COLUMNS($Q$1006:R1006),$Q$1006:$U$1006,0)))),"Fix")))</f>
        <v xml:space="preserve"> </v>
      </c>
      <c r="D474" s="3" t="str">
        <f ca="1">IF(OR(INDEX($K$2:$K$1001,MATCH(ROWS($J$2:J474),$J$2:$J$1001,0),1)&gt;=100000,INDEX($Q$1005:$U$1005,1,MATCH(COLUMNS($Q$1006:S1006),$Q$1006:$U$1006,0))&gt;=100000), " ",IF(INDEX($Q$2:$U$1001,MATCH(ROWS($J$2:J474),$J$2:$J$1001,0),MATCH(COLUMNS($Q$1006:S1006),$Q$1006:$U$1006,0)), HYPERLINK("#",""), HYPERLINK(CONCATENATE("#metadata!", ADDRESS(INDEX($L$2:$L$1001,MATCH(ROWS($J$2:J474),$J$2:$J$1001,0),0), INDEX($Q$1004:$U$1004,1,MATCH(COLUMNS($Q$1006:S1006),$Q$1006:$U$1006,0)))),"Fix")))</f>
        <v xml:space="preserve"> </v>
      </c>
      <c r="E474" s="3" t="str">
        <f ca="1">IF(OR(INDEX($K$2:$K$1001,MATCH(ROWS($J$2:J474),$J$2:$J$1001,0),1)&gt;=100000,INDEX($Q$1005:$U$1005,1,MATCH(COLUMNS($Q$1006:T1006),$Q$1006:$U$1006,0))&gt;=100000), " ",IF(INDEX($Q$2:$U$1001,MATCH(ROWS($J$2:J474),$J$2:$J$1001,0),MATCH(COLUMNS($Q$1006:T1006),$Q$1006:$U$1006,0)), HYPERLINK("#",""), HYPERLINK(CONCATENATE("#metadata!", ADDRESS(INDEX($L$2:$L$1001,MATCH(ROWS($J$2:J474),$J$2:$J$1001,0),0), INDEX($Q$1004:$U$1004,1,MATCH(COLUMNS($Q$1006:T1006),$Q$1006:$U$1006,0)))),"Fix")))</f>
        <v xml:space="preserve"> </v>
      </c>
      <c r="F474" s="3" t="str">
        <f ca="1">IF(OR(INDEX($K$2:$K$1001,MATCH(ROWS($J$2:J474),$J$2:$J$1001,0),1)&gt;=100000,INDEX($Q$1005:$U$1005,1,MATCH(COLUMNS($Q$1006:U1006),$Q$1006:$U$1006,0))&gt;=100000), " ",IF(INDEX($Q$2:$U$1001,MATCH(ROWS($J$2:J474),$J$2:$J$1001,0),MATCH(COLUMNS($Q$1006:U1006),$Q$1006:$U$1006,0)), HYPERLINK("#",""), HYPERLINK(CONCATENATE("#metadata!", ADDRESS(INDEX($L$2:$L$1001,MATCH(ROWS($J$2:J474),$J$2:$J$1001,0),0), INDEX($Q$1004:$U$1004,1,MATCH(COLUMNS($Q$1006:U1006),$Q$1006:$U$1006,0)))),"Fix")))</f>
        <v xml:space="preserve"> </v>
      </c>
      <c r="J474">
        <v>473</v>
      </c>
      <c r="K474">
        <v>100474</v>
      </c>
      <c r="L474">
        <v>474</v>
      </c>
      <c r="M474" t="b">
        <f t="shared" si="7"/>
        <v>1</v>
      </c>
      <c r="N474" t="b">
        <f>COUNTBLANK(metadata!B474:F474)=COLUMNS(metadata!B474:F474)</f>
        <v>1</v>
      </c>
      <c r="O474" t="str">
        <v/>
      </c>
      <c r="Q474" t="b">
        <f ca="1">AND(IF(metadata!B474="",FALSE,TRUE),COUNTIF(metadata!B:B, metadata!B474) = 1,NOT(ISERROR(SUMPRODUCT(SEARCH(MID(metadata!B474,ROW(INDIRECT("1:"&amp;LEN(metadata!B474))), 1),"0123456789abcdefghijklmnopqrstuvwxyzABCDEFGHIJKLMNOPQRSTUVWXYZ.")))))</f>
        <v>0</v>
      </c>
      <c r="R474" t="b">
        <f>AND(IF(metadata!C474="",FALSE,TRUE),OR(EXACT(metadata!C474,"saline"),EXACT(metadata!C474,"non-saline")))</f>
        <v>0</v>
      </c>
      <c r="S474" t="b">
        <f>AND(IF(metadata!D474="",FALSE,TRUE),OR(EXACT(metadata!D474,"surface (non-saline)"),EXACT(metadata!D474,"aerosol (non-saline)"),EXACT(metadata!D474,"sediment (non-saline)"),EXACT(metadata!D474,"surface (saline)"),EXACT(metadata!D474,"aerosol (saline)"),EXACT(metadata!D474,"sediment (saline)")))</f>
        <v>0</v>
      </c>
      <c r="T474" t="b">
        <f>AND(IF(metadata!E474="",FALSE,TRUE),EXACT(metadata!E474,"built environment"))</f>
        <v>0</v>
      </c>
      <c r="U474" t="b">
        <f>OR(AND(IF(metadata!F474="",FALSE,TRUE),EXACT(metadata!F474,"not applicable")),AND(IF(metadata!F474="",FALSE,TRUE),EXACT(metadata!F474,"anaerobic digester content")))</f>
        <v>0</v>
      </c>
    </row>
    <row r="475" spans="1:21" x14ac:dyDescent="0.2">
      <c r="A475" s="4" t="str">
        <f ca="1">IF(B475=" "," ",HYPERLINK(CONCATENATE("#metadata!",ADDRESS(INDEX($L$2:$L$1001,MATCH(ROWS($J$2:J475),$J$2:$J$1001,0),0),1)),INDEX($O$2:$O$1001,MATCH(ROWS($J$2:J475),$J$2:$J$1001,0),0)))</f>
        <v xml:space="preserve"> </v>
      </c>
      <c r="B475" s="3" t="str">
        <f ca="1">IF(OR(INDEX($K$2:$K$1001,MATCH(ROWS($J$2:J475),$J$2:$J$1001,0),1)&gt;=100000,INDEX($Q$1005:$U$1005,1,MATCH(COLUMNS($Q$1006:Q1006),$Q$1006:$U$1006,0))&gt;=100000), " ",IF(INDEX($Q$2:$U$1001,MATCH(ROWS($J$2:J475),$J$2:$J$1001,0),MATCH(COLUMNS($Q$1006:Q1006),$Q$1006:$U$1006,0)), HYPERLINK("#",""), HYPERLINK(CONCATENATE("#metadata!", ADDRESS(INDEX($L$2:$L$1001,MATCH(ROWS($J$2:J475),$J$2:$J$1001,0),0), INDEX($Q$1004:$U$1004,1,MATCH(COLUMNS($Q$1006:Q1006),$Q$1006:$U$1006,0)))),"Fix")))</f>
        <v xml:space="preserve"> </v>
      </c>
      <c r="C475" s="3" t="str">
        <f ca="1">IF(OR(INDEX($K$2:$K$1001,MATCH(ROWS($J$2:J475),$J$2:$J$1001,0),1)&gt;=100000,INDEX($Q$1005:$U$1005,1,MATCH(COLUMNS($Q$1006:R1006),$Q$1006:$U$1006,0))&gt;=100000), " ",IF(INDEX($Q$2:$U$1001,MATCH(ROWS($J$2:J475),$J$2:$J$1001,0),MATCH(COLUMNS($Q$1006:R1006),$Q$1006:$U$1006,0)), HYPERLINK("#",""), HYPERLINK(CONCATENATE("#metadata!", ADDRESS(INDEX($L$2:$L$1001,MATCH(ROWS($J$2:J475),$J$2:$J$1001,0),0), INDEX($Q$1004:$U$1004,1,MATCH(COLUMNS($Q$1006:R1006),$Q$1006:$U$1006,0)))),"Fix")))</f>
        <v xml:space="preserve"> </v>
      </c>
      <c r="D475" s="3" t="str">
        <f ca="1">IF(OR(INDEX($K$2:$K$1001,MATCH(ROWS($J$2:J475),$J$2:$J$1001,0),1)&gt;=100000,INDEX($Q$1005:$U$1005,1,MATCH(COLUMNS($Q$1006:S1006),$Q$1006:$U$1006,0))&gt;=100000), " ",IF(INDEX($Q$2:$U$1001,MATCH(ROWS($J$2:J475),$J$2:$J$1001,0),MATCH(COLUMNS($Q$1006:S1006),$Q$1006:$U$1006,0)), HYPERLINK("#",""), HYPERLINK(CONCATENATE("#metadata!", ADDRESS(INDEX($L$2:$L$1001,MATCH(ROWS($J$2:J475),$J$2:$J$1001,0),0), INDEX($Q$1004:$U$1004,1,MATCH(COLUMNS($Q$1006:S1006),$Q$1006:$U$1006,0)))),"Fix")))</f>
        <v xml:space="preserve"> </v>
      </c>
      <c r="E475" s="3" t="str">
        <f ca="1">IF(OR(INDEX($K$2:$K$1001,MATCH(ROWS($J$2:J475),$J$2:$J$1001,0),1)&gt;=100000,INDEX($Q$1005:$U$1005,1,MATCH(COLUMNS($Q$1006:T1006),$Q$1006:$U$1006,0))&gt;=100000), " ",IF(INDEX($Q$2:$U$1001,MATCH(ROWS($J$2:J475),$J$2:$J$1001,0),MATCH(COLUMNS($Q$1006:T1006),$Q$1006:$U$1006,0)), HYPERLINK("#",""), HYPERLINK(CONCATENATE("#metadata!", ADDRESS(INDEX($L$2:$L$1001,MATCH(ROWS($J$2:J475),$J$2:$J$1001,0),0), INDEX($Q$1004:$U$1004,1,MATCH(COLUMNS($Q$1006:T1006),$Q$1006:$U$1006,0)))),"Fix")))</f>
        <v xml:space="preserve"> </v>
      </c>
      <c r="F475" s="3" t="str">
        <f ca="1">IF(OR(INDEX($K$2:$K$1001,MATCH(ROWS($J$2:J475),$J$2:$J$1001,0),1)&gt;=100000,INDEX($Q$1005:$U$1005,1,MATCH(COLUMNS($Q$1006:U1006),$Q$1006:$U$1006,0))&gt;=100000), " ",IF(INDEX($Q$2:$U$1001,MATCH(ROWS($J$2:J475),$J$2:$J$1001,0),MATCH(COLUMNS($Q$1006:U1006),$Q$1006:$U$1006,0)), HYPERLINK("#",""), HYPERLINK(CONCATENATE("#metadata!", ADDRESS(INDEX($L$2:$L$1001,MATCH(ROWS($J$2:J475),$J$2:$J$1001,0),0), INDEX($Q$1004:$U$1004,1,MATCH(COLUMNS($Q$1006:U1006),$Q$1006:$U$1006,0)))),"Fix")))</f>
        <v xml:space="preserve"> </v>
      </c>
      <c r="J475">
        <v>474</v>
      </c>
      <c r="K475">
        <v>100475</v>
      </c>
      <c r="L475">
        <v>475</v>
      </c>
      <c r="M475" t="b">
        <f t="shared" si="7"/>
        <v>1</v>
      </c>
      <c r="N475" t="b">
        <f>COUNTBLANK(metadata!B475:F475)=COLUMNS(metadata!B475:F475)</f>
        <v>1</v>
      </c>
      <c r="O475" t="str">
        <v/>
      </c>
      <c r="Q475" t="b">
        <f ca="1">AND(IF(metadata!B475="",FALSE,TRUE),COUNTIF(metadata!B:B, metadata!B475) = 1,NOT(ISERROR(SUMPRODUCT(SEARCH(MID(metadata!B475,ROW(INDIRECT("1:"&amp;LEN(metadata!B475))), 1),"0123456789abcdefghijklmnopqrstuvwxyzABCDEFGHIJKLMNOPQRSTUVWXYZ.")))))</f>
        <v>0</v>
      </c>
      <c r="R475" t="b">
        <f>AND(IF(metadata!C475="",FALSE,TRUE),OR(EXACT(metadata!C475,"saline"),EXACT(metadata!C475,"non-saline")))</f>
        <v>0</v>
      </c>
      <c r="S475" t="b">
        <f>AND(IF(metadata!D475="",FALSE,TRUE),OR(EXACT(metadata!D475,"surface (non-saline)"),EXACT(metadata!D475,"aerosol (non-saline)"),EXACT(metadata!D475,"sediment (non-saline)"),EXACT(metadata!D475,"surface (saline)"),EXACT(metadata!D475,"aerosol (saline)"),EXACT(metadata!D475,"sediment (saline)")))</f>
        <v>0</v>
      </c>
      <c r="T475" t="b">
        <f>AND(IF(metadata!E475="",FALSE,TRUE),EXACT(metadata!E475,"built environment"))</f>
        <v>0</v>
      </c>
      <c r="U475" t="b">
        <f>OR(AND(IF(metadata!F475="",FALSE,TRUE),EXACT(metadata!F475,"not applicable")),AND(IF(metadata!F475="",FALSE,TRUE),EXACT(metadata!F475,"anaerobic digester content")))</f>
        <v>0</v>
      </c>
    </row>
    <row r="476" spans="1:21" x14ac:dyDescent="0.2">
      <c r="A476" s="4" t="str">
        <f ca="1">IF(B476=" "," ",HYPERLINK(CONCATENATE("#metadata!",ADDRESS(INDEX($L$2:$L$1001,MATCH(ROWS($J$2:J476),$J$2:$J$1001,0),0),1)),INDEX($O$2:$O$1001,MATCH(ROWS($J$2:J476),$J$2:$J$1001,0),0)))</f>
        <v xml:space="preserve"> </v>
      </c>
      <c r="B476" s="3" t="str">
        <f ca="1">IF(OR(INDEX($K$2:$K$1001,MATCH(ROWS($J$2:J476),$J$2:$J$1001,0),1)&gt;=100000,INDEX($Q$1005:$U$1005,1,MATCH(COLUMNS($Q$1006:Q1006),$Q$1006:$U$1006,0))&gt;=100000), " ",IF(INDEX($Q$2:$U$1001,MATCH(ROWS($J$2:J476),$J$2:$J$1001,0),MATCH(COLUMNS($Q$1006:Q1006),$Q$1006:$U$1006,0)), HYPERLINK("#",""), HYPERLINK(CONCATENATE("#metadata!", ADDRESS(INDEX($L$2:$L$1001,MATCH(ROWS($J$2:J476),$J$2:$J$1001,0),0), INDEX($Q$1004:$U$1004,1,MATCH(COLUMNS($Q$1006:Q1006),$Q$1006:$U$1006,0)))),"Fix")))</f>
        <v xml:space="preserve"> </v>
      </c>
      <c r="C476" s="3" t="str">
        <f ca="1">IF(OR(INDEX($K$2:$K$1001,MATCH(ROWS($J$2:J476),$J$2:$J$1001,0),1)&gt;=100000,INDEX($Q$1005:$U$1005,1,MATCH(COLUMNS($Q$1006:R1006),$Q$1006:$U$1006,0))&gt;=100000), " ",IF(INDEX($Q$2:$U$1001,MATCH(ROWS($J$2:J476),$J$2:$J$1001,0),MATCH(COLUMNS($Q$1006:R1006),$Q$1006:$U$1006,0)), HYPERLINK("#",""), HYPERLINK(CONCATENATE("#metadata!", ADDRESS(INDEX($L$2:$L$1001,MATCH(ROWS($J$2:J476),$J$2:$J$1001,0),0), INDEX($Q$1004:$U$1004,1,MATCH(COLUMNS($Q$1006:R1006),$Q$1006:$U$1006,0)))),"Fix")))</f>
        <v xml:space="preserve"> </v>
      </c>
      <c r="D476" s="3" t="str">
        <f ca="1">IF(OR(INDEX($K$2:$K$1001,MATCH(ROWS($J$2:J476),$J$2:$J$1001,0),1)&gt;=100000,INDEX($Q$1005:$U$1005,1,MATCH(COLUMNS($Q$1006:S1006),$Q$1006:$U$1006,0))&gt;=100000), " ",IF(INDEX($Q$2:$U$1001,MATCH(ROWS($J$2:J476),$J$2:$J$1001,0),MATCH(COLUMNS($Q$1006:S1006),$Q$1006:$U$1006,0)), HYPERLINK("#",""), HYPERLINK(CONCATENATE("#metadata!", ADDRESS(INDEX($L$2:$L$1001,MATCH(ROWS($J$2:J476),$J$2:$J$1001,0),0), INDEX($Q$1004:$U$1004,1,MATCH(COLUMNS($Q$1006:S1006),$Q$1006:$U$1006,0)))),"Fix")))</f>
        <v xml:space="preserve"> </v>
      </c>
      <c r="E476" s="3" t="str">
        <f ca="1">IF(OR(INDEX($K$2:$K$1001,MATCH(ROWS($J$2:J476),$J$2:$J$1001,0),1)&gt;=100000,INDEX($Q$1005:$U$1005,1,MATCH(COLUMNS($Q$1006:T1006),$Q$1006:$U$1006,0))&gt;=100000), " ",IF(INDEX($Q$2:$U$1001,MATCH(ROWS($J$2:J476),$J$2:$J$1001,0),MATCH(COLUMNS($Q$1006:T1006),$Q$1006:$U$1006,0)), HYPERLINK("#",""), HYPERLINK(CONCATENATE("#metadata!", ADDRESS(INDEX($L$2:$L$1001,MATCH(ROWS($J$2:J476),$J$2:$J$1001,0),0), INDEX($Q$1004:$U$1004,1,MATCH(COLUMNS($Q$1006:T1006),$Q$1006:$U$1006,0)))),"Fix")))</f>
        <v xml:space="preserve"> </v>
      </c>
      <c r="F476" s="3" t="str">
        <f ca="1">IF(OR(INDEX($K$2:$K$1001,MATCH(ROWS($J$2:J476),$J$2:$J$1001,0),1)&gt;=100000,INDEX($Q$1005:$U$1005,1,MATCH(COLUMNS($Q$1006:U1006),$Q$1006:$U$1006,0))&gt;=100000), " ",IF(INDEX($Q$2:$U$1001,MATCH(ROWS($J$2:J476),$J$2:$J$1001,0),MATCH(COLUMNS($Q$1006:U1006),$Q$1006:$U$1006,0)), HYPERLINK("#",""), HYPERLINK(CONCATENATE("#metadata!", ADDRESS(INDEX($L$2:$L$1001,MATCH(ROWS($J$2:J476),$J$2:$J$1001,0),0), INDEX($Q$1004:$U$1004,1,MATCH(COLUMNS($Q$1006:U1006),$Q$1006:$U$1006,0)))),"Fix")))</f>
        <v xml:space="preserve"> </v>
      </c>
      <c r="J476">
        <v>475</v>
      </c>
      <c r="K476">
        <v>100476</v>
      </c>
      <c r="L476">
        <v>476</v>
      </c>
      <c r="M476" t="b">
        <f t="shared" si="7"/>
        <v>1</v>
      </c>
      <c r="N476" t="b">
        <f>COUNTBLANK(metadata!B476:F476)=COLUMNS(metadata!B476:F476)</f>
        <v>1</v>
      </c>
      <c r="O476" t="str">
        <v/>
      </c>
      <c r="Q476" t="b">
        <f ca="1">AND(IF(metadata!B476="",FALSE,TRUE),COUNTIF(metadata!B:B, metadata!B476) = 1,NOT(ISERROR(SUMPRODUCT(SEARCH(MID(metadata!B476,ROW(INDIRECT("1:"&amp;LEN(metadata!B476))), 1),"0123456789abcdefghijklmnopqrstuvwxyzABCDEFGHIJKLMNOPQRSTUVWXYZ.")))))</f>
        <v>0</v>
      </c>
      <c r="R476" t="b">
        <f>AND(IF(metadata!C476="",FALSE,TRUE),OR(EXACT(metadata!C476,"saline"),EXACT(metadata!C476,"non-saline")))</f>
        <v>0</v>
      </c>
      <c r="S476" t="b">
        <f>AND(IF(metadata!D476="",FALSE,TRUE),OR(EXACT(metadata!D476,"surface (non-saline)"),EXACT(metadata!D476,"aerosol (non-saline)"),EXACT(metadata!D476,"sediment (non-saline)"),EXACT(metadata!D476,"surface (saline)"),EXACT(metadata!D476,"aerosol (saline)"),EXACT(metadata!D476,"sediment (saline)")))</f>
        <v>0</v>
      </c>
      <c r="T476" t="b">
        <f>AND(IF(metadata!E476="",FALSE,TRUE),EXACT(metadata!E476,"built environment"))</f>
        <v>0</v>
      </c>
      <c r="U476" t="b">
        <f>OR(AND(IF(metadata!F476="",FALSE,TRUE),EXACT(metadata!F476,"not applicable")),AND(IF(metadata!F476="",FALSE,TRUE),EXACT(metadata!F476,"anaerobic digester content")))</f>
        <v>0</v>
      </c>
    </row>
    <row r="477" spans="1:21" x14ac:dyDescent="0.2">
      <c r="A477" s="4" t="str">
        <f ca="1">IF(B477=" "," ",HYPERLINK(CONCATENATE("#metadata!",ADDRESS(INDEX($L$2:$L$1001,MATCH(ROWS($J$2:J477),$J$2:$J$1001,0),0),1)),INDEX($O$2:$O$1001,MATCH(ROWS($J$2:J477),$J$2:$J$1001,0),0)))</f>
        <v xml:space="preserve"> </v>
      </c>
      <c r="B477" s="3" t="str">
        <f ca="1">IF(OR(INDEX($K$2:$K$1001,MATCH(ROWS($J$2:J477),$J$2:$J$1001,0),1)&gt;=100000,INDEX($Q$1005:$U$1005,1,MATCH(COLUMNS($Q$1006:Q1006),$Q$1006:$U$1006,0))&gt;=100000), " ",IF(INDEX($Q$2:$U$1001,MATCH(ROWS($J$2:J477),$J$2:$J$1001,0),MATCH(COLUMNS($Q$1006:Q1006),$Q$1006:$U$1006,0)), HYPERLINK("#",""), HYPERLINK(CONCATENATE("#metadata!", ADDRESS(INDEX($L$2:$L$1001,MATCH(ROWS($J$2:J477),$J$2:$J$1001,0),0), INDEX($Q$1004:$U$1004,1,MATCH(COLUMNS($Q$1006:Q1006),$Q$1006:$U$1006,0)))),"Fix")))</f>
        <v xml:space="preserve"> </v>
      </c>
      <c r="C477" s="3" t="str">
        <f ca="1">IF(OR(INDEX($K$2:$K$1001,MATCH(ROWS($J$2:J477),$J$2:$J$1001,0),1)&gt;=100000,INDEX($Q$1005:$U$1005,1,MATCH(COLUMNS($Q$1006:R1006),$Q$1006:$U$1006,0))&gt;=100000), " ",IF(INDEX($Q$2:$U$1001,MATCH(ROWS($J$2:J477),$J$2:$J$1001,0),MATCH(COLUMNS($Q$1006:R1006),$Q$1006:$U$1006,0)), HYPERLINK("#",""), HYPERLINK(CONCATENATE("#metadata!", ADDRESS(INDEX($L$2:$L$1001,MATCH(ROWS($J$2:J477),$J$2:$J$1001,0),0), INDEX($Q$1004:$U$1004,1,MATCH(COLUMNS($Q$1006:R1006),$Q$1006:$U$1006,0)))),"Fix")))</f>
        <v xml:space="preserve"> </v>
      </c>
      <c r="D477" s="3" t="str">
        <f ca="1">IF(OR(INDEX($K$2:$K$1001,MATCH(ROWS($J$2:J477),$J$2:$J$1001,0),1)&gt;=100000,INDEX($Q$1005:$U$1005,1,MATCH(COLUMNS($Q$1006:S1006),$Q$1006:$U$1006,0))&gt;=100000), " ",IF(INDEX($Q$2:$U$1001,MATCH(ROWS($J$2:J477),$J$2:$J$1001,0),MATCH(COLUMNS($Q$1006:S1006),$Q$1006:$U$1006,0)), HYPERLINK("#",""), HYPERLINK(CONCATENATE("#metadata!", ADDRESS(INDEX($L$2:$L$1001,MATCH(ROWS($J$2:J477),$J$2:$J$1001,0),0), INDEX($Q$1004:$U$1004,1,MATCH(COLUMNS($Q$1006:S1006),$Q$1006:$U$1006,0)))),"Fix")))</f>
        <v xml:space="preserve"> </v>
      </c>
      <c r="E477" s="3" t="str">
        <f ca="1">IF(OR(INDEX($K$2:$K$1001,MATCH(ROWS($J$2:J477),$J$2:$J$1001,0),1)&gt;=100000,INDEX($Q$1005:$U$1005,1,MATCH(COLUMNS($Q$1006:T1006),$Q$1006:$U$1006,0))&gt;=100000), " ",IF(INDEX($Q$2:$U$1001,MATCH(ROWS($J$2:J477),$J$2:$J$1001,0),MATCH(COLUMNS($Q$1006:T1006),$Q$1006:$U$1006,0)), HYPERLINK("#",""), HYPERLINK(CONCATENATE("#metadata!", ADDRESS(INDEX($L$2:$L$1001,MATCH(ROWS($J$2:J477),$J$2:$J$1001,0),0), INDEX($Q$1004:$U$1004,1,MATCH(COLUMNS($Q$1006:T1006),$Q$1006:$U$1006,0)))),"Fix")))</f>
        <v xml:space="preserve"> </v>
      </c>
      <c r="F477" s="3" t="str">
        <f ca="1">IF(OR(INDEX($K$2:$K$1001,MATCH(ROWS($J$2:J477),$J$2:$J$1001,0),1)&gt;=100000,INDEX($Q$1005:$U$1005,1,MATCH(COLUMNS($Q$1006:U1006),$Q$1006:$U$1006,0))&gt;=100000), " ",IF(INDEX($Q$2:$U$1001,MATCH(ROWS($J$2:J477),$J$2:$J$1001,0),MATCH(COLUMNS($Q$1006:U1006),$Q$1006:$U$1006,0)), HYPERLINK("#",""), HYPERLINK(CONCATENATE("#metadata!", ADDRESS(INDEX($L$2:$L$1001,MATCH(ROWS($J$2:J477),$J$2:$J$1001,0),0), INDEX($Q$1004:$U$1004,1,MATCH(COLUMNS($Q$1006:U1006),$Q$1006:$U$1006,0)))),"Fix")))</f>
        <v xml:space="preserve"> </v>
      </c>
      <c r="J477">
        <v>476</v>
      </c>
      <c r="K477">
        <v>100477</v>
      </c>
      <c r="L477">
        <v>477</v>
      </c>
      <c r="M477" t="b">
        <f t="shared" si="7"/>
        <v>1</v>
      </c>
      <c r="N477" t="b">
        <f>COUNTBLANK(metadata!B477:F477)=COLUMNS(metadata!B477:F477)</f>
        <v>1</v>
      </c>
      <c r="O477" t="str">
        <v/>
      </c>
      <c r="Q477" t="b">
        <f ca="1">AND(IF(metadata!B477="",FALSE,TRUE),COUNTIF(metadata!B:B, metadata!B477) = 1,NOT(ISERROR(SUMPRODUCT(SEARCH(MID(metadata!B477,ROW(INDIRECT("1:"&amp;LEN(metadata!B477))), 1),"0123456789abcdefghijklmnopqrstuvwxyzABCDEFGHIJKLMNOPQRSTUVWXYZ.")))))</f>
        <v>0</v>
      </c>
      <c r="R477" t="b">
        <f>AND(IF(metadata!C477="",FALSE,TRUE),OR(EXACT(metadata!C477,"saline"),EXACT(metadata!C477,"non-saline")))</f>
        <v>0</v>
      </c>
      <c r="S477" t="b">
        <f>AND(IF(metadata!D477="",FALSE,TRUE),OR(EXACT(metadata!D477,"surface (non-saline)"),EXACT(metadata!D477,"aerosol (non-saline)"),EXACT(metadata!D477,"sediment (non-saline)"),EXACT(metadata!D477,"surface (saline)"),EXACT(metadata!D477,"aerosol (saline)"),EXACT(metadata!D477,"sediment (saline)")))</f>
        <v>0</v>
      </c>
      <c r="T477" t="b">
        <f>AND(IF(metadata!E477="",FALSE,TRUE),EXACT(metadata!E477,"built environment"))</f>
        <v>0</v>
      </c>
      <c r="U477" t="b">
        <f>OR(AND(IF(metadata!F477="",FALSE,TRUE),EXACT(metadata!F477,"not applicable")),AND(IF(metadata!F477="",FALSE,TRUE),EXACT(metadata!F477,"anaerobic digester content")))</f>
        <v>0</v>
      </c>
    </row>
    <row r="478" spans="1:21" x14ac:dyDescent="0.2">
      <c r="A478" s="4" t="str">
        <f ca="1">IF(B478=" "," ",HYPERLINK(CONCATENATE("#metadata!",ADDRESS(INDEX($L$2:$L$1001,MATCH(ROWS($J$2:J478),$J$2:$J$1001,0),0),1)),INDEX($O$2:$O$1001,MATCH(ROWS($J$2:J478),$J$2:$J$1001,0),0)))</f>
        <v xml:space="preserve"> </v>
      </c>
      <c r="B478" s="3" t="str">
        <f ca="1">IF(OR(INDEX($K$2:$K$1001,MATCH(ROWS($J$2:J478),$J$2:$J$1001,0),1)&gt;=100000,INDEX($Q$1005:$U$1005,1,MATCH(COLUMNS($Q$1006:Q1006),$Q$1006:$U$1006,0))&gt;=100000), " ",IF(INDEX($Q$2:$U$1001,MATCH(ROWS($J$2:J478),$J$2:$J$1001,0),MATCH(COLUMNS($Q$1006:Q1006),$Q$1006:$U$1006,0)), HYPERLINK("#",""), HYPERLINK(CONCATENATE("#metadata!", ADDRESS(INDEX($L$2:$L$1001,MATCH(ROWS($J$2:J478),$J$2:$J$1001,0),0), INDEX($Q$1004:$U$1004,1,MATCH(COLUMNS($Q$1006:Q1006),$Q$1006:$U$1006,0)))),"Fix")))</f>
        <v xml:space="preserve"> </v>
      </c>
      <c r="C478" s="3" t="str">
        <f ca="1">IF(OR(INDEX($K$2:$K$1001,MATCH(ROWS($J$2:J478),$J$2:$J$1001,0),1)&gt;=100000,INDEX($Q$1005:$U$1005,1,MATCH(COLUMNS($Q$1006:R1006),$Q$1006:$U$1006,0))&gt;=100000), " ",IF(INDEX($Q$2:$U$1001,MATCH(ROWS($J$2:J478),$J$2:$J$1001,0),MATCH(COLUMNS($Q$1006:R1006),$Q$1006:$U$1006,0)), HYPERLINK("#",""), HYPERLINK(CONCATENATE("#metadata!", ADDRESS(INDEX($L$2:$L$1001,MATCH(ROWS($J$2:J478),$J$2:$J$1001,0),0), INDEX($Q$1004:$U$1004,1,MATCH(COLUMNS($Q$1006:R1006),$Q$1006:$U$1006,0)))),"Fix")))</f>
        <v xml:space="preserve"> </v>
      </c>
      <c r="D478" s="3" t="str">
        <f ca="1">IF(OR(INDEX($K$2:$K$1001,MATCH(ROWS($J$2:J478),$J$2:$J$1001,0),1)&gt;=100000,INDEX($Q$1005:$U$1005,1,MATCH(COLUMNS($Q$1006:S1006),$Q$1006:$U$1006,0))&gt;=100000), " ",IF(INDEX($Q$2:$U$1001,MATCH(ROWS($J$2:J478),$J$2:$J$1001,0),MATCH(COLUMNS($Q$1006:S1006),$Q$1006:$U$1006,0)), HYPERLINK("#",""), HYPERLINK(CONCATENATE("#metadata!", ADDRESS(INDEX($L$2:$L$1001,MATCH(ROWS($J$2:J478),$J$2:$J$1001,0),0), INDEX($Q$1004:$U$1004,1,MATCH(COLUMNS($Q$1006:S1006),$Q$1006:$U$1006,0)))),"Fix")))</f>
        <v xml:space="preserve"> </v>
      </c>
      <c r="E478" s="3" t="str">
        <f ca="1">IF(OR(INDEX($K$2:$K$1001,MATCH(ROWS($J$2:J478),$J$2:$J$1001,0),1)&gt;=100000,INDEX($Q$1005:$U$1005,1,MATCH(COLUMNS($Q$1006:T1006),$Q$1006:$U$1006,0))&gt;=100000), " ",IF(INDEX($Q$2:$U$1001,MATCH(ROWS($J$2:J478),$J$2:$J$1001,0),MATCH(COLUMNS($Q$1006:T1006),$Q$1006:$U$1006,0)), HYPERLINK("#",""), HYPERLINK(CONCATENATE("#metadata!", ADDRESS(INDEX($L$2:$L$1001,MATCH(ROWS($J$2:J478),$J$2:$J$1001,0),0), INDEX($Q$1004:$U$1004,1,MATCH(COLUMNS($Q$1006:T1006),$Q$1006:$U$1006,0)))),"Fix")))</f>
        <v xml:space="preserve"> </v>
      </c>
      <c r="F478" s="3" t="str">
        <f ca="1">IF(OR(INDEX($K$2:$K$1001,MATCH(ROWS($J$2:J478),$J$2:$J$1001,0),1)&gt;=100000,INDEX($Q$1005:$U$1005,1,MATCH(COLUMNS($Q$1006:U1006),$Q$1006:$U$1006,0))&gt;=100000), " ",IF(INDEX($Q$2:$U$1001,MATCH(ROWS($J$2:J478),$J$2:$J$1001,0),MATCH(COLUMNS($Q$1006:U1006),$Q$1006:$U$1006,0)), HYPERLINK("#",""), HYPERLINK(CONCATENATE("#metadata!", ADDRESS(INDEX($L$2:$L$1001,MATCH(ROWS($J$2:J478),$J$2:$J$1001,0),0), INDEX($Q$1004:$U$1004,1,MATCH(COLUMNS($Q$1006:U1006),$Q$1006:$U$1006,0)))),"Fix")))</f>
        <v xml:space="preserve"> </v>
      </c>
      <c r="J478">
        <v>477</v>
      </c>
      <c r="K478">
        <v>100478</v>
      </c>
      <c r="L478">
        <v>478</v>
      </c>
      <c r="M478" t="b">
        <f t="shared" si="7"/>
        <v>1</v>
      </c>
      <c r="N478" t="b">
        <f>COUNTBLANK(metadata!B478:F478)=COLUMNS(metadata!B478:F478)</f>
        <v>1</v>
      </c>
      <c r="O478" t="str">
        <v/>
      </c>
      <c r="Q478" t="b">
        <f ca="1">AND(IF(metadata!B478="",FALSE,TRUE),COUNTIF(metadata!B:B, metadata!B478) = 1,NOT(ISERROR(SUMPRODUCT(SEARCH(MID(metadata!B478,ROW(INDIRECT("1:"&amp;LEN(metadata!B478))), 1),"0123456789abcdefghijklmnopqrstuvwxyzABCDEFGHIJKLMNOPQRSTUVWXYZ.")))))</f>
        <v>0</v>
      </c>
      <c r="R478" t="b">
        <f>AND(IF(metadata!C478="",FALSE,TRUE),OR(EXACT(metadata!C478,"saline"),EXACT(metadata!C478,"non-saline")))</f>
        <v>0</v>
      </c>
      <c r="S478" t="b">
        <f>AND(IF(metadata!D478="",FALSE,TRUE),OR(EXACT(metadata!D478,"surface (non-saline)"),EXACT(metadata!D478,"aerosol (non-saline)"),EXACT(metadata!D478,"sediment (non-saline)"),EXACT(metadata!D478,"surface (saline)"),EXACT(metadata!D478,"aerosol (saline)"),EXACT(metadata!D478,"sediment (saline)")))</f>
        <v>0</v>
      </c>
      <c r="T478" t="b">
        <f>AND(IF(metadata!E478="",FALSE,TRUE),EXACT(metadata!E478,"built environment"))</f>
        <v>0</v>
      </c>
      <c r="U478" t="b">
        <f>OR(AND(IF(metadata!F478="",FALSE,TRUE),EXACT(metadata!F478,"not applicable")),AND(IF(metadata!F478="",FALSE,TRUE),EXACT(metadata!F478,"anaerobic digester content")))</f>
        <v>0</v>
      </c>
    </row>
    <row r="479" spans="1:21" x14ac:dyDescent="0.2">
      <c r="A479" s="4" t="str">
        <f ca="1">IF(B479=" "," ",HYPERLINK(CONCATENATE("#metadata!",ADDRESS(INDEX($L$2:$L$1001,MATCH(ROWS($J$2:J479),$J$2:$J$1001,0),0),1)),INDEX($O$2:$O$1001,MATCH(ROWS($J$2:J479),$J$2:$J$1001,0),0)))</f>
        <v xml:space="preserve"> </v>
      </c>
      <c r="B479" s="3" t="str">
        <f ca="1">IF(OR(INDEX($K$2:$K$1001,MATCH(ROWS($J$2:J479),$J$2:$J$1001,0),1)&gt;=100000,INDEX($Q$1005:$U$1005,1,MATCH(COLUMNS($Q$1006:Q1006),$Q$1006:$U$1006,0))&gt;=100000), " ",IF(INDEX($Q$2:$U$1001,MATCH(ROWS($J$2:J479),$J$2:$J$1001,0),MATCH(COLUMNS($Q$1006:Q1006),$Q$1006:$U$1006,0)), HYPERLINK("#",""), HYPERLINK(CONCATENATE("#metadata!", ADDRESS(INDEX($L$2:$L$1001,MATCH(ROWS($J$2:J479),$J$2:$J$1001,0),0), INDEX($Q$1004:$U$1004,1,MATCH(COLUMNS($Q$1006:Q1006),$Q$1006:$U$1006,0)))),"Fix")))</f>
        <v xml:space="preserve"> </v>
      </c>
      <c r="C479" s="3" t="str">
        <f ca="1">IF(OR(INDEX($K$2:$K$1001,MATCH(ROWS($J$2:J479),$J$2:$J$1001,0),1)&gt;=100000,INDEX($Q$1005:$U$1005,1,MATCH(COLUMNS($Q$1006:R1006),$Q$1006:$U$1006,0))&gt;=100000), " ",IF(INDEX($Q$2:$U$1001,MATCH(ROWS($J$2:J479),$J$2:$J$1001,0),MATCH(COLUMNS($Q$1006:R1006),$Q$1006:$U$1006,0)), HYPERLINK("#",""), HYPERLINK(CONCATENATE("#metadata!", ADDRESS(INDEX($L$2:$L$1001,MATCH(ROWS($J$2:J479),$J$2:$J$1001,0),0), INDEX($Q$1004:$U$1004,1,MATCH(COLUMNS($Q$1006:R1006),$Q$1006:$U$1006,0)))),"Fix")))</f>
        <v xml:space="preserve"> </v>
      </c>
      <c r="D479" s="3" t="str">
        <f ca="1">IF(OR(INDEX($K$2:$K$1001,MATCH(ROWS($J$2:J479),$J$2:$J$1001,0),1)&gt;=100000,INDEX($Q$1005:$U$1005,1,MATCH(COLUMNS($Q$1006:S1006),$Q$1006:$U$1006,0))&gt;=100000), " ",IF(INDEX($Q$2:$U$1001,MATCH(ROWS($J$2:J479),$J$2:$J$1001,0),MATCH(COLUMNS($Q$1006:S1006),$Q$1006:$U$1006,0)), HYPERLINK("#",""), HYPERLINK(CONCATENATE("#metadata!", ADDRESS(INDEX($L$2:$L$1001,MATCH(ROWS($J$2:J479),$J$2:$J$1001,0),0), INDEX($Q$1004:$U$1004,1,MATCH(COLUMNS($Q$1006:S1006),$Q$1006:$U$1006,0)))),"Fix")))</f>
        <v xml:space="preserve"> </v>
      </c>
      <c r="E479" s="3" t="str">
        <f ca="1">IF(OR(INDEX($K$2:$K$1001,MATCH(ROWS($J$2:J479),$J$2:$J$1001,0),1)&gt;=100000,INDEX($Q$1005:$U$1005,1,MATCH(COLUMNS($Q$1006:T1006),$Q$1006:$U$1006,0))&gt;=100000), " ",IF(INDEX($Q$2:$U$1001,MATCH(ROWS($J$2:J479),$J$2:$J$1001,0),MATCH(COLUMNS($Q$1006:T1006),$Q$1006:$U$1006,0)), HYPERLINK("#",""), HYPERLINK(CONCATENATE("#metadata!", ADDRESS(INDEX($L$2:$L$1001,MATCH(ROWS($J$2:J479),$J$2:$J$1001,0),0), INDEX($Q$1004:$U$1004,1,MATCH(COLUMNS($Q$1006:T1006),$Q$1006:$U$1006,0)))),"Fix")))</f>
        <v xml:space="preserve"> </v>
      </c>
      <c r="F479" s="3" t="str">
        <f ca="1">IF(OR(INDEX($K$2:$K$1001,MATCH(ROWS($J$2:J479),$J$2:$J$1001,0),1)&gt;=100000,INDEX($Q$1005:$U$1005,1,MATCH(COLUMNS($Q$1006:U1006),$Q$1006:$U$1006,0))&gt;=100000), " ",IF(INDEX($Q$2:$U$1001,MATCH(ROWS($J$2:J479),$J$2:$J$1001,0),MATCH(COLUMNS($Q$1006:U1006),$Q$1006:$U$1006,0)), HYPERLINK("#",""), HYPERLINK(CONCATENATE("#metadata!", ADDRESS(INDEX($L$2:$L$1001,MATCH(ROWS($J$2:J479),$J$2:$J$1001,0),0), INDEX($Q$1004:$U$1004,1,MATCH(COLUMNS($Q$1006:U1006),$Q$1006:$U$1006,0)))),"Fix")))</f>
        <v xml:space="preserve"> </v>
      </c>
      <c r="J479">
        <v>478</v>
      </c>
      <c r="K479">
        <v>100479</v>
      </c>
      <c r="L479">
        <v>479</v>
      </c>
      <c r="M479" t="b">
        <f t="shared" si="7"/>
        <v>1</v>
      </c>
      <c r="N479" t="b">
        <f>COUNTBLANK(metadata!B479:F479)=COLUMNS(metadata!B479:F479)</f>
        <v>1</v>
      </c>
      <c r="O479" t="str">
        <v/>
      </c>
      <c r="Q479" t="b">
        <f ca="1">AND(IF(metadata!B479="",FALSE,TRUE),COUNTIF(metadata!B:B, metadata!B479) = 1,NOT(ISERROR(SUMPRODUCT(SEARCH(MID(metadata!B479,ROW(INDIRECT("1:"&amp;LEN(metadata!B479))), 1),"0123456789abcdefghijklmnopqrstuvwxyzABCDEFGHIJKLMNOPQRSTUVWXYZ.")))))</f>
        <v>0</v>
      </c>
      <c r="R479" t="b">
        <f>AND(IF(metadata!C479="",FALSE,TRUE),OR(EXACT(metadata!C479,"saline"),EXACT(metadata!C479,"non-saline")))</f>
        <v>0</v>
      </c>
      <c r="S479" t="b">
        <f>AND(IF(metadata!D479="",FALSE,TRUE),OR(EXACT(metadata!D479,"surface (non-saline)"),EXACT(metadata!D479,"aerosol (non-saline)"),EXACT(metadata!D479,"sediment (non-saline)"),EXACT(metadata!D479,"surface (saline)"),EXACT(metadata!D479,"aerosol (saline)"),EXACT(metadata!D479,"sediment (saline)")))</f>
        <v>0</v>
      </c>
      <c r="T479" t="b">
        <f>AND(IF(metadata!E479="",FALSE,TRUE),EXACT(metadata!E479,"built environment"))</f>
        <v>0</v>
      </c>
      <c r="U479" t="b">
        <f>OR(AND(IF(metadata!F479="",FALSE,TRUE),EXACT(metadata!F479,"not applicable")),AND(IF(metadata!F479="",FALSE,TRUE),EXACT(metadata!F479,"anaerobic digester content")))</f>
        <v>0</v>
      </c>
    </row>
    <row r="480" spans="1:21" x14ac:dyDescent="0.2">
      <c r="A480" s="4" t="str">
        <f ca="1">IF(B480=" "," ",HYPERLINK(CONCATENATE("#metadata!",ADDRESS(INDEX($L$2:$L$1001,MATCH(ROWS($J$2:J480),$J$2:$J$1001,0),0),1)),INDEX($O$2:$O$1001,MATCH(ROWS($J$2:J480),$J$2:$J$1001,0),0)))</f>
        <v xml:space="preserve"> </v>
      </c>
      <c r="B480" s="3" t="str">
        <f ca="1">IF(OR(INDEX($K$2:$K$1001,MATCH(ROWS($J$2:J480),$J$2:$J$1001,0),1)&gt;=100000,INDEX($Q$1005:$U$1005,1,MATCH(COLUMNS($Q$1006:Q1006),$Q$1006:$U$1006,0))&gt;=100000), " ",IF(INDEX($Q$2:$U$1001,MATCH(ROWS($J$2:J480),$J$2:$J$1001,0),MATCH(COLUMNS($Q$1006:Q1006),$Q$1006:$U$1006,0)), HYPERLINK("#",""), HYPERLINK(CONCATENATE("#metadata!", ADDRESS(INDEX($L$2:$L$1001,MATCH(ROWS($J$2:J480),$J$2:$J$1001,0),0), INDEX($Q$1004:$U$1004,1,MATCH(COLUMNS($Q$1006:Q1006),$Q$1006:$U$1006,0)))),"Fix")))</f>
        <v xml:space="preserve"> </v>
      </c>
      <c r="C480" s="3" t="str">
        <f ca="1">IF(OR(INDEX($K$2:$K$1001,MATCH(ROWS($J$2:J480),$J$2:$J$1001,0),1)&gt;=100000,INDEX($Q$1005:$U$1005,1,MATCH(COLUMNS($Q$1006:R1006),$Q$1006:$U$1006,0))&gt;=100000), " ",IF(INDEX($Q$2:$U$1001,MATCH(ROWS($J$2:J480),$J$2:$J$1001,0),MATCH(COLUMNS($Q$1006:R1006),$Q$1006:$U$1006,0)), HYPERLINK("#",""), HYPERLINK(CONCATENATE("#metadata!", ADDRESS(INDEX($L$2:$L$1001,MATCH(ROWS($J$2:J480),$J$2:$J$1001,0),0), INDEX($Q$1004:$U$1004,1,MATCH(COLUMNS($Q$1006:R1006),$Q$1006:$U$1006,0)))),"Fix")))</f>
        <v xml:space="preserve"> </v>
      </c>
      <c r="D480" s="3" t="str">
        <f ca="1">IF(OR(INDEX($K$2:$K$1001,MATCH(ROWS($J$2:J480),$J$2:$J$1001,0),1)&gt;=100000,INDEX($Q$1005:$U$1005,1,MATCH(COLUMNS($Q$1006:S1006),$Q$1006:$U$1006,0))&gt;=100000), " ",IF(INDEX($Q$2:$U$1001,MATCH(ROWS($J$2:J480),$J$2:$J$1001,0),MATCH(COLUMNS($Q$1006:S1006),$Q$1006:$U$1006,0)), HYPERLINK("#",""), HYPERLINK(CONCATENATE("#metadata!", ADDRESS(INDEX($L$2:$L$1001,MATCH(ROWS($J$2:J480),$J$2:$J$1001,0),0), INDEX($Q$1004:$U$1004,1,MATCH(COLUMNS($Q$1006:S1006),$Q$1006:$U$1006,0)))),"Fix")))</f>
        <v xml:space="preserve"> </v>
      </c>
      <c r="E480" s="3" t="str">
        <f ca="1">IF(OR(INDEX($K$2:$K$1001,MATCH(ROWS($J$2:J480),$J$2:$J$1001,0),1)&gt;=100000,INDEX($Q$1005:$U$1005,1,MATCH(COLUMNS($Q$1006:T1006),$Q$1006:$U$1006,0))&gt;=100000), " ",IF(INDEX($Q$2:$U$1001,MATCH(ROWS($J$2:J480),$J$2:$J$1001,0),MATCH(COLUMNS($Q$1006:T1006),$Q$1006:$U$1006,0)), HYPERLINK("#",""), HYPERLINK(CONCATENATE("#metadata!", ADDRESS(INDEX($L$2:$L$1001,MATCH(ROWS($J$2:J480),$J$2:$J$1001,0),0), INDEX($Q$1004:$U$1004,1,MATCH(COLUMNS($Q$1006:T1006),$Q$1006:$U$1006,0)))),"Fix")))</f>
        <v xml:space="preserve"> </v>
      </c>
      <c r="F480" s="3" t="str">
        <f ca="1">IF(OR(INDEX($K$2:$K$1001,MATCH(ROWS($J$2:J480),$J$2:$J$1001,0),1)&gt;=100000,INDEX($Q$1005:$U$1005,1,MATCH(COLUMNS($Q$1006:U1006),$Q$1006:$U$1006,0))&gt;=100000), " ",IF(INDEX($Q$2:$U$1001,MATCH(ROWS($J$2:J480),$J$2:$J$1001,0),MATCH(COLUMNS($Q$1006:U1006),$Q$1006:$U$1006,0)), HYPERLINK("#",""), HYPERLINK(CONCATENATE("#metadata!", ADDRESS(INDEX($L$2:$L$1001,MATCH(ROWS($J$2:J480),$J$2:$J$1001,0),0), INDEX($Q$1004:$U$1004,1,MATCH(COLUMNS($Q$1006:U1006),$Q$1006:$U$1006,0)))),"Fix")))</f>
        <v xml:space="preserve"> </v>
      </c>
      <c r="J480">
        <v>479</v>
      </c>
      <c r="K480">
        <v>100480</v>
      </c>
      <c r="L480">
        <v>480</v>
      </c>
      <c r="M480" t="b">
        <f t="shared" si="7"/>
        <v>1</v>
      </c>
      <c r="N480" t="b">
        <f>COUNTBLANK(metadata!B480:F480)=COLUMNS(metadata!B480:F480)</f>
        <v>1</v>
      </c>
      <c r="O480" t="str">
        <v/>
      </c>
      <c r="Q480" t="b">
        <f ca="1">AND(IF(metadata!B480="",FALSE,TRUE),COUNTIF(metadata!B:B, metadata!B480) = 1,NOT(ISERROR(SUMPRODUCT(SEARCH(MID(metadata!B480,ROW(INDIRECT("1:"&amp;LEN(metadata!B480))), 1),"0123456789abcdefghijklmnopqrstuvwxyzABCDEFGHIJKLMNOPQRSTUVWXYZ.")))))</f>
        <v>0</v>
      </c>
      <c r="R480" t="b">
        <f>AND(IF(metadata!C480="",FALSE,TRUE),OR(EXACT(metadata!C480,"saline"),EXACT(metadata!C480,"non-saline")))</f>
        <v>0</v>
      </c>
      <c r="S480" t="b">
        <f>AND(IF(metadata!D480="",FALSE,TRUE),OR(EXACT(metadata!D480,"surface (non-saline)"),EXACT(metadata!D480,"aerosol (non-saline)"),EXACT(metadata!D480,"sediment (non-saline)"),EXACT(metadata!D480,"surface (saline)"),EXACT(metadata!D480,"aerosol (saline)"),EXACT(metadata!D480,"sediment (saline)")))</f>
        <v>0</v>
      </c>
      <c r="T480" t="b">
        <f>AND(IF(metadata!E480="",FALSE,TRUE),EXACT(metadata!E480,"built environment"))</f>
        <v>0</v>
      </c>
      <c r="U480" t="b">
        <f>OR(AND(IF(metadata!F480="",FALSE,TRUE),EXACT(metadata!F480,"not applicable")),AND(IF(metadata!F480="",FALSE,TRUE),EXACT(metadata!F480,"anaerobic digester content")))</f>
        <v>0</v>
      </c>
    </row>
    <row r="481" spans="1:21" x14ac:dyDescent="0.2">
      <c r="A481" s="4" t="str">
        <f ca="1">IF(B481=" "," ",HYPERLINK(CONCATENATE("#metadata!",ADDRESS(INDEX($L$2:$L$1001,MATCH(ROWS($J$2:J481),$J$2:$J$1001,0),0),1)),INDEX($O$2:$O$1001,MATCH(ROWS($J$2:J481),$J$2:$J$1001,0),0)))</f>
        <v xml:space="preserve"> </v>
      </c>
      <c r="B481" s="3" t="str">
        <f ca="1">IF(OR(INDEX($K$2:$K$1001,MATCH(ROWS($J$2:J481),$J$2:$J$1001,0),1)&gt;=100000,INDEX($Q$1005:$U$1005,1,MATCH(COLUMNS($Q$1006:Q1006),$Q$1006:$U$1006,0))&gt;=100000), " ",IF(INDEX($Q$2:$U$1001,MATCH(ROWS($J$2:J481),$J$2:$J$1001,0),MATCH(COLUMNS($Q$1006:Q1006),$Q$1006:$U$1006,0)), HYPERLINK("#",""), HYPERLINK(CONCATENATE("#metadata!", ADDRESS(INDEX($L$2:$L$1001,MATCH(ROWS($J$2:J481),$J$2:$J$1001,0),0), INDEX($Q$1004:$U$1004,1,MATCH(COLUMNS($Q$1006:Q1006),$Q$1006:$U$1006,0)))),"Fix")))</f>
        <v xml:space="preserve"> </v>
      </c>
      <c r="C481" s="3" t="str">
        <f ca="1">IF(OR(INDEX($K$2:$K$1001,MATCH(ROWS($J$2:J481),$J$2:$J$1001,0),1)&gt;=100000,INDEX($Q$1005:$U$1005,1,MATCH(COLUMNS($Q$1006:R1006),$Q$1006:$U$1006,0))&gt;=100000), " ",IF(INDEX($Q$2:$U$1001,MATCH(ROWS($J$2:J481),$J$2:$J$1001,0),MATCH(COLUMNS($Q$1006:R1006),$Q$1006:$U$1006,0)), HYPERLINK("#",""), HYPERLINK(CONCATENATE("#metadata!", ADDRESS(INDEX($L$2:$L$1001,MATCH(ROWS($J$2:J481),$J$2:$J$1001,0),0), INDEX($Q$1004:$U$1004,1,MATCH(COLUMNS($Q$1006:R1006),$Q$1006:$U$1006,0)))),"Fix")))</f>
        <v xml:space="preserve"> </v>
      </c>
      <c r="D481" s="3" t="str">
        <f ca="1">IF(OR(INDEX($K$2:$K$1001,MATCH(ROWS($J$2:J481),$J$2:$J$1001,0),1)&gt;=100000,INDEX($Q$1005:$U$1005,1,MATCH(COLUMNS($Q$1006:S1006),$Q$1006:$U$1006,0))&gt;=100000), " ",IF(INDEX($Q$2:$U$1001,MATCH(ROWS($J$2:J481),$J$2:$J$1001,0),MATCH(COLUMNS($Q$1006:S1006),$Q$1006:$U$1006,0)), HYPERLINK("#",""), HYPERLINK(CONCATENATE("#metadata!", ADDRESS(INDEX($L$2:$L$1001,MATCH(ROWS($J$2:J481),$J$2:$J$1001,0),0), INDEX($Q$1004:$U$1004,1,MATCH(COLUMNS($Q$1006:S1006),$Q$1006:$U$1006,0)))),"Fix")))</f>
        <v xml:space="preserve"> </v>
      </c>
      <c r="E481" s="3" t="str">
        <f ca="1">IF(OR(INDEX($K$2:$K$1001,MATCH(ROWS($J$2:J481),$J$2:$J$1001,0),1)&gt;=100000,INDEX($Q$1005:$U$1005,1,MATCH(COLUMNS($Q$1006:T1006),$Q$1006:$U$1006,0))&gt;=100000), " ",IF(INDEX($Q$2:$U$1001,MATCH(ROWS($J$2:J481),$J$2:$J$1001,0),MATCH(COLUMNS($Q$1006:T1006),$Q$1006:$U$1006,0)), HYPERLINK("#",""), HYPERLINK(CONCATENATE("#metadata!", ADDRESS(INDEX($L$2:$L$1001,MATCH(ROWS($J$2:J481),$J$2:$J$1001,0),0), INDEX($Q$1004:$U$1004,1,MATCH(COLUMNS($Q$1006:T1006),$Q$1006:$U$1006,0)))),"Fix")))</f>
        <v xml:space="preserve"> </v>
      </c>
      <c r="F481" s="3" t="str">
        <f ca="1">IF(OR(INDEX($K$2:$K$1001,MATCH(ROWS($J$2:J481),$J$2:$J$1001,0),1)&gt;=100000,INDEX($Q$1005:$U$1005,1,MATCH(COLUMNS($Q$1006:U1006),$Q$1006:$U$1006,0))&gt;=100000), " ",IF(INDEX($Q$2:$U$1001,MATCH(ROWS($J$2:J481),$J$2:$J$1001,0),MATCH(COLUMNS($Q$1006:U1006),$Q$1006:$U$1006,0)), HYPERLINK("#",""), HYPERLINK(CONCATENATE("#metadata!", ADDRESS(INDEX($L$2:$L$1001,MATCH(ROWS($J$2:J481),$J$2:$J$1001,0),0), INDEX($Q$1004:$U$1004,1,MATCH(COLUMNS($Q$1006:U1006),$Q$1006:$U$1006,0)))),"Fix")))</f>
        <v xml:space="preserve"> </v>
      </c>
      <c r="J481">
        <v>480</v>
      </c>
      <c r="K481">
        <v>100481</v>
      </c>
      <c r="L481">
        <v>481</v>
      </c>
      <c r="M481" t="b">
        <f t="shared" si="7"/>
        <v>1</v>
      </c>
      <c r="N481" t="b">
        <f>COUNTBLANK(metadata!B481:F481)=COLUMNS(metadata!B481:F481)</f>
        <v>1</v>
      </c>
      <c r="O481" t="str">
        <v/>
      </c>
      <c r="Q481" t="b">
        <f ca="1">AND(IF(metadata!B481="",FALSE,TRUE),COUNTIF(metadata!B:B, metadata!B481) = 1,NOT(ISERROR(SUMPRODUCT(SEARCH(MID(metadata!B481,ROW(INDIRECT("1:"&amp;LEN(metadata!B481))), 1),"0123456789abcdefghijklmnopqrstuvwxyzABCDEFGHIJKLMNOPQRSTUVWXYZ.")))))</f>
        <v>0</v>
      </c>
      <c r="R481" t="b">
        <f>AND(IF(metadata!C481="",FALSE,TRUE),OR(EXACT(metadata!C481,"saline"),EXACT(metadata!C481,"non-saline")))</f>
        <v>0</v>
      </c>
      <c r="S481" t="b">
        <f>AND(IF(metadata!D481="",FALSE,TRUE),OR(EXACT(metadata!D481,"surface (non-saline)"),EXACT(metadata!D481,"aerosol (non-saline)"),EXACT(metadata!D481,"sediment (non-saline)"),EXACT(metadata!D481,"surface (saline)"),EXACT(metadata!D481,"aerosol (saline)"),EXACT(metadata!D481,"sediment (saline)")))</f>
        <v>0</v>
      </c>
      <c r="T481" t="b">
        <f>AND(IF(metadata!E481="",FALSE,TRUE),EXACT(metadata!E481,"built environment"))</f>
        <v>0</v>
      </c>
      <c r="U481" t="b">
        <f>OR(AND(IF(metadata!F481="",FALSE,TRUE),EXACT(metadata!F481,"not applicable")),AND(IF(metadata!F481="",FALSE,TRUE),EXACT(metadata!F481,"anaerobic digester content")))</f>
        <v>0</v>
      </c>
    </row>
    <row r="482" spans="1:21" x14ac:dyDescent="0.2">
      <c r="A482" s="4" t="str">
        <f ca="1">IF(B482=" "," ",HYPERLINK(CONCATENATE("#metadata!",ADDRESS(INDEX($L$2:$L$1001,MATCH(ROWS($J$2:J482),$J$2:$J$1001,0),0),1)),INDEX($O$2:$O$1001,MATCH(ROWS($J$2:J482),$J$2:$J$1001,0),0)))</f>
        <v xml:space="preserve"> </v>
      </c>
      <c r="B482" s="3" t="str">
        <f ca="1">IF(OR(INDEX($K$2:$K$1001,MATCH(ROWS($J$2:J482),$J$2:$J$1001,0),1)&gt;=100000,INDEX($Q$1005:$U$1005,1,MATCH(COLUMNS($Q$1006:Q1006),$Q$1006:$U$1006,0))&gt;=100000), " ",IF(INDEX($Q$2:$U$1001,MATCH(ROWS($J$2:J482),$J$2:$J$1001,0),MATCH(COLUMNS($Q$1006:Q1006),$Q$1006:$U$1006,0)), HYPERLINK("#",""), HYPERLINK(CONCATENATE("#metadata!", ADDRESS(INDEX($L$2:$L$1001,MATCH(ROWS($J$2:J482),$J$2:$J$1001,0),0), INDEX($Q$1004:$U$1004,1,MATCH(COLUMNS($Q$1006:Q1006),$Q$1006:$U$1006,0)))),"Fix")))</f>
        <v xml:space="preserve"> </v>
      </c>
      <c r="C482" s="3" t="str">
        <f ca="1">IF(OR(INDEX($K$2:$K$1001,MATCH(ROWS($J$2:J482),$J$2:$J$1001,0),1)&gt;=100000,INDEX($Q$1005:$U$1005,1,MATCH(COLUMNS($Q$1006:R1006),$Q$1006:$U$1006,0))&gt;=100000), " ",IF(INDEX($Q$2:$U$1001,MATCH(ROWS($J$2:J482),$J$2:$J$1001,0),MATCH(COLUMNS($Q$1006:R1006),$Q$1006:$U$1006,0)), HYPERLINK("#",""), HYPERLINK(CONCATENATE("#metadata!", ADDRESS(INDEX($L$2:$L$1001,MATCH(ROWS($J$2:J482),$J$2:$J$1001,0),0), INDEX($Q$1004:$U$1004,1,MATCH(COLUMNS($Q$1006:R1006),$Q$1006:$U$1006,0)))),"Fix")))</f>
        <v xml:space="preserve"> </v>
      </c>
      <c r="D482" s="3" t="str">
        <f ca="1">IF(OR(INDEX($K$2:$K$1001,MATCH(ROWS($J$2:J482),$J$2:$J$1001,0),1)&gt;=100000,INDEX($Q$1005:$U$1005,1,MATCH(COLUMNS($Q$1006:S1006),$Q$1006:$U$1006,0))&gt;=100000), " ",IF(INDEX($Q$2:$U$1001,MATCH(ROWS($J$2:J482),$J$2:$J$1001,0),MATCH(COLUMNS($Q$1006:S1006),$Q$1006:$U$1006,0)), HYPERLINK("#",""), HYPERLINK(CONCATENATE("#metadata!", ADDRESS(INDEX($L$2:$L$1001,MATCH(ROWS($J$2:J482),$J$2:$J$1001,0),0), INDEX($Q$1004:$U$1004,1,MATCH(COLUMNS($Q$1006:S1006),$Q$1006:$U$1006,0)))),"Fix")))</f>
        <v xml:space="preserve"> </v>
      </c>
      <c r="E482" s="3" t="str">
        <f ca="1">IF(OR(INDEX($K$2:$K$1001,MATCH(ROWS($J$2:J482),$J$2:$J$1001,0),1)&gt;=100000,INDEX($Q$1005:$U$1005,1,MATCH(COLUMNS($Q$1006:T1006),$Q$1006:$U$1006,0))&gt;=100000), " ",IF(INDEX($Q$2:$U$1001,MATCH(ROWS($J$2:J482),$J$2:$J$1001,0),MATCH(COLUMNS($Q$1006:T1006),$Q$1006:$U$1006,0)), HYPERLINK("#",""), HYPERLINK(CONCATENATE("#metadata!", ADDRESS(INDEX($L$2:$L$1001,MATCH(ROWS($J$2:J482),$J$2:$J$1001,0),0), INDEX($Q$1004:$U$1004,1,MATCH(COLUMNS($Q$1006:T1006),$Q$1006:$U$1006,0)))),"Fix")))</f>
        <v xml:space="preserve"> </v>
      </c>
      <c r="F482" s="3" t="str">
        <f ca="1">IF(OR(INDEX($K$2:$K$1001,MATCH(ROWS($J$2:J482),$J$2:$J$1001,0),1)&gt;=100000,INDEX($Q$1005:$U$1005,1,MATCH(COLUMNS($Q$1006:U1006),$Q$1006:$U$1006,0))&gt;=100000), " ",IF(INDEX($Q$2:$U$1001,MATCH(ROWS($J$2:J482),$J$2:$J$1001,0),MATCH(COLUMNS($Q$1006:U1006),$Q$1006:$U$1006,0)), HYPERLINK("#",""), HYPERLINK(CONCATENATE("#metadata!", ADDRESS(INDEX($L$2:$L$1001,MATCH(ROWS($J$2:J482),$J$2:$J$1001,0),0), INDEX($Q$1004:$U$1004,1,MATCH(COLUMNS($Q$1006:U1006),$Q$1006:$U$1006,0)))),"Fix")))</f>
        <v xml:space="preserve"> </v>
      </c>
      <c r="J482">
        <v>481</v>
      </c>
      <c r="K482">
        <v>100482</v>
      </c>
      <c r="L482">
        <v>482</v>
      </c>
      <c r="M482" t="b">
        <f t="shared" si="7"/>
        <v>1</v>
      </c>
      <c r="N482" t="b">
        <f>COUNTBLANK(metadata!B482:F482)=COLUMNS(metadata!B482:F482)</f>
        <v>1</v>
      </c>
      <c r="O482" t="str">
        <v/>
      </c>
      <c r="Q482" t="b">
        <f ca="1">AND(IF(metadata!B482="",FALSE,TRUE),COUNTIF(metadata!B:B, metadata!B482) = 1,NOT(ISERROR(SUMPRODUCT(SEARCH(MID(metadata!B482,ROW(INDIRECT("1:"&amp;LEN(metadata!B482))), 1),"0123456789abcdefghijklmnopqrstuvwxyzABCDEFGHIJKLMNOPQRSTUVWXYZ.")))))</f>
        <v>0</v>
      </c>
      <c r="R482" t="b">
        <f>AND(IF(metadata!C482="",FALSE,TRUE),OR(EXACT(metadata!C482,"saline"),EXACT(metadata!C482,"non-saline")))</f>
        <v>0</v>
      </c>
      <c r="S482" t="b">
        <f>AND(IF(metadata!D482="",FALSE,TRUE),OR(EXACT(metadata!D482,"surface (non-saline)"),EXACT(metadata!D482,"aerosol (non-saline)"),EXACT(metadata!D482,"sediment (non-saline)"),EXACT(metadata!D482,"surface (saline)"),EXACT(metadata!D482,"aerosol (saline)"),EXACT(metadata!D482,"sediment (saline)")))</f>
        <v>0</v>
      </c>
      <c r="T482" t="b">
        <f>AND(IF(metadata!E482="",FALSE,TRUE),EXACT(metadata!E482,"built environment"))</f>
        <v>0</v>
      </c>
      <c r="U482" t="b">
        <f>OR(AND(IF(metadata!F482="",FALSE,TRUE),EXACT(metadata!F482,"not applicable")),AND(IF(metadata!F482="",FALSE,TRUE),EXACT(metadata!F482,"anaerobic digester content")))</f>
        <v>0</v>
      </c>
    </row>
    <row r="483" spans="1:21" x14ac:dyDescent="0.2">
      <c r="A483" s="4" t="str">
        <f ca="1">IF(B483=" "," ",HYPERLINK(CONCATENATE("#metadata!",ADDRESS(INDEX($L$2:$L$1001,MATCH(ROWS($J$2:J483),$J$2:$J$1001,0),0),1)),INDEX($O$2:$O$1001,MATCH(ROWS($J$2:J483),$J$2:$J$1001,0),0)))</f>
        <v xml:space="preserve"> </v>
      </c>
      <c r="B483" s="3" t="str">
        <f ca="1">IF(OR(INDEX($K$2:$K$1001,MATCH(ROWS($J$2:J483),$J$2:$J$1001,0),1)&gt;=100000,INDEX($Q$1005:$U$1005,1,MATCH(COLUMNS($Q$1006:Q1006),$Q$1006:$U$1006,0))&gt;=100000), " ",IF(INDEX($Q$2:$U$1001,MATCH(ROWS($J$2:J483),$J$2:$J$1001,0),MATCH(COLUMNS($Q$1006:Q1006),$Q$1006:$U$1006,0)), HYPERLINK("#",""), HYPERLINK(CONCATENATE("#metadata!", ADDRESS(INDEX($L$2:$L$1001,MATCH(ROWS($J$2:J483),$J$2:$J$1001,0),0), INDEX($Q$1004:$U$1004,1,MATCH(COLUMNS($Q$1006:Q1006),$Q$1006:$U$1006,0)))),"Fix")))</f>
        <v xml:space="preserve"> </v>
      </c>
      <c r="C483" s="3" t="str">
        <f ca="1">IF(OR(INDEX($K$2:$K$1001,MATCH(ROWS($J$2:J483),$J$2:$J$1001,0),1)&gt;=100000,INDEX($Q$1005:$U$1005,1,MATCH(COLUMNS($Q$1006:R1006),$Q$1006:$U$1006,0))&gt;=100000), " ",IF(INDEX($Q$2:$U$1001,MATCH(ROWS($J$2:J483),$J$2:$J$1001,0),MATCH(COLUMNS($Q$1006:R1006),$Q$1006:$U$1006,0)), HYPERLINK("#",""), HYPERLINK(CONCATENATE("#metadata!", ADDRESS(INDEX($L$2:$L$1001,MATCH(ROWS($J$2:J483),$J$2:$J$1001,0),0), INDEX($Q$1004:$U$1004,1,MATCH(COLUMNS($Q$1006:R1006),$Q$1006:$U$1006,0)))),"Fix")))</f>
        <v xml:space="preserve"> </v>
      </c>
      <c r="D483" s="3" t="str">
        <f ca="1">IF(OR(INDEX($K$2:$K$1001,MATCH(ROWS($J$2:J483),$J$2:$J$1001,0),1)&gt;=100000,INDEX($Q$1005:$U$1005,1,MATCH(COLUMNS($Q$1006:S1006),$Q$1006:$U$1006,0))&gt;=100000), " ",IF(INDEX($Q$2:$U$1001,MATCH(ROWS($J$2:J483),$J$2:$J$1001,0),MATCH(COLUMNS($Q$1006:S1006),$Q$1006:$U$1006,0)), HYPERLINK("#",""), HYPERLINK(CONCATENATE("#metadata!", ADDRESS(INDEX($L$2:$L$1001,MATCH(ROWS($J$2:J483),$J$2:$J$1001,0),0), INDEX($Q$1004:$U$1004,1,MATCH(COLUMNS($Q$1006:S1006),$Q$1006:$U$1006,0)))),"Fix")))</f>
        <v xml:space="preserve"> </v>
      </c>
      <c r="E483" s="3" t="str">
        <f ca="1">IF(OR(INDEX($K$2:$K$1001,MATCH(ROWS($J$2:J483),$J$2:$J$1001,0),1)&gt;=100000,INDEX($Q$1005:$U$1005,1,MATCH(COLUMNS($Q$1006:T1006),$Q$1006:$U$1006,0))&gt;=100000), " ",IF(INDEX($Q$2:$U$1001,MATCH(ROWS($J$2:J483),$J$2:$J$1001,0),MATCH(COLUMNS($Q$1006:T1006),$Q$1006:$U$1006,0)), HYPERLINK("#",""), HYPERLINK(CONCATENATE("#metadata!", ADDRESS(INDEX($L$2:$L$1001,MATCH(ROWS($J$2:J483),$J$2:$J$1001,0),0), INDEX($Q$1004:$U$1004,1,MATCH(COLUMNS($Q$1006:T1006),$Q$1006:$U$1006,0)))),"Fix")))</f>
        <v xml:space="preserve"> </v>
      </c>
      <c r="F483" s="3" t="str">
        <f ca="1">IF(OR(INDEX($K$2:$K$1001,MATCH(ROWS($J$2:J483),$J$2:$J$1001,0),1)&gt;=100000,INDEX($Q$1005:$U$1005,1,MATCH(COLUMNS($Q$1006:U1006),$Q$1006:$U$1006,0))&gt;=100000), " ",IF(INDEX($Q$2:$U$1001,MATCH(ROWS($J$2:J483),$J$2:$J$1001,0),MATCH(COLUMNS($Q$1006:U1006),$Q$1006:$U$1006,0)), HYPERLINK("#",""), HYPERLINK(CONCATENATE("#metadata!", ADDRESS(INDEX($L$2:$L$1001,MATCH(ROWS($J$2:J483),$J$2:$J$1001,0),0), INDEX($Q$1004:$U$1004,1,MATCH(COLUMNS($Q$1006:U1006),$Q$1006:$U$1006,0)))),"Fix")))</f>
        <v xml:space="preserve"> </v>
      </c>
      <c r="J483">
        <v>482</v>
      </c>
      <c r="K483">
        <v>100483</v>
      </c>
      <c r="L483">
        <v>483</v>
      </c>
      <c r="M483" t="b">
        <f t="shared" si="7"/>
        <v>1</v>
      </c>
      <c r="N483" t="b">
        <f>COUNTBLANK(metadata!B483:F483)=COLUMNS(metadata!B483:F483)</f>
        <v>1</v>
      </c>
      <c r="O483" t="str">
        <v/>
      </c>
      <c r="Q483" t="b">
        <f ca="1">AND(IF(metadata!B483="",FALSE,TRUE),COUNTIF(metadata!B:B, metadata!B483) = 1,NOT(ISERROR(SUMPRODUCT(SEARCH(MID(metadata!B483,ROW(INDIRECT("1:"&amp;LEN(metadata!B483))), 1),"0123456789abcdefghijklmnopqrstuvwxyzABCDEFGHIJKLMNOPQRSTUVWXYZ.")))))</f>
        <v>0</v>
      </c>
      <c r="R483" t="b">
        <f>AND(IF(metadata!C483="",FALSE,TRUE),OR(EXACT(metadata!C483,"saline"),EXACT(metadata!C483,"non-saline")))</f>
        <v>0</v>
      </c>
      <c r="S483" t="b">
        <f>AND(IF(metadata!D483="",FALSE,TRUE),OR(EXACT(metadata!D483,"surface (non-saline)"),EXACT(metadata!D483,"aerosol (non-saline)"),EXACT(metadata!D483,"sediment (non-saline)"),EXACT(metadata!D483,"surface (saline)"),EXACT(metadata!D483,"aerosol (saline)"),EXACT(metadata!D483,"sediment (saline)")))</f>
        <v>0</v>
      </c>
      <c r="T483" t="b">
        <f>AND(IF(metadata!E483="",FALSE,TRUE),EXACT(metadata!E483,"built environment"))</f>
        <v>0</v>
      </c>
      <c r="U483" t="b">
        <f>OR(AND(IF(metadata!F483="",FALSE,TRUE),EXACT(metadata!F483,"not applicable")),AND(IF(metadata!F483="",FALSE,TRUE),EXACT(metadata!F483,"anaerobic digester content")))</f>
        <v>0</v>
      </c>
    </row>
    <row r="484" spans="1:21" x14ac:dyDescent="0.2">
      <c r="A484" s="4" t="str">
        <f ca="1">IF(B484=" "," ",HYPERLINK(CONCATENATE("#metadata!",ADDRESS(INDEX($L$2:$L$1001,MATCH(ROWS($J$2:J484),$J$2:$J$1001,0),0),1)),INDEX($O$2:$O$1001,MATCH(ROWS($J$2:J484),$J$2:$J$1001,0),0)))</f>
        <v xml:space="preserve"> </v>
      </c>
      <c r="B484" s="3" t="str">
        <f ca="1">IF(OR(INDEX($K$2:$K$1001,MATCH(ROWS($J$2:J484),$J$2:$J$1001,0),1)&gt;=100000,INDEX($Q$1005:$U$1005,1,MATCH(COLUMNS($Q$1006:Q1006),$Q$1006:$U$1006,0))&gt;=100000), " ",IF(INDEX($Q$2:$U$1001,MATCH(ROWS($J$2:J484),$J$2:$J$1001,0),MATCH(COLUMNS($Q$1006:Q1006),$Q$1006:$U$1006,0)), HYPERLINK("#",""), HYPERLINK(CONCATENATE("#metadata!", ADDRESS(INDEX($L$2:$L$1001,MATCH(ROWS($J$2:J484),$J$2:$J$1001,0),0), INDEX($Q$1004:$U$1004,1,MATCH(COLUMNS($Q$1006:Q1006),$Q$1006:$U$1006,0)))),"Fix")))</f>
        <v xml:space="preserve"> </v>
      </c>
      <c r="C484" s="3" t="str">
        <f ca="1">IF(OR(INDEX($K$2:$K$1001,MATCH(ROWS($J$2:J484),$J$2:$J$1001,0),1)&gt;=100000,INDEX($Q$1005:$U$1005,1,MATCH(COLUMNS($Q$1006:R1006),$Q$1006:$U$1006,0))&gt;=100000), " ",IF(INDEX($Q$2:$U$1001,MATCH(ROWS($J$2:J484),$J$2:$J$1001,0),MATCH(COLUMNS($Q$1006:R1006),$Q$1006:$U$1006,0)), HYPERLINK("#",""), HYPERLINK(CONCATENATE("#metadata!", ADDRESS(INDEX($L$2:$L$1001,MATCH(ROWS($J$2:J484),$J$2:$J$1001,0),0), INDEX($Q$1004:$U$1004,1,MATCH(COLUMNS($Q$1006:R1006),$Q$1006:$U$1006,0)))),"Fix")))</f>
        <v xml:space="preserve"> </v>
      </c>
      <c r="D484" s="3" t="str">
        <f ca="1">IF(OR(INDEX($K$2:$K$1001,MATCH(ROWS($J$2:J484),$J$2:$J$1001,0),1)&gt;=100000,INDEX($Q$1005:$U$1005,1,MATCH(COLUMNS($Q$1006:S1006),$Q$1006:$U$1006,0))&gt;=100000), " ",IF(INDEX($Q$2:$U$1001,MATCH(ROWS($J$2:J484),$J$2:$J$1001,0),MATCH(COLUMNS($Q$1006:S1006),$Q$1006:$U$1006,0)), HYPERLINK("#",""), HYPERLINK(CONCATENATE("#metadata!", ADDRESS(INDEX($L$2:$L$1001,MATCH(ROWS($J$2:J484),$J$2:$J$1001,0),0), INDEX($Q$1004:$U$1004,1,MATCH(COLUMNS($Q$1006:S1006),$Q$1006:$U$1006,0)))),"Fix")))</f>
        <v xml:space="preserve"> </v>
      </c>
      <c r="E484" s="3" t="str">
        <f ca="1">IF(OR(INDEX($K$2:$K$1001,MATCH(ROWS($J$2:J484),$J$2:$J$1001,0),1)&gt;=100000,INDEX($Q$1005:$U$1005,1,MATCH(COLUMNS($Q$1006:T1006),$Q$1006:$U$1006,0))&gt;=100000), " ",IF(INDEX($Q$2:$U$1001,MATCH(ROWS($J$2:J484),$J$2:$J$1001,0),MATCH(COLUMNS($Q$1006:T1006),$Q$1006:$U$1006,0)), HYPERLINK("#",""), HYPERLINK(CONCATENATE("#metadata!", ADDRESS(INDEX($L$2:$L$1001,MATCH(ROWS($J$2:J484),$J$2:$J$1001,0),0), INDEX($Q$1004:$U$1004,1,MATCH(COLUMNS($Q$1006:T1006),$Q$1006:$U$1006,0)))),"Fix")))</f>
        <v xml:space="preserve"> </v>
      </c>
      <c r="F484" s="3" t="str">
        <f ca="1">IF(OR(INDEX($K$2:$K$1001,MATCH(ROWS($J$2:J484),$J$2:$J$1001,0),1)&gt;=100000,INDEX($Q$1005:$U$1005,1,MATCH(COLUMNS($Q$1006:U1006),$Q$1006:$U$1006,0))&gt;=100000), " ",IF(INDEX($Q$2:$U$1001,MATCH(ROWS($J$2:J484),$J$2:$J$1001,0),MATCH(COLUMNS($Q$1006:U1006),$Q$1006:$U$1006,0)), HYPERLINK("#",""), HYPERLINK(CONCATENATE("#metadata!", ADDRESS(INDEX($L$2:$L$1001,MATCH(ROWS($J$2:J484),$J$2:$J$1001,0),0), INDEX($Q$1004:$U$1004,1,MATCH(COLUMNS($Q$1006:U1006),$Q$1006:$U$1006,0)))),"Fix")))</f>
        <v xml:space="preserve"> </v>
      </c>
      <c r="J484">
        <v>483</v>
      </c>
      <c r="K484">
        <v>100484</v>
      </c>
      <c r="L484">
        <v>484</v>
      </c>
      <c r="M484" t="b">
        <f t="shared" si="7"/>
        <v>1</v>
      </c>
      <c r="N484" t="b">
        <f>COUNTBLANK(metadata!B484:F484)=COLUMNS(metadata!B484:F484)</f>
        <v>1</v>
      </c>
      <c r="O484" t="str">
        <v/>
      </c>
      <c r="Q484" t="b">
        <f ca="1">AND(IF(metadata!B484="",FALSE,TRUE),COUNTIF(metadata!B:B, metadata!B484) = 1,NOT(ISERROR(SUMPRODUCT(SEARCH(MID(metadata!B484,ROW(INDIRECT("1:"&amp;LEN(metadata!B484))), 1),"0123456789abcdefghijklmnopqrstuvwxyzABCDEFGHIJKLMNOPQRSTUVWXYZ.")))))</f>
        <v>0</v>
      </c>
      <c r="R484" t="b">
        <f>AND(IF(metadata!C484="",FALSE,TRUE),OR(EXACT(metadata!C484,"saline"),EXACT(metadata!C484,"non-saline")))</f>
        <v>0</v>
      </c>
      <c r="S484" t="b">
        <f>AND(IF(metadata!D484="",FALSE,TRUE),OR(EXACT(metadata!D484,"surface (non-saline)"),EXACT(metadata!D484,"aerosol (non-saline)"),EXACT(metadata!D484,"sediment (non-saline)"),EXACT(metadata!D484,"surface (saline)"),EXACT(metadata!D484,"aerosol (saline)"),EXACT(metadata!D484,"sediment (saline)")))</f>
        <v>0</v>
      </c>
      <c r="T484" t="b">
        <f>AND(IF(metadata!E484="",FALSE,TRUE),EXACT(metadata!E484,"built environment"))</f>
        <v>0</v>
      </c>
      <c r="U484" t="b">
        <f>OR(AND(IF(metadata!F484="",FALSE,TRUE),EXACT(metadata!F484,"not applicable")),AND(IF(metadata!F484="",FALSE,TRUE),EXACT(metadata!F484,"anaerobic digester content")))</f>
        <v>0</v>
      </c>
    </row>
    <row r="485" spans="1:21" x14ac:dyDescent="0.2">
      <c r="A485" s="4" t="str">
        <f ca="1">IF(B485=" "," ",HYPERLINK(CONCATENATE("#metadata!",ADDRESS(INDEX($L$2:$L$1001,MATCH(ROWS($J$2:J485),$J$2:$J$1001,0),0),1)),INDEX($O$2:$O$1001,MATCH(ROWS($J$2:J485),$J$2:$J$1001,0),0)))</f>
        <v xml:space="preserve"> </v>
      </c>
      <c r="B485" s="3" t="str">
        <f ca="1">IF(OR(INDEX($K$2:$K$1001,MATCH(ROWS($J$2:J485),$J$2:$J$1001,0),1)&gt;=100000,INDEX($Q$1005:$U$1005,1,MATCH(COLUMNS($Q$1006:Q1006),$Q$1006:$U$1006,0))&gt;=100000), " ",IF(INDEX($Q$2:$U$1001,MATCH(ROWS($J$2:J485),$J$2:$J$1001,0),MATCH(COLUMNS($Q$1006:Q1006),$Q$1006:$U$1006,0)), HYPERLINK("#",""), HYPERLINK(CONCATENATE("#metadata!", ADDRESS(INDEX($L$2:$L$1001,MATCH(ROWS($J$2:J485),$J$2:$J$1001,0),0), INDEX($Q$1004:$U$1004,1,MATCH(COLUMNS($Q$1006:Q1006),$Q$1006:$U$1006,0)))),"Fix")))</f>
        <v xml:space="preserve"> </v>
      </c>
      <c r="C485" s="3" t="str">
        <f ca="1">IF(OR(INDEX($K$2:$K$1001,MATCH(ROWS($J$2:J485),$J$2:$J$1001,0),1)&gt;=100000,INDEX($Q$1005:$U$1005,1,MATCH(COLUMNS($Q$1006:R1006),$Q$1006:$U$1006,0))&gt;=100000), " ",IF(INDEX($Q$2:$U$1001,MATCH(ROWS($J$2:J485),$J$2:$J$1001,0),MATCH(COLUMNS($Q$1006:R1006),$Q$1006:$U$1006,0)), HYPERLINK("#",""), HYPERLINK(CONCATENATE("#metadata!", ADDRESS(INDEX($L$2:$L$1001,MATCH(ROWS($J$2:J485),$J$2:$J$1001,0),0), INDEX($Q$1004:$U$1004,1,MATCH(COLUMNS($Q$1006:R1006),$Q$1006:$U$1006,0)))),"Fix")))</f>
        <v xml:space="preserve"> </v>
      </c>
      <c r="D485" s="3" t="str">
        <f ca="1">IF(OR(INDEX($K$2:$K$1001,MATCH(ROWS($J$2:J485),$J$2:$J$1001,0),1)&gt;=100000,INDEX($Q$1005:$U$1005,1,MATCH(COLUMNS($Q$1006:S1006),$Q$1006:$U$1006,0))&gt;=100000), " ",IF(INDEX($Q$2:$U$1001,MATCH(ROWS($J$2:J485),$J$2:$J$1001,0),MATCH(COLUMNS($Q$1006:S1006),$Q$1006:$U$1006,0)), HYPERLINK("#",""), HYPERLINK(CONCATENATE("#metadata!", ADDRESS(INDEX($L$2:$L$1001,MATCH(ROWS($J$2:J485),$J$2:$J$1001,0),0), INDEX($Q$1004:$U$1004,1,MATCH(COLUMNS($Q$1006:S1006),$Q$1006:$U$1006,0)))),"Fix")))</f>
        <v xml:space="preserve"> </v>
      </c>
      <c r="E485" s="3" t="str">
        <f ca="1">IF(OR(INDEX($K$2:$K$1001,MATCH(ROWS($J$2:J485),$J$2:$J$1001,0),1)&gt;=100000,INDEX($Q$1005:$U$1005,1,MATCH(COLUMNS($Q$1006:T1006),$Q$1006:$U$1006,0))&gt;=100000), " ",IF(INDEX($Q$2:$U$1001,MATCH(ROWS($J$2:J485),$J$2:$J$1001,0),MATCH(COLUMNS($Q$1006:T1006),$Q$1006:$U$1006,0)), HYPERLINK("#",""), HYPERLINK(CONCATENATE("#metadata!", ADDRESS(INDEX($L$2:$L$1001,MATCH(ROWS($J$2:J485),$J$2:$J$1001,0),0), INDEX($Q$1004:$U$1004,1,MATCH(COLUMNS($Q$1006:T1006),$Q$1006:$U$1006,0)))),"Fix")))</f>
        <v xml:space="preserve"> </v>
      </c>
      <c r="F485" s="3" t="str">
        <f ca="1">IF(OR(INDEX($K$2:$K$1001,MATCH(ROWS($J$2:J485),$J$2:$J$1001,0),1)&gt;=100000,INDEX($Q$1005:$U$1005,1,MATCH(COLUMNS($Q$1006:U1006),$Q$1006:$U$1006,0))&gt;=100000), " ",IF(INDEX($Q$2:$U$1001,MATCH(ROWS($J$2:J485),$J$2:$J$1001,0),MATCH(COLUMNS($Q$1006:U1006),$Q$1006:$U$1006,0)), HYPERLINK("#",""), HYPERLINK(CONCATENATE("#metadata!", ADDRESS(INDEX($L$2:$L$1001,MATCH(ROWS($J$2:J485),$J$2:$J$1001,0),0), INDEX($Q$1004:$U$1004,1,MATCH(COLUMNS($Q$1006:U1006),$Q$1006:$U$1006,0)))),"Fix")))</f>
        <v xml:space="preserve"> </v>
      </c>
      <c r="J485">
        <v>484</v>
      </c>
      <c r="K485">
        <v>100485</v>
      </c>
      <c r="L485">
        <v>485</v>
      </c>
      <c r="M485" t="b">
        <f t="shared" si="7"/>
        <v>1</v>
      </c>
      <c r="N485" t="b">
        <f>COUNTBLANK(metadata!B485:F485)=COLUMNS(metadata!B485:F485)</f>
        <v>1</v>
      </c>
      <c r="O485" t="str">
        <v/>
      </c>
      <c r="Q485" t="b">
        <f ca="1">AND(IF(metadata!B485="",FALSE,TRUE),COUNTIF(metadata!B:B, metadata!B485) = 1,NOT(ISERROR(SUMPRODUCT(SEARCH(MID(metadata!B485,ROW(INDIRECT("1:"&amp;LEN(metadata!B485))), 1),"0123456789abcdefghijklmnopqrstuvwxyzABCDEFGHIJKLMNOPQRSTUVWXYZ.")))))</f>
        <v>0</v>
      </c>
      <c r="R485" t="b">
        <f>AND(IF(metadata!C485="",FALSE,TRUE),OR(EXACT(metadata!C485,"saline"),EXACT(metadata!C485,"non-saline")))</f>
        <v>0</v>
      </c>
      <c r="S485" t="b">
        <f>AND(IF(metadata!D485="",FALSE,TRUE),OR(EXACT(metadata!D485,"surface (non-saline)"),EXACT(metadata!D485,"aerosol (non-saline)"),EXACT(metadata!D485,"sediment (non-saline)"),EXACT(metadata!D485,"surface (saline)"),EXACT(metadata!D485,"aerosol (saline)"),EXACT(metadata!D485,"sediment (saline)")))</f>
        <v>0</v>
      </c>
      <c r="T485" t="b">
        <f>AND(IF(metadata!E485="",FALSE,TRUE),EXACT(metadata!E485,"built environment"))</f>
        <v>0</v>
      </c>
      <c r="U485" t="b">
        <f>OR(AND(IF(metadata!F485="",FALSE,TRUE),EXACT(metadata!F485,"not applicable")),AND(IF(metadata!F485="",FALSE,TRUE),EXACT(metadata!F485,"anaerobic digester content")))</f>
        <v>0</v>
      </c>
    </row>
    <row r="486" spans="1:21" x14ac:dyDescent="0.2">
      <c r="A486" s="4" t="str">
        <f ca="1">IF(B486=" "," ",HYPERLINK(CONCATENATE("#metadata!",ADDRESS(INDEX($L$2:$L$1001,MATCH(ROWS($J$2:J486),$J$2:$J$1001,0),0),1)),INDEX($O$2:$O$1001,MATCH(ROWS($J$2:J486),$J$2:$J$1001,0),0)))</f>
        <v xml:space="preserve"> </v>
      </c>
      <c r="B486" s="3" t="str">
        <f ca="1">IF(OR(INDEX($K$2:$K$1001,MATCH(ROWS($J$2:J486),$J$2:$J$1001,0),1)&gt;=100000,INDEX($Q$1005:$U$1005,1,MATCH(COLUMNS($Q$1006:Q1006),$Q$1006:$U$1006,0))&gt;=100000), " ",IF(INDEX($Q$2:$U$1001,MATCH(ROWS($J$2:J486),$J$2:$J$1001,0),MATCH(COLUMNS($Q$1006:Q1006),$Q$1006:$U$1006,0)), HYPERLINK("#",""), HYPERLINK(CONCATENATE("#metadata!", ADDRESS(INDEX($L$2:$L$1001,MATCH(ROWS($J$2:J486),$J$2:$J$1001,0),0), INDEX($Q$1004:$U$1004,1,MATCH(COLUMNS($Q$1006:Q1006),$Q$1006:$U$1006,0)))),"Fix")))</f>
        <v xml:space="preserve"> </v>
      </c>
      <c r="C486" s="3" t="str">
        <f ca="1">IF(OR(INDEX($K$2:$K$1001,MATCH(ROWS($J$2:J486),$J$2:$J$1001,0),1)&gt;=100000,INDEX($Q$1005:$U$1005,1,MATCH(COLUMNS($Q$1006:R1006),$Q$1006:$U$1006,0))&gt;=100000), " ",IF(INDEX($Q$2:$U$1001,MATCH(ROWS($J$2:J486),$J$2:$J$1001,0),MATCH(COLUMNS($Q$1006:R1006),$Q$1006:$U$1006,0)), HYPERLINK("#",""), HYPERLINK(CONCATENATE("#metadata!", ADDRESS(INDEX($L$2:$L$1001,MATCH(ROWS($J$2:J486),$J$2:$J$1001,0),0), INDEX($Q$1004:$U$1004,1,MATCH(COLUMNS($Q$1006:R1006),$Q$1006:$U$1006,0)))),"Fix")))</f>
        <v xml:space="preserve"> </v>
      </c>
      <c r="D486" s="3" t="str">
        <f ca="1">IF(OR(INDEX($K$2:$K$1001,MATCH(ROWS($J$2:J486),$J$2:$J$1001,0),1)&gt;=100000,INDEX($Q$1005:$U$1005,1,MATCH(COLUMNS($Q$1006:S1006),$Q$1006:$U$1006,0))&gt;=100000), " ",IF(INDEX($Q$2:$U$1001,MATCH(ROWS($J$2:J486),$J$2:$J$1001,0),MATCH(COLUMNS($Q$1006:S1006),$Q$1006:$U$1006,0)), HYPERLINK("#",""), HYPERLINK(CONCATENATE("#metadata!", ADDRESS(INDEX($L$2:$L$1001,MATCH(ROWS($J$2:J486),$J$2:$J$1001,0),0), INDEX($Q$1004:$U$1004,1,MATCH(COLUMNS($Q$1006:S1006),$Q$1006:$U$1006,0)))),"Fix")))</f>
        <v xml:space="preserve"> </v>
      </c>
      <c r="E486" s="3" t="str">
        <f ca="1">IF(OR(INDEX($K$2:$K$1001,MATCH(ROWS($J$2:J486),$J$2:$J$1001,0),1)&gt;=100000,INDEX($Q$1005:$U$1005,1,MATCH(COLUMNS($Q$1006:T1006),$Q$1006:$U$1006,0))&gt;=100000), " ",IF(INDEX($Q$2:$U$1001,MATCH(ROWS($J$2:J486),$J$2:$J$1001,0),MATCH(COLUMNS($Q$1006:T1006),$Q$1006:$U$1006,0)), HYPERLINK("#",""), HYPERLINK(CONCATENATE("#metadata!", ADDRESS(INDEX($L$2:$L$1001,MATCH(ROWS($J$2:J486),$J$2:$J$1001,0),0), INDEX($Q$1004:$U$1004,1,MATCH(COLUMNS($Q$1006:T1006),$Q$1006:$U$1006,0)))),"Fix")))</f>
        <v xml:space="preserve"> </v>
      </c>
      <c r="F486" s="3" t="str">
        <f ca="1">IF(OR(INDEX($K$2:$K$1001,MATCH(ROWS($J$2:J486),$J$2:$J$1001,0),1)&gt;=100000,INDEX($Q$1005:$U$1005,1,MATCH(COLUMNS($Q$1006:U1006),$Q$1006:$U$1006,0))&gt;=100000), " ",IF(INDEX($Q$2:$U$1001,MATCH(ROWS($J$2:J486),$J$2:$J$1001,0),MATCH(COLUMNS($Q$1006:U1006),$Q$1006:$U$1006,0)), HYPERLINK("#",""), HYPERLINK(CONCATENATE("#metadata!", ADDRESS(INDEX($L$2:$L$1001,MATCH(ROWS($J$2:J486),$J$2:$J$1001,0),0), INDEX($Q$1004:$U$1004,1,MATCH(COLUMNS($Q$1006:U1006),$Q$1006:$U$1006,0)))),"Fix")))</f>
        <v xml:space="preserve"> </v>
      </c>
      <c r="J486">
        <v>485</v>
      </c>
      <c r="K486">
        <v>100486</v>
      </c>
      <c r="L486">
        <v>486</v>
      </c>
      <c r="M486" t="b">
        <f t="shared" si="7"/>
        <v>1</v>
      </c>
      <c r="N486" t="b">
        <f>COUNTBLANK(metadata!B486:F486)=COLUMNS(metadata!B486:F486)</f>
        <v>1</v>
      </c>
      <c r="O486" t="str">
        <v/>
      </c>
      <c r="Q486" t="b">
        <f ca="1">AND(IF(metadata!B486="",FALSE,TRUE),COUNTIF(metadata!B:B, metadata!B486) = 1,NOT(ISERROR(SUMPRODUCT(SEARCH(MID(metadata!B486,ROW(INDIRECT("1:"&amp;LEN(metadata!B486))), 1),"0123456789abcdefghijklmnopqrstuvwxyzABCDEFGHIJKLMNOPQRSTUVWXYZ.")))))</f>
        <v>0</v>
      </c>
      <c r="R486" t="b">
        <f>AND(IF(metadata!C486="",FALSE,TRUE),OR(EXACT(metadata!C486,"saline"),EXACT(metadata!C486,"non-saline")))</f>
        <v>0</v>
      </c>
      <c r="S486" t="b">
        <f>AND(IF(metadata!D486="",FALSE,TRUE),OR(EXACT(metadata!D486,"surface (non-saline)"),EXACT(metadata!D486,"aerosol (non-saline)"),EXACT(metadata!D486,"sediment (non-saline)"),EXACT(metadata!D486,"surface (saline)"),EXACT(metadata!D486,"aerosol (saline)"),EXACT(metadata!D486,"sediment (saline)")))</f>
        <v>0</v>
      </c>
      <c r="T486" t="b">
        <f>AND(IF(metadata!E486="",FALSE,TRUE),EXACT(metadata!E486,"built environment"))</f>
        <v>0</v>
      </c>
      <c r="U486" t="b">
        <f>OR(AND(IF(metadata!F486="",FALSE,TRUE),EXACT(metadata!F486,"not applicable")),AND(IF(metadata!F486="",FALSE,TRUE),EXACT(metadata!F486,"anaerobic digester content")))</f>
        <v>0</v>
      </c>
    </row>
    <row r="487" spans="1:21" x14ac:dyDescent="0.2">
      <c r="A487" s="4" t="str">
        <f ca="1">IF(B487=" "," ",HYPERLINK(CONCATENATE("#metadata!",ADDRESS(INDEX($L$2:$L$1001,MATCH(ROWS($J$2:J487),$J$2:$J$1001,0),0),1)),INDEX($O$2:$O$1001,MATCH(ROWS($J$2:J487),$J$2:$J$1001,0),0)))</f>
        <v xml:space="preserve"> </v>
      </c>
      <c r="B487" s="3" t="str">
        <f ca="1">IF(OR(INDEX($K$2:$K$1001,MATCH(ROWS($J$2:J487),$J$2:$J$1001,0),1)&gt;=100000,INDEX($Q$1005:$U$1005,1,MATCH(COLUMNS($Q$1006:Q1006),$Q$1006:$U$1006,0))&gt;=100000), " ",IF(INDEX($Q$2:$U$1001,MATCH(ROWS($J$2:J487),$J$2:$J$1001,0),MATCH(COLUMNS($Q$1006:Q1006),$Q$1006:$U$1006,0)), HYPERLINK("#",""), HYPERLINK(CONCATENATE("#metadata!", ADDRESS(INDEX($L$2:$L$1001,MATCH(ROWS($J$2:J487),$J$2:$J$1001,0),0), INDEX($Q$1004:$U$1004,1,MATCH(COLUMNS($Q$1006:Q1006),$Q$1006:$U$1006,0)))),"Fix")))</f>
        <v xml:space="preserve"> </v>
      </c>
      <c r="C487" s="3" t="str">
        <f ca="1">IF(OR(INDEX($K$2:$K$1001,MATCH(ROWS($J$2:J487),$J$2:$J$1001,0),1)&gt;=100000,INDEX($Q$1005:$U$1005,1,MATCH(COLUMNS($Q$1006:R1006),$Q$1006:$U$1006,0))&gt;=100000), " ",IF(INDEX($Q$2:$U$1001,MATCH(ROWS($J$2:J487),$J$2:$J$1001,0),MATCH(COLUMNS($Q$1006:R1006),$Q$1006:$U$1006,0)), HYPERLINK("#",""), HYPERLINK(CONCATENATE("#metadata!", ADDRESS(INDEX($L$2:$L$1001,MATCH(ROWS($J$2:J487),$J$2:$J$1001,0),0), INDEX($Q$1004:$U$1004,1,MATCH(COLUMNS($Q$1006:R1006),$Q$1006:$U$1006,0)))),"Fix")))</f>
        <v xml:space="preserve"> </v>
      </c>
      <c r="D487" s="3" t="str">
        <f ca="1">IF(OR(INDEX($K$2:$K$1001,MATCH(ROWS($J$2:J487),$J$2:$J$1001,0),1)&gt;=100000,INDEX($Q$1005:$U$1005,1,MATCH(COLUMNS($Q$1006:S1006),$Q$1006:$U$1006,0))&gt;=100000), " ",IF(INDEX($Q$2:$U$1001,MATCH(ROWS($J$2:J487),$J$2:$J$1001,0),MATCH(COLUMNS($Q$1006:S1006),$Q$1006:$U$1006,0)), HYPERLINK("#",""), HYPERLINK(CONCATENATE("#metadata!", ADDRESS(INDEX($L$2:$L$1001,MATCH(ROWS($J$2:J487),$J$2:$J$1001,0),0), INDEX($Q$1004:$U$1004,1,MATCH(COLUMNS($Q$1006:S1006),$Q$1006:$U$1006,0)))),"Fix")))</f>
        <v xml:space="preserve"> </v>
      </c>
      <c r="E487" s="3" t="str">
        <f ca="1">IF(OR(INDEX($K$2:$K$1001,MATCH(ROWS($J$2:J487),$J$2:$J$1001,0),1)&gt;=100000,INDEX($Q$1005:$U$1005,1,MATCH(COLUMNS($Q$1006:T1006),$Q$1006:$U$1006,0))&gt;=100000), " ",IF(INDEX($Q$2:$U$1001,MATCH(ROWS($J$2:J487),$J$2:$J$1001,0),MATCH(COLUMNS($Q$1006:T1006),$Q$1006:$U$1006,0)), HYPERLINK("#",""), HYPERLINK(CONCATENATE("#metadata!", ADDRESS(INDEX($L$2:$L$1001,MATCH(ROWS($J$2:J487),$J$2:$J$1001,0),0), INDEX($Q$1004:$U$1004,1,MATCH(COLUMNS($Q$1006:T1006),$Q$1006:$U$1006,0)))),"Fix")))</f>
        <v xml:space="preserve"> </v>
      </c>
      <c r="F487" s="3" t="str">
        <f ca="1">IF(OR(INDEX($K$2:$K$1001,MATCH(ROWS($J$2:J487),$J$2:$J$1001,0),1)&gt;=100000,INDEX($Q$1005:$U$1005,1,MATCH(COLUMNS($Q$1006:U1006),$Q$1006:$U$1006,0))&gt;=100000), " ",IF(INDEX($Q$2:$U$1001,MATCH(ROWS($J$2:J487),$J$2:$J$1001,0),MATCH(COLUMNS($Q$1006:U1006),$Q$1006:$U$1006,0)), HYPERLINK("#",""), HYPERLINK(CONCATENATE("#metadata!", ADDRESS(INDEX($L$2:$L$1001,MATCH(ROWS($J$2:J487),$J$2:$J$1001,0),0), INDEX($Q$1004:$U$1004,1,MATCH(COLUMNS($Q$1006:U1006),$Q$1006:$U$1006,0)))),"Fix")))</f>
        <v xml:space="preserve"> </v>
      </c>
      <c r="J487">
        <v>486</v>
      </c>
      <c r="K487">
        <v>100487</v>
      </c>
      <c r="L487">
        <v>487</v>
      </c>
      <c r="M487" t="b">
        <f t="shared" si="7"/>
        <v>1</v>
      </c>
      <c r="N487" t="b">
        <f>COUNTBLANK(metadata!B487:F487)=COLUMNS(metadata!B487:F487)</f>
        <v>1</v>
      </c>
      <c r="O487" t="str">
        <v/>
      </c>
      <c r="Q487" t="b">
        <f ca="1">AND(IF(metadata!B487="",FALSE,TRUE),COUNTIF(metadata!B:B, metadata!B487) = 1,NOT(ISERROR(SUMPRODUCT(SEARCH(MID(metadata!B487,ROW(INDIRECT("1:"&amp;LEN(metadata!B487))), 1),"0123456789abcdefghijklmnopqrstuvwxyzABCDEFGHIJKLMNOPQRSTUVWXYZ.")))))</f>
        <v>0</v>
      </c>
      <c r="R487" t="b">
        <f>AND(IF(metadata!C487="",FALSE,TRUE),OR(EXACT(metadata!C487,"saline"),EXACT(metadata!C487,"non-saline")))</f>
        <v>0</v>
      </c>
      <c r="S487" t="b">
        <f>AND(IF(metadata!D487="",FALSE,TRUE),OR(EXACT(metadata!D487,"surface (non-saline)"),EXACT(metadata!D487,"aerosol (non-saline)"),EXACT(metadata!D487,"sediment (non-saline)"),EXACT(metadata!D487,"surface (saline)"),EXACT(metadata!D487,"aerosol (saline)"),EXACT(metadata!D487,"sediment (saline)")))</f>
        <v>0</v>
      </c>
      <c r="T487" t="b">
        <f>AND(IF(metadata!E487="",FALSE,TRUE),EXACT(metadata!E487,"built environment"))</f>
        <v>0</v>
      </c>
      <c r="U487" t="b">
        <f>OR(AND(IF(metadata!F487="",FALSE,TRUE),EXACT(metadata!F487,"not applicable")),AND(IF(metadata!F487="",FALSE,TRUE),EXACT(metadata!F487,"anaerobic digester content")))</f>
        <v>0</v>
      </c>
    </row>
    <row r="488" spans="1:21" x14ac:dyDescent="0.2">
      <c r="A488" s="4" t="str">
        <f ca="1">IF(B488=" "," ",HYPERLINK(CONCATENATE("#metadata!",ADDRESS(INDEX($L$2:$L$1001,MATCH(ROWS($J$2:J488),$J$2:$J$1001,0),0),1)),INDEX($O$2:$O$1001,MATCH(ROWS($J$2:J488),$J$2:$J$1001,0),0)))</f>
        <v xml:space="preserve"> </v>
      </c>
      <c r="B488" s="3" t="str">
        <f ca="1">IF(OR(INDEX($K$2:$K$1001,MATCH(ROWS($J$2:J488),$J$2:$J$1001,0),1)&gt;=100000,INDEX($Q$1005:$U$1005,1,MATCH(COLUMNS($Q$1006:Q1006),$Q$1006:$U$1006,0))&gt;=100000), " ",IF(INDEX($Q$2:$U$1001,MATCH(ROWS($J$2:J488),$J$2:$J$1001,0),MATCH(COLUMNS($Q$1006:Q1006),$Q$1006:$U$1006,0)), HYPERLINK("#",""), HYPERLINK(CONCATENATE("#metadata!", ADDRESS(INDEX($L$2:$L$1001,MATCH(ROWS($J$2:J488),$J$2:$J$1001,0),0), INDEX($Q$1004:$U$1004,1,MATCH(COLUMNS($Q$1006:Q1006),$Q$1006:$U$1006,0)))),"Fix")))</f>
        <v xml:space="preserve"> </v>
      </c>
      <c r="C488" s="3" t="str">
        <f ca="1">IF(OR(INDEX($K$2:$K$1001,MATCH(ROWS($J$2:J488),$J$2:$J$1001,0),1)&gt;=100000,INDEX($Q$1005:$U$1005,1,MATCH(COLUMNS($Q$1006:R1006),$Q$1006:$U$1006,0))&gt;=100000), " ",IF(INDEX($Q$2:$U$1001,MATCH(ROWS($J$2:J488),$J$2:$J$1001,0),MATCH(COLUMNS($Q$1006:R1006),$Q$1006:$U$1006,0)), HYPERLINK("#",""), HYPERLINK(CONCATENATE("#metadata!", ADDRESS(INDEX($L$2:$L$1001,MATCH(ROWS($J$2:J488),$J$2:$J$1001,0),0), INDEX($Q$1004:$U$1004,1,MATCH(COLUMNS($Q$1006:R1006),$Q$1006:$U$1006,0)))),"Fix")))</f>
        <v xml:space="preserve"> </v>
      </c>
      <c r="D488" s="3" t="str">
        <f ca="1">IF(OR(INDEX($K$2:$K$1001,MATCH(ROWS($J$2:J488),$J$2:$J$1001,0),1)&gt;=100000,INDEX($Q$1005:$U$1005,1,MATCH(COLUMNS($Q$1006:S1006),$Q$1006:$U$1006,0))&gt;=100000), " ",IF(INDEX($Q$2:$U$1001,MATCH(ROWS($J$2:J488),$J$2:$J$1001,0),MATCH(COLUMNS($Q$1006:S1006),$Q$1006:$U$1006,0)), HYPERLINK("#",""), HYPERLINK(CONCATENATE("#metadata!", ADDRESS(INDEX($L$2:$L$1001,MATCH(ROWS($J$2:J488),$J$2:$J$1001,0),0), INDEX($Q$1004:$U$1004,1,MATCH(COLUMNS($Q$1006:S1006),$Q$1006:$U$1006,0)))),"Fix")))</f>
        <v xml:space="preserve"> </v>
      </c>
      <c r="E488" s="3" t="str">
        <f ca="1">IF(OR(INDEX($K$2:$K$1001,MATCH(ROWS($J$2:J488),$J$2:$J$1001,0),1)&gt;=100000,INDEX($Q$1005:$U$1005,1,MATCH(COLUMNS($Q$1006:T1006),$Q$1006:$U$1006,0))&gt;=100000), " ",IF(INDEX($Q$2:$U$1001,MATCH(ROWS($J$2:J488),$J$2:$J$1001,0),MATCH(COLUMNS($Q$1006:T1006),$Q$1006:$U$1006,0)), HYPERLINK("#",""), HYPERLINK(CONCATENATE("#metadata!", ADDRESS(INDEX($L$2:$L$1001,MATCH(ROWS($J$2:J488),$J$2:$J$1001,0),0), INDEX($Q$1004:$U$1004,1,MATCH(COLUMNS($Q$1006:T1006),$Q$1006:$U$1006,0)))),"Fix")))</f>
        <v xml:space="preserve"> </v>
      </c>
      <c r="F488" s="3" t="str">
        <f ca="1">IF(OR(INDEX($K$2:$K$1001,MATCH(ROWS($J$2:J488),$J$2:$J$1001,0),1)&gt;=100000,INDEX($Q$1005:$U$1005,1,MATCH(COLUMNS($Q$1006:U1006),$Q$1006:$U$1006,0))&gt;=100000), " ",IF(INDEX($Q$2:$U$1001,MATCH(ROWS($J$2:J488),$J$2:$J$1001,0),MATCH(COLUMNS($Q$1006:U1006),$Q$1006:$U$1006,0)), HYPERLINK("#",""), HYPERLINK(CONCATENATE("#metadata!", ADDRESS(INDEX($L$2:$L$1001,MATCH(ROWS($J$2:J488),$J$2:$J$1001,0),0), INDEX($Q$1004:$U$1004,1,MATCH(COLUMNS($Q$1006:U1006),$Q$1006:$U$1006,0)))),"Fix")))</f>
        <v xml:space="preserve"> </v>
      </c>
      <c r="J488">
        <v>487</v>
      </c>
      <c r="K488">
        <v>100488</v>
      </c>
      <c r="L488">
        <v>488</v>
      </c>
      <c r="M488" t="b">
        <f t="shared" si="7"/>
        <v>1</v>
      </c>
      <c r="N488" t="b">
        <f>COUNTBLANK(metadata!B488:F488)=COLUMNS(metadata!B488:F488)</f>
        <v>1</v>
      </c>
      <c r="O488" t="str">
        <v/>
      </c>
      <c r="Q488" t="b">
        <f ca="1">AND(IF(metadata!B488="",FALSE,TRUE),COUNTIF(metadata!B:B, metadata!B488) = 1,NOT(ISERROR(SUMPRODUCT(SEARCH(MID(metadata!B488,ROW(INDIRECT("1:"&amp;LEN(metadata!B488))), 1),"0123456789abcdefghijklmnopqrstuvwxyzABCDEFGHIJKLMNOPQRSTUVWXYZ.")))))</f>
        <v>0</v>
      </c>
      <c r="R488" t="b">
        <f>AND(IF(metadata!C488="",FALSE,TRUE),OR(EXACT(metadata!C488,"saline"),EXACT(metadata!C488,"non-saline")))</f>
        <v>0</v>
      </c>
      <c r="S488" t="b">
        <f>AND(IF(metadata!D488="",FALSE,TRUE),OR(EXACT(metadata!D488,"surface (non-saline)"),EXACT(metadata!D488,"aerosol (non-saline)"),EXACT(metadata!D488,"sediment (non-saline)"),EXACT(metadata!D488,"surface (saline)"),EXACT(metadata!D488,"aerosol (saline)"),EXACT(metadata!D488,"sediment (saline)")))</f>
        <v>0</v>
      </c>
      <c r="T488" t="b">
        <f>AND(IF(metadata!E488="",FALSE,TRUE),EXACT(metadata!E488,"built environment"))</f>
        <v>0</v>
      </c>
      <c r="U488" t="b">
        <f>OR(AND(IF(metadata!F488="",FALSE,TRUE),EXACT(metadata!F488,"not applicable")),AND(IF(metadata!F488="",FALSE,TRUE),EXACT(metadata!F488,"anaerobic digester content")))</f>
        <v>0</v>
      </c>
    </row>
    <row r="489" spans="1:21" x14ac:dyDescent="0.2">
      <c r="A489" s="4" t="str">
        <f ca="1">IF(B489=" "," ",HYPERLINK(CONCATENATE("#metadata!",ADDRESS(INDEX($L$2:$L$1001,MATCH(ROWS($J$2:J489),$J$2:$J$1001,0),0),1)),INDEX($O$2:$O$1001,MATCH(ROWS($J$2:J489),$J$2:$J$1001,0),0)))</f>
        <v xml:space="preserve"> </v>
      </c>
      <c r="B489" s="3" t="str">
        <f ca="1">IF(OR(INDEX($K$2:$K$1001,MATCH(ROWS($J$2:J489),$J$2:$J$1001,0),1)&gt;=100000,INDEX($Q$1005:$U$1005,1,MATCH(COLUMNS($Q$1006:Q1006),$Q$1006:$U$1006,0))&gt;=100000), " ",IF(INDEX($Q$2:$U$1001,MATCH(ROWS($J$2:J489),$J$2:$J$1001,0),MATCH(COLUMNS($Q$1006:Q1006),$Q$1006:$U$1006,0)), HYPERLINK("#",""), HYPERLINK(CONCATENATE("#metadata!", ADDRESS(INDEX($L$2:$L$1001,MATCH(ROWS($J$2:J489),$J$2:$J$1001,0),0), INDEX($Q$1004:$U$1004,1,MATCH(COLUMNS($Q$1006:Q1006),$Q$1006:$U$1006,0)))),"Fix")))</f>
        <v xml:space="preserve"> </v>
      </c>
      <c r="C489" s="3" t="str">
        <f ca="1">IF(OR(INDEX($K$2:$K$1001,MATCH(ROWS($J$2:J489),$J$2:$J$1001,0),1)&gt;=100000,INDEX($Q$1005:$U$1005,1,MATCH(COLUMNS($Q$1006:R1006),$Q$1006:$U$1006,0))&gt;=100000), " ",IF(INDEX($Q$2:$U$1001,MATCH(ROWS($J$2:J489),$J$2:$J$1001,0),MATCH(COLUMNS($Q$1006:R1006),$Q$1006:$U$1006,0)), HYPERLINK("#",""), HYPERLINK(CONCATENATE("#metadata!", ADDRESS(INDEX($L$2:$L$1001,MATCH(ROWS($J$2:J489),$J$2:$J$1001,0),0), INDEX($Q$1004:$U$1004,1,MATCH(COLUMNS($Q$1006:R1006),$Q$1006:$U$1006,0)))),"Fix")))</f>
        <v xml:space="preserve"> </v>
      </c>
      <c r="D489" s="3" t="str">
        <f ca="1">IF(OR(INDEX($K$2:$K$1001,MATCH(ROWS($J$2:J489),$J$2:$J$1001,0),1)&gt;=100000,INDEX($Q$1005:$U$1005,1,MATCH(COLUMNS($Q$1006:S1006),$Q$1006:$U$1006,0))&gt;=100000), " ",IF(INDEX($Q$2:$U$1001,MATCH(ROWS($J$2:J489),$J$2:$J$1001,0),MATCH(COLUMNS($Q$1006:S1006),$Q$1006:$U$1006,0)), HYPERLINK("#",""), HYPERLINK(CONCATENATE("#metadata!", ADDRESS(INDEX($L$2:$L$1001,MATCH(ROWS($J$2:J489),$J$2:$J$1001,0),0), INDEX($Q$1004:$U$1004,1,MATCH(COLUMNS($Q$1006:S1006),$Q$1006:$U$1006,0)))),"Fix")))</f>
        <v xml:space="preserve"> </v>
      </c>
      <c r="E489" s="3" t="str">
        <f ca="1">IF(OR(INDEX($K$2:$K$1001,MATCH(ROWS($J$2:J489),$J$2:$J$1001,0),1)&gt;=100000,INDEX($Q$1005:$U$1005,1,MATCH(COLUMNS($Q$1006:T1006),$Q$1006:$U$1006,0))&gt;=100000), " ",IF(INDEX($Q$2:$U$1001,MATCH(ROWS($J$2:J489),$J$2:$J$1001,0),MATCH(COLUMNS($Q$1006:T1006),$Q$1006:$U$1006,0)), HYPERLINK("#",""), HYPERLINK(CONCATENATE("#metadata!", ADDRESS(INDEX($L$2:$L$1001,MATCH(ROWS($J$2:J489),$J$2:$J$1001,0),0), INDEX($Q$1004:$U$1004,1,MATCH(COLUMNS($Q$1006:T1006),$Q$1006:$U$1006,0)))),"Fix")))</f>
        <v xml:space="preserve"> </v>
      </c>
      <c r="F489" s="3" t="str">
        <f ca="1">IF(OR(INDEX($K$2:$K$1001,MATCH(ROWS($J$2:J489),$J$2:$J$1001,0),1)&gt;=100000,INDEX($Q$1005:$U$1005,1,MATCH(COLUMNS($Q$1006:U1006),$Q$1006:$U$1006,0))&gt;=100000), " ",IF(INDEX($Q$2:$U$1001,MATCH(ROWS($J$2:J489),$J$2:$J$1001,0),MATCH(COLUMNS($Q$1006:U1006),$Q$1006:$U$1006,0)), HYPERLINK("#",""), HYPERLINK(CONCATENATE("#metadata!", ADDRESS(INDEX($L$2:$L$1001,MATCH(ROWS($J$2:J489),$J$2:$J$1001,0),0), INDEX($Q$1004:$U$1004,1,MATCH(COLUMNS($Q$1006:U1006),$Q$1006:$U$1006,0)))),"Fix")))</f>
        <v xml:space="preserve"> </v>
      </c>
      <c r="J489">
        <v>488</v>
      </c>
      <c r="K489">
        <v>100489</v>
      </c>
      <c r="L489">
        <v>489</v>
      </c>
      <c r="M489" t="b">
        <f t="shared" si="7"/>
        <v>1</v>
      </c>
      <c r="N489" t="b">
        <f>COUNTBLANK(metadata!B489:F489)=COLUMNS(metadata!B489:F489)</f>
        <v>1</v>
      </c>
      <c r="O489" t="str">
        <v/>
      </c>
      <c r="Q489" t="b">
        <f ca="1">AND(IF(metadata!B489="",FALSE,TRUE),COUNTIF(metadata!B:B, metadata!B489) = 1,NOT(ISERROR(SUMPRODUCT(SEARCH(MID(metadata!B489,ROW(INDIRECT("1:"&amp;LEN(metadata!B489))), 1),"0123456789abcdefghijklmnopqrstuvwxyzABCDEFGHIJKLMNOPQRSTUVWXYZ.")))))</f>
        <v>0</v>
      </c>
      <c r="R489" t="b">
        <f>AND(IF(metadata!C489="",FALSE,TRUE),OR(EXACT(metadata!C489,"saline"),EXACT(metadata!C489,"non-saline")))</f>
        <v>0</v>
      </c>
      <c r="S489" t="b">
        <f>AND(IF(metadata!D489="",FALSE,TRUE),OR(EXACT(metadata!D489,"surface (non-saline)"),EXACT(metadata!D489,"aerosol (non-saline)"),EXACT(metadata!D489,"sediment (non-saline)"),EXACT(metadata!D489,"surface (saline)"),EXACT(metadata!D489,"aerosol (saline)"),EXACT(metadata!D489,"sediment (saline)")))</f>
        <v>0</v>
      </c>
      <c r="T489" t="b">
        <f>AND(IF(metadata!E489="",FALSE,TRUE),EXACT(metadata!E489,"built environment"))</f>
        <v>0</v>
      </c>
      <c r="U489" t="b">
        <f>OR(AND(IF(metadata!F489="",FALSE,TRUE),EXACT(metadata!F489,"not applicable")),AND(IF(metadata!F489="",FALSE,TRUE),EXACT(metadata!F489,"anaerobic digester content")))</f>
        <v>0</v>
      </c>
    </row>
    <row r="490" spans="1:21" x14ac:dyDescent="0.2">
      <c r="A490" s="4" t="str">
        <f ca="1">IF(B490=" "," ",HYPERLINK(CONCATENATE("#metadata!",ADDRESS(INDEX($L$2:$L$1001,MATCH(ROWS($J$2:J490),$J$2:$J$1001,0),0),1)),INDEX($O$2:$O$1001,MATCH(ROWS($J$2:J490),$J$2:$J$1001,0),0)))</f>
        <v xml:space="preserve"> </v>
      </c>
      <c r="B490" s="3" t="str">
        <f ca="1">IF(OR(INDEX($K$2:$K$1001,MATCH(ROWS($J$2:J490),$J$2:$J$1001,0),1)&gt;=100000,INDEX($Q$1005:$U$1005,1,MATCH(COLUMNS($Q$1006:Q1006),$Q$1006:$U$1006,0))&gt;=100000), " ",IF(INDEX($Q$2:$U$1001,MATCH(ROWS($J$2:J490),$J$2:$J$1001,0),MATCH(COLUMNS($Q$1006:Q1006),$Q$1006:$U$1006,0)), HYPERLINK("#",""), HYPERLINK(CONCATENATE("#metadata!", ADDRESS(INDEX($L$2:$L$1001,MATCH(ROWS($J$2:J490),$J$2:$J$1001,0),0), INDEX($Q$1004:$U$1004,1,MATCH(COLUMNS($Q$1006:Q1006),$Q$1006:$U$1006,0)))),"Fix")))</f>
        <v xml:space="preserve"> </v>
      </c>
      <c r="C490" s="3" t="str">
        <f ca="1">IF(OR(INDEX($K$2:$K$1001,MATCH(ROWS($J$2:J490),$J$2:$J$1001,0),1)&gt;=100000,INDEX($Q$1005:$U$1005,1,MATCH(COLUMNS($Q$1006:R1006),$Q$1006:$U$1006,0))&gt;=100000), " ",IF(INDEX($Q$2:$U$1001,MATCH(ROWS($J$2:J490),$J$2:$J$1001,0),MATCH(COLUMNS($Q$1006:R1006),$Q$1006:$U$1006,0)), HYPERLINK("#",""), HYPERLINK(CONCATENATE("#metadata!", ADDRESS(INDEX($L$2:$L$1001,MATCH(ROWS($J$2:J490),$J$2:$J$1001,0),0), INDEX($Q$1004:$U$1004,1,MATCH(COLUMNS($Q$1006:R1006),$Q$1006:$U$1006,0)))),"Fix")))</f>
        <v xml:space="preserve"> </v>
      </c>
      <c r="D490" s="3" t="str">
        <f ca="1">IF(OR(INDEX($K$2:$K$1001,MATCH(ROWS($J$2:J490),$J$2:$J$1001,0),1)&gt;=100000,INDEX($Q$1005:$U$1005,1,MATCH(COLUMNS($Q$1006:S1006),$Q$1006:$U$1006,0))&gt;=100000), " ",IF(INDEX($Q$2:$U$1001,MATCH(ROWS($J$2:J490),$J$2:$J$1001,0),MATCH(COLUMNS($Q$1006:S1006),$Q$1006:$U$1006,0)), HYPERLINK("#",""), HYPERLINK(CONCATENATE("#metadata!", ADDRESS(INDEX($L$2:$L$1001,MATCH(ROWS($J$2:J490),$J$2:$J$1001,0),0), INDEX($Q$1004:$U$1004,1,MATCH(COLUMNS($Q$1006:S1006),$Q$1006:$U$1006,0)))),"Fix")))</f>
        <v xml:space="preserve"> </v>
      </c>
      <c r="E490" s="3" t="str">
        <f ca="1">IF(OR(INDEX($K$2:$K$1001,MATCH(ROWS($J$2:J490),$J$2:$J$1001,0),1)&gt;=100000,INDEX($Q$1005:$U$1005,1,MATCH(COLUMNS($Q$1006:T1006),$Q$1006:$U$1006,0))&gt;=100000), " ",IF(INDEX($Q$2:$U$1001,MATCH(ROWS($J$2:J490),$J$2:$J$1001,0),MATCH(COLUMNS($Q$1006:T1006),$Q$1006:$U$1006,0)), HYPERLINK("#",""), HYPERLINK(CONCATENATE("#metadata!", ADDRESS(INDEX($L$2:$L$1001,MATCH(ROWS($J$2:J490),$J$2:$J$1001,0),0), INDEX($Q$1004:$U$1004,1,MATCH(COLUMNS($Q$1006:T1006),$Q$1006:$U$1006,0)))),"Fix")))</f>
        <v xml:space="preserve"> </v>
      </c>
      <c r="F490" s="3" t="str">
        <f ca="1">IF(OR(INDEX($K$2:$K$1001,MATCH(ROWS($J$2:J490),$J$2:$J$1001,0),1)&gt;=100000,INDEX($Q$1005:$U$1005,1,MATCH(COLUMNS($Q$1006:U1006),$Q$1006:$U$1006,0))&gt;=100000), " ",IF(INDEX($Q$2:$U$1001,MATCH(ROWS($J$2:J490),$J$2:$J$1001,0),MATCH(COLUMNS($Q$1006:U1006),$Q$1006:$U$1006,0)), HYPERLINK("#",""), HYPERLINK(CONCATENATE("#metadata!", ADDRESS(INDEX($L$2:$L$1001,MATCH(ROWS($J$2:J490),$J$2:$J$1001,0),0), INDEX($Q$1004:$U$1004,1,MATCH(COLUMNS($Q$1006:U1006),$Q$1006:$U$1006,0)))),"Fix")))</f>
        <v xml:space="preserve"> </v>
      </c>
      <c r="J490">
        <v>489</v>
      </c>
      <c r="K490">
        <v>100490</v>
      </c>
      <c r="L490">
        <v>490</v>
      </c>
      <c r="M490" t="b">
        <f t="shared" si="7"/>
        <v>1</v>
      </c>
      <c r="N490" t="b">
        <f>COUNTBLANK(metadata!B490:F490)=COLUMNS(metadata!B490:F490)</f>
        <v>1</v>
      </c>
      <c r="O490" t="str">
        <v/>
      </c>
      <c r="Q490" t="b">
        <f ca="1">AND(IF(metadata!B490="",FALSE,TRUE),COUNTIF(metadata!B:B, metadata!B490) = 1,NOT(ISERROR(SUMPRODUCT(SEARCH(MID(metadata!B490,ROW(INDIRECT("1:"&amp;LEN(metadata!B490))), 1),"0123456789abcdefghijklmnopqrstuvwxyzABCDEFGHIJKLMNOPQRSTUVWXYZ.")))))</f>
        <v>0</v>
      </c>
      <c r="R490" t="b">
        <f>AND(IF(metadata!C490="",FALSE,TRUE),OR(EXACT(metadata!C490,"saline"),EXACT(metadata!C490,"non-saline")))</f>
        <v>0</v>
      </c>
      <c r="S490" t="b">
        <f>AND(IF(metadata!D490="",FALSE,TRUE),OR(EXACT(metadata!D490,"surface (non-saline)"),EXACT(metadata!D490,"aerosol (non-saline)"),EXACT(metadata!D490,"sediment (non-saline)"),EXACT(metadata!D490,"surface (saline)"),EXACT(metadata!D490,"aerosol (saline)"),EXACT(metadata!D490,"sediment (saline)")))</f>
        <v>0</v>
      </c>
      <c r="T490" t="b">
        <f>AND(IF(metadata!E490="",FALSE,TRUE),EXACT(metadata!E490,"built environment"))</f>
        <v>0</v>
      </c>
      <c r="U490" t="b">
        <f>OR(AND(IF(metadata!F490="",FALSE,TRUE),EXACT(metadata!F490,"not applicable")),AND(IF(metadata!F490="",FALSE,TRUE),EXACT(metadata!F490,"anaerobic digester content")))</f>
        <v>0</v>
      </c>
    </row>
    <row r="491" spans="1:21" x14ac:dyDescent="0.2">
      <c r="A491" s="4" t="str">
        <f ca="1">IF(B491=" "," ",HYPERLINK(CONCATENATE("#metadata!",ADDRESS(INDEX($L$2:$L$1001,MATCH(ROWS($J$2:J491),$J$2:$J$1001,0),0),1)),INDEX($O$2:$O$1001,MATCH(ROWS($J$2:J491),$J$2:$J$1001,0),0)))</f>
        <v xml:space="preserve"> </v>
      </c>
      <c r="B491" s="3" t="str">
        <f ca="1">IF(OR(INDEX($K$2:$K$1001,MATCH(ROWS($J$2:J491),$J$2:$J$1001,0),1)&gt;=100000,INDEX($Q$1005:$U$1005,1,MATCH(COLUMNS($Q$1006:Q1006),$Q$1006:$U$1006,0))&gt;=100000), " ",IF(INDEX($Q$2:$U$1001,MATCH(ROWS($J$2:J491),$J$2:$J$1001,0),MATCH(COLUMNS($Q$1006:Q1006),$Q$1006:$U$1006,0)), HYPERLINK("#",""), HYPERLINK(CONCATENATE("#metadata!", ADDRESS(INDEX($L$2:$L$1001,MATCH(ROWS($J$2:J491),$J$2:$J$1001,0),0), INDEX($Q$1004:$U$1004,1,MATCH(COLUMNS($Q$1006:Q1006),$Q$1006:$U$1006,0)))),"Fix")))</f>
        <v xml:space="preserve"> </v>
      </c>
      <c r="C491" s="3" t="str">
        <f ca="1">IF(OR(INDEX($K$2:$K$1001,MATCH(ROWS($J$2:J491),$J$2:$J$1001,0),1)&gt;=100000,INDEX($Q$1005:$U$1005,1,MATCH(COLUMNS($Q$1006:R1006),$Q$1006:$U$1006,0))&gt;=100000), " ",IF(INDEX($Q$2:$U$1001,MATCH(ROWS($J$2:J491),$J$2:$J$1001,0),MATCH(COLUMNS($Q$1006:R1006),$Q$1006:$U$1006,0)), HYPERLINK("#",""), HYPERLINK(CONCATENATE("#metadata!", ADDRESS(INDEX($L$2:$L$1001,MATCH(ROWS($J$2:J491),$J$2:$J$1001,0),0), INDEX($Q$1004:$U$1004,1,MATCH(COLUMNS($Q$1006:R1006),$Q$1006:$U$1006,0)))),"Fix")))</f>
        <v xml:space="preserve"> </v>
      </c>
      <c r="D491" s="3" t="str">
        <f ca="1">IF(OR(INDEX($K$2:$K$1001,MATCH(ROWS($J$2:J491),$J$2:$J$1001,0),1)&gt;=100000,INDEX($Q$1005:$U$1005,1,MATCH(COLUMNS($Q$1006:S1006),$Q$1006:$U$1006,0))&gt;=100000), " ",IF(INDEX($Q$2:$U$1001,MATCH(ROWS($J$2:J491),$J$2:$J$1001,0),MATCH(COLUMNS($Q$1006:S1006),$Q$1006:$U$1006,0)), HYPERLINK("#",""), HYPERLINK(CONCATENATE("#metadata!", ADDRESS(INDEX($L$2:$L$1001,MATCH(ROWS($J$2:J491),$J$2:$J$1001,0),0), INDEX($Q$1004:$U$1004,1,MATCH(COLUMNS($Q$1006:S1006),$Q$1006:$U$1006,0)))),"Fix")))</f>
        <v xml:space="preserve"> </v>
      </c>
      <c r="E491" s="3" t="str">
        <f ca="1">IF(OR(INDEX($K$2:$K$1001,MATCH(ROWS($J$2:J491),$J$2:$J$1001,0),1)&gt;=100000,INDEX($Q$1005:$U$1005,1,MATCH(COLUMNS($Q$1006:T1006),$Q$1006:$U$1006,0))&gt;=100000), " ",IF(INDEX($Q$2:$U$1001,MATCH(ROWS($J$2:J491),$J$2:$J$1001,0),MATCH(COLUMNS($Q$1006:T1006),$Q$1006:$U$1006,0)), HYPERLINK("#",""), HYPERLINK(CONCATENATE("#metadata!", ADDRESS(INDEX($L$2:$L$1001,MATCH(ROWS($J$2:J491),$J$2:$J$1001,0),0), INDEX($Q$1004:$U$1004,1,MATCH(COLUMNS($Q$1006:T1006),$Q$1006:$U$1006,0)))),"Fix")))</f>
        <v xml:space="preserve"> </v>
      </c>
      <c r="F491" s="3" t="str">
        <f ca="1">IF(OR(INDEX($K$2:$K$1001,MATCH(ROWS($J$2:J491),$J$2:$J$1001,0),1)&gt;=100000,INDEX($Q$1005:$U$1005,1,MATCH(COLUMNS($Q$1006:U1006),$Q$1006:$U$1006,0))&gt;=100000), " ",IF(INDEX($Q$2:$U$1001,MATCH(ROWS($J$2:J491),$J$2:$J$1001,0),MATCH(COLUMNS($Q$1006:U1006),$Q$1006:$U$1006,0)), HYPERLINK("#",""), HYPERLINK(CONCATENATE("#metadata!", ADDRESS(INDEX($L$2:$L$1001,MATCH(ROWS($J$2:J491),$J$2:$J$1001,0),0), INDEX($Q$1004:$U$1004,1,MATCH(COLUMNS($Q$1006:U1006),$Q$1006:$U$1006,0)))),"Fix")))</f>
        <v xml:space="preserve"> </v>
      </c>
      <c r="J491">
        <v>490</v>
      </c>
      <c r="K491">
        <v>100491</v>
      </c>
      <c r="L491">
        <v>491</v>
      </c>
      <c r="M491" t="b">
        <f t="shared" si="7"/>
        <v>1</v>
      </c>
      <c r="N491" t="b">
        <f>COUNTBLANK(metadata!B491:F491)=COLUMNS(metadata!B491:F491)</f>
        <v>1</v>
      </c>
      <c r="O491" t="str">
        <v/>
      </c>
      <c r="Q491" t="b">
        <f ca="1">AND(IF(metadata!B491="",FALSE,TRUE),COUNTIF(metadata!B:B, metadata!B491) = 1,NOT(ISERROR(SUMPRODUCT(SEARCH(MID(metadata!B491,ROW(INDIRECT("1:"&amp;LEN(metadata!B491))), 1),"0123456789abcdefghijklmnopqrstuvwxyzABCDEFGHIJKLMNOPQRSTUVWXYZ.")))))</f>
        <v>0</v>
      </c>
      <c r="R491" t="b">
        <f>AND(IF(metadata!C491="",FALSE,TRUE),OR(EXACT(metadata!C491,"saline"),EXACT(metadata!C491,"non-saline")))</f>
        <v>0</v>
      </c>
      <c r="S491" t="b">
        <f>AND(IF(metadata!D491="",FALSE,TRUE),OR(EXACT(metadata!D491,"surface (non-saline)"),EXACT(metadata!D491,"aerosol (non-saline)"),EXACT(metadata!D491,"sediment (non-saline)"),EXACT(metadata!D491,"surface (saline)"),EXACT(metadata!D491,"aerosol (saline)"),EXACT(metadata!D491,"sediment (saline)")))</f>
        <v>0</v>
      </c>
      <c r="T491" t="b">
        <f>AND(IF(metadata!E491="",FALSE,TRUE),EXACT(metadata!E491,"built environment"))</f>
        <v>0</v>
      </c>
      <c r="U491" t="b">
        <f>OR(AND(IF(metadata!F491="",FALSE,TRUE),EXACT(metadata!F491,"not applicable")),AND(IF(metadata!F491="",FALSE,TRUE),EXACT(metadata!F491,"anaerobic digester content")))</f>
        <v>0</v>
      </c>
    </row>
    <row r="492" spans="1:21" x14ac:dyDescent="0.2">
      <c r="A492" s="4" t="str">
        <f ca="1">IF(B492=" "," ",HYPERLINK(CONCATENATE("#metadata!",ADDRESS(INDEX($L$2:$L$1001,MATCH(ROWS($J$2:J492),$J$2:$J$1001,0),0),1)),INDEX($O$2:$O$1001,MATCH(ROWS($J$2:J492),$J$2:$J$1001,0),0)))</f>
        <v xml:space="preserve"> </v>
      </c>
      <c r="B492" s="3" t="str">
        <f ca="1">IF(OR(INDEX($K$2:$K$1001,MATCH(ROWS($J$2:J492),$J$2:$J$1001,0),1)&gt;=100000,INDEX($Q$1005:$U$1005,1,MATCH(COLUMNS($Q$1006:Q1006),$Q$1006:$U$1006,0))&gt;=100000), " ",IF(INDEX($Q$2:$U$1001,MATCH(ROWS($J$2:J492),$J$2:$J$1001,0),MATCH(COLUMNS($Q$1006:Q1006),$Q$1006:$U$1006,0)), HYPERLINK("#",""), HYPERLINK(CONCATENATE("#metadata!", ADDRESS(INDEX($L$2:$L$1001,MATCH(ROWS($J$2:J492),$J$2:$J$1001,0),0), INDEX($Q$1004:$U$1004,1,MATCH(COLUMNS($Q$1006:Q1006),$Q$1006:$U$1006,0)))),"Fix")))</f>
        <v xml:space="preserve"> </v>
      </c>
      <c r="C492" s="3" t="str">
        <f ca="1">IF(OR(INDEX($K$2:$K$1001,MATCH(ROWS($J$2:J492),$J$2:$J$1001,0),1)&gt;=100000,INDEX($Q$1005:$U$1005,1,MATCH(COLUMNS($Q$1006:R1006),$Q$1006:$U$1006,0))&gt;=100000), " ",IF(INDEX($Q$2:$U$1001,MATCH(ROWS($J$2:J492),$J$2:$J$1001,0),MATCH(COLUMNS($Q$1006:R1006),$Q$1006:$U$1006,0)), HYPERLINK("#",""), HYPERLINK(CONCATENATE("#metadata!", ADDRESS(INDEX($L$2:$L$1001,MATCH(ROWS($J$2:J492),$J$2:$J$1001,0),0), INDEX($Q$1004:$U$1004,1,MATCH(COLUMNS($Q$1006:R1006),$Q$1006:$U$1006,0)))),"Fix")))</f>
        <v xml:space="preserve"> </v>
      </c>
      <c r="D492" s="3" t="str">
        <f ca="1">IF(OR(INDEX($K$2:$K$1001,MATCH(ROWS($J$2:J492),$J$2:$J$1001,0),1)&gt;=100000,INDEX($Q$1005:$U$1005,1,MATCH(COLUMNS($Q$1006:S1006),$Q$1006:$U$1006,0))&gt;=100000), " ",IF(INDEX($Q$2:$U$1001,MATCH(ROWS($J$2:J492),$J$2:$J$1001,0),MATCH(COLUMNS($Q$1006:S1006),$Q$1006:$U$1006,0)), HYPERLINK("#",""), HYPERLINK(CONCATENATE("#metadata!", ADDRESS(INDEX($L$2:$L$1001,MATCH(ROWS($J$2:J492),$J$2:$J$1001,0),0), INDEX($Q$1004:$U$1004,1,MATCH(COLUMNS($Q$1006:S1006),$Q$1006:$U$1006,0)))),"Fix")))</f>
        <v xml:space="preserve"> </v>
      </c>
      <c r="E492" s="3" t="str">
        <f ca="1">IF(OR(INDEX($K$2:$K$1001,MATCH(ROWS($J$2:J492),$J$2:$J$1001,0),1)&gt;=100000,INDEX($Q$1005:$U$1005,1,MATCH(COLUMNS($Q$1006:T1006),$Q$1006:$U$1006,0))&gt;=100000), " ",IF(INDEX($Q$2:$U$1001,MATCH(ROWS($J$2:J492),$J$2:$J$1001,0),MATCH(COLUMNS($Q$1006:T1006),$Q$1006:$U$1006,0)), HYPERLINK("#",""), HYPERLINK(CONCATENATE("#metadata!", ADDRESS(INDEX($L$2:$L$1001,MATCH(ROWS($J$2:J492),$J$2:$J$1001,0),0), INDEX($Q$1004:$U$1004,1,MATCH(COLUMNS($Q$1006:T1006),$Q$1006:$U$1006,0)))),"Fix")))</f>
        <v xml:space="preserve"> </v>
      </c>
      <c r="F492" s="3" t="str">
        <f ca="1">IF(OR(INDEX($K$2:$K$1001,MATCH(ROWS($J$2:J492),$J$2:$J$1001,0),1)&gt;=100000,INDEX($Q$1005:$U$1005,1,MATCH(COLUMNS($Q$1006:U1006),$Q$1006:$U$1006,0))&gt;=100000), " ",IF(INDEX($Q$2:$U$1001,MATCH(ROWS($J$2:J492),$J$2:$J$1001,0),MATCH(COLUMNS($Q$1006:U1006),$Q$1006:$U$1006,0)), HYPERLINK("#",""), HYPERLINK(CONCATENATE("#metadata!", ADDRESS(INDEX($L$2:$L$1001,MATCH(ROWS($J$2:J492),$J$2:$J$1001,0),0), INDEX($Q$1004:$U$1004,1,MATCH(COLUMNS($Q$1006:U1006),$Q$1006:$U$1006,0)))),"Fix")))</f>
        <v xml:space="preserve"> </v>
      </c>
      <c r="J492">
        <v>491</v>
      </c>
      <c r="K492">
        <v>100492</v>
      </c>
      <c r="L492">
        <v>492</v>
      </c>
      <c r="M492" t="b">
        <f t="shared" si="7"/>
        <v>1</v>
      </c>
      <c r="N492" t="b">
        <f>COUNTBLANK(metadata!B492:F492)=COLUMNS(metadata!B492:F492)</f>
        <v>1</v>
      </c>
      <c r="O492" t="str">
        <v/>
      </c>
      <c r="Q492" t="b">
        <f ca="1">AND(IF(metadata!B492="",FALSE,TRUE),COUNTIF(metadata!B:B, metadata!B492) = 1,NOT(ISERROR(SUMPRODUCT(SEARCH(MID(metadata!B492,ROW(INDIRECT("1:"&amp;LEN(metadata!B492))), 1),"0123456789abcdefghijklmnopqrstuvwxyzABCDEFGHIJKLMNOPQRSTUVWXYZ.")))))</f>
        <v>0</v>
      </c>
      <c r="R492" t="b">
        <f>AND(IF(metadata!C492="",FALSE,TRUE),OR(EXACT(metadata!C492,"saline"),EXACT(metadata!C492,"non-saline")))</f>
        <v>0</v>
      </c>
      <c r="S492" t="b">
        <f>AND(IF(metadata!D492="",FALSE,TRUE),OR(EXACT(metadata!D492,"surface (non-saline)"),EXACT(metadata!D492,"aerosol (non-saline)"),EXACT(metadata!D492,"sediment (non-saline)"),EXACT(metadata!D492,"surface (saline)"),EXACT(metadata!D492,"aerosol (saline)"),EXACT(metadata!D492,"sediment (saline)")))</f>
        <v>0</v>
      </c>
      <c r="T492" t="b">
        <f>AND(IF(metadata!E492="",FALSE,TRUE),EXACT(metadata!E492,"built environment"))</f>
        <v>0</v>
      </c>
      <c r="U492" t="b">
        <f>OR(AND(IF(metadata!F492="",FALSE,TRUE),EXACT(metadata!F492,"not applicable")),AND(IF(metadata!F492="",FALSE,TRUE),EXACT(metadata!F492,"anaerobic digester content")))</f>
        <v>0</v>
      </c>
    </row>
    <row r="493" spans="1:21" x14ac:dyDescent="0.2">
      <c r="A493" s="4" t="str">
        <f ca="1">IF(B493=" "," ",HYPERLINK(CONCATENATE("#metadata!",ADDRESS(INDEX($L$2:$L$1001,MATCH(ROWS($J$2:J493),$J$2:$J$1001,0),0),1)),INDEX($O$2:$O$1001,MATCH(ROWS($J$2:J493),$J$2:$J$1001,0),0)))</f>
        <v xml:space="preserve"> </v>
      </c>
      <c r="B493" s="3" t="str">
        <f ca="1">IF(OR(INDEX($K$2:$K$1001,MATCH(ROWS($J$2:J493),$J$2:$J$1001,0),1)&gt;=100000,INDEX($Q$1005:$U$1005,1,MATCH(COLUMNS($Q$1006:Q1006),$Q$1006:$U$1006,0))&gt;=100000), " ",IF(INDEX($Q$2:$U$1001,MATCH(ROWS($J$2:J493),$J$2:$J$1001,0),MATCH(COLUMNS($Q$1006:Q1006),$Q$1006:$U$1006,0)), HYPERLINK("#",""), HYPERLINK(CONCATENATE("#metadata!", ADDRESS(INDEX($L$2:$L$1001,MATCH(ROWS($J$2:J493),$J$2:$J$1001,0),0), INDEX($Q$1004:$U$1004,1,MATCH(COLUMNS($Q$1006:Q1006),$Q$1006:$U$1006,0)))),"Fix")))</f>
        <v xml:space="preserve"> </v>
      </c>
      <c r="C493" s="3" t="str">
        <f ca="1">IF(OR(INDEX($K$2:$K$1001,MATCH(ROWS($J$2:J493),$J$2:$J$1001,0),1)&gt;=100000,INDEX($Q$1005:$U$1005,1,MATCH(COLUMNS($Q$1006:R1006),$Q$1006:$U$1006,0))&gt;=100000), " ",IF(INDEX($Q$2:$U$1001,MATCH(ROWS($J$2:J493),$J$2:$J$1001,0),MATCH(COLUMNS($Q$1006:R1006),$Q$1006:$U$1006,0)), HYPERLINK("#",""), HYPERLINK(CONCATENATE("#metadata!", ADDRESS(INDEX($L$2:$L$1001,MATCH(ROWS($J$2:J493),$J$2:$J$1001,0),0), INDEX($Q$1004:$U$1004,1,MATCH(COLUMNS($Q$1006:R1006),$Q$1006:$U$1006,0)))),"Fix")))</f>
        <v xml:space="preserve"> </v>
      </c>
      <c r="D493" s="3" t="str">
        <f ca="1">IF(OR(INDEX($K$2:$K$1001,MATCH(ROWS($J$2:J493),$J$2:$J$1001,0),1)&gt;=100000,INDEX($Q$1005:$U$1005,1,MATCH(COLUMNS($Q$1006:S1006),$Q$1006:$U$1006,0))&gt;=100000), " ",IF(INDEX($Q$2:$U$1001,MATCH(ROWS($J$2:J493),$J$2:$J$1001,0),MATCH(COLUMNS($Q$1006:S1006),$Q$1006:$U$1006,0)), HYPERLINK("#",""), HYPERLINK(CONCATENATE("#metadata!", ADDRESS(INDEX($L$2:$L$1001,MATCH(ROWS($J$2:J493),$J$2:$J$1001,0),0), INDEX($Q$1004:$U$1004,1,MATCH(COLUMNS($Q$1006:S1006),$Q$1006:$U$1006,0)))),"Fix")))</f>
        <v xml:space="preserve"> </v>
      </c>
      <c r="E493" s="3" t="str">
        <f ca="1">IF(OR(INDEX($K$2:$K$1001,MATCH(ROWS($J$2:J493),$J$2:$J$1001,0),1)&gt;=100000,INDEX($Q$1005:$U$1005,1,MATCH(COLUMNS($Q$1006:T1006),$Q$1006:$U$1006,0))&gt;=100000), " ",IF(INDEX($Q$2:$U$1001,MATCH(ROWS($J$2:J493),$J$2:$J$1001,0),MATCH(COLUMNS($Q$1006:T1006),$Q$1006:$U$1006,0)), HYPERLINK("#",""), HYPERLINK(CONCATENATE("#metadata!", ADDRESS(INDEX($L$2:$L$1001,MATCH(ROWS($J$2:J493),$J$2:$J$1001,0),0), INDEX($Q$1004:$U$1004,1,MATCH(COLUMNS($Q$1006:T1006),$Q$1006:$U$1006,0)))),"Fix")))</f>
        <v xml:space="preserve"> </v>
      </c>
      <c r="F493" s="3" t="str">
        <f ca="1">IF(OR(INDEX($K$2:$K$1001,MATCH(ROWS($J$2:J493),$J$2:$J$1001,0),1)&gt;=100000,INDEX($Q$1005:$U$1005,1,MATCH(COLUMNS($Q$1006:U1006),$Q$1006:$U$1006,0))&gt;=100000), " ",IF(INDEX($Q$2:$U$1001,MATCH(ROWS($J$2:J493),$J$2:$J$1001,0),MATCH(COLUMNS($Q$1006:U1006),$Q$1006:$U$1006,0)), HYPERLINK("#",""), HYPERLINK(CONCATENATE("#metadata!", ADDRESS(INDEX($L$2:$L$1001,MATCH(ROWS($J$2:J493),$J$2:$J$1001,0),0), INDEX($Q$1004:$U$1004,1,MATCH(COLUMNS($Q$1006:U1006),$Q$1006:$U$1006,0)))),"Fix")))</f>
        <v xml:space="preserve"> </v>
      </c>
      <c r="J493">
        <v>492</v>
      </c>
      <c r="K493">
        <v>100493</v>
      </c>
      <c r="L493">
        <v>493</v>
      </c>
      <c r="M493" t="b">
        <f t="shared" si="7"/>
        <v>1</v>
      </c>
      <c r="N493" t="b">
        <f>COUNTBLANK(metadata!B493:F493)=COLUMNS(metadata!B493:F493)</f>
        <v>1</v>
      </c>
      <c r="O493" t="str">
        <v/>
      </c>
      <c r="Q493" t="b">
        <f ca="1">AND(IF(metadata!B493="",FALSE,TRUE),COUNTIF(metadata!B:B, metadata!B493) = 1,NOT(ISERROR(SUMPRODUCT(SEARCH(MID(metadata!B493,ROW(INDIRECT("1:"&amp;LEN(metadata!B493))), 1),"0123456789abcdefghijklmnopqrstuvwxyzABCDEFGHIJKLMNOPQRSTUVWXYZ.")))))</f>
        <v>0</v>
      </c>
      <c r="R493" t="b">
        <f>AND(IF(metadata!C493="",FALSE,TRUE),OR(EXACT(metadata!C493,"saline"),EXACT(metadata!C493,"non-saline")))</f>
        <v>0</v>
      </c>
      <c r="S493" t="b">
        <f>AND(IF(metadata!D493="",FALSE,TRUE),OR(EXACT(metadata!D493,"surface (non-saline)"),EXACT(metadata!D493,"aerosol (non-saline)"),EXACT(metadata!D493,"sediment (non-saline)"),EXACT(metadata!D493,"surface (saline)"),EXACT(metadata!D493,"aerosol (saline)"),EXACT(metadata!D493,"sediment (saline)")))</f>
        <v>0</v>
      </c>
      <c r="T493" t="b">
        <f>AND(IF(metadata!E493="",FALSE,TRUE),EXACT(metadata!E493,"built environment"))</f>
        <v>0</v>
      </c>
      <c r="U493" t="b">
        <f>OR(AND(IF(metadata!F493="",FALSE,TRUE),EXACT(metadata!F493,"not applicable")),AND(IF(metadata!F493="",FALSE,TRUE),EXACT(metadata!F493,"anaerobic digester content")))</f>
        <v>0</v>
      </c>
    </row>
    <row r="494" spans="1:21" x14ac:dyDescent="0.2">
      <c r="A494" s="4" t="str">
        <f ca="1">IF(B494=" "," ",HYPERLINK(CONCATENATE("#metadata!",ADDRESS(INDEX($L$2:$L$1001,MATCH(ROWS($J$2:J494),$J$2:$J$1001,0),0),1)),INDEX($O$2:$O$1001,MATCH(ROWS($J$2:J494),$J$2:$J$1001,0),0)))</f>
        <v xml:space="preserve"> </v>
      </c>
      <c r="B494" s="3" t="str">
        <f ca="1">IF(OR(INDEX($K$2:$K$1001,MATCH(ROWS($J$2:J494),$J$2:$J$1001,0),1)&gt;=100000,INDEX($Q$1005:$U$1005,1,MATCH(COLUMNS($Q$1006:Q1006),$Q$1006:$U$1006,0))&gt;=100000), " ",IF(INDEX($Q$2:$U$1001,MATCH(ROWS($J$2:J494),$J$2:$J$1001,0),MATCH(COLUMNS($Q$1006:Q1006),$Q$1006:$U$1006,0)), HYPERLINK("#",""), HYPERLINK(CONCATENATE("#metadata!", ADDRESS(INDEX($L$2:$L$1001,MATCH(ROWS($J$2:J494),$J$2:$J$1001,0),0), INDEX($Q$1004:$U$1004,1,MATCH(COLUMNS($Q$1006:Q1006),$Q$1006:$U$1006,0)))),"Fix")))</f>
        <v xml:space="preserve"> </v>
      </c>
      <c r="C494" s="3" t="str">
        <f ca="1">IF(OR(INDEX($K$2:$K$1001,MATCH(ROWS($J$2:J494),$J$2:$J$1001,0),1)&gt;=100000,INDEX($Q$1005:$U$1005,1,MATCH(COLUMNS($Q$1006:R1006),$Q$1006:$U$1006,0))&gt;=100000), " ",IF(INDEX($Q$2:$U$1001,MATCH(ROWS($J$2:J494),$J$2:$J$1001,0),MATCH(COLUMNS($Q$1006:R1006),$Q$1006:$U$1006,0)), HYPERLINK("#",""), HYPERLINK(CONCATENATE("#metadata!", ADDRESS(INDEX($L$2:$L$1001,MATCH(ROWS($J$2:J494),$J$2:$J$1001,0),0), INDEX($Q$1004:$U$1004,1,MATCH(COLUMNS($Q$1006:R1006),$Q$1006:$U$1006,0)))),"Fix")))</f>
        <v xml:space="preserve"> </v>
      </c>
      <c r="D494" s="3" t="str">
        <f ca="1">IF(OR(INDEX($K$2:$K$1001,MATCH(ROWS($J$2:J494),$J$2:$J$1001,0),1)&gt;=100000,INDEX($Q$1005:$U$1005,1,MATCH(COLUMNS($Q$1006:S1006),$Q$1006:$U$1006,0))&gt;=100000), " ",IF(INDEX($Q$2:$U$1001,MATCH(ROWS($J$2:J494),$J$2:$J$1001,0),MATCH(COLUMNS($Q$1006:S1006),$Q$1006:$U$1006,0)), HYPERLINK("#",""), HYPERLINK(CONCATENATE("#metadata!", ADDRESS(INDEX($L$2:$L$1001,MATCH(ROWS($J$2:J494),$J$2:$J$1001,0),0), INDEX($Q$1004:$U$1004,1,MATCH(COLUMNS($Q$1006:S1006),$Q$1006:$U$1006,0)))),"Fix")))</f>
        <v xml:space="preserve"> </v>
      </c>
      <c r="E494" s="3" t="str">
        <f ca="1">IF(OR(INDEX($K$2:$K$1001,MATCH(ROWS($J$2:J494),$J$2:$J$1001,0),1)&gt;=100000,INDEX($Q$1005:$U$1005,1,MATCH(COLUMNS($Q$1006:T1006),$Q$1006:$U$1006,0))&gt;=100000), " ",IF(INDEX($Q$2:$U$1001,MATCH(ROWS($J$2:J494),$J$2:$J$1001,0),MATCH(COLUMNS($Q$1006:T1006),$Q$1006:$U$1006,0)), HYPERLINK("#",""), HYPERLINK(CONCATENATE("#metadata!", ADDRESS(INDEX($L$2:$L$1001,MATCH(ROWS($J$2:J494),$J$2:$J$1001,0),0), INDEX($Q$1004:$U$1004,1,MATCH(COLUMNS($Q$1006:T1006),$Q$1006:$U$1006,0)))),"Fix")))</f>
        <v xml:space="preserve"> </v>
      </c>
      <c r="F494" s="3" t="str">
        <f ca="1">IF(OR(INDEX($K$2:$K$1001,MATCH(ROWS($J$2:J494),$J$2:$J$1001,0),1)&gt;=100000,INDEX($Q$1005:$U$1005,1,MATCH(COLUMNS($Q$1006:U1006),$Q$1006:$U$1006,0))&gt;=100000), " ",IF(INDEX($Q$2:$U$1001,MATCH(ROWS($J$2:J494),$J$2:$J$1001,0),MATCH(COLUMNS($Q$1006:U1006),$Q$1006:$U$1006,0)), HYPERLINK("#",""), HYPERLINK(CONCATENATE("#metadata!", ADDRESS(INDEX($L$2:$L$1001,MATCH(ROWS($J$2:J494),$J$2:$J$1001,0),0), INDEX($Q$1004:$U$1004,1,MATCH(COLUMNS($Q$1006:U1006),$Q$1006:$U$1006,0)))),"Fix")))</f>
        <v xml:space="preserve"> </v>
      </c>
      <c r="J494">
        <v>493</v>
      </c>
      <c r="K494">
        <v>100494</v>
      </c>
      <c r="L494">
        <v>494</v>
      </c>
      <c r="M494" t="b">
        <f t="shared" si="7"/>
        <v>1</v>
      </c>
      <c r="N494" t="b">
        <f>COUNTBLANK(metadata!B494:F494)=COLUMNS(metadata!B494:F494)</f>
        <v>1</v>
      </c>
      <c r="O494" t="str">
        <v/>
      </c>
      <c r="Q494" t="b">
        <f ca="1">AND(IF(metadata!B494="",FALSE,TRUE),COUNTIF(metadata!B:B, metadata!B494) = 1,NOT(ISERROR(SUMPRODUCT(SEARCH(MID(metadata!B494,ROW(INDIRECT("1:"&amp;LEN(metadata!B494))), 1),"0123456789abcdefghijklmnopqrstuvwxyzABCDEFGHIJKLMNOPQRSTUVWXYZ.")))))</f>
        <v>0</v>
      </c>
      <c r="R494" t="b">
        <f>AND(IF(metadata!C494="",FALSE,TRUE),OR(EXACT(metadata!C494,"saline"),EXACT(metadata!C494,"non-saline")))</f>
        <v>0</v>
      </c>
      <c r="S494" t="b">
        <f>AND(IF(metadata!D494="",FALSE,TRUE),OR(EXACT(metadata!D494,"surface (non-saline)"),EXACT(metadata!D494,"aerosol (non-saline)"),EXACT(metadata!D494,"sediment (non-saline)"),EXACT(metadata!D494,"surface (saline)"),EXACT(metadata!D494,"aerosol (saline)"),EXACT(metadata!D494,"sediment (saline)")))</f>
        <v>0</v>
      </c>
      <c r="T494" t="b">
        <f>AND(IF(metadata!E494="",FALSE,TRUE),EXACT(metadata!E494,"built environment"))</f>
        <v>0</v>
      </c>
      <c r="U494" t="b">
        <f>OR(AND(IF(metadata!F494="",FALSE,TRUE),EXACT(metadata!F494,"not applicable")),AND(IF(metadata!F494="",FALSE,TRUE),EXACT(metadata!F494,"anaerobic digester content")))</f>
        <v>0</v>
      </c>
    </row>
    <row r="495" spans="1:21" x14ac:dyDescent="0.2">
      <c r="A495" s="4" t="str">
        <f ca="1">IF(B495=" "," ",HYPERLINK(CONCATENATE("#metadata!",ADDRESS(INDEX($L$2:$L$1001,MATCH(ROWS($J$2:J495),$J$2:$J$1001,0),0),1)),INDEX($O$2:$O$1001,MATCH(ROWS($J$2:J495),$J$2:$J$1001,0),0)))</f>
        <v xml:space="preserve"> </v>
      </c>
      <c r="B495" s="3" t="str">
        <f ca="1">IF(OR(INDEX($K$2:$K$1001,MATCH(ROWS($J$2:J495),$J$2:$J$1001,0),1)&gt;=100000,INDEX($Q$1005:$U$1005,1,MATCH(COLUMNS($Q$1006:Q1006),$Q$1006:$U$1006,0))&gt;=100000), " ",IF(INDEX($Q$2:$U$1001,MATCH(ROWS($J$2:J495),$J$2:$J$1001,0),MATCH(COLUMNS($Q$1006:Q1006),$Q$1006:$U$1006,0)), HYPERLINK("#",""), HYPERLINK(CONCATENATE("#metadata!", ADDRESS(INDEX($L$2:$L$1001,MATCH(ROWS($J$2:J495),$J$2:$J$1001,0),0), INDEX($Q$1004:$U$1004,1,MATCH(COLUMNS($Q$1006:Q1006),$Q$1006:$U$1006,0)))),"Fix")))</f>
        <v xml:space="preserve"> </v>
      </c>
      <c r="C495" s="3" t="str">
        <f ca="1">IF(OR(INDEX($K$2:$K$1001,MATCH(ROWS($J$2:J495),$J$2:$J$1001,0),1)&gt;=100000,INDEX($Q$1005:$U$1005,1,MATCH(COLUMNS($Q$1006:R1006),$Q$1006:$U$1006,0))&gt;=100000), " ",IF(INDEX($Q$2:$U$1001,MATCH(ROWS($J$2:J495),$J$2:$J$1001,0),MATCH(COLUMNS($Q$1006:R1006),$Q$1006:$U$1006,0)), HYPERLINK("#",""), HYPERLINK(CONCATENATE("#metadata!", ADDRESS(INDEX($L$2:$L$1001,MATCH(ROWS($J$2:J495),$J$2:$J$1001,0),0), INDEX($Q$1004:$U$1004,1,MATCH(COLUMNS($Q$1006:R1006),$Q$1006:$U$1006,0)))),"Fix")))</f>
        <v xml:space="preserve"> </v>
      </c>
      <c r="D495" s="3" t="str">
        <f ca="1">IF(OR(INDEX($K$2:$K$1001,MATCH(ROWS($J$2:J495),$J$2:$J$1001,0),1)&gt;=100000,INDEX($Q$1005:$U$1005,1,MATCH(COLUMNS($Q$1006:S1006),$Q$1006:$U$1006,0))&gt;=100000), " ",IF(INDEX($Q$2:$U$1001,MATCH(ROWS($J$2:J495),$J$2:$J$1001,0),MATCH(COLUMNS($Q$1006:S1006),$Q$1006:$U$1006,0)), HYPERLINK("#",""), HYPERLINK(CONCATENATE("#metadata!", ADDRESS(INDEX($L$2:$L$1001,MATCH(ROWS($J$2:J495),$J$2:$J$1001,0),0), INDEX($Q$1004:$U$1004,1,MATCH(COLUMNS($Q$1006:S1006),$Q$1006:$U$1006,0)))),"Fix")))</f>
        <v xml:space="preserve"> </v>
      </c>
      <c r="E495" s="3" t="str">
        <f ca="1">IF(OR(INDEX($K$2:$K$1001,MATCH(ROWS($J$2:J495),$J$2:$J$1001,0),1)&gt;=100000,INDEX($Q$1005:$U$1005,1,MATCH(COLUMNS($Q$1006:T1006),$Q$1006:$U$1006,0))&gt;=100000), " ",IF(INDEX($Q$2:$U$1001,MATCH(ROWS($J$2:J495),$J$2:$J$1001,0),MATCH(COLUMNS($Q$1006:T1006),$Q$1006:$U$1006,0)), HYPERLINK("#",""), HYPERLINK(CONCATENATE("#metadata!", ADDRESS(INDEX($L$2:$L$1001,MATCH(ROWS($J$2:J495),$J$2:$J$1001,0),0), INDEX($Q$1004:$U$1004,1,MATCH(COLUMNS($Q$1006:T1006),$Q$1006:$U$1006,0)))),"Fix")))</f>
        <v xml:space="preserve"> </v>
      </c>
      <c r="F495" s="3" t="str">
        <f ca="1">IF(OR(INDEX($K$2:$K$1001,MATCH(ROWS($J$2:J495),$J$2:$J$1001,0),1)&gt;=100000,INDEX($Q$1005:$U$1005,1,MATCH(COLUMNS($Q$1006:U1006),$Q$1006:$U$1006,0))&gt;=100000), " ",IF(INDEX($Q$2:$U$1001,MATCH(ROWS($J$2:J495),$J$2:$J$1001,0),MATCH(COLUMNS($Q$1006:U1006),$Q$1006:$U$1006,0)), HYPERLINK("#",""), HYPERLINK(CONCATENATE("#metadata!", ADDRESS(INDEX($L$2:$L$1001,MATCH(ROWS($J$2:J495),$J$2:$J$1001,0),0), INDEX($Q$1004:$U$1004,1,MATCH(COLUMNS($Q$1006:U1006),$Q$1006:$U$1006,0)))),"Fix")))</f>
        <v xml:space="preserve"> </v>
      </c>
      <c r="J495">
        <v>494</v>
      </c>
      <c r="K495">
        <v>100495</v>
      </c>
      <c r="L495">
        <v>495</v>
      </c>
      <c r="M495" t="b">
        <f t="shared" si="7"/>
        <v>1</v>
      </c>
      <c r="N495" t="b">
        <f>COUNTBLANK(metadata!B495:F495)=COLUMNS(metadata!B495:F495)</f>
        <v>1</v>
      </c>
      <c r="O495" t="str">
        <v/>
      </c>
      <c r="Q495" t="b">
        <f ca="1">AND(IF(metadata!B495="",FALSE,TRUE),COUNTIF(metadata!B:B, metadata!B495) = 1,NOT(ISERROR(SUMPRODUCT(SEARCH(MID(metadata!B495,ROW(INDIRECT("1:"&amp;LEN(metadata!B495))), 1),"0123456789abcdefghijklmnopqrstuvwxyzABCDEFGHIJKLMNOPQRSTUVWXYZ.")))))</f>
        <v>0</v>
      </c>
      <c r="R495" t="b">
        <f>AND(IF(metadata!C495="",FALSE,TRUE),OR(EXACT(metadata!C495,"saline"),EXACT(metadata!C495,"non-saline")))</f>
        <v>0</v>
      </c>
      <c r="S495" t="b">
        <f>AND(IF(metadata!D495="",FALSE,TRUE),OR(EXACT(metadata!D495,"surface (non-saline)"),EXACT(metadata!D495,"aerosol (non-saline)"),EXACT(metadata!D495,"sediment (non-saline)"),EXACT(metadata!D495,"surface (saline)"),EXACT(metadata!D495,"aerosol (saline)"),EXACT(metadata!D495,"sediment (saline)")))</f>
        <v>0</v>
      </c>
      <c r="T495" t="b">
        <f>AND(IF(metadata!E495="",FALSE,TRUE),EXACT(metadata!E495,"built environment"))</f>
        <v>0</v>
      </c>
      <c r="U495" t="b">
        <f>OR(AND(IF(metadata!F495="",FALSE,TRUE),EXACT(metadata!F495,"not applicable")),AND(IF(metadata!F495="",FALSE,TRUE),EXACT(metadata!F495,"anaerobic digester content")))</f>
        <v>0</v>
      </c>
    </row>
    <row r="496" spans="1:21" x14ac:dyDescent="0.2">
      <c r="A496" s="4" t="str">
        <f ca="1">IF(B496=" "," ",HYPERLINK(CONCATENATE("#metadata!",ADDRESS(INDEX($L$2:$L$1001,MATCH(ROWS($J$2:J496),$J$2:$J$1001,0),0),1)),INDEX($O$2:$O$1001,MATCH(ROWS($J$2:J496),$J$2:$J$1001,0),0)))</f>
        <v xml:space="preserve"> </v>
      </c>
      <c r="B496" s="3" t="str">
        <f ca="1">IF(OR(INDEX($K$2:$K$1001,MATCH(ROWS($J$2:J496),$J$2:$J$1001,0),1)&gt;=100000,INDEX($Q$1005:$U$1005,1,MATCH(COLUMNS($Q$1006:Q1006),$Q$1006:$U$1006,0))&gt;=100000), " ",IF(INDEX($Q$2:$U$1001,MATCH(ROWS($J$2:J496),$J$2:$J$1001,0),MATCH(COLUMNS($Q$1006:Q1006),$Q$1006:$U$1006,0)), HYPERLINK("#",""), HYPERLINK(CONCATENATE("#metadata!", ADDRESS(INDEX($L$2:$L$1001,MATCH(ROWS($J$2:J496),$J$2:$J$1001,0),0), INDEX($Q$1004:$U$1004,1,MATCH(COLUMNS($Q$1006:Q1006),$Q$1006:$U$1006,0)))),"Fix")))</f>
        <v xml:space="preserve"> </v>
      </c>
      <c r="C496" s="3" t="str">
        <f ca="1">IF(OR(INDEX($K$2:$K$1001,MATCH(ROWS($J$2:J496),$J$2:$J$1001,0),1)&gt;=100000,INDEX($Q$1005:$U$1005,1,MATCH(COLUMNS($Q$1006:R1006),$Q$1006:$U$1006,0))&gt;=100000), " ",IF(INDEX($Q$2:$U$1001,MATCH(ROWS($J$2:J496),$J$2:$J$1001,0),MATCH(COLUMNS($Q$1006:R1006),$Q$1006:$U$1006,0)), HYPERLINK("#",""), HYPERLINK(CONCATENATE("#metadata!", ADDRESS(INDEX($L$2:$L$1001,MATCH(ROWS($J$2:J496),$J$2:$J$1001,0),0), INDEX($Q$1004:$U$1004,1,MATCH(COLUMNS($Q$1006:R1006),$Q$1006:$U$1006,0)))),"Fix")))</f>
        <v xml:space="preserve"> </v>
      </c>
      <c r="D496" s="3" t="str">
        <f ca="1">IF(OR(INDEX($K$2:$K$1001,MATCH(ROWS($J$2:J496),$J$2:$J$1001,0),1)&gt;=100000,INDEX($Q$1005:$U$1005,1,MATCH(COLUMNS($Q$1006:S1006),$Q$1006:$U$1006,0))&gt;=100000), " ",IF(INDEX($Q$2:$U$1001,MATCH(ROWS($J$2:J496),$J$2:$J$1001,0),MATCH(COLUMNS($Q$1006:S1006),$Q$1006:$U$1006,0)), HYPERLINK("#",""), HYPERLINK(CONCATENATE("#metadata!", ADDRESS(INDEX($L$2:$L$1001,MATCH(ROWS($J$2:J496),$J$2:$J$1001,0),0), INDEX($Q$1004:$U$1004,1,MATCH(COLUMNS($Q$1006:S1006),$Q$1006:$U$1006,0)))),"Fix")))</f>
        <v xml:space="preserve"> </v>
      </c>
      <c r="E496" s="3" t="str">
        <f ca="1">IF(OR(INDEX($K$2:$K$1001,MATCH(ROWS($J$2:J496),$J$2:$J$1001,0),1)&gt;=100000,INDEX($Q$1005:$U$1005,1,MATCH(COLUMNS($Q$1006:T1006),$Q$1006:$U$1006,0))&gt;=100000), " ",IF(INDEX($Q$2:$U$1001,MATCH(ROWS($J$2:J496),$J$2:$J$1001,0),MATCH(COLUMNS($Q$1006:T1006),$Q$1006:$U$1006,0)), HYPERLINK("#",""), HYPERLINK(CONCATENATE("#metadata!", ADDRESS(INDEX($L$2:$L$1001,MATCH(ROWS($J$2:J496),$J$2:$J$1001,0),0), INDEX($Q$1004:$U$1004,1,MATCH(COLUMNS($Q$1006:T1006),$Q$1006:$U$1006,0)))),"Fix")))</f>
        <v xml:space="preserve"> </v>
      </c>
      <c r="F496" s="3" t="str">
        <f ca="1">IF(OR(INDEX($K$2:$K$1001,MATCH(ROWS($J$2:J496),$J$2:$J$1001,0),1)&gt;=100000,INDEX($Q$1005:$U$1005,1,MATCH(COLUMNS($Q$1006:U1006),$Q$1006:$U$1006,0))&gt;=100000), " ",IF(INDEX($Q$2:$U$1001,MATCH(ROWS($J$2:J496),$J$2:$J$1001,0),MATCH(COLUMNS($Q$1006:U1006),$Q$1006:$U$1006,0)), HYPERLINK("#",""), HYPERLINK(CONCATENATE("#metadata!", ADDRESS(INDEX($L$2:$L$1001,MATCH(ROWS($J$2:J496),$J$2:$J$1001,0),0), INDEX($Q$1004:$U$1004,1,MATCH(COLUMNS($Q$1006:U1006),$Q$1006:$U$1006,0)))),"Fix")))</f>
        <v xml:space="preserve"> </v>
      </c>
      <c r="J496">
        <v>495</v>
      </c>
      <c r="K496">
        <v>100496</v>
      </c>
      <c r="L496">
        <v>496</v>
      </c>
      <c r="M496" t="b">
        <f t="shared" si="7"/>
        <v>1</v>
      </c>
      <c r="N496" t="b">
        <f>COUNTBLANK(metadata!B496:F496)=COLUMNS(metadata!B496:F496)</f>
        <v>1</v>
      </c>
      <c r="O496" t="str">
        <v/>
      </c>
      <c r="Q496" t="b">
        <f ca="1">AND(IF(metadata!B496="",FALSE,TRUE),COUNTIF(metadata!B:B, metadata!B496) = 1,NOT(ISERROR(SUMPRODUCT(SEARCH(MID(metadata!B496,ROW(INDIRECT("1:"&amp;LEN(metadata!B496))), 1),"0123456789abcdefghijklmnopqrstuvwxyzABCDEFGHIJKLMNOPQRSTUVWXYZ.")))))</f>
        <v>0</v>
      </c>
      <c r="R496" t="b">
        <f>AND(IF(metadata!C496="",FALSE,TRUE),OR(EXACT(metadata!C496,"saline"),EXACT(metadata!C496,"non-saline")))</f>
        <v>0</v>
      </c>
      <c r="S496" t="b">
        <f>AND(IF(metadata!D496="",FALSE,TRUE),OR(EXACT(metadata!D496,"surface (non-saline)"),EXACT(metadata!D496,"aerosol (non-saline)"),EXACT(metadata!D496,"sediment (non-saline)"),EXACT(metadata!D496,"surface (saline)"),EXACT(metadata!D496,"aerosol (saline)"),EXACT(metadata!D496,"sediment (saline)")))</f>
        <v>0</v>
      </c>
      <c r="T496" t="b">
        <f>AND(IF(metadata!E496="",FALSE,TRUE),EXACT(metadata!E496,"built environment"))</f>
        <v>0</v>
      </c>
      <c r="U496" t="b">
        <f>OR(AND(IF(metadata!F496="",FALSE,TRUE),EXACT(metadata!F496,"not applicable")),AND(IF(metadata!F496="",FALSE,TRUE),EXACT(metadata!F496,"anaerobic digester content")))</f>
        <v>0</v>
      </c>
    </row>
    <row r="497" spans="1:21" x14ac:dyDescent="0.2">
      <c r="A497" s="4" t="str">
        <f ca="1">IF(B497=" "," ",HYPERLINK(CONCATENATE("#metadata!",ADDRESS(INDEX($L$2:$L$1001,MATCH(ROWS($J$2:J497),$J$2:$J$1001,0),0),1)),INDEX($O$2:$O$1001,MATCH(ROWS($J$2:J497),$J$2:$J$1001,0),0)))</f>
        <v xml:space="preserve"> </v>
      </c>
      <c r="B497" s="3" t="str">
        <f ca="1">IF(OR(INDEX($K$2:$K$1001,MATCH(ROWS($J$2:J497),$J$2:$J$1001,0),1)&gt;=100000,INDEX($Q$1005:$U$1005,1,MATCH(COLUMNS($Q$1006:Q1006),$Q$1006:$U$1006,0))&gt;=100000), " ",IF(INDEX($Q$2:$U$1001,MATCH(ROWS($J$2:J497),$J$2:$J$1001,0),MATCH(COLUMNS($Q$1006:Q1006),$Q$1006:$U$1006,0)), HYPERLINK("#",""), HYPERLINK(CONCATENATE("#metadata!", ADDRESS(INDEX($L$2:$L$1001,MATCH(ROWS($J$2:J497),$J$2:$J$1001,0),0), INDEX($Q$1004:$U$1004,1,MATCH(COLUMNS($Q$1006:Q1006),$Q$1006:$U$1006,0)))),"Fix")))</f>
        <v xml:space="preserve"> </v>
      </c>
      <c r="C497" s="3" t="str">
        <f ca="1">IF(OR(INDEX($K$2:$K$1001,MATCH(ROWS($J$2:J497),$J$2:$J$1001,0),1)&gt;=100000,INDEX($Q$1005:$U$1005,1,MATCH(COLUMNS($Q$1006:R1006),$Q$1006:$U$1006,0))&gt;=100000), " ",IF(INDEX($Q$2:$U$1001,MATCH(ROWS($J$2:J497),$J$2:$J$1001,0),MATCH(COLUMNS($Q$1006:R1006),$Q$1006:$U$1006,0)), HYPERLINK("#",""), HYPERLINK(CONCATENATE("#metadata!", ADDRESS(INDEX($L$2:$L$1001,MATCH(ROWS($J$2:J497),$J$2:$J$1001,0),0), INDEX($Q$1004:$U$1004,1,MATCH(COLUMNS($Q$1006:R1006),$Q$1006:$U$1006,0)))),"Fix")))</f>
        <v xml:space="preserve"> </v>
      </c>
      <c r="D497" s="3" t="str">
        <f ca="1">IF(OR(INDEX($K$2:$K$1001,MATCH(ROWS($J$2:J497),$J$2:$J$1001,0),1)&gt;=100000,INDEX($Q$1005:$U$1005,1,MATCH(COLUMNS($Q$1006:S1006),$Q$1006:$U$1006,0))&gt;=100000), " ",IF(INDEX($Q$2:$U$1001,MATCH(ROWS($J$2:J497),$J$2:$J$1001,0),MATCH(COLUMNS($Q$1006:S1006),$Q$1006:$U$1006,0)), HYPERLINK("#",""), HYPERLINK(CONCATENATE("#metadata!", ADDRESS(INDEX($L$2:$L$1001,MATCH(ROWS($J$2:J497),$J$2:$J$1001,0),0), INDEX($Q$1004:$U$1004,1,MATCH(COLUMNS($Q$1006:S1006),$Q$1006:$U$1006,0)))),"Fix")))</f>
        <v xml:space="preserve"> </v>
      </c>
      <c r="E497" s="3" t="str">
        <f ca="1">IF(OR(INDEX($K$2:$K$1001,MATCH(ROWS($J$2:J497),$J$2:$J$1001,0),1)&gt;=100000,INDEX($Q$1005:$U$1005,1,MATCH(COLUMNS($Q$1006:T1006),$Q$1006:$U$1006,0))&gt;=100000), " ",IF(INDEX($Q$2:$U$1001,MATCH(ROWS($J$2:J497),$J$2:$J$1001,0),MATCH(COLUMNS($Q$1006:T1006),$Q$1006:$U$1006,0)), HYPERLINK("#",""), HYPERLINK(CONCATENATE("#metadata!", ADDRESS(INDEX($L$2:$L$1001,MATCH(ROWS($J$2:J497),$J$2:$J$1001,0),0), INDEX($Q$1004:$U$1004,1,MATCH(COLUMNS($Q$1006:T1006),$Q$1006:$U$1006,0)))),"Fix")))</f>
        <v xml:space="preserve"> </v>
      </c>
      <c r="F497" s="3" t="str">
        <f ca="1">IF(OR(INDEX($K$2:$K$1001,MATCH(ROWS($J$2:J497),$J$2:$J$1001,0),1)&gt;=100000,INDEX($Q$1005:$U$1005,1,MATCH(COLUMNS($Q$1006:U1006),$Q$1006:$U$1006,0))&gt;=100000), " ",IF(INDEX($Q$2:$U$1001,MATCH(ROWS($J$2:J497),$J$2:$J$1001,0),MATCH(COLUMNS($Q$1006:U1006),$Q$1006:$U$1006,0)), HYPERLINK("#",""), HYPERLINK(CONCATENATE("#metadata!", ADDRESS(INDEX($L$2:$L$1001,MATCH(ROWS($J$2:J497),$J$2:$J$1001,0),0), INDEX($Q$1004:$U$1004,1,MATCH(COLUMNS($Q$1006:U1006),$Q$1006:$U$1006,0)))),"Fix")))</f>
        <v xml:space="preserve"> </v>
      </c>
      <c r="J497">
        <v>496</v>
      </c>
      <c r="K497">
        <v>100497</v>
      </c>
      <c r="L497">
        <v>497</v>
      </c>
      <c r="M497" t="b">
        <f t="shared" si="7"/>
        <v>1</v>
      </c>
      <c r="N497" t="b">
        <f>COUNTBLANK(metadata!B497:F497)=COLUMNS(metadata!B497:F497)</f>
        <v>1</v>
      </c>
      <c r="O497" t="str">
        <v/>
      </c>
      <c r="Q497" t="b">
        <f ca="1">AND(IF(metadata!B497="",FALSE,TRUE),COUNTIF(metadata!B:B, metadata!B497) = 1,NOT(ISERROR(SUMPRODUCT(SEARCH(MID(metadata!B497,ROW(INDIRECT("1:"&amp;LEN(metadata!B497))), 1),"0123456789abcdefghijklmnopqrstuvwxyzABCDEFGHIJKLMNOPQRSTUVWXYZ.")))))</f>
        <v>0</v>
      </c>
      <c r="R497" t="b">
        <f>AND(IF(metadata!C497="",FALSE,TRUE),OR(EXACT(metadata!C497,"saline"),EXACT(metadata!C497,"non-saline")))</f>
        <v>0</v>
      </c>
      <c r="S497" t="b">
        <f>AND(IF(metadata!D497="",FALSE,TRUE),OR(EXACT(metadata!D497,"surface (non-saline)"),EXACT(metadata!D497,"aerosol (non-saline)"),EXACT(metadata!D497,"sediment (non-saline)"),EXACT(metadata!D497,"surface (saline)"),EXACT(metadata!D497,"aerosol (saline)"),EXACT(metadata!D497,"sediment (saline)")))</f>
        <v>0</v>
      </c>
      <c r="T497" t="b">
        <f>AND(IF(metadata!E497="",FALSE,TRUE),EXACT(metadata!E497,"built environment"))</f>
        <v>0</v>
      </c>
      <c r="U497" t="b">
        <f>OR(AND(IF(metadata!F497="",FALSE,TRUE),EXACT(metadata!F497,"not applicable")),AND(IF(metadata!F497="",FALSE,TRUE),EXACT(metadata!F497,"anaerobic digester content")))</f>
        <v>0</v>
      </c>
    </row>
    <row r="498" spans="1:21" x14ac:dyDescent="0.2">
      <c r="A498" s="4" t="str">
        <f ca="1">IF(B498=" "," ",HYPERLINK(CONCATENATE("#metadata!",ADDRESS(INDEX($L$2:$L$1001,MATCH(ROWS($J$2:J498),$J$2:$J$1001,0),0),1)),INDEX($O$2:$O$1001,MATCH(ROWS($J$2:J498),$J$2:$J$1001,0),0)))</f>
        <v xml:space="preserve"> </v>
      </c>
      <c r="B498" s="3" t="str">
        <f ca="1">IF(OR(INDEX($K$2:$K$1001,MATCH(ROWS($J$2:J498),$J$2:$J$1001,0),1)&gt;=100000,INDEX($Q$1005:$U$1005,1,MATCH(COLUMNS($Q$1006:Q1006),$Q$1006:$U$1006,0))&gt;=100000), " ",IF(INDEX($Q$2:$U$1001,MATCH(ROWS($J$2:J498),$J$2:$J$1001,0),MATCH(COLUMNS($Q$1006:Q1006),$Q$1006:$U$1006,0)), HYPERLINK("#",""), HYPERLINK(CONCATENATE("#metadata!", ADDRESS(INDEX($L$2:$L$1001,MATCH(ROWS($J$2:J498),$J$2:$J$1001,0),0), INDEX($Q$1004:$U$1004,1,MATCH(COLUMNS($Q$1006:Q1006),$Q$1006:$U$1006,0)))),"Fix")))</f>
        <v xml:space="preserve"> </v>
      </c>
      <c r="C498" s="3" t="str">
        <f ca="1">IF(OR(INDEX($K$2:$K$1001,MATCH(ROWS($J$2:J498),$J$2:$J$1001,0),1)&gt;=100000,INDEX($Q$1005:$U$1005,1,MATCH(COLUMNS($Q$1006:R1006),$Q$1006:$U$1006,0))&gt;=100000), " ",IF(INDEX($Q$2:$U$1001,MATCH(ROWS($J$2:J498),$J$2:$J$1001,0),MATCH(COLUMNS($Q$1006:R1006),$Q$1006:$U$1006,0)), HYPERLINK("#",""), HYPERLINK(CONCATENATE("#metadata!", ADDRESS(INDEX($L$2:$L$1001,MATCH(ROWS($J$2:J498),$J$2:$J$1001,0),0), INDEX($Q$1004:$U$1004,1,MATCH(COLUMNS($Q$1006:R1006),$Q$1006:$U$1006,0)))),"Fix")))</f>
        <v xml:space="preserve"> </v>
      </c>
      <c r="D498" s="3" t="str">
        <f ca="1">IF(OR(INDEX($K$2:$K$1001,MATCH(ROWS($J$2:J498),$J$2:$J$1001,0),1)&gt;=100000,INDEX($Q$1005:$U$1005,1,MATCH(COLUMNS($Q$1006:S1006),$Q$1006:$U$1006,0))&gt;=100000), " ",IF(INDEX($Q$2:$U$1001,MATCH(ROWS($J$2:J498),$J$2:$J$1001,0),MATCH(COLUMNS($Q$1006:S1006),$Q$1006:$U$1006,0)), HYPERLINK("#",""), HYPERLINK(CONCATENATE("#metadata!", ADDRESS(INDEX($L$2:$L$1001,MATCH(ROWS($J$2:J498),$J$2:$J$1001,0),0), INDEX($Q$1004:$U$1004,1,MATCH(COLUMNS($Q$1006:S1006),$Q$1006:$U$1006,0)))),"Fix")))</f>
        <v xml:space="preserve"> </v>
      </c>
      <c r="E498" s="3" t="str">
        <f ca="1">IF(OR(INDEX($K$2:$K$1001,MATCH(ROWS($J$2:J498),$J$2:$J$1001,0),1)&gt;=100000,INDEX($Q$1005:$U$1005,1,MATCH(COLUMNS($Q$1006:T1006),$Q$1006:$U$1006,0))&gt;=100000), " ",IF(INDEX($Q$2:$U$1001,MATCH(ROWS($J$2:J498),$J$2:$J$1001,0),MATCH(COLUMNS($Q$1006:T1006),$Q$1006:$U$1006,0)), HYPERLINK("#",""), HYPERLINK(CONCATENATE("#metadata!", ADDRESS(INDEX($L$2:$L$1001,MATCH(ROWS($J$2:J498),$J$2:$J$1001,0),0), INDEX($Q$1004:$U$1004,1,MATCH(COLUMNS($Q$1006:T1006),$Q$1006:$U$1006,0)))),"Fix")))</f>
        <v xml:space="preserve"> </v>
      </c>
      <c r="F498" s="3" t="str">
        <f ca="1">IF(OR(INDEX($K$2:$K$1001,MATCH(ROWS($J$2:J498),$J$2:$J$1001,0),1)&gt;=100000,INDEX($Q$1005:$U$1005,1,MATCH(COLUMNS($Q$1006:U1006),$Q$1006:$U$1006,0))&gt;=100000), " ",IF(INDEX($Q$2:$U$1001,MATCH(ROWS($J$2:J498),$J$2:$J$1001,0),MATCH(COLUMNS($Q$1006:U1006),$Q$1006:$U$1006,0)), HYPERLINK("#",""), HYPERLINK(CONCATENATE("#metadata!", ADDRESS(INDEX($L$2:$L$1001,MATCH(ROWS($J$2:J498),$J$2:$J$1001,0),0), INDEX($Q$1004:$U$1004,1,MATCH(COLUMNS($Q$1006:U1006),$Q$1006:$U$1006,0)))),"Fix")))</f>
        <v xml:space="preserve"> </v>
      </c>
      <c r="J498">
        <v>497</v>
      </c>
      <c r="K498">
        <v>100498</v>
      </c>
      <c r="L498">
        <v>498</v>
      </c>
      <c r="M498" t="b">
        <f t="shared" si="7"/>
        <v>1</v>
      </c>
      <c r="N498" t="b">
        <f>COUNTBLANK(metadata!B498:F498)=COLUMNS(metadata!B498:F498)</f>
        <v>1</v>
      </c>
      <c r="O498" t="str">
        <v/>
      </c>
      <c r="Q498" t="b">
        <f ca="1">AND(IF(metadata!B498="",FALSE,TRUE),COUNTIF(metadata!B:B, metadata!B498) = 1,NOT(ISERROR(SUMPRODUCT(SEARCH(MID(metadata!B498,ROW(INDIRECT("1:"&amp;LEN(metadata!B498))), 1),"0123456789abcdefghijklmnopqrstuvwxyzABCDEFGHIJKLMNOPQRSTUVWXYZ.")))))</f>
        <v>0</v>
      </c>
      <c r="R498" t="b">
        <f>AND(IF(metadata!C498="",FALSE,TRUE),OR(EXACT(metadata!C498,"saline"),EXACT(metadata!C498,"non-saline")))</f>
        <v>0</v>
      </c>
      <c r="S498" t="b">
        <f>AND(IF(metadata!D498="",FALSE,TRUE),OR(EXACT(metadata!D498,"surface (non-saline)"),EXACT(metadata!D498,"aerosol (non-saline)"),EXACT(metadata!D498,"sediment (non-saline)"),EXACT(metadata!D498,"surface (saline)"),EXACT(metadata!D498,"aerosol (saline)"),EXACT(metadata!D498,"sediment (saline)")))</f>
        <v>0</v>
      </c>
      <c r="T498" t="b">
        <f>AND(IF(metadata!E498="",FALSE,TRUE),EXACT(metadata!E498,"built environment"))</f>
        <v>0</v>
      </c>
      <c r="U498" t="b">
        <f>OR(AND(IF(metadata!F498="",FALSE,TRUE),EXACT(metadata!F498,"not applicable")),AND(IF(metadata!F498="",FALSE,TRUE),EXACT(metadata!F498,"anaerobic digester content")))</f>
        <v>0</v>
      </c>
    </row>
    <row r="499" spans="1:21" x14ac:dyDescent="0.2">
      <c r="A499" s="4" t="str">
        <f ca="1">IF(B499=" "," ",HYPERLINK(CONCATENATE("#metadata!",ADDRESS(INDEX($L$2:$L$1001,MATCH(ROWS($J$2:J499),$J$2:$J$1001,0),0),1)),INDEX($O$2:$O$1001,MATCH(ROWS($J$2:J499),$J$2:$J$1001,0),0)))</f>
        <v xml:space="preserve"> </v>
      </c>
      <c r="B499" s="3" t="str">
        <f ca="1">IF(OR(INDEX($K$2:$K$1001,MATCH(ROWS($J$2:J499),$J$2:$J$1001,0),1)&gt;=100000,INDEX($Q$1005:$U$1005,1,MATCH(COLUMNS($Q$1006:Q1006),$Q$1006:$U$1006,0))&gt;=100000), " ",IF(INDEX($Q$2:$U$1001,MATCH(ROWS($J$2:J499),$J$2:$J$1001,0),MATCH(COLUMNS($Q$1006:Q1006),$Q$1006:$U$1006,0)), HYPERLINK("#",""), HYPERLINK(CONCATENATE("#metadata!", ADDRESS(INDEX($L$2:$L$1001,MATCH(ROWS($J$2:J499),$J$2:$J$1001,0),0), INDEX($Q$1004:$U$1004,1,MATCH(COLUMNS($Q$1006:Q1006),$Q$1006:$U$1006,0)))),"Fix")))</f>
        <v xml:space="preserve"> </v>
      </c>
      <c r="C499" s="3" t="str">
        <f ca="1">IF(OR(INDEX($K$2:$K$1001,MATCH(ROWS($J$2:J499),$J$2:$J$1001,0),1)&gt;=100000,INDEX($Q$1005:$U$1005,1,MATCH(COLUMNS($Q$1006:R1006),$Q$1006:$U$1006,0))&gt;=100000), " ",IF(INDEX($Q$2:$U$1001,MATCH(ROWS($J$2:J499),$J$2:$J$1001,0),MATCH(COLUMNS($Q$1006:R1006),$Q$1006:$U$1006,0)), HYPERLINK("#",""), HYPERLINK(CONCATENATE("#metadata!", ADDRESS(INDEX($L$2:$L$1001,MATCH(ROWS($J$2:J499),$J$2:$J$1001,0),0), INDEX($Q$1004:$U$1004,1,MATCH(COLUMNS($Q$1006:R1006),$Q$1006:$U$1006,0)))),"Fix")))</f>
        <v xml:space="preserve"> </v>
      </c>
      <c r="D499" s="3" t="str">
        <f ca="1">IF(OR(INDEX($K$2:$K$1001,MATCH(ROWS($J$2:J499),$J$2:$J$1001,0),1)&gt;=100000,INDEX($Q$1005:$U$1005,1,MATCH(COLUMNS($Q$1006:S1006),$Q$1006:$U$1006,0))&gt;=100000), " ",IF(INDEX($Q$2:$U$1001,MATCH(ROWS($J$2:J499),$J$2:$J$1001,0),MATCH(COLUMNS($Q$1006:S1006),$Q$1006:$U$1006,0)), HYPERLINK("#",""), HYPERLINK(CONCATENATE("#metadata!", ADDRESS(INDEX($L$2:$L$1001,MATCH(ROWS($J$2:J499),$J$2:$J$1001,0),0), INDEX($Q$1004:$U$1004,1,MATCH(COLUMNS($Q$1006:S1006),$Q$1006:$U$1006,0)))),"Fix")))</f>
        <v xml:space="preserve"> </v>
      </c>
      <c r="E499" s="3" t="str">
        <f ca="1">IF(OR(INDEX($K$2:$K$1001,MATCH(ROWS($J$2:J499),$J$2:$J$1001,0),1)&gt;=100000,INDEX($Q$1005:$U$1005,1,MATCH(COLUMNS($Q$1006:T1006),$Q$1006:$U$1006,0))&gt;=100000), " ",IF(INDEX($Q$2:$U$1001,MATCH(ROWS($J$2:J499),$J$2:$J$1001,0),MATCH(COLUMNS($Q$1006:T1006),$Q$1006:$U$1006,0)), HYPERLINK("#",""), HYPERLINK(CONCATENATE("#metadata!", ADDRESS(INDEX($L$2:$L$1001,MATCH(ROWS($J$2:J499),$J$2:$J$1001,0),0), INDEX($Q$1004:$U$1004,1,MATCH(COLUMNS($Q$1006:T1006),$Q$1006:$U$1006,0)))),"Fix")))</f>
        <v xml:space="preserve"> </v>
      </c>
      <c r="F499" s="3" t="str">
        <f ca="1">IF(OR(INDEX($K$2:$K$1001,MATCH(ROWS($J$2:J499),$J$2:$J$1001,0),1)&gt;=100000,INDEX($Q$1005:$U$1005,1,MATCH(COLUMNS($Q$1006:U1006),$Q$1006:$U$1006,0))&gt;=100000), " ",IF(INDEX($Q$2:$U$1001,MATCH(ROWS($J$2:J499),$J$2:$J$1001,0),MATCH(COLUMNS($Q$1006:U1006),$Q$1006:$U$1006,0)), HYPERLINK("#",""), HYPERLINK(CONCATENATE("#metadata!", ADDRESS(INDEX($L$2:$L$1001,MATCH(ROWS($J$2:J499),$J$2:$J$1001,0),0), INDEX($Q$1004:$U$1004,1,MATCH(COLUMNS($Q$1006:U1006),$Q$1006:$U$1006,0)))),"Fix")))</f>
        <v xml:space="preserve"> </v>
      </c>
      <c r="J499">
        <v>498</v>
      </c>
      <c r="K499">
        <v>100499</v>
      </c>
      <c r="L499">
        <v>499</v>
      </c>
      <c r="M499" t="b">
        <f t="shared" si="7"/>
        <v>1</v>
      </c>
      <c r="N499" t="b">
        <f>COUNTBLANK(metadata!B499:F499)=COLUMNS(metadata!B499:F499)</f>
        <v>1</v>
      </c>
      <c r="O499" t="str">
        <v/>
      </c>
      <c r="Q499" t="b">
        <f ca="1">AND(IF(metadata!B499="",FALSE,TRUE),COUNTIF(metadata!B:B, metadata!B499) = 1,NOT(ISERROR(SUMPRODUCT(SEARCH(MID(metadata!B499,ROW(INDIRECT("1:"&amp;LEN(metadata!B499))), 1),"0123456789abcdefghijklmnopqrstuvwxyzABCDEFGHIJKLMNOPQRSTUVWXYZ.")))))</f>
        <v>0</v>
      </c>
      <c r="R499" t="b">
        <f>AND(IF(metadata!C499="",FALSE,TRUE),OR(EXACT(metadata!C499,"saline"),EXACT(metadata!C499,"non-saline")))</f>
        <v>0</v>
      </c>
      <c r="S499" t="b">
        <f>AND(IF(metadata!D499="",FALSE,TRUE),OR(EXACT(metadata!D499,"surface (non-saline)"),EXACT(metadata!D499,"aerosol (non-saline)"),EXACT(metadata!D499,"sediment (non-saline)"),EXACT(metadata!D499,"surface (saline)"),EXACT(metadata!D499,"aerosol (saline)"),EXACT(metadata!D499,"sediment (saline)")))</f>
        <v>0</v>
      </c>
      <c r="T499" t="b">
        <f>AND(IF(metadata!E499="",FALSE,TRUE),EXACT(metadata!E499,"built environment"))</f>
        <v>0</v>
      </c>
      <c r="U499" t="b">
        <f>OR(AND(IF(metadata!F499="",FALSE,TRUE),EXACT(metadata!F499,"not applicable")),AND(IF(metadata!F499="",FALSE,TRUE),EXACT(metadata!F499,"anaerobic digester content")))</f>
        <v>0</v>
      </c>
    </row>
    <row r="500" spans="1:21" x14ac:dyDescent="0.2">
      <c r="A500" s="4" t="str">
        <f ca="1">IF(B500=" "," ",HYPERLINK(CONCATENATE("#metadata!",ADDRESS(INDEX($L$2:$L$1001,MATCH(ROWS($J$2:J500),$J$2:$J$1001,0),0),1)),INDEX($O$2:$O$1001,MATCH(ROWS($J$2:J500),$J$2:$J$1001,0),0)))</f>
        <v xml:space="preserve"> </v>
      </c>
      <c r="B500" s="3" t="str">
        <f ca="1">IF(OR(INDEX($K$2:$K$1001,MATCH(ROWS($J$2:J500),$J$2:$J$1001,0),1)&gt;=100000,INDEX($Q$1005:$U$1005,1,MATCH(COLUMNS($Q$1006:Q1006),$Q$1006:$U$1006,0))&gt;=100000), " ",IF(INDEX($Q$2:$U$1001,MATCH(ROWS($J$2:J500),$J$2:$J$1001,0),MATCH(COLUMNS($Q$1006:Q1006),$Q$1006:$U$1006,0)), HYPERLINK("#",""), HYPERLINK(CONCATENATE("#metadata!", ADDRESS(INDEX($L$2:$L$1001,MATCH(ROWS($J$2:J500),$J$2:$J$1001,0),0), INDEX($Q$1004:$U$1004,1,MATCH(COLUMNS($Q$1006:Q1006),$Q$1006:$U$1006,0)))),"Fix")))</f>
        <v xml:space="preserve"> </v>
      </c>
      <c r="C500" s="3" t="str">
        <f ca="1">IF(OR(INDEX($K$2:$K$1001,MATCH(ROWS($J$2:J500),$J$2:$J$1001,0),1)&gt;=100000,INDEX($Q$1005:$U$1005,1,MATCH(COLUMNS($Q$1006:R1006),$Q$1006:$U$1006,0))&gt;=100000), " ",IF(INDEX($Q$2:$U$1001,MATCH(ROWS($J$2:J500),$J$2:$J$1001,0),MATCH(COLUMNS($Q$1006:R1006),$Q$1006:$U$1006,0)), HYPERLINK("#",""), HYPERLINK(CONCATENATE("#metadata!", ADDRESS(INDEX($L$2:$L$1001,MATCH(ROWS($J$2:J500),$J$2:$J$1001,0),0), INDEX($Q$1004:$U$1004,1,MATCH(COLUMNS($Q$1006:R1006),$Q$1006:$U$1006,0)))),"Fix")))</f>
        <v xml:space="preserve"> </v>
      </c>
      <c r="D500" s="3" t="str">
        <f ca="1">IF(OR(INDEX($K$2:$K$1001,MATCH(ROWS($J$2:J500),$J$2:$J$1001,0),1)&gt;=100000,INDEX($Q$1005:$U$1005,1,MATCH(COLUMNS($Q$1006:S1006),$Q$1006:$U$1006,0))&gt;=100000), " ",IF(INDEX($Q$2:$U$1001,MATCH(ROWS($J$2:J500),$J$2:$J$1001,0),MATCH(COLUMNS($Q$1006:S1006),$Q$1006:$U$1006,0)), HYPERLINK("#",""), HYPERLINK(CONCATENATE("#metadata!", ADDRESS(INDEX($L$2:$L$1001,MATCH(ROWS($J$2:J500),$J$2:$J$1001,0),0), INDEX($Q$1004:$U$1004,1,MATCH(COLUMNS($Q$1006:S1006),$Q$1006:$U$1006,0)))),"Fix")))</f>
        <v xml:space="preserve"> </v>
      </c>
      <c r="E500" s="3" t="str">
        <f ca="1">IF(OR(INDEX($K$2:$K$1001,MATCH(ROWS($J$2:J500),$J$2:$J$1001,0),1)&gt;=100000,INDEX($Q$1005:$U$1005,1,MATCH(COLUMNS($Q$1006:T1006),$Q$1006:$U$1006,0))&gt;=100000), " ",IF(INDEX($Q$2:$U$1001,MATCH(ROWS($J$2:J500),$J$2:$J$1001,0),MATCH(COLUMNS($Q$1006:T1006),$Q$1006:$U$1006,0)), HYPERLINK("#",""), HYPERLINK(CONCATENATE("#metadata!", ADDRESS(INDEX($L$2:$L$1001,MATCH(ROWS($J$2:J500),$J$2:$J$1001,0),0), INDEX($Q$1004:$U$1004,1,MATCH(COLUMNS($Q$1006:T1006),$Q$1006:$U$1006,0)))),"Fix")))</f>
        <v xml:space="preserve"> </v>
      </c>
      <c r="F500" s="3" t="str">
        <f ca="1">IF(OR(INDEX($K$2:$K$1001,MATCH(ROWS($J$2:J500),$J$2:$J$1001,0),1)&gt;=100000,INDEX($Q$1005:$U$1005,1,MATCH(COLUMNS($Q$1006:U1006),$Q$1006:$U$1006,0))&gt;=100000), " ",IF(INDEX($Q$2:$U$1001,MATCH(ROWS($J$2:J500),$J$2:$J$1001,0),MATCH(COLUMNS($Q$1006:U1006),$Q$1006:$U$1006,0)), HYPERLINK("#",""), HYPERLINK(CONCATENATE("#metadata!", ADDRESS(INDEX($L$2:$L$1001,MATCH(ROWS($J$2:J500),$J$2:$J$1001,0),0), INDEX($Q$1004:$U$1004,1,MATCH(COLUMNS($Q$1006:U1006),$Q$1006:$U$1006,0)))),"Fix")))</f>
        <v xml:space="preserve"> </v>
      </c>
      <c r="J500">
        <v>499</v>
      </c>
      <c r="K500">
        <v>100500</v>
      </c>
      <c r="L500">
        <v>500</v>
      </c>
      <c r="M500" t="b">
        <f t="shared" si="7"/>
        <v>1</v>
      </c>
      <c r="N500" t="b">
        <f>COUNTBLANK(metadata!B500:F500)=COLUMNS(metadata!B500:F500)</f>
        <v>1</v>
      </c>
      <c r="O500" t="str">
        <v/>
      </c>
      <c r="Q500" t="b">
        <f ca="1">AND(IF(metadata!B500="",FALSE,TRUE),COUNTIF(metadata!B:B, metadata!B500) = 1,NOT(ISERROR(SUMPRODUCT(SEARCH(MID(metadata!B500,ROW(INDIRECT("1:"&amp;LEN(metadata!B500))), 1),"0123456789abcdefghijklmnopqrstuvwxyzABCDEFGHIJKLMNOPQRSTUVWXYZ.")))))</f>
        <v>0</v>
      </c>
      <c r="R500" t="b">
        <f>AND(IF(metadata!C500="",FALSE,TRUE),OR(EXACT(metadata!C500,"saline"),EXACT(metadata!C500,"non-saline")))</f>
        <v>0</v>
      </c>
      <c r="S500" t="b">
        <f>AND(IF(metadata!D500="",FALSE,TRUE),OR(EXACT(metadata!D500,"surface (non-saline)"),EXACT(metadata!D500,"aerosol (non-saline)"),EXACT(metadata!D500,"sediment (non-saline)"),EXACT(metadata!D500,"surface (saline)"),EXACT(metadata!D500,"aerosol (saline)"),EXACT(metadata!D500,"sediment (saline)")))</f>
        <v>0</v>
      </c>
      <c r="T500" t="b">
        <f>AND(IF(metadata!E500="",FALSE,TRUE),EXACT(metadata!E500,"built environment"))</f>
        <v>0</v>
      </c>
      <c r="U500" t="b">
        <f>OR(AND(IF(metadata!F500="",FALSE,TRUE),EXACT(metadata!F500,"not applicable")),AND(IF(metadata!F500="",FALSE,TRUE),EXACT(metadata!F500,"anaerobic digester content")))</f>
        <v>0</v>
      </c>
    </row>
    <row r="501" spans="1:21" x14ac:dyDescent="0.2">
      <c r="A501" s="4" t="str">
        <f ca="1">IF(B501=" "," ",HYPERLINK(CONCATENATE("#metadata!",ADDRESS(INDEX($L$2:$L$1001,MATCH(ROWS($J$2:J501),$J$2:$J$1001,0),0),1)),INDEX($O$2:$O$1001,MATCH(ROWS($J$2:J501),$J$2:$J$1001,0),0)))</f>
        <v xml:space="preserve"> </v>
      </c>
      <c r="B501" s="3" t="str">
        <f ca="1">IF(OR(INDEX($K$2:$K$1001,MATCH(ROWS($J$2:J501),$J$2:$J$1001,0),1)&gt;=100000,INDEX($Q$1005:$U$1005,1,MATCH(COLUMNS($Q$1006:Q1006),$Q$1006:$U$1006,0))&gt;=100000), " ",IF(INDEX($Q$2:$U$1001,MATCH(ROWS($J$2:J501),$J$2:$J$1001,0),MATCH(COLUMNS($Q$1006:Q1006),$Q$1006:$U$1006,0)), HYPERLINK("#",""), HYPERLINK(CONCATENATE("#metadata!", ADDRESS(INDEX($L$2:$L$1001,MATCH(ROWS($J$2:J501),$J$2:$J$1001,0),0), INDEX($Q$1004:$U$1004,1,MATCH(COLUMNS($Q$1006:Q1006),$Q$1006:$U$1006,0)))),"Fix")))</f>
        <v xml:space="preserve"> </v>
      </c>
      <c r="C501" s="3" t="str">
        <f ca="1">IF(OR(INDEX($K$2:$K$1001,MATCH(ROWS($J$2:J501),$J$2:$J$1001,0),1)&gt;=100000,INDEX($Q$1005:$U$1005,1,MATCH(COLUMNS($Q$1006:R1006),$Q$1006:$U$1006,0))&gt;=100000), " ",IF(INDEX($Q$2:$U$1001,MATCH(ROWS($J$2:J501),$J$2:$J$1001,0),MATCH(COLUMNS($Q$1006:R1006),$Q$1006:$U$1006,0)), HYPERLINK("#",""), HYPERLINK(CONCATENATE("#metadata!", ADDRESS(INDEX($L$2:$L$1001,MATCH(ROWS($J$2:J501),$J$2:$J$1001,0),0), INDEX($Q$1004:$U$1004,1,MATCH(COLUMNS($Q$1006:R1006),$Q$1006:$U$1006,0)))),"Fix")))</f>
        <v xml:space="preserve"> </v>
      </c>
      <c r="D501" s="3" t="str">
        <f ca="1">IF(OR(INDEX($K$2:$K$1001,MATCH(ROWS($J$2:J501),$J$2:$J$1001,0),1)&gt;=100000,INDEX($Q$1005:$U$1005,1,MATCH(COLUMNS($Q$1006:S1006),$Q$1006:$U$1006,0))&gt;=100000), " ",IF(INDEX($Q$2:$U$1001,MATCH(ROWS($J$2:J501),$J$2:$J$1001,0),MATCH(COLUMNS($Q$1006:S1006),$Q$1006:$U$1006,0)), HYPERLINK("#",""), HYPERLINK(CONCATENATE("#metadata!", ADDRESS(INDEX($L$2:$L$1001,MATCH(ROWS($J$2:J501),$J$2:$J$1001,0),0), INDEX($Q$1004:$U$1004,1,MATCH(COLUMNS($Q$1006:S1006),$Q$1006:$U$1006,0)))),"Fix")))</f>
        <v xml:space="preserve"> </v>
      </c>
      <c r="E501" s="3" t="str">
        <f ca="1">IF(OR(INDEX($K$2:$K$1001,MATCH(ROWS($J$2:J501),$J$2:$J$1001,0),1)&gt;=100000,INDEX($Q$1005:$U$1005,1,MATCH(COLUMNS($Q$1006:T1006),$Q$1006:$U$1006,0))&gt;=100000), " ",IF(INDEX($Q$2:$U$1001,MATCH(ROWS($J$2:J501),$J$2:$J$1001,0),MATCH(COLUMNS($Q$1006:T1006),$Q$1006:$U$1006,0)), HYPERLINK("#",""), HYPERLINK(CONCATENATE("#metadata!", ADDRESS(INDEX($L$2:$L$1001,MATCH(ROWS($J$2:J501),$J$2:$J$1001,0),0), INDEX($Q$1004:$U$1004,1,MATCH(COLUMNS($Q$1006:T1006),$Q$1006:$U$1006,0)))),"Fix")))</f>
        <v xml:space="preserve"> </v>
      </c>
      <c r="F501" s="3" t="str">
        <f ca="1">IF(OR(INDEX($K$2:$K$1001,MATCH(ROWS($J$2:J501),$J$2:$J$1001,0),1)&gt;=100000,INDEX($Q$1005:$U$1005,1,MATCH(COLUMNS($Q$1006:U1006),$Q$1006:$U$1006,0))&gt;=100000), " ",IF(INDEX($Q$2:$U$1001,MATCH(ROWS($J$2:J501),$J$2:$J$1001,0),MATCH(COLUMNS($Q$1006:U1006),$Q$1006:$U$1006,0)), HYPERLINK("#",""), HYPERLINK(CONCATENATE("#metadata!", ADDRESS(INDEX($L$2:$L$1001,MATCH(ROWS($J$2:J501),$J$2:$J$1001,0),0), INDEX($Q$1004:$U$1004,1,MATCH(COLUMNS($Q$1006:U1006),$Q$1006:$U$1006,0)))),"Fix")))</f>
        <v xml:space="preserve"> </v>
      </c>
      <c r="J501">
        <v>500</v>
      </c>
      <c r="K501">
        <v>100501</v>
      </c>
      <c r="L501">
        <v>501</v>
      </c>
      <c r="M501" t="b">
        <f t="shared" si="7"/>
        <v>1</v>
      </c>
      <c r="N501" t="b">
        <f>COUNTBLANK(metadata!B501:F501)=COLUMNS(metadata!B501:F501)</f>
        <v>1</v>
      </c>
      <c r="O501" t="str">
        <v/>
      </c>
      <c r="Q501" t="b">
        <f ca="1">AND(IF(metadata!B501="",FALSE,TRUE),COUNTIF(metadata!B:B, metadata!B501) = 1,NOT(ISERROR(SUMPRODUCT(SEARCH(MID(metadata!B501,ROW(INDIRECT("1:"&amp;LEN(metadata!B501))), 1),"0123456789abcdefghijklmnopqrstuvwxyzABCDEFGHIJKLMNOPQRSTUVWXYZ.")))))</f>
        <v>0</v>
      </c>
      <c r="R501" t="b">
        <f>AND(IF(metadata!C501="",FALSE,TRUE),OR(EXACT(metadata!C501,"saline"),EXACT(metadata!C501,"non-saline")))</f>
        <v>0</v>
      </c>
      <c r="S501" t="b">
        <f>AND(IF(metadata!D501="",FALSE,TRUE),OR(EXACT(metadata!D501,"surface (non-saline)"),EXACT(metadata!D501,"aerosol (non-saline)"),EXACT(metadata!D501,"sediment (non-saline)"),EXACT(metadata!D501,"surface (saline)"),EXACT(metadata!D501,"aerosol (saline)"),EXACT(metadata!D501,"sediment (saline)")))</f>
        <v>0</v>
      </c>
      <c r="T501" t="b">
        <f>AND(IF(metadata!E501="",FALSE,TRUE),EXACT(metadata!E501,"built environment"))</f>
        <v>0</v>
      </c>
      <c r="U501" t="b">
        <f>OR(AND(IF(metadata!F501="",FALSE,TRUE),EXACT(metadata!F501,"not applicable")),AND(IF(metadata!F501="",FALSE,TRUE),EXACT(metadata!F501,"anaerobic digester content")))</f>
        <v>0</v>
      </c>
    </row>
    <row r="502" spans="1:21" x14ac:dyDescent="0.2">
      <c r="A502" s="4" t="str">
        <f ca="1">IF(B502=" "," ",HYPERLINK(CONCATENATE("#metadata!",ADDRESS(INDEX($L$2:$L$1001,MATCH(ROWS($J$2:J502),$J$2:$J$1001,0),0),1)),INDEX($O$2:$O$1001,MATCH(ROWS($J$2:J502),$J$2:$J$1001,0),0)))</f>
        <v xml:space="preserve"> </v>
      </c>
      <c r="B502" s="3" t="str">
        <f ca="1">IF(OR(INDEX($K$2:$K$1001,MATCH(ROWS($J$2:J502),$J$2:$J$1001,0),1)&gt;=100000,INDEX($Q$1005:$U$1005,1,MATCH(COLUMNS($Q$1006:Q1006),$Q$1006:$U$1006,0))&gt;=100000), " ",IF(INDEX($Q$2:$U$1001,MATCH(ROWS($J$2:J502),$J$2:$J$1001,0),MATCH(COLUMNS($Q$1006:Q1006),$Q$1006:$U$1006,0)), HYPERLINK("#",""), HYPERLINK(CONCATENATE("#metadata!", ADDRESS(INDEX($L$2:$L$1001,MATCH(ROWS($J$2:J502),$J$2:$J$1001,0),0), INDEX($Q$1004:$U$1004,1,MATCH(COLUMNS($Q$1006:Q1006),$Q$1006:$U$1006,0)))),"Fix")))</f>
        <v xml:space="preserve"> </v>
      </c>
      <c r="C502" s="3" t="str">
        <f ca="1">IF(OR(INDEX($K$2:$K$1001,MATCH(ROWS($J$2:J502),$J$2:$J$1001,0),1)&gt;=100000,INDEX($Q$1005:$U$1005,1,MATCH(COLUMNS($Q$1006:R1006),$Q$1006:$U$1006,0))&gt;=100000), " ",IF(INDEX($Q$2:$U$1001,MATCH(ROWS($J$2:J502),$J$2:$J$1001,0),MATCH(COLUMNS($Q$1006:R1006),$Q$1006:$U$1006,0)), HYPERLINK("#",""), HYPERLINK(CONCATENATE("#metadata!", ADDRESS(INDEX($L$2:$L$1001,MATCH(ROWS($J$2:J502),$J$2:$J$1001,0),0), INDEX($Q$1004:$U$1004,1,MATCH(COLUMNS($Q$1006:R1006),$Q$1006:$U$1006,0)))),"Fix")))</f>
        <v xml:space="preserve"> </v>
      </c>
      <c r="D502" s="3" t="str">
        <f ca="1">IF(OR(INDEX($K$2:$K$1001,MATCH(ROWS($J$2:J502),$J$2:$J$1001,0),1)&gt;=100000,INDEX($Q$1005:$U$1005,1,MATCH(COLUMNS($Q$1006:S1006),$Q$1006:$U$1006,0))&gt;=100000), " ",IF(INDEX($Q$2:$U$1001,MATCH(ROWS($J$2:J502),$J$2:$J$1001,0),MATCH(COLUMNS($Q$1006:S1006),$Q$1006:$U$1006,0)), HYPERLINK("#",""), HYPERLINK(CONCATENATE("#metadata!", ADDRESS(INDEX($L$2:$L$1001,MATCH(ROWS($J$2:J502),$J$2:$J$1001,0),0), INDEX($Q$1004:$U$1004,1,MATCH(COLUMNS($Q$1006:S1006),$Q$1006:$U$1006,0)))),"Fix")))</f>
        <v xml:space="preserve"> </v>
      </c>
      <c r="E502" s="3" t="str">
        <f ca="1">IF(OR(INDEX($K$2:$K$1001,MATCH(ROWS($J$2:J502),$J$2:$J$1001,0),1)&gt;=100000,INDEX($Q$1005:$U$1005,1,MATCH(COLUMNS($Q$1006:T1006),$Q$1006:$U$1006,0))&gt;=100000), " ",IF(INDEX($Q$2:$U$1001,MATCH(ROWS($J$2:J502),$J$2:$J$1001,0),MATCH(COLUMNS($Q$1006:T1006),$Q$1006:$U$1006,0)), HYPERLINK("#",""), HYPERLINK(CONCATENATE("#metadata!", ADDRESS(INDEX($L$2:$L$1001,MATCH(ROWS($J$2:J502),$J$2:$J$1001,0),0), INDEX($Q$1004:$U$1004,1,MATCH(COLUMNS($Q$1006:T1006),$Q$1006:$U$1006,0)))),"Fix")))</f>
        <v xml:space="preserve"> </v>
      </c>
      <c r="F502" s="3" t="str">
        <f ca="1">IF(OR(INDEX($K$2:$K$1001,MATCH(ROWS($J$2:J502),$J$2:$J$1001,0),1)&gt;=100000,INDEX($Q$1005:$U$1005,1,MATCH(COLUMNS($Q$1006:U1006),$Q$1006:$U$1006,0))&gt;=100000), " ",IF(INDEX($Q$2:$U$1001,MATCH(ROWS($J$2:J502),$J$2:$J$1001,0),MATCH(COLUMNS($Q$1006:U1006),$Q$1006:$U$1006,0)), HYPERLINK("#",""), HYPERLINK(CONCATENATE("#metadata!", ADDRESS(INDEX($L$2:$L$1001,MATCH(ROWS($J$2:J502),$J$2:$J$1001,0),0), INDEX($Q$1004:$U$1004,1,MATCH(COLUMNS($Q$1006:U1006),$Q$1006:$U$1006,0)))),"Fix")))</f>
        <v xml:space="preserve"> </v>
      </c>
      <c r="J502">
        <v>501</v>
      </c>
      <c r="K502">
        <v>100502</v>
      </c>
      <c r="L502">
        <v>502</v>
      </c>
      <c r="M502" t="b">
        <f t="shared" si="7"/>
        <v>1</v>
      </c>
      <c r="N502" t="b">
        <f>COUNTBLANK(metadata!B502:F502)=COLUMNS(metadata!B502:F502)</f>
        <v>1</v>
      </c>
      <c r="O502" t="str">
        <v/>
      </c>
      <c r="Q502" t="b">
        <f ca="1">AND(IF(metadata!B502="",FALSE,TRUE),COUNTIF(metadata!B:B, metadata!B502) = 1,NOT(ISERROR(SUMPRODUCT(SEARCH(MID(metadata!B502,ROW(INDIRECT("1:"&amp;LEN(metadata!B502))), 1),"0123456789abcdefghijklmnopqrstuvwxyzABCDEFGHIJKLMNOPQRSTUVWXYZ.")))))</f>
        <v>0</v>
      </c>
      <c r="R502" t="b">
        <f>AND(IF(metadata!C502="",FALSE,TRUE),OR(EXACT(metadata!C502,"saline"),EXACT(metadata!C502,"non-saline")))</f>
        <v>0</v>
      </c>
      <c r="S502" t="b">
        <f>AND(IF(metadata!D502="",FALSE,TRUE),OR(EXACT(metadata!D502,"surface (non-saline)"),EXACT(metadata!D502,"aerosol (non-saline)"),EXACT(metadata!D502,"sediment (non-saline)"),EXACT(metadata!D502,"surface (saline)"),EXACT(metadata!D502,"aerosol (saline)"),EXACT(metadata!D502,"sediment (saline)")))</f>
        <v>0</v>
      </c>
      <c r="T502" t="b">
        <f>AND(IF(metadata!E502="",FALSE,TRUE),EXACT(metadata!E502,"built environment"))</f>
        <v>0</v>
      </c>
      <c r="U502" t="b">
        <f>OR(AND(IF(metadata!F502="",FALSE,TRUE),EXACT(metadata!F502,"not applicable")),AND(IF(metadata!F502="",FALSE,TRUE),EXACT(metadata!F502,"anaerobic digester content")))</f>
        <v>0</v>
      </c>
    </row>
    <row r="503" spans="1:21" x14ac:dyDescent="0.2">
      <c r="A503" s="4" t="str">
        <f ca="1">IF(B503=" "," ",HYPERLINK(CONCATENATE("#metadata!",ADDRESS(INDEX($L$2:$L$1001,MATCH(ROWS($J$2:J503),$J$2:$J$1001,0),0),1)),INDEX($O$2:$O$1001,MATCH(ROWS($J$2:J503),$J$2:$J$1001,0),0)))</f>
        <v xml:space="preserve"> </v>
      </c>
      <c r="B503" s="3" t="str">
        <f ca="1">IF(OR(INDEX($K$2:$K$1001,MATCH(ROWS($J$2:J503),$J$2:$J$1001,0),1)&gt;=100000,INDEX($Q$1005:$U$1005,1,MATCH(COLUMNS($Q$1006:Q1006),$Q$1006:$U$1006,0))&gt;=100000), " ",IF(INDEX($Q$2:$U$1001,MATCH(ROWS($J$2:J503),$J$2:$J$1001,0),MATCH(COLUMNS($Q$1006:Q1006),$Q$1006:$U$1006,0)), HYPERLINK("#",""), HYPERLINK(CONCATENATE("#metadata!", ADDRESS(INDEX($L$2:$L$1001,MATCH(ROWS($J$2:J503),$J$2:$J$1001,0),0), INDEX($Q$1004:$U$1004,1,MATCH(COLUMNS($Q$1006:Q1006),$Q$1006:$U$1006,0)))),"Fix")))</f>
        <v xml:space="preserve"> </v>
      </c>
      <c r="C503" s="3" t="str">
        <f ca="1">IF(OR(INDEX($K$2:$K$1001,MATCH(ROWS($J$2:J503),$J$2:$J$1001,0),1)&gt;=100000,INDEX($Q$1005:$U$1005,1,MATCH(COLUMNS($Q$1006:R1006),$Q$1006:$U$1006,0))&gt;=100000), " ",IF(INDEX($Q$2:$U$1001,MATCH(ROWS($J$2:J503),$J$2:$J$1001,0),MATCH(COLUMNS($Q$1006:R1006),$Q$1006:$U$1006,0)), HYPERLINK("#",""), HYPERLINK(CONCATENATE("#metadata!", ADDRESS(INDEX($L$2:$L$1001,MATCH(ROWS($J$2:J503),$J$2:$J$1001,0),0), INDEX($Q$1004:$U$1004,1,MATCH(COLUMNS($Q$1006:R1006),$Q$1006:$U$1006,0)))),"Fix")))</f>
        <v xml:space="preserve"> </v>
      </c>
      <c r="D503" s="3" t="str">
        <f ca="1">IF(OR(INDEX($K$2:$K$1001,MATCH(ROWS($J$2:J503),$J$2:$J$1001,0),1)&gt;=100000,INDEX($Q$1005:$U$1005,1,MATCH(COLUMNS($Q$1006:S1006),$Q$1006:$U$1006,0))&gt;=100000), " ",IF(INDEX($Q$2:$U$1001,MATCH(ROWS($J$2:J503),$J$2:$J$1001,0),MATCH(COLUMNS($Q$1006:S1006),$Q$1006:$U$1006,0)), HYPERLINK("#",""), HYPERLINK(CONCATENATE("#metadata!", ADDRESS(INDEX($L$2:$L$1001,MATCH(ROWS($J$2:J503),$J$2:$J$1001,0),0), INDEX($Q$1004:$U$1004,1,MATCH(COLUMNS($Q$1006:S1006),$Q$1006:$U$1006,0)))),"Fix")))</f>
        <v xml:space="preserve"> </v>
      </c>
      <c r="E503" s="3" t="str">
        <f ca="1">IF(OR(INDEX($K$2:$K$1001,MATCH(ROWS($J$2:J503),$J$2:$J$1001,0),1)&gt;=100000,INDEX($Q$1005:$U$1005,1,MATCH(COLUMNS($Q$1006:T1006),$Q$1006:$U$1006,0))&gt;=100000), " ",IF(INDEX($Q$2:$U$1001,MATCH(ROWS($J$2:J503),$J$2:$J$1001,0),MATCH(COLUMNS($Q$1006:T1006),$Q$1006:$U$1006,0)), HYPERLINK("#",""), HYPERLINK(CONCATENATE("#metadata!", ADDRESS(INDEX($L$2:$L$1001,MATCH(ROWS($J$2:J503),$J$2:$J$1001,0),0), INDEX($Q$1004:$U$1004,1,MATCH(COLUMNS($Q$1006:T1006),$Q$1006:$U$1006,0)))),"Fix")))</f>
        <v xml:space="preserve"> </v>
      </c>
      <c r="F503" s="3" t="str">
        <f ca="1">IF(OR(INDEX($K$2:$K$1001,MATCH(ROWS($J$2:J503),$J$2:$J$1001,0),1)&gt;=100000,INDEX($Q$1005:$U$1005,1,MATCH(COLUMNS($Q$1006:U1006),$Q$1006:$U$1006,0))&gt;=100000), " ",IF(INDEX($Q$2:$U$1001,MATCH(ROWS($J$2:J503),$J$2:$J$1001,0),MATCH(COLUMNS($Q$1006:U1006),$Q$1006:$U$1006,0)), HYPERLINK("#",""), HYPERLINK(CONCATENATE("#metadata!", ADDRESS(INDEX($L$2:$L$1001,MATCH(ROWS($J$2:J503),$J$2:$J$1001,0),0), INDEX($Q$1004:$U$1004,1,MATCH(COLUMNS($Q$1006:U1006),$Q$1006:$U$1006,0)))),"Fix")))</f>
        <v xml:space="preserve"> </v>
      </c>
      <c r="J503">
        <v>502</v>
      </c>
      <c r="K503">
        <v>100503</v>
      </c>
      <c r="L503">
        <v>503</v>
      </c>
      <c r="M503" t="b">
        <f t="shared" si="7"/>
        <v>1</v>
      </c>
      <c r="N503" t="b">
        <f>COUNTBLANK(metadata!B503:F503)=COLUMNS(metadata!B503:F503)</f>
        <v>1</v>
      </c>
      <c r="O503" t="str">
        <v/>
      </c>
      <c r="Q503" t="b">
        <f ca="1">AND(IF(metadata!B503="",FALSE,TRUE),COUNTIF(metadata!B:B, metadata!B503) = 1,NOT(ISERROR(SUMPRODUCT(SEARCH(MID(metadata!B503,ROW(INDIRECT("1:"&amp;LEN(metadata!B503))), 1),"0123456789abcdefghijklmnopqrstuvwxyzABCDEFGHIJKLMNOPQRSTUVWXYZ.")))))</f>
        <v>0</v>
      </c>
      <c r="R503" t="b">
        <f>AND(IF(metadata!C503="",FALSE,TRUE),OR(EXACT(metadata!C503,"saline"),EXACT(metadata!C503,"non-saline")))</f>
        <v>0</v>
      </c>
      <c r="S503" t="b">
        <f>AND(IF(metadata!D503="",FALSE,TRUE),OR(EXACT(metadata!D503,"surface (non-saline)"),EXACT(metadata!D503,"aerosol (non-saline)"),EXACT(metadata!D503,"sediment (non-saline)"),EXACT(metadata!D503,"surface (saline)"),EXACT(metadata!D503,"aerosol (saline)"),EXACT(metadata!D503,"sediment (saline)")))</f>
        <v>0</v>
      </c>
      <c r="T503" t="b">
        <f>AND(IF(metadata!E503="",FALSE,TRUE),EXACT(metadata!E503,"built environment"))</f>
        <v>0</v>
      </c>
      <c r="U503" t="b">
        <f>OR(AND(IF(metadata!F503="",FALSE,TRUE),EXACT(metadata!F503,"not applicable")),AND(IF(metadata!F503="",FALSE,TRUE),EXACT(metadata!F503,"anaerobic digester content")))</f>
        <v>0</v>
      </c>
    </row>
    <row r="504" spans="1:21" x14ac:dyDescent="0.2">
      <c r="A504" s="4" t="str">
        <f ca="1">IF(B504=" "," ",HYPERLINK(CONCATENATE("#metadata!",ADDRESS(INDEX($L$2:$L$1001,MATCH(ROWS($J$2:J504),$J$2:$J$1001,0),0),1)),INDEX($O$2:$O$1001,MATCH(ROWS($J$2:J504),$J$2:$J$1001,0),0)))</f>
        <v xml:space="preserve"> </v>
      </c>
      <c r="B504" s="3" t="str">
        <f ca="1">IF(OR(INDEX($K$2:$K$1001,MATCH(ROWS($J$2:J504),$J$2:$J$1001,0),1)&gt;=100000,INDEX($Q$1005:$U$1005,1,MATCH(COLUMNS($Q$1006:Q1006),$Q$1006:$U$1006,0))&gt;=100000), " ",IF(INDEX($Q$2:$U$1001,MATCH(ROWS($J$2:J504),$J$2:$J$1001,0),MATCH(COLUMNS($Q$1006:Q1006),$Q$1006:$U$1006,0)), HYPERLINK("#",""), HYPERLINK(CONCATENATE("#metadata!", ADDRESS(INDEX($L$2:$L$1001,MATCH(ROWS($J$2:J504),$J$2:$J$1001,0),0), INDEX($Q$1004:$U$1004,1,MATCH(COLUMNS($Q$1006:Q1006),$Q$1006:$U$1006,0)))),"Fix")))</f>
        <v xml:space="preserve"> </v>
      </c>
      <c r="C504" s="3" t="str">
        <f ca="1">IF(OR(INDEX($K$2:$K$1001,MATCH(ROWS($J$2:J504),$J$2:$J$1001,0),1)&gt;=100000,INDEX($Q$1005:$U$1005,1,MATCH(COLUMNS($Q$1006:R1006),$Q$1006:$U$1006,0))&gt;=100000), " ",IF(INDEX($Q$2:$U$1001,MATCH(ROWS($J$2:J504),$J$2:$J$1001,0),MATCH(COLUMNS($Q$1006:R1006),$Q$1006:$U$1006,0)), HYPERLINK("#",""), HYPERLINK(CONCATENATE("#metadata!", ADDRESS(INDEX($L$2:$L$1001,MATCH(ROWS($J$2:J504),$J$2:$J$1001,0),0), INDEX($Q$1004:$U$1004,1,MATCH(COLUMNS($Q$1006:R1006),$Q$1006:$U$1006,0)))),"Fix")))</f>
        <v xml:space="preserve"> </v>
      </c>
      <c r="D504" s="3" t="str">
        <f ca="1">IF(OR(INDEX($K$2:$K$1001,MATCH(ROWS($J$2:J504),$J$2:$J$1001,0),1)&gt;=100000,INDEX($Q$1005:$U$1005,1,MATCH(COLUMNS($Q$1006:S1006),$Q$1006:$U$1006,0))&gt;=100000), " ",IF(INDEX($Q$2:$U$1001,MATCH(ROWS($J$2:J504),$J$2:$J$1001,0),MATCH(COLUMNS($Q$1006:S1006),$Q$1006:$U$1006,0)), HYPERLINK("#",""), HYPERLINK(CONCATENATE("#metadata!", ADDRESS(INDEX($L$2:$L$1001,MATCH(ROWS($J$2:J504),$J$2:$J$1001,0),0), INDEX($Q$1004:$U$1004,1,MATCH(COLUMNS($Q$1006:S1006),$Q$1006:$U$1006,0)))),"Fix")))</f>
        <v xml:space="preserve"> </v>
      </c>
      <c r="E504" s="3" t="str">
        <f ca="1">IF(OR(INDEX($K$2:$K$1001,MATCH(ROWS($J$2:J504),$J$2:$J$1001,0),1)&gt;=100000,INDEX($Q$1005:$U$1005,1,MATCH(COLUMNS($Q$1006:T1006),$Q$1006:$U$1006,0))&gt;=100000), " ",IF(INDEX($Q$2:$U$1001,MATCH(ROWS($J$2:J504),$J$2:$J$1001,0),MATCH(COLUMNS($Q$1006:T1006),$Q$1006:$U$1006,0)), HYPERLINK("#",""), HYPERLINK(CONCATENATE("#metadata!", ADDRESS(INDEX($L$2:$L$1001,MATCH(ROWS($J$2:J504),$J$2:$J$1001,0),0), INDEX($Q$1004:$U$1004,1,MATCH(COLUMNS($Q$1006:T1006),$Q$1006:$U$1006,0)))),"Fix")))</f>
        <v xml:space="preserve"> </v>
      </c>
      <c r="F504" s="3" t="str">
        <f ca="1">IF(OR(INDEX($K$2:$K$1001,MATCH(ROWS($J$2:J504),$J$2:$J$1001,0),1)&gt;=100000,INDEX($Q$1005:$U$1005,1,MATCH(COLUMNS($Q$1006:U1006),$Q$1006:$U$1006,0))&gt;=100000), " ",IF(INDEX($Q$2:$U$1001,MATCH(ROWS($J$2:J504),$J$2:$J$1001,0),MATCH(COLUMNS($Q$1006:U1006),$Q$1006:$U$1006,0)), HYPERLINK("#",""), HYPERLINK(CONCATENATE("#metadata!", ADDRESS(INDEX($L$2:$L$1001,MATCH(ROWS($J$2:J504),$J$2:$J$1001,0),0), INDEX($Q$1004:$U$1004,1,MATCH(COLUMNS($Q$1006:U1006),$Q$1006:$U$1006,0)))),"Fix")))</f>
        <v xml:space="preserve"> </v>
      </c>
      <c r="J504">
        <v>503</v>
      </c>
      <c r="K504">
        <v>100504</v>
      </c>
      <c r="L504">
        <v>504</v>
      </c>
      <c r="M504" t="b">
        <f t="shared" si="7"/>
        <v>1</v>
      </c>
      <c r="N504" t="b">
        <f>COUNTBLANK(metadata!B504:F504)=COLUMNS(metadata!B504:F504)</f>
        <v>1</v>
      </c>
      <c r="O504" t="str">
        <v/>
      </c>
      <c r="Q504" t="b">
        <f ca="1">AND(IF(metadata!B504="",FALSE,TRUE),COUNTIF(metadata!B:B, metadata!B504) = 1,NOT(ISERROR(SUMPRODUCT(SEARCH(MID(metadata!B504,ROW(INDIRECT("1:"&amp;LEN(metadata!B504))), 1),"0123456789abcdefghijklmnopqrstuvwxyzABCDEFGHIJKLMNOPQRSTUVWXYZ.")))))</f>
        <v>0</v>
      </c>
      <c r="R504" t="b">
        <f>AND(IF(metadata!C504="",FALSE,TRUE),OR(EXACT(metadata!C504,"saline"),EXACT(metadata!C504,"non-saline")))</f>
        <v>0</v>
      </c>
      <c r="S504" t="b">
        <f>AND(IF(metadata!D504="",FALSE,TRUE),OR(EXACT(metadata!D504,"surface (non-saline)"),EXACT(metadata!D504,"aerosol (non-saline)"),EXACT(metadata!D504,"sediment (non-saline)"),EXACT(metadata!D504,"surface (saline)"),EXACT(metadata!D504,"aerosol (saline)"),EXACT(metadata!D504,"sediment (saline)")))</f>
        <v>0</v>
      </c>
      <c r="T504" t="b">
        <f>AND(IF(metadata!E504="",FALSE,TRUE),EXACT(metadata!E504,"built environment"))</f>
        <v>0</v>
      </c>
      <c r="U504" t="b">
        <f>OR(AND(IF(metadata!F504="",FALSE,TRUE),EXACT(metadata!F504,"not applicable")),AND(IF(metadata!F504="",FALSE,TRUE),EXACT(metadata!F504,"anaerobic digester content")))</f>
        <v>0</v>
      </c>
    </row>
    <row r="505" spans="1:21" x14ac:dyDescent="0.2">
      <c r="A505" s="4" t="str">
        <f ca="1">IF(B505=" "," ",HYPERLINK(CONCATENATE("#metadata!",ADDRESS(INDEX($L$2:$L$1001,MATCH(ROWS($J$2:J505),$J$2:$J$1001,0),0),1)),INDEX($O$2:$O$1001,MATCH(ROWS($J$2:J505),$J$2:$J$1001,0),0)))</f>
        <v xml:space="preserve"> </v>
      </c>
      <c r="B505" s="3" t="str">
        <f ca="1">IF(OR(INDEX($K$2:$K$1001,MATCH(ROWS($J$2:J505),$J$2:$J$1001,0),1)&gt;=100000,INDEX($Q$1005:$U$1005,1,MATCH(COLUMNS($Q$1006:Q1006),$Q$1006:$U$1006,0))&gt;=100000), " ",IF(INDEX($Q$2:$U$1001,MATCH(ROWS($J$2:J505),$J$2:$J$1001,0),MATCH(COLUMNS($Q$1006:Q1006),$Q$1006:$U$1006,0)), HYPERLINK("#",""), HYPERLINK(CONCATENATE("#metadata!", ADDRESS(INDEX($L$2:$L$1001,MATCH(ROWS($J$2:J505),$J$2:$J$1001,0),0), INDEX($Q$1004:$U$1004,1,MATCH(COLUMNS($Q$1006:Q1006),$Q$1006:$U$1006,0)))),"Fix")))</f>
        <v xml:space="preserve"> </v>
      </c>
      <c r="C505" s="3" t="str">
        <f ca="1">IF(OR(INDEX($K$2:$K$1001,MATCH(ROWS($J$2:J505),$J$2:$J$1001,0),1)&gt;=100000,INDEX($Q$1005:$U$1005,1,MATCH(COLUMNS($Q$1006:R1006),$Q$1006:$U$1006,0))&gt;=100000), " ",IF(INDEX($Q$2:$U$1001,MATCH(ROWS($J$2:J505),$J$2:$J$1001,0),MATCH(COLUMNS($Q$1006:R1006),$Q$1006:$U$1006,0)), HYPERLINK("#",""), HYPERLINK(CONCATENATE("#metadata!", ADDRESS(INDEX($L$2:$L$1001,MATCH(ROWS($J$2:J505),$J$2:$J$1001,0),0), INDEX($Q$1004:$U$1004,1,MATCH(COLUMNS($Q$1006:R1006),$Q$1006:$U$1006,0)))),"Fix")))</f>
        <v xml:space="preserve"> </v>
      </c>
      <c r="D505" s="3" t="str">
        <f ca="1">IF(OR(INDEX($K$2:$K$1001,MATCH(ROWS($J$2:J505),$J$2:$J$1001,0),1)&gt;=100000,INDEX($Q$1005:$U$1005,1,MATCH(COLUMNS($Q$1006:S1006),$Q$1006:$U$1006,0))&gt;=100000), " ",IF(INDEX($Q$2:$U$1001,MATCH(ROWS($J$2:J505),$J$2:$J$1001,0),MATCH(COLUMNS($Q$1006:S1006),$Q$1006:$U$1006,0)), HYPERLINK("#",""), HYPERLINK(CONCATENATE("#metadata!", ADDRESS(INDEX($L$2:$L$1001,MATCH(ROWS($J$2:J505),$J$2:$J$1001,0),0), INDEX($Q$1004:$U$1004,1,MATCH(COLUMNS($Q$1006:S1006),$Q$1006:$U$1006,0)))),"Fix")))</f>
        <v xml:space="preserve"> </v>
      </c>
      <c r="E505" s="3" t="str">
        <f ca="1">IF(OR(INDEX($K$2:$K$1001,MATCH(ROWS($J$2:J505),$J$2:$J$1001,0),1)&gt;=100000,INDEX($Q$1005:$U$1005,1,MATCH(COLUMNS($Q$1006:T1006),$Q$1006:$U$1006,0))&gt;=100000), " ",IF(INDEX($Q$2:$U$1001,MATCH(ROWS($J$2:J505),$J$2:$J$1001,0),MATCH(COLUMNS($Q$1006:T1006),$Q$1006:$U$1006,0)), HYPERLINK("#",""), HYPERLINK(CONCATENATE("#metadata!", ADDRESS(INDEX($L$2:$L$1001,MATCH(ROWS($J$2:J505),$J$2:$J$1001,0),0), INDEX($Q$1004:$U$1004,1,MATCH(COLUMNS($Q$1006:T1006),$Q$1006:$U$1006,0)))),"Fix")))</f>
        <v xml:space="preserve"> </v>
      </c>
      <c r="F505" s="3" t="str">
        <f ca="1">IF(OR(INDEX($K$2:$K$1001,MATCH(ROWS($J$2:J505),$J$2:$J$1001,0),1)&gt;=100000,INDEX($Q$1005:$U$1005,1,MATCH(COLUMNS($Q$1006:U1006),$Q$1006:$U$1006,0))&gt;=100000), " ",IF(INDEX($Q$2:$U$1001,MATCH(ROWS($J$2:J505),$J$2:$J$1001,0),MATCH(COLUMNS($Q$1006:U1006),$Q$1006:$U$1006,0)), HYPERLINK("#",""), HYPERLINK(CONCATENATE("#metadata!", ADDRESS(INDEX($L$2:$L$1001,MATCH(ROWS($J$2:J505),$J$2:$J$1001,0),0), INDEX($Q$1004:$U$1004,1,MATCH(COLUMNS($Q$1006:U1006),$Q$1006:$U$1006,0)))),"Fix")))</f>
        <v xml:space="preserve"> </v>
      </c>
      <c r="J505">
        <v>504</v>
      </c>
      <c r="K505">
        <v>100505</v>
      </c>
      <c r="L505">
        <v>505</v>
      </c>
      <c r="M505" t="b">
        <f t="shared" si="7"/>
        <v>1</v>
      </c>
      <c r="N505" t="b">
        <f>COUNTBLANK(metadata!B505:F505)=COLUMNS(metadata!B505:F505)</f>
        <v>1</v>
      </c>
      <c r="O505" t="str">
        <v/>
      </c>
      <c r="Q505" t="b">
        <f ca="1">AND(IF(metadata!B505="",FALSE,TRUE),COUNTIF(metadata!B:B, metadata!B505) = 1,NOT(ISERROR(SUMPRODUCT(SEARCH(MID(metadata!B505,ROW(INDIRECT("1:"&amp;LEN(metadata!B505))), 1),"0123456789abcdefghijklmnopqrstuvwxyzABCDEFGHIJKLMNOPQRSTUVWXYZ.")))))</f>
        <v>0</v>
      </c>
      <c r="R505" t="b">
        <f>AND(IF(metadata!C505="",FALSE,TRUE),OR(EXACT(metadata!C505,"saline"),EXACT(metadata!C505,"non-saline")))</f>
        <v>0</v>
      </c>
      <c r="S505" t="b">
        <f>AND(IF(metadata!D505="",FALSE,TRUE),OR(EXACT(metadata!D505,"surface (non-saline)"),EXACT(metadata!D505,"aerosol (non-saline)"),EXACT(metadata!D505,"sediment (non-saline)"),EXACT(metadata!D505,"surface (saline)"),EXACT(metadata!D505,"aerosol (saline)"),EXACT(metadata!D505,"sediment (saline)")))</f>
        <v>0</v>
      </c>
      <c r="T505" t="b">
        <f>AND(IF(metadata!E505="",FALSE,TRUE),EXACT(metadata!E505,"built environment"))</f>
        <v>0</v>
      </c>
      <c r="U505" t="b">
        <f>OR(AND(IF(metadata!F505="",FALSE,TRUE),EXACT(metadata!F505,"not applicable")),AND(IF(metadata!F505="",FALSE,TRUE),EXACT(metadata!F505,"anaerobic digester content")))</f>
        <v>0</v>
      </c>
    </row>
    <row r="506" spans="1:21" x14ac:dyDescent="0.2">
      <c r="A506" s="4" t="str">
        <f ca="1">IF(B506=" "," ",HYPERLINK(CONCATENATE("#metadata!",ADDRESS(INDEX($L$2:$L$1001,MATCH(ROWS($J$2:J506),$J$2:$J$1001,0),0),1)),INDEX($O$2:$O$1001,MATCH(ROWS($J$2:J506),$J$2:$J$1001,0),0)))</f>
        <v xml:space="preserve"> </v>
      </c>
      <c r="B506" s="3" t="str">
        <f ca="1">IF(OR(INDEX($K$2:$K$1001,MATCH(ROWS($J$2:J506),$J$2:$J$1001,0),1)&gt;=100000,INDEX($Q$1005:$U$1005,1,MATCH(COLUMNS($Q$1006:Q1006),$Q$1006:$U$1006,0))&gt;=100000), " ",IF(INDEX($Q$2:$U$1001,MATCH(ROWS($J$2:J506),$J$2:$J$1001,0),MATCH(COLUMNS($Q$1006:Q1006),$Q$1006:$U$1006,0)), HYPERLINK("#",""), HYPERLINK(CONCATENATE("#metadata!", ADDRESS(INDEX($L$2:$L$1001,MATCH(ROWS($J$2:J506),$J$2:$J$1001,0),0), INDEX($Q$1004:$U$1004,1,MATCH(COLUMNS($Q$1006:Q1006),$Q$1006:$U$1006,0)))),"Fix")))</f>
        <v xml:space="preserve"> </v>
      </c>
      <c r="C506" s="3" t="str">
        <f ca="1">IF(OR(INDEX($K$2:$K$1001,MATCH(ROWS($J$2:J506),$J$2:$J$1001,0),1)&gt;=100000,INDEX($Q$1005:$U$1005,1,MATCH(COLUMNS($Q$1006:R1006),$Q$1006:$U$1006,0))&gt;=100000), " ",IF(INDEX($Q$2:$U$1001,MATCH(ROWS($J$2:J506),$J$2:$J$1001,0),MATCH(COLUMNS($Q$1006:R1006),$Q$1006:$U$1006,0)), HYPERLINK("#",""), HYPERLINK(CONCATENATE("#metadata!", ADDRESS(INDEX($L$2:$L$1001,MATCH(ROWS($J$2:J506),$J$2:$J$1001,0),0), INDEX($Q$1004:$U$1004,1,MATCH(COLUMNS($Q$1006:R1006),$Q$1006:$U$1006,0)))),"Fix")))</f>
        <v xml:space="preserve"> </v>
      </c>
      <c r="D506" s="3" t="str">
        <f ca="1">IF(OR(INDEX($K$2:$K$1001,MATCH(ROWS($J$2:J506),$J$2:$J$1001,0),1)&gt;=100000,INDEX($Q$1005:$U$1005,1,MATCH(COLUMNS($Q$1006:S1006),$Q$1006:$U$1006,0))&gt;=100000), " ",IF(INDEX($Q$2:$U$1001,MATCH(ROWS($J$2:J506),$J$2:$J$1001,0),MATCH(COLUMNS($Q$1006:S1006),$Q$1006:$U$1006,0)), HYPERLINK("#",""), HYPERLINK(CONCATENATE("#metadata!", ADDRESS(INDEX($L$2:$L$1001,MATCH(ROWS($J$2:J506),$J$2:$J$1001,0),0), INDEX($Q$1004:$U$1004,1,MATCH(COLUMNS($Q$1006:S1006),$Q$1006:$U$1006,0)))),"Fix")))</f>
        <v xml:space="preserve"> </v>
      </c>
      <c r="E506" s="3" t="str">
        <f ca="1">IF(OR(INDEX($K$2:$K$1001,MATCH(ROWS($J$2:J506),$J$2:$J$1001,0),1)&gt;=100000,INDEX($Q$1005:$U$1005,1,MATCH(COLUMNS($Q$1006:T1006),$Q$1006:$U$1006,0))&gt;=100000), " ",IF(INDEX($Q$2:$U$1001,MATCH(ROWS($J$2:J506),$J$2:$J$1001,0),MATCH(COLUMNS($Q$1006:T1006),$Q$1006:$U$1006,0)), HYPERLINK("#",""), HYPERLINK(CONCATENATE("#metadata!", ADDRESS(INDEX($L$2:$L$1001,MATCH(ROWS($J$2:J506),$J$2:$J$1001,0),0), INDEX($Q$1004:$U$1004,1,MATCH(COLUMNS($Q$1006:T1006),$Q$1006:$U$1006,0)))),"Fix")))</f>
        <v xml:space="preserve"> </v>
      </c>
      <c r="F506" s="3" t="str">
        <f ca="1">IF(OR(INDEX($K$2:$K$1001,MATCH(ROWS($J$2:J506),$J$2:$J$1001,0),1)&gt;=100000,INDEX($Q$1005:$U$1005,1,MATCH(COLUMNS($Q$1006:U1006),$Q$1006:$U$1006,0))&gt;=100000), " ",IF(INDEX($Q$2:$U$1001,MATCH(ROWS($J$2:J506),$J$2:$J$1001,0),MATCH(COLUMNS($Q$1006:U1006),$Q$1006:$U$1006,0)), HYPERLINK("#",""), HYPERLINK(CONCATENATE("#metadata!", ADDRESS(INDEX($L$2:$L$1001,MATCH(ROWS($J$2:J506),$J$2:$J$1001,0),0), INDEX($Q$1004:$U$1004,1,MATCH(COLUMNS($Q$1006:U1006),$Q$1006:$U$1006,0)))),"Fix")))</f>
        <v xml:space="preserve"> </v>
      </c>
      <c r="J506">
        <v>505</v>
      </c>
      <c r="K506">
        <v>100506</v>
      </c>
      <c r="L506">
        <v>506</v>
      </c>
      <c r="M506" t="b">
        <f t="shared" si="7"/>
        <v>1</v>
      </c>
      <c r="N506" t="b">
        <f>COUNTBLANK(metadata!B506:F506)=COLUMNS(metadata!B506:F506)</f>
        <v>1</v>
      </c>
      <c r="O506" t="str">
        <v/>
      </c>
      <c r="Q506" t="b">
        <f ca="1">AND(IF(metadata!B506="",FALSE,TRUE),COUNTIF(metadata!B:B, metadata!B506) = 1,NOT(ISERROR(SUMPRODUCT(SEARCH(MID(metadata!B506,ROW(INDIRECT("1:"&amp;LEN(metadata!B506))), 1),"0123456789abcdefghijklmnopqrstuvwxyzABCDEFGHIJKLMNOPQRSTUVWXYZ.")))))</f>
        <v>0</v>
      </c>
      <c r="R506" t="b">
        <f>AND(IF(metadata!C506="",FALSE,TRUE),OR(EXACT(metadata!C506,"saline"),EXACT(metadata!C506,"non-saline")))</f>
        <v>0</v>
      </c>
      <c r="S506" t="b">
        <f>AND(IF(metadata!D506="",FALSE,TRUE),OR(EXACT(metadata!D506,"surface (non-saline)"),EXACT(metadata!D506,"aerosol (non-saline)"),EXACT(metadata!D506,"sediment (non-saline)"),EXACT(metadata!D506,"surface (saline)"),EXACT(metadata!D506,"aerosol (saline)"),EXACT(metadata!D506,"sediment (saline)")))</f>
        <v>0</v>
      </c>
      <c r="T506" t="b">
        <f>AND(IF(metadata!E506="",FALSE,TRUE),EXACT(metadata!E506,"built environment"))</f>
        <v>0</v>
      </c>
      <c r="U506" t="b">
        <f>OR(AND(IF(metadata!F506="",FALSE,TRUE),EXACT(metadata!F506,"not applicable")),AND(IF(metadata!F506="",FALSE,TRUE),EXACT(metadata!F506,"anaerobic digester content")))</f>
        <v>0</v>
      </c>
    </row>
    <row r="507" spans="1:21" x14ac:dyDescent="0.2">
      <c r="A507" s="4" t="str">
        <f ca="1">IF(B507=" "," ",HYPERLINK(CONCATENATE("#metadata!",ADDRESS(INDEX($L$2:$L$1001,MATCH(ROWS($J$2:J507),$J$2:$J$1001,0),0),1)),INDEX($O$2:$O$1001,MATCH(ROWS($J$2:J507),$J$2:$J$1001,0),0)))</f>
        <v xml:space="preserve"> </v>
      </c>
      <c r="B507" s="3" t="str">
        <f ca="1">IF(OR(INDEX($K$2:$K$1001,MATCH(ROWS($J$2:J507),$J$2:$J$1001,0),1)&gt;=100000,INDEX($Q$1005:$U$1005,1,MATCH(COLUMNS($Q$1006:Q1006),$Q$1006:$U$1006,0))&gt;=100000), " ",IF(INDEX($Q$2:$U$1001,MATCH(ROWS($J$2:J507),$J$2:$J$1001,0),MATCH(COLUMNS($Q$1006:Q1006),$Q$1006:$U$1006,0)), HYPERLINK("#",""), HYPERLINK(CONCATENATE("#metadata!", ADDRESS(INDEX($L$2:$L$1001,MATCH(ROWS($J$2:J507),$J$2:$J$1001,0),0), INDEX($Q$1004:$U$1004,1,MATCH(COLUMNS($Q$1006:Q1006),$Q$1006:$U$1006,0)))),"Fix")))</f>
        <v xml:space="preserve"> </v>
      </c>
      <c r="C507" s="3" t="str">
        <f ca="1">IF(OR(INDEX($K$2:$K$1001,MATCH(ROWS($J$2:J507),$J$2:$J$1001,0),1)&gt;=100000,INDEX($Q$1005:$U$1005,1,MATCH(COLUMNS($Q$1006:R1006),$Q$1006:$U$1006,0))&gt;=100000), " ",IF(INDEX($Q$2:$U$1001,MATCH(ROWS($J$2:J507),$J$2:$J$1001,0),MATCH(COLUMNS($Q$1006:R1006),$Q$1006:$U$1006,0)), HYPERLINK("#",""), HYPERLINK(CONCATENATE("#metadata!", ADDRESS(INDEX($L$2:$L$1001,MATCH(ROWS($J$2:J507),$J$2:$J$1001,0),0), INDEX($Q$1004:$U$1004,1,MATCH(COLUMNS($Q$1006:R1006),$Q$1006:$U$1006,0)))),"Fix")))</f>
        <v xml:space="preserve"> </v>
      </c>
      <c r="D507" s="3" t="str">
        <f ca="1">IF(OR(INDEX($K$2:$K$1001,MATCH(ROWS($J$2:J507),$J$2:$J$1001,0),1)&gt;=100000,INDEX($Q$1005:$U$1005,1,MATCH(COLUMNS($Q$1006:S1006),$Q$1006:$U$1006,0))&gt;=100000), " ",IF(INDEX($Q$2:$U$1001,MATCH(ROWS($J$2:J507),$J$2:$J$1001,0),MATCH(COLUMNS($Q$1006:S1006),$Q$1006:$U$1006,0)), HYPERLINK("#",""), HYPERLINK(CONCATENATE("#metadata!", ADDRESS(INDEX($L$2:$L$1001,MATCH(ROWS($J$2:J507),$J$2:$J$1001,0),0), INDEX($Q$1004:$U$1004,1,MATCH(COLUMNS($Q$1006:S1006),$Q$1006:$U$1006,0)))),"Fix")))</f>
        <v xml:space="preserve"> </v>
      </c>
      <c r="E507" s="3" t="str">
        <f ca="1">IF(OR(INDEX($K$2:$K$1001,MATCH(ROWS($J$2:J507),$J$2:$J$1001,0),1)&gt;=100000,INDEX($Q$1005:$U$1005,1,MATCH(COLUMNS($Q$1006:T1006),$Q$1006:$U$1006,0))&gt;=100000), " ",IF(INDEX($Q$2:$U$1001,MATCH(ROWS($J$2:J507),$J$2:$J$1001,0),MATCH(COLUMNS($Q$1006:T1006),$Q$1006:$U$1006,0)), HYPERLINK("#",""), HYPERLINK(CONCATENATE("#metadata!", ADDRESS(INDEX($L$2:$L$1001,MATCH(ROWS($J$2:J507),$J$2:$J$1001,0),0), INDEX($Q$1004:$U$1004,1,MATCH(COLUMNS($Q$1006:T1006),$Q$1006:$U$1006,0)))),"Fix")))</f>
        <v xml:space="preserve"> </v>
      </c>
      <c r="F507" s="3" t="str">
        <f ca="1">IF(OR(INDEX($K$2:$K$1001,MATCH(ROWS($J$2:J507),$J$2:$J$1001,0),1)&gt;=100000,INDEX($Q$1005:$U$1005,1,MATCH(COLUMNS($Q$1006:U1006),$Q$1006:$U$1006,0))&gt;=100000), " ",IF(INDEX($Q$2:$U$1001,MATCH(ROWS($J$2:J507),$J$2:$J$1001,0),MATCH(COLUMNS($Q$1006:U1006),$Q$1006:$U$1006,0)), HYPERLINK("#",""), HYPERLINK(CONCATENATE("#metadata!", ADDRESS(INDEX($L$2:$L$1001,MATCH(ROWS($J$2:J507),$J$2:$J$1001,0),0), INDEX($Q$1004:$U$1004,1,MATCH(COLUMNS($Q$1006:U1006),$Q$1006:$U$1006,0)))),"Fix")))</f>
        <v xml:space="preserve"> </v>
      </c>
      <c r="J507">
        <v>506</v>
      </c>
      <c r="K507">
        <v>100507</v>
      </c>
      <c r="L507">
        <v>507</v>
      </c>
      <c r="M507" t="b">
        <f t="shared" si="7"/>
        <v>1</v>
      </c>
      <c r="N507" t="b">
        <f>COUNTBLANK(metadata!B507:F507)=COLUMNS(metadata!B507:F507)</f>
        <v>1</v>
      </c>
      <c r="O507" t="str">
        <v/>
      </c>
      <c r="Q507" t="b">
        <f ca="1">AND(IF(metadata!B507="",FALSE,TRUE),COUNTIF(metadata!B:B, metadata!B507) = 1,NOT(ISERROR(SUMPRODUCT(SEARCH(MID(metadata!B507,ROW(INDIRECT("1:"&amp;LEN(metadata!B507))), 1),"0123456789abcdefghijklmnopqrstuvwxyzABCDEFGHIJKLMNOPQRSTUVWXYZ.")))))</f>
        <v>0</v>
      </c>
      <c r="R507" t="b">
        <f>AND(IF(metadata!C507="",FALSE,TRUE),OR(EXACT(metadata!C507,"saline"),EXACT(metadata!C507,"non-saline")))</f>
        <v>0</v>
      </c>
      <c r="S507" t="b">
        <f>AND(IF(metadata!D507="",FALSE,TRUE),OR(EXACT(metadata!D507,"surface (non-saline)"),EXACT(metadata!D507,"aerosol (non-saline)"),EXACT(metadata!D507,"sediment (non-saline)"),EXACT(metadata!D507,"surface (saline)"),EXACT(metadata!D507,"aerosol (saline)"),EXACT(metadata!D507,"sediment (saline)")))</f>
        <v>0</v>
      </c>
      <c r="T507" t="b">
        <f>AND(IF(metadata!E507="",FALSE,TRUE),EXACT(metadata!E507,"built environment"))</f>
        <v>0</v>
      </c>
      <c r="U507" t="b">
        <f>OR(AND(IF(metadata!F507="",FALSE,TRUE),EXACT(metadata!F507,"not applicable")),AND(IF(metadata!F507="",FALSE,TRUE),EXACT(metadata!F507,"anaerobic digester content")))</f>
        <v>0</v>
      </c>
    </row>
    <row r="508" spans="1:21" x14ac:dyDescent="0.2">
      <c r="A508" s="4" t="str">
        <f ca="1">IF(B508=" "," ",HYPERLINK(CONCATENATE("#metadata!",ADDRESS(INDEX($L$2:$L$1001,MATCH(ROWS($J$2:J508),$J$2:$J$1001,0),0),1)),INDEX($O$2:$O$1001,MATCH(ROWS($J$2:J508),$J$2:$J$1001,0),0)))</f>
        <v xml:space="preserve"> </v>
      </c>
      <c r="B508" s="3" t="str">
        <f ca="1">IF(OR(INDEX($K$2:$K$1001,MATCH(ROWS($J$2:J508),$J$2:$J$1001,0),1)&gt;=100000,INDEX($Q$1005:$U$1005,1,MATCH(COLUMNS($Q$1006:Q1006),$Q$1006:$U$1006,0))&gt;=100000), " ",IF(INDEX($Q$2:$U$1001,MATCH(ROWS($J$2:J508),$J$2:$J$1001,0),MATCH(COLUMNS($Q$1006:Q1006),$Q$1006:$U$1006,0)), HYPERLINK("#",""), HYPERLINK(CONCATENATE("#metadata!", ADDRESS(INDEX($L$2:$L$1001,MATCH(ROWS($J$2:J508),$J$2:$J$1001,0),0), INDEX($Q$1004:$U$1004,1,MATCH(COLUMNS($Q$1006:Q1006),$Q$1006:$U$1006,0)))),"Fix")))</f>
        <v xml:space="preserve"> </v>
      </c>
      <c r="C508" s="3" t="str">
        <f ca="1">IF(OR(INDEX($K$2:$K$1001,MATCH(ROWS($J$2:J508),$J$2:$J$1001,0),1)&gt;=100000,INDEX($Q$1005:$U$1005,1,MATCH(COLUMNS($Q$1006:R1006),$Q$1006:$U$1006,0))&gt;=100000), " ",IF(INDEX($Q$2:$U$1001,MATCH(ROWS($J$2:J508),$J$2:$J$1001,0),MATCH(COLUMNS($Q$1006:R1006),$Q$1006:$U$1006,0)), HYPERLINK("#",""), HYPERLINK(CONCATENATE("#metadata!", ADDRESS(INDEX($L$2:$L$1001,MATCH(ROWS($J$2:J508),$J$2:$J$1001,0),0), INDEX($Q$1004:$U$1004,1,MATCH(COLUMNS($Q$1006:R1006),$Q$1006:$U$1006,0)))),"Fix")))</f>
        <v xml:space="preserve"> </v>
      </c>
      <c r="D508" s="3" t="str">
        <f ca="1">IF(OR(INDEX($K$2:$K$1001,MATCH(ROWS($J$2:J508),$J$2:$J$1001,0),1)&gt;=100000,INDEX($Q$1005:$U$1005,1,MATCH(COLUMNS($Q$1006:S1006),$Q$1006:$U$1006,0))&gt;=100000), " ",IF(INDEX($Q$2:$U$1001,MATCH(ROWS($J$2:J508),$J$2:$J$1001,0),MATCH(COLUMNS($Q$1006:S1006),$Q$1006:$U$1006,0)), HYPERLINK("#",""), HYPERLINK(CONCATENATE("#metadata!", ADDRESS(INDEX($L$2:$L$1001,MATCH(ROWS($J$2:J508),$J$2:$J$1001,0),0), INDEX($Q$1004:$U$1004,1,MATCH(COLUMNS($Q$1006:S1006),$Q$1006:$U$1006,0)))),"Fix")))</f>
        <v xml:space="preserve"> </v>
      </c>
      <c r="E508" s="3" t="str">
        <f ca="1">IF(OR(INDEX($K$2:$K$1001,MATCH(ROWS($J$2:J508),$J$2:$J$1001,0),1)&gt;=100000,INDEX($Q$1005:$U$1005,1,MATCH(COLUMNS($Q$1006:T1006),$Q$1006:$U$1006,0))&gt;=100000), " ",IF(INDEX($Q$2:$U$1001,MATCH(ROWS($J$2:J508),$J$2:$J$1001,0),MATCH(COLUMNS($Q$1006:T1006),$Q$1006:$U$1006,0)), HYPERLINK("#",""), HYPERLINK(CONCATENATE("#metadata!", ADDRESS(INDEX($L$2:$L$1001,MATCH(ROWS($J$2:J508),$J$2:$J$1001,0),0), INDEX($Q$1004:$U$1004,1,MATCH(COLUMNS($Q$1006:T1006),$Q$1006:$U$1006,0)))),"Fix")))</f>
        <v xml:space="preserve"> </v>
      </c>
      <c r="F508" s="3" t="str">
        <f ca="1">IF(OR(INDEX($K$2:$K$1001,MATCH(ROWS($J$2:J508),$J$2:$J$1001,0),1)&gt;=100000,INDEX($Q$1005:$U$1005,1,MATCH(COLUMNS($Q$1006:U1006),$Q$1006:$U$1006,0))&gt;=100000), " ",IF(INDEX($Q$2:$U$1001,MATCH(ROWS($J$2:J508),$J$2:$J$1001,0),MATCH(COLUMNS($Q$1006:U1006),$Q$1006:$U$1006,0)), HYPERLINK("#",""), HYPERLINK(CONCATENATE("#metadata!", ADDRESS(INDEX($L$2:$L$1001,MATCH(ROWS($J$2:J508),$J$2:$J$1001,0),0), INDEX($Q$1004:$U$1004,1,MATCH(COLUMNS($Q$1006:U1006),$Q$1006:$U$1006,0)))),"Fix")))</f>
        <v xml:space="preserve"> </v>
      </c>
      <c r="J508">
        <v>507</v>
      </c>
      <c r="K508">
        <v>100508</v>
      </c>
      <c r="L508">
        <v>508</v>
      </c>
      <c r="M508" t="b">
        <f t="shared" si="7"/>
        <v>1</v>
      </c>
      <c r="N508" t="b">
        <f>COUNTBLANK(metadata!B508:F508)=COLUMNS(metadata!B508:F508)</f>
        <v>1</v>
      </c>
      <c r="O508" t="str">
        <v/>
      </c>
      <c r="Q508" t="b">
        <f ca="1">AND(IF(metadata!B508="",FALSE,TRUE),COUNTIF(metadata!B:B, metadata!B508) = 1,NOT(ISERROR(SUMPRODUCT(SEARCH(MID(metadata!B508,ROW(INDIRECT("1:"&amp;LEN(metadata!B508))), 1),"0123456789abcdefghijklmnopqrstuvwxyzABCDEFGHIJKLMNOPQRSTUVWXYZ.")))))</f>
        <v>0</v>
      </c>
      <c r="R508" t="b">
        <f>AND(IF(metadata!C508="",FALSE,TRUE),OR(EXACT(metadata!C508,"saline"),EXACT(metadata!C508,"non-saline")))</f>
        <v>0</v>
      </c>
      <c r="S508" t="b">
        <f>AND(IF(metadata!D508="",FALSE,TRUE),OR(EXACT(metadata!D508,"surface (non-saline)"),EXACT(metadata!D508,"aerosol (non-saline)"),EXACT(metadata!D508,"sediment (non-saline)"),EXACT(metadata!D508,"surface (saline)"),EXACT(metadata!D508,"aerosol (saline)"),EXACT(metadata!D508,"sediment (saline)")))</f>
        <v>0</v>
      </c>
      <c r="T508" t="b">
        <f>AND(IF(metadata!E508="",FALSE,TRUE),EXACT(metadata!E508,"built environment"))</f>
        <v>0</v>
      </c>
      <c r="U508" t="b">
        <f>OR(AND(IF(metadata!F508="",FALSE,TRUE),EXACT(metadata!F508,"not applicable")),AND(IF(metadata!F508="",FALSE,TRUE),EXACT(metadata!F508,"anaerobic digester content")))</f>
        <v>0</v>
      </c>
    </row>
    <row r="509" spans="1:21" x14ac:dyDescent="0.2">
      <c r="A509" s="4" t="str">
        <f ca="1">IF(B509=" "," ",HYPERLINK(CONCATENATE("#metadata!",ADDRESS(INDEX($L$2:$L$1001,MATCH(ROWS($J$2:J509),$J$2:$J$1001,0),0),1)),INDEX($O$2:$O$1001,MATCH(ROWS($J$2:J509),$J$2:$J$1001,0),0)))</f>
        <v xml:space="preserve"> </v>
      </c>
      <c r="B509" s="3" t="str">
        <f ca="1">IF(OR(INDEX($K$2:$K$1001,MATCH(ROWS($J$2:J509),$J$2:$J$1001,0),1)&gt;=100000,INDEX($Q$1005:$U$1005,1,MATCH(COLUMNS($Q$1006:Q1006),$Q$1006:$U$1006,0))&gt;=100000), " ",IF(INDEX($Q$2:$U$1001,MATCH(ROWS($J$2:J509),$J$2:$J$1001,0),MATCH(COLUMNS($Q$1006:Q1006),$Q$1006:$U$1006,0)), HYPERLINK("#",""), HYPERLINK(CONCATENATE("#metadata!", ADDRESS(INDEX($L$2:$L$1001,MATCH(ROWS($J$2:J509),$J$2:$J$1001,0),0), INDEX($Q$1004:$U$1004,1,MATCH(COLUMNS($Q$1006:Q1006),$Q$1006:$U$1006,0)))),"Fix")))</f>
        <v xml:space="preserve"> </v>
      </c>
      <c r="C509" s="3" t="str">
        <f ca="1">IF(OR(INDEX($K$2:$K$1001,MATCH(ROWS($J$2:J509),$J$2:$J$1001,0),1)&gt;=100000,INDEX($Q$1005:$U$1005,1,MATCH(COLUMNS($Q$1006:R1006),$Q$1006:$U$1006,0))&gt;=100000), " ",IF(INDEX($Q$2:$U$1001,MATCH(ROWS($J$2:J509),$J$2:$J$1001,0),MATCH(COLUMNS($Q$1006:R1006),$Q$1006:$U$1006,0)), HYPERLINK("#",""), HYPERLINK(CONCATENATE("#metadata!", ADDRESS(INDEX($L$2:$L$1001,MATCH(ROWS($J$2:J509),$J$2:$J$1001,0),0), INDEX($Q$1004:$U$1004,1,MATCH(COLUMNS($Q$1006:R1006),$Q$1006:$U$1006,0)))),"Fix")))</f>
        <v xml:space="preserve"> </v>
      </c>
      <c r="D509" s="3" t="str">
        <f ca="1">IF(OR(INDEX($K$2:$K$1001,MATCH(ROWS($J$2:J509),$J$2:$J$1001,0),1)&gt;=100000,INDEX($Q$1005:$U$1005,1,MATCH(COLUMNS($Q$1006:S1006),$Q$1006:$U$1006,0))&gt;=100000), " ",IF(INDEX($Q$2:$U$1001,MATCH(ROWS($J$2:J509),$J$2:$J$1001,0),MATCH(COLUMNS($Q$1006:S1006),$Q$1006:$U$1006,0)), HYPERLINK("#",""), HYPERLINK(CONCATENATE("#metadata!", ADDRESS(INDEX($L$2:$L$1001,MATCH(ROWS($J$2:J509),$J$2:$J$1001,0),0), INDEX($Q$1004:$U$1004,1,MATCH(COLUMNS($Q$1006:S1006),$Q$1006:$U$1006,0)))),"Fix")))</f>
        <v xml:space="preserve"> </v>
      </c>
      <c r="E509" s="3" t="str">
        <f ca="1">IF(OR(INDEX($K$2:$K$1001,MATCH(ROWS($J$2:J509),$J$2:$J$1001,0),1)&gt;=100000,INDEX($Q$1005:$U$1005,1,MATCH(COLUMNS($Q$1006:T1006),$Q$1006:$U$1006,0))&gt;=100000), " ",IF(INDEX($Q$2:$U$1001,MATCH(ROWS($J$2:J509),$J$2:$J$1001,0),MATCH(COLUMNS($Q$1006:T1006),$Q$1006:$U$1006,0)), HYPERLINK("#",""), HYPERLINK(CONCATENATE("#metadata!", ADDRESS(INDEX($L$2:$L$1001,MATCH(ROWS($J$2:J509),$J$2:$J$1001,0),0), INDEX($Q$1004:$U$1004,1,MATCH(COLUMNS($Q$1006:T1006),$Q$1006:$U$1006,0)))),"Fix")))</f>
        <v xml:space="preserve"> </v>
      </c>
      <c r="F509" s="3" t="str">
        <f ca="1">IF(OR(INDEX($K$2:$K$1001,MATCH(ROWS($J$2:J509),$J$2:$J$1001,0),1)&gt;=100000,INDEX($Q$1005:$U$1005,1,MATCH(COLUMNS($Q$1006:U1006),$Q$1006:$U$1006,0))&gt;=100000), " ",IF(INDEX($Q$2:$U$1001,MATCH(ROWS($J$2:J509),$J$2:$J$1001,0),MATCH(COLUMNS($Q$1006:U1006),$Q$1006:$U$1006,0)), HYPERLINK("#",""), HYPERLINK(CONCATENATE("#metadata!", ADDRESS(INDEX($L$2:$L$1001,MATCH(ROWS($J$2:J509),$J$2:$J$1001,0),0), INDEX($Q$1004:$U$1004,1,MATCH(COLUMNS($Q$1006:U1006),$Q$1006:$U$1006,0)))),"Fix")))</f>
        <v xml:space="preserve"> </v>
      </c>
      <c r="J509">
        <v>508</v>
      </c>
      <c r="K509">
        <v>100509</v>
      </c>
      <c r="L509">
        <v>509</v>
      </c>
      <c r="M509" t="b">
        <f t="shared" si="7"/>
        <v>1</v>
      </c>
      <c r="N509" t="b">
        <f>COUNTBLANK(metadata!B509:F509)=COLUMNS(metadata!B509:F509)</f>
        <v>1</v>
      </c>
      <c r="O509" t="str">
        <v/>
      </c>
      <c r="Q509" t="b">
        <f ca="1">AND(IF(metadata!B509="",FALSE,TRUE),COUNTIF(metadata!B:B, metadata!B509) = 1,NOT(ISERROR(SUMPRODUCT(SEARCH(MID(metadata!B509,ROW(INDIRECT("1:"&amp;LEN(metadata!B509))), 1),"0123456789abcdefghijklmnopqrstuvwxyzABCDEFGHIJKLMNOPQRSTUVWXYZ.")))))</f>
        <v>0</v>
      </c>
      <c r="R509" t="b">
        <f>AND(IF(metadata!C509="",FALSE,TRUE),OR(EXACT(metadata!C509,"saline"),EXACT(metadata!C509,"non-saline")))</f>
        <v>0</v>
      </c>
      <c r="S509" t="b">
        <f>AND(IF(metadata!D509="",FALSE,TRUE),OR(EXACT(metadata!D509,"surface (non-saline)"),EXACT(metadata!D509,"aerosol (non-saline)"),EXACT(metadata!D509,"sediment (non-saline)"),EXACT(metadata!D509,"surface (saline)"),EXACT(metadata!D509,"aerosol (saline)"),EXACT(metadata!D509,"sediment (saline)")))</f>
        <v>0</v>
      </c>
      <c r="T509" t="b">
        <f>AND(IF(metadata!E509="",FALSE,TRUE),EXACT(metadata!E509,"built environment"))</f>
        <v>0</v>
      </c>
      <c r="U509" t="b">
        <f>OR(AND(IF(metadata!F509="",FALSE,TRUE),EXACT(metadata!F509,"not applicable")),AND(IF(metadata!F509="",FALSE,TRUE),EXACT(metadata!F509,"anaerobic digester content")))</f>
        <v>0</v>
      </c>
    </row>
    <row r="510" spans="1:21" x14ac:dyDescent="0.2">
      <c r="A510" s="4" t="str">
        <f ca="1">IF(B510=" "," ",HYPERLINK(CONCATENATE("#metadata!",ADDRESS(INDEX($L$2:$L$1001,MATCH(ROWS($J$2:J510),$J$2:$J$1001,0),0),1)),INDEX($O$2:$O$1001,MATCH(ROWS($J$2:J510),$J$2:$J$1001,0),0)))</f>
        <v xml:space="preserve"> </v>
      </c>
      <c r="B510" s="3" t="str">
        <f ca="1">IF(OR(INDEX($K$2:$K$1001,MATCH(ROWS($J$2:J510),$J$2:$J$1001,0),1)&gt;=100000,INDEX($Q$1005:$U$1005,1,MATCH(COLUMNS($Q$1006:Q1006),$Q$1006:$U$1006,0))&gt;=100000), " ",IF(INDEX($Q$2:$U$1001,MATCH(ROWS($J$2:J510),$J$2:$J$1001,0),MATCH(COLUMNS($Q$1006:Q1006),$Q$1006:$U$1006,0)), HYPERLINK("#",""), HYPERLINK(CONCATENATE("#metadata!", ADDRESS(INDEX($L$2:$L$1001,MATCH(ROWS($J$2:J510),$J$2:$J$1001,0),0), INDEX($Q$1004:$U$1004,1,MATCH(COLUMNS($Q$1006:Q1006),$Q$1006:$U$1006,0)))),"Fix")))</f>
        <v xml:space="preserve"> </v>
      </c>
      <c r="C510" s="3" t="str">
        <f ca="1">IF(OR(INDEX($K$2:$K$1001,MATCH(ROWS($J$2:J510),$J$2:$J$1001,0),1)&gt;=100000,INDEX($Q$1005:$U$1005,1,MATCH(COLUMNS($Q$1006:R1006),$Q$1006:$U$1006,0))&gt;=100000), " ",IF(INDEX($Q$2:$U$1001,MATCH(ROWS($J$2:J510),$J$2:$J$1001,0),MATCH(COLUMNS($Q$1006:R1006),$Q$1006:$U$1006,0)), HYPERLINK("#",""), HYPERLINK(CONCATENATE("#metadata!", ADDRESS(INDEX($L$2:$L$1001,MATCH(ROWS($J$2:J510),$J$2:$J$1001,0),0), INDEX($Q$1004:$U$1004,1,MATCH(COLUMNS($Q$1006:R1006),$Q$1006:$U$1006,0)))),"Fix")))</f>
        <v xml:space="preserve"> </v>
      </c>
      <c r="D510" s="3" t="str">
        <f ca="1">IF(OR(INDEX($K$2:$K$1001,MATCH(ROWS($J$2:J510),$J$2:$J$1001,0),1)&gt;=100000,INDEX($Q$1005:$U$1005,1,MATCH(COLUMNS($Q$1006:S1006),$Q$1006:$U$1006,0))&gt;=100000), " ",IF(INDEX($Q$2:$U$1001,MATCH(ROWS($J$2:J510),$J$2:$J$1001,0),MATCH(COLUMNS($Q$1006:S1006),$Q$1006:$U$1006,0)), HYPERLINK("#",""), HYPERLINK(CONCATENATE("#metadata!", ADDRESS(INDEX($L$2:$L$1001,MATCH(ROWS($J$2:J510),$J$2:$J$1001,0),0), INDEX($Q$1004:$U$1004,1,MATCH(COLUMNS($Q$1006:S1006),$Q$1006:$U$1006,0)))),"Fix")))</f>
        <v xml:space="preserve"> </v>
      </c>
      <c r="E510" s="3" t="str">
        <f ca="1">IF(OR(INDEX($K$2:$K$1001,MATCH(ROWS($J$2:J510),$J$2:$J$1001,0),1)&gt;=100000,INDEX($Q$1005:$U$1005,1,MATCH(COLUMNS($Q$1006:T1006),$Q$1006:$U$1006,0))&gt;=100000), " ",IF(INDEX($Q$2:$U$1001,MATCH(ROWS($J$2:J510),$J$2:$J$1001,0),MATCH(COLUMNS($Q$1006:T1006),$Q$1006:$U$1006,0)), HYPERLINK("#",""), HYPERLINK(CONCATENATE("#metadata!", ADDRESS(INDEX($L$2:$L$1001,MATCH(ROWS($J$2:J510),$J$2:$J$1001,0),0), INDEX($Q$1004:$U$1004,1,MATCH(COLUMNS($Q$1006:T1006),$Q$1006:$U$1006,0)))),"Fix")))</f>
        <v xml:space="preserve"> </v>
      </c>
      <c r="F510" s="3" t="str">
        <f ca="1">IF(OR(INDEX($K$2:$K$1001,MATCH(ROWS($J$2:J510),$J$2:$J$1001,0),1)&gt;=100000,INDEX($Q$1005:$U$1005,1,MATCH(COLUMNS($Q$1006:U1006),$Q$1006:$U$1006,0))&gt;=100000), " ",IF(INDEX($Q$2:$U$1001,MATCH(ROWS($J$2:J510),$J$2:$J$1001,0),MATCH(COLUMNS($Q$1006:U1006),$Q$1006:$U$1006,0)), HYPERLINK("#",""), HYPERLINK(CONCATENATE("#metadata!", ADDRESS(INDEX($L$2:$L$1001,MATCH(ROWS($J$2:J510),$J$2:$J$1001,0),0), INDEX($Q$1004:$U$1004,1,MATCH(COLUMNS($Q$1006:U1006),$Q$1006:$U$1006,0)))),"Fix")))</f>
        <v xml:space="preserve"> </v>
      </c>
      <c r="J510">
        <v>509</v>
      </c>
      <c r="K510">
        <v>100510</v>
      </c>
      <c r="L510">
        <v>510</v>
      </c>
      <c r="M510" t="b">
        <f t="shared" si="7"/>
        <v>1</v>
      </c>
      <c r="N510" t="b">
        <f>COUNTBLANK(metadata!B510:F510)=COLUMNS(metadata!B510:F510)</f>
        <v>1</v>
      </c>
      <c r="O510" t="str">
        <v/>
      </c>
      <c r="Q510" t="b">
        <f ca="1">AND(IF(metadata!B510="",FALSE,TRUE),COUNTIF(metadata!B:B, metadata!B510) = 1,NOT(ISERROR(SUMPRODUCT(SEARCH(MID(metadata!B510,ROW(INDIRECT("1:"&amp;LEN(metadata!B510))), 1),"0123456789abcdefghijklmnopqrstuvwxyzABCDEFGHIJKLMNOPQRSTUVWXYZ.")))))</f>
        <v>0</v>
      </c>
      <c r="R510" t="b">
        <f>AND(IF(metadata!C510="",FALSE,TRUE),OR(EXACT(metadata!C510,"saline"),EXACT(metadata!C510,"non-saline")))</f>
        <v>0</v>
      </c>
      <c r="S510" t="b">
        <f>AND(IF(metadata!D510="",FALSE,TRUE),OR(EXACT(metadata!D510,"surface (non-saline)"),EXACT(metadata!D510,"aerosol (non-saline)"),EXACT(metadata!D510,"sediment (non-saline)"),EXACT(metadata!D510,"surface (saline)"),EXACT(metadata!D510,"aerosol (saline)"),EXACT(metadata!D510,"sediment (saline)")))</f>
        <v>0</v>
      </c>
      <c r="T510" t="b">
        <f>AND(IF(metadata!E510="",FALSE,TRUE),EXACT(metadata!E510,"built environment"))</f>
        <v>0</v>
      </c>
      <c r="U510" t="b">
        <f>OR(AND(IF(metadata!F510="",FALSE,TRUE),EXACT(metadata!F510,"not applicable")),AND(IF(metadata!F510="",FALSE,TRUE),EXACT(metadata!F510,"anaerobic digester content")))</f>
        <v>0</v>
      </c>
    </row>
    <row r="511" spans="1:21" x14ac:dyDescent="0.2">
      <c r="A511" s="4" t="str">
        <f ca="1">IF(B511=" "," ",HYPERLINK(CONCATENATE("#metadata!",ADDRESS(INDEX($L$2:$L$1001,MATCH(ROWS($J$2:J511),$J$2:$J$1001,0),0),1)),INDEX($O$2:$O$1001,MATCH(ROWS($J$2:J511),$J$2:$J$1001,0),0)))</f>
        <v xml:space="preserve"> </v>
      </c>
      <c r="B511" s="3" t="str">
        <f ca="1">IF(OR(INDEX($K$2:$K$1001,MATCH(ROWS($J$2:J511),$J$2:$J$1001,0),1)&gt;=100000,INDEX($Q$1005:$U$1005,1,MATCH(COLUMNS($Q$1006:Q1006),$Q$1006:$U$1006,0))&gt;=100000), " ",IF(INDEX($Q$2:$U$1001,MATCH(ROWS($J$2:J511),$J$2:$J$1001,0),MATCH(COLUMNS($Q$1006:Q1006),$Q$1006:$U$1006,0)), HYPERLINK("#",""), HYPERLINK(CONCATENATE("#metadata!", ADDRESS(INDEX($L$2:$L$1001,MATCH(ROWS($J$2:J511),$J$2:$J$1001,0),0), INDEX($Q$1004:$U$1004,1,MATCH(COLUMNS($Q$1006:Q1006),$Q$1006:$U$1006,0)))),"Fix")))</f>
        <v xml:space="preserve"> </v>
      </c>
      <c r="C511" s="3" t="str">
        <f ca="1">IF(OR(INDEX($K$2:$K$1001,MATCH(ROWS($J$2:J511),$J$2:$J$1001,0),1)&gt;=100000,INDEX($Q$1005:$U$1005,1,MATCH(COLUMNS($Q$1006:R1006),$Q$1006:$U$1006,0))&gt;=100000), " ",IF(INDEX($Q$2:$U$1001,MATCH(ROWS($J$2:J511),$J$2:$J$1001,0),MATCH(COLUMNS($Q$1006:R1006),$Q$1006:$U$1006,0)), HYPERLINK("#",""), HYPERLINK(CONCATENATE("#metadata!", ADDRESS(INDEX($L$2:$L$1001,MATCH(ROWS($J$2:J511),$J$2:$J$1001,0),0), INDEX($Q$1004:$U$1004,1,MATCH(COLUMNS($Q$1006:R1006),$Q$1006:$U$1006,0)))),"Fix")))</f>
        <v xml:space="preserve"> </v>
      </c>
      <c r="D511" s="3" t="str">
        <f ca="1">IF(OR(INDEX($K$2:$K$1001,MATCH(ROWS($J$2:J511),$J$2:$J$1001,0),1)&gt;=100000,INDEX($Q$1005:$U$1005,1,MATCH(COLUMNS($Q$1006:S1006),$Q$1006:$U$1006,0))&gt;=100000), " ",IF(INDEX($Q$2:$U$1001,MATCH(ROWS($J$2:J511),$J$2:$J$1001,0),MATCH(COLUMNS($Q$1006:S1006),$Q$1006:$U$1006,0)), HYPERLINK("#",""), HYPERLINK(CONCATENATE("#metadata!", ADDRESS(INDEX($L$2:$L$1001,MATCH(ROWS($J$2:J511),$J$2:$J$1001,0),0), INDEX($Q$1004:$U$1004,1,MATCH(COLUMNS($Q$1006:S1006),$Q$1006:$U$1006,0)))),"Fix")))</f>
        <v xml:space="preserve"> </v>
      </c>
      <c r="E511" s="3" t="str">
        <f ca="1">IF(OR(INDEX($K$2:$K$1001,MATCH(ROWS($J$2:J511),$J$2:$J$1001,0),1)&gt;=100000,INDEX($Q$1005:$U$1005,1,MATCH(COLUMNS($Q$1006:T1006),$Q$1006:$U$1006,0))&gt;=100000), " ",IF(INDEX($Q$2:$U$1001,MATCH(ROWS($J$2:J511),$J$2:$J$1001,0),MATCH(COLUMNS($Q$1006:T1006),$Q$1006:$U$1006,0)), HYPERLINK("#",""), HYPERLINK(CONCATENATE("#metadata!", ADDRESS(INDEX($L$2:$L$1001,MATCH(ROWS($J$2:J511),$J$2:$J$1001,0),0), INDEX($Q$1004:$U$1004,1,MATCH(COLUMNS($Q$1006:T1006),$Q$1006:$U$1006,0)))),"Fix")))</f>
        <v xml:space="preserve"> </v>
      </c>
      <c r="F511" s="3" t="str">
        <f ca="1">IF(OR(INDEX($K$2:$K$1001,MATCH(ROWS($J$2:J511),$J$2:$J$1001,0),1)&gt;=100000,INDEX($Q$1005:$U$1005,1,MATCH(COLUMNS($Q$1006:U1006),$Q$1006:$U$1006,0))&gt;=100000), " ",IF(INDEX($Q$2:$U$1001,MATCH(ROWS($J$2:J511),$J$2:$J$1001,0),MATCH(COLUMNS($Q$1006:U1006),$Q$1006:$U$1006,0)), HYPERLINK("#",""), HYPERLINK(CONCATENATE("#metadata!", ADDRESS(INDEX($L$2:$L$1001,MATCH(ROWS($J$2:J511),$J$2:$J$1001,0),0), INDEX($Q$1004:$U$1004,1,MATCH(COLUMNS($Q$1006:U1006),$Q$1006:$U$1006,0)))),"Fix")))</f>
        <v xml:space="preserve"> </v>
      </c>
      <c r="J511">
        <v>510</v>
      </c>
      <c r="K511">
        <v>100511</v>
      </c>
      <c r="L511">
        <v>511</v>
      </c>
      <c r="M511" t="b">
        <f t="shared" si="7"/>
        <v>1</v>
      </c>
      <c r="N511" t="b">
        <f>COUNTBLANK(metadata!B511:F511)=COLUMNS(metadata!B511:F511)</f>
        <v>1</v>
      </c>
      <c r="O511" t="str">
        <v/>
      </c>
      <c r="Q511" t="b">
        <f ca="1">AND(IF(metadata!B511="",FALSE,TRUE),COUNTIF(metadata!B:B, metadata!B511) = 1,NOT(ISERROR(SUMPRODUCT(SEARCH(MID(metadata!B511,ROW(INDIRECT("1:"&amp;LEN(metadata!B511))), 1),"0123456789abcdefghijklmnopqrstuvwxyzABCDEFGHIJKLMNOPQRSTUVWXYZ.")))))</f>
        <v>0</v>
      </c>
      <c r="R511" t="b">
        <f>AND(IF(metadata!C511="",FALSE,TRUE),OR(EXACT(metadata!C511,"saline"),EXACT(metadata!C511,"non-saline")))</f>
        <v>0</v>
      </c>
      <c r="S511" t="b">
        <f>AND(IF(metadata!D511="",FALSE,TRUE),OR(EXACT(metadata!D511,"surface (non-saline)"),EXACT(metadata!D511,"aerosol (non-saline)"),EXACT(metadata!D511,"sediment (non-saline)"),EXACT(metadata!D511,"surface (saline)"),EXACT(metadata!D511,"aerosol (saline)"),EXACT(metadata!D511,"sediment (saline)")))</f>
        <v>0</v>
      </c>
      <c r="T511" t="b">
        <f>AND(IF(metadata!E511="",FALSE,TRUE),EXACT(metadata!E511,"built environment"))</f>
        <v>0</v>
      </c>
      <c r="U511" t="b">
        <f>OR(AND(IF(metadata!F511="",FALSE,TRUE),EXACT(metadata!F511,"not applicable")),AND(IF(metadata!F511="",FALSE,TRUE),EXACT(metadata!F511,"anaerobic digester content")))</f>
        <v>0</v>
      </c>
    </row>
    <row r="512" spans="1:21" x14ac:dyDescent="0.2">
      <c r="A512" s="4" t="str">
        <f ca="1">IF(B512=" "," ",HYPERLINK(CONCATENATE("#metadata!",ADDRESS(INDEX($L$2:$L$1001,MATCH(ROWS($J$2:J512),$J$2:$J$1001,0),0),1)),INDEX($O$2:$O$1001,MATCH(ROWS($J$2:J512),$J$2:$J$1001,0),0)))</f>
        <v xml:space="preserve"> </v>
      </c>
      <c r="B512" s="3" t="str">
        <f ca="1">IF(OR(INDEX($K$2:$K$1001,MATCH(ROWS($J$2:J512),$J$2:$J$1001,0),1)&gt;=100000,INDEX($Q$1005:$U$1005,1,MATCH(COLUMNS($Q$1006:Q1006),$Q$1006:$U$1006,0))&gt;=100000), " ",IF(INDEX($Q$2:$U$1001,MATCH(ROWS($J$2:J512),$J$2:$J$1001,0),MATCH(COLUMNS($Q$1006:Q1006),$Q$1006:$U$1006,0)), HYPERLINK("#",""), HYPERLINK(CONCATENATE("#metadata!", ADDRESS(INDEX($L$2:$L$1001,MATCH(ROWS($J$2:J512),$J$2:$J$1001,0),0), INDEX($Q$1004:$U$1004,1,MATCH(COLUMNS($Q$1006:Q1006),$Q$1006:$U$1006,0)))),"Fix")))</f>
        <v xml:space="preserve"> </v>
      </c>
      <c r="C512" s="3" t="str">
        <f ca="1">IF(OR(INDEX($K$2:$K$1001,MATCH(ROWS($J$2:J512),$J$2:$J$1001,0),1)&gt;=100000,INDEX($Q$1005:$U$1005,1,MATCH(COLUMNS($Q$1006:R1006),$Q$1006:$U$1006,0))&gt;=100000), " ",IF(INDEX($Q$2:$U$1001,MATCH(ROWS($J$2:J512),$J$2:$J$1001,0),MATCH(COLUMNS($Q$1006:R1006),$Q$1006:$U$1006,0)), HYPERLINK("#",""), HYPERLINK(CONCATENATE("#metadata!", ADDRESS(INDEX($L$2:$L$1001,MATCH(ROWS($J$2:J512),$J$2:$J$1001,0),0), INDEX($Q$1004:$U$1004,1,MATCH(COLUMNS($Q$1006:R1006),$Q$1006:$U$1006,0)))),"Fix")))</f>
        <v xml:space="preserve"> </v>
      </c>
      <c r="D512" s="3" t="str">
        <f ca="1">IF(OR(INDEX($K$2:$K$1001,MATCH(ROWS($J$2:J512),$J$2:$J$1001,0),1)&gt;=100000,INDEX($Q$1005:$U$1005,1,MATCH(COLUMNS($Q$1006:S1006),$Q$1006:$U$1006,0))&gt;=100000), " ",IF(INDEX($Q$2:$U$1001,MATCH(ROWS($J$2:J512),$J$2:$J$1001,0),MATCH(COLUMNS($Q$1006:S1006),$Q$1006:$U$1006,0)), HYPERLINK("#",""), HYPERLINK(CONCATENATE("#metadata!", ADDRESS(INDEX($L$2:$L$1001,MATCH(ROWS($J$2:J512),$J$2:$J$1001,0),0), INDEX($Q$1004:$U$1004,1,MATCH(COLUMNS($Q$1006:S1006),$Q$1006:$U$1006,0)))),"Fix")))</f>
        <v xml:space="preserve"> </v>
      </c>
      <c r="E512" s="3" t="str">
        <f ca="1">IF(OR(INDEX($K$2:$K$1001,MATCH(ROWS($J$2:J512),$J$2:$J$1001,0),1)&gt;=100000,INDEX($Q$1005:$U$1005,1,MATCH(COLUMNS($Q$1006:T1006),$Q$1006:$U$1006,0))&gt;=100000), " ",IF(INDEX($Q$2:$U$1001,MATCH(ROWS($J$2:J512),$J$2:$J$1001,0),MATCH(COLUMNS($Q$1006:T1006),$Q$1006:$U$1006,0)), HYPERLINK("#",""), HYPERLINK(CONCATENATE("#metadata!", ADDRESS(INDEX($L$2:$L$1001,MATCH(ROWS($J$2:J512),$J$2:$J$1001,0),0), INDEX($Q$1004:$U$1004,1,MATCH(COLUMNS($Q$1006:T1006),$Q$1006:$U$1006,0)))),"Fix")))</f>
        <v xml:space="preserve"> </v>
      </c>
      <c r="F512" s="3" t="str">
        <f ca="1">IF(OR(INDEX($K$2:$K$1001,MATCH(ROWS($J$2:J512),$J$2:$J$1001,0),1)&gt;=100000,INDEX($Q$1005:$U$1005,1,MATCH(COLUMNS($Q$1006:U1006),$Q$1006:$U$1006,0))&gt;=100000), " ",IF(INDEX($Q$2:$U$1001,MATCH(ROWS($J$2:J512),$J$2:$J$1001,0),MATCH(COLUMNS($Q$1006:U1006),$Q$1006:$U$1006,0)), HYPERLINK("#",""), HYPERLINK(CONCATENATE("#metadata!", ADDRESS(INDEX($L$2:$L$1001,MATCH(ROWS($J$2:J512),$J$2:$J$1001,0),0), INDEX($Q$1004:$U$1004,1,MATCH(COLUMNS($Q$1006:U1006),$Q$1006:$U$1006,0)))),"Fix")))</f>
        <v xml:space="preserve"> </v>
      </c>
      <c r="J512">
        <v>511</v>
      </c>
      <c r="K512">
        <v>100512</v>
      </c>
      <c r="L512">
        <v>512</v>
      </c>
      <c r="M512" t="b">
        <f t="shared" si="7"/>
        <v>1</v>
      </c>
      <c r="N512" t="b">
        <f>COUNTBLANK(metadata!B512:F512)=COLUMNS(metadata!B512:F512)</f>
        <v>1</v>
      </c>
      <c r="O512" t="str">
        <v/>
      </c>
      <c r="Q512" t="b">
        <f ca="1">AND(IF(metadata!B512="",FALSE,TRUE),COUNTIF(metadata!B:B, metadata!B512) = 1,NOT(ISERROR(SUMPRODUCT(SEARCH(MID(metadata!B512,ROW(INDIRECT("1:"&amp;LEN(metadata!B512))), 1),"0123456789abcdefghijklmnopqrstuvwxyzABCDEFGHIJKLMNOPQRSTUVWXYZ.")))))</f>
        <v>0</v>
      </c>
      <c r="R512" t="b">
        <f>AND(IF(metadata!C512="",FALSE,TRUE),OR(EXACT(metadata!C512,"saline"),EXACT(metadata!C512,"non-saline")))</f>
        <v>0</v>
      </c>
      <c r="S512" t="b">
        <f>AND(IF(metadata!D512="",FALSE,TRUE),OR(EXACT(metadata!D512,"surface (non-saline)"),EXACT(metadata!D512,"aerosol (non-saline)"),EXACT(metadata!D512,"sediment (non-saline)"),EXACT(metadata!D512,"surface (saline)"),EXACT(metadata!D512,"aerosol (saline)"),EXACT(metadata!D512,"sediment (saline)")))</f>
        <v>0</v>
      </c>
      <c r="T512" t="b">
        <f>AND(IF(metadata!E512="",FALSE,TRUE),EXACT(metadata!E512,"built environment"))</f>
        <v>0</v>
      </c>
      <c r="U512" t="b">
        <f>OR(AND(IF(metadata!F512="",FALSE,TRUE),EXACT(metadata!F512,"not applicable")),AND(IF(metadata!F512="",FALSE,TRUE),EXACT(metadata!F512,"anaerobic digester content")))</f>
        <v>0</v>
      </c>
    </row>
    <row r="513" spans="1:21" x14ac:dyDescent="0.2">
      <c r="A513" s="4" t="str">
        <f ca="1">IF(B513=" "," ",HYPERLINK(CONCATENATE("#metadata!",ADDRESS(INDEX($L$2:$L$1001,MATCH(ROWS($J$2:J513),$J$2:$J$1001,0),0),1)),INDEX($O$2:$O$1001,MATCH(ROWS($J$2:J513),$J$2:$J$1001,0),0)))</f>
        <v xml:space="preserve"> </v>
      </c>
      <c r="B513" s="3" t="str">
        <f ca="1">IF(OR(INDEX($K$2:$K$1001,MATCH(ROWS($J$2:J513),$J$2:$J$1001,0),1)&gt;=100000,INDEX($Q$1005:$U$1005,1,MATCH(COLUMNS($Q$1006:Q1006),$Q$1006:$U$1006,0))&gt;=100000), " ",IF(INDEX($Q$2:$U$1001,MATCH(ROWS($J$2:J513),$J$2:$J$1001,0),MATCH(COLUMNS($Q$1006:Q1006),$Q$1006:$U$1006,0)), HYPERLINK("#",""), HYPERLINK(CONCATENATE("#metadata!", ADDRESS(INDEX($L$2:$L$1001,MATCH(ROWS($J$2:J513),$J$2:$J$1001,0),0), INDEX($Q$1004:$U$1004,1,MATCH(COLUMNS($Q$1006:Q1006),$Q$1006:$U$1006,0)))),"Fix")))</f>
        <v xml:space="preserve"> </v>
      </c>
      <c r="C513" s="3" t="str">
        <f ca="1">IF(OR(INDEX($K$2:$K$1001,MATCH(ROWS($J$2:J513),$J$2:$J$1001,0),1)&gt;=100000,INDEX($Q$1005:$U$1005,1,MATCH(COLUMNS($Q$1006:R1006),$Q$1006:$U$1006,0))&gt;=100000), " ",IF(INDEX($Q$2:$U$1001,MATCH(ROWS($J$2:J513),$J$2:$J$1001,0),MATCH(COLUMNS($Q$1006:R1006),$Q$1006:$U$1006,0)), HYPERLINK("#",""), HYPERLINK(CONCATENATE("#metadata!", ADDRESS(INDEX($L$2:$L$1001,MATCH(ROWS($J$2:J513),$J$2:$J$1001,0),0), INDEX($Q$1004:$U$1004,1,MATCH(COLUMNS($Q$1006:R1006),$Q$1006:$U$1006,0)))),"Fix")))</f>
        <v xml:space="preserve"> </v>
      </c>
      <c r="D513" s="3" t="str">
        <f ca="1">IF(OR(INDEX($K$2:$K$1001,MATCH(ROWS($J$2:J513),$J$2:$J$1001,0),1)&gt;=100000,INDEX($Q$1005:$U$1005,1,MATCH(COLUMNS($Q$1006:S1006),$Q$1006:$U$1006,0))&gt;=100000), " ",IF(INDEX($Q$2:$U$1001,MATCH(ROWS($J$2:J513),$J$2:$J$1001,0),MATCH(COLUMNS($Q$1006:S1006),$Q$1006:$U$1006,0)), HYPERLINK("#",""), HYPERLINK(CONCATENATE("#metadata!", ADDRESS(INDEX($L$2:$L$1001,MATCH(ROWS($J$2:J513),$J$2:$J$1001,0),0), INDEX($Q$1004:$U$1004,1,MATCH(COLUMNS($Q$1006:S1006),$Q$1006:$U$1006,0)))),"Fix")))</f>
        <v xml:space="preserve"> </v>
      </c>
      <c r="E513" s="3" t="str">
        <f ca="1">IF(OR(INDEX($K$2:$K$1001,MATCH(ROWS($J$2:J513),$J$2:$J$1001,0),1)&gt;=100000,INDEX($Q$1005:$U$1005,1,MATCH(COLUMNS($Q$1006:T1006),$Q$1006:$U$1006,0))&gt;=100000), " ",IF(INDEX($Q$2:$U$1001,MATCH(ROWS($J$2:J513),$J$2:$J$1001,0),MATCH(COLUMNS($Q$1006:T1006),$Q$1006:$U$1006,0)), HYPERLINK("#",""), HYPERLINK(CONCATENATE("#metadata!", ADDRESS(INDEX($L$2:$L$1001,MATCH(ROWS($J$2:J513),$J$2:$J$1001,0),0), INDEX($Q$1004:$U$1004,1,MATCH(COLUMNS($Q$1006:T1006),$Q$1006:$U$1006,0)))),"Fix")))</f>
        <v xml:space="preserve"> </v>
      </c>
      <c r="F513" s="3" t="str">
        <f ca="1">IF(OR(INDEX($K$2:$K$1001,MATCH(ROWS($J$2:J513),$J$2:$J$1001,0),1)&gt;=100000,INDEX($Q$1005:$U$1005,1,MATCH(COLUMNS($Q$1006:U1006),$Q$1006:$U$1006,0))&gt;=100000), " ",IF(INDEX($Q$2:$U$1001,MATCH(ROWS($J$2:J513),$J$2:$J$1001,0),MATCH(COLUMNS($Q$1006:U1006),$Q$1006:$U$1006,0)), HYPERLINK("#",""), HYPERLINK(CONCATENATE("#metadata!", ADDRESS(INDEX($L$2:$L$1001,MATCH(ROWS($J$2:J513),$J$2:$J$1001,0),0), INDEX($Q$1004:$U$1004,1,MATCH(COLUMNS($Q$1006:U1006),$Q$1006:$U$1006,0)))),"Fix")))</f>
        <v xml:space="preserve"> </v>
      </c>
      <c r="J513">
        <v>512</v>
      </c>
      <c r="K513">
        <v>100513</v>
      </c>
      <c r="L513">
        <v>513</v>
      </c>
      <c r="M513" t="b">
        <f t="shared" si="7"/>
        <v>1</v>
      </c>
      <c r="N513" t="b">
        <f>COUNTBLANK(metadata!B513:F513)=COLUMNS(metadata!B513:F513)</f>
        <v>1</v>
      </c>
      <c r="O513" t="str">
        <v/>
      </c>
      <c r="Q513" t="b">
        <f ca="1">AND(IF(metadata!B513="",FALSE,TRUE),COUNTIF(metadata!B:B, metadata!B513) = 1,NOT(ISERROR(SUMPRODUCT(SEARCH(MID(metadata!B513,ROW(INDIRECT("1:"&amp;LEN(metadata!B513))), 1),"0123456789abcdefghijklmnopqrstuvwxyzABCDEFGHIJKLMNOPQRSTUVWXYZ.")))))</f>
        <v>0</v>
      </c>
      <c r="R513" t="b">
        <f>AND(IF(metadata!C513="",FALSE,TRUE),OR(EXACT(metadata!C513,"saline"),EXACT(metadata!C513,"non-saline")))</f>
        <v>0</v>
      </c>
      <c r="S513" t="b">
        <f>AND(IF(metadata!D513="",FALSE,TRUE),OR(EXACT(metadata!D513,"surface (non-saline)"),EXACT(metadata!D513,"aerosol (non-saline)"),EXACT(metadata!D513,"sediment (non-saline)"),EXACT(metadata!D513,"surface (saline)"),EXACT(metadata!D513,"aerosol (saline)"),EXACT(metadata!D513,"sediment (saline)")))</f>
        <v>0</v>
      </c>
      <c r="T513" t="b">
        <f>AND(IF(metadata!E513="",FALSE,TRUE),EXACT(metadata!E513,"built environment"))</f>
        <v>0</v>
      </c>
      <c r="U513" t="b">
        <f>OR(AND(IF(metadata!F513="",FALSE,TRUE),EXACT(metadata!F513,"not applicable")),AND(IF(metadata!F513="",FALSE,TRUE),EXACT(metadata!F513,"anaerobic digester content")))</f>
        <v>0</v>
      </c>
    </row>
    <row r="514" spans="1:21" x14ac:dyDescent="0.2">
      <c r="A514" s="4" t="str">
        <f ca="1">IF(B514=" "," ",HYPERLINK(CONCATENATE("#metadata!",ADDRESS(INDEX($L$2:$L$1001,MATCH(ROWS($J$2:J514),$J$2:$J$1001,0),0),1)),INDEX($O$2:$O$1001,MATCH(ROWS($J$2:J514),$J$2:$J$1001,0),0)))</f>
        <v xml:space="preserve"> </v>
      </c>
      <c r="B514" s="3" t="str">
        <f ca="1">IF(OR(INDEX($K$2:$K$1001,MATCH(ROWS($J$2:J514),$J$2:$J$1001,0),1)&gt;=100000,INDEX($Q$1005:$U$1005,1,MATCH(COLUMNS($Q$1006:Q1006),$Q$1006:$U$1006,0))&gt;=100000), " ",IF(INDEX($Q$2:$U$1001,MATCH(ROWS($J$2:J514),$J$2:$J$1001,0),MATCH(COLUMNS($Q$1006:Q1006),$Q$1006:$U$1006,0)), HYPERLINK("#",""), HYPERLINK(CONCATENATE("#metadata!", ADDRESS(INDEX($L$2:$L$1001,MATCH(ROWS($J$2:J514),$J$2:$J$1001,0),0), INDEX($Q$1004:$U$1004,1,MATCH(COLUMNS($Q$1006:Q1006),$Q$1006:$U$1006,0)))),"Fix")))</f>
        <v xml:space="preserve"> </v>
      </c>
      <c r="C514" s="3" t="str">
        <f ca="1">IF(OR(INDEX($K$2:$K$1001,MATCH(ROWS($J$2:J514),$J$2:$J$1001,0),1)&gt;=100000,INDEX($Q$1005:$U$1005,1,MATCH(COLUMNS($Q$1006:R1006),$Q$1006:$U$1006,0))&gt;=100000), " ",IF(INDEX($Q$2:$U$1001,MATCH(ROWS($J$2:J514),$J$2:$J$1001,0),MATCH(COLUMNS($Q$1006:R1006),$Q$1006:$U$1006,0)), HYPERLINK("#",""), HYPERLINK(CONCATENATE("#metadata!", ADDRESS(INDEX($L$2:$L$1001,MATCH(ROWS($J$2:J514),$J$2:$J$1001,0),0), INDEX($Q$1004:$U$1004,1,MATCH(COLUMNS($Q$1006:R1006),$Q$1006:$U$1006,0)))),"Fix")))</f>
        <v xml:space="preserve"> </v>
      </c>
      <c r="D514" s="3" t="str">
        <f ca="1">IF(OR(INDEX($K$2:$K$1001,MATCH(ROWS($J$2:J514),$J$2:$J$1001,0),1)&gt;=100000,INDEX($Q$1005:$U$1005,1,MATCH(COLUMNS($Q$1006:S1006),$Q$1006:$U$1006,0))&gt;=100000), " ",IF(INDEX($Q$2:$U$1001,MATCH(ROWS($J$2:J514),$J$2:$J$1001,0),MATCH(COLUMNS($Q$1006:S1006),$Q$1006:$U$1006,0)), HYPERLINK("#",""), HYPERLINK(CONCATENATE("#metadata!", ADDRESS(INDEX($L$2:$L$1001,MATCH(ROWS($J$2:J514),$J$2:$J$1001,0),0), INDEX($Q$1004:$U$1004,1,MATCH(COLUMNS($Q$1006:S1006),$Q$1006:$U$1006,0)))),"Fix")))</f>
        <v xml:space="preserve"> </v>
      </c>
      <c r="E514" s="3" t="str">
        <f ca="1">IF(OR(INDEX($K$2:$K$1001,MATCH(ROWS($J$2:J514),$J$2:$J$1001,0),1)&gt;=100000,INDEX($Q$1005:$U$1005,1,MATCH(COLUMNS($Q$1006:T1006),$Q$1006:$U$1006,0))&gt;=100000), " ",IF(INDEX($Q$2:$U$1001,MATCH(ROWS($J$2:J514),$J$2:$J$1001,0),MATCH(COLUMNS($Q$1006:T1006),$Q$1006:$U$1006,0)), HYPERLINK("#",""), HYPERLINK(CONCATENATE("#metadata!", ADDRESS(INDEX($L$2:$L$1001,MATCH(ROWS($J$2:J514),$J$2:$J$1001,0),0), INDEX($Q$1004:$U$1004,1,MATCH(COLUMNS($Q$1006:T1006),$Q$1006:$U$1006,0)))),"Fix")))</f>
        <v xml:space="preserve"> </v>
      </c>
      <c r="F514" s="3" t="str">
        <f ca="1">IF(OR(INDEX($K$2:$K$1001,MATCH(ROWS($J$2:J514),$J$2:$J$1001,0),1)&gt;=100000,INDEX($Q$1005:$U$1005,1,MATCH(COLUMNS($Q$1006:U1006),$Q$1006:$U$1006,0))&gt;=100000), " ",IF(INDEX($Q$2:$U$1001,MATCH(ROWS($J$2:J514),$J$2:$J$1001,0),MATCH(COLUMNS($Q$1006:U1006),$Q$1006:$U$1006,0)), HYPERLINK("#",""), HYPERLINK(CONCATENATE("#metadata!", ADDRESS(INDEX($L$2:$L$1001,MATCH(ROWS($J$2:J514),$J$2:$J$1001,0),0), INDEX($Q$1004:$U$1004,1,MATCH(COLUMNS($Q$1006:U1006),$Q$1006:$U$1006,0)))),"Fix")))</f>
        <v xml:space="preserve"> </v>
      </c>
      <c r="J514">
        <v>513</v>
      </c>
      <c r="K514">
        <v>100514</v>
      </c>
      <c r="L514">
        <v>514</v>
      </c>
      <c r="M514" t="b">
        <f t="shared" ref="M514:M577" si="8">IF(N514,TRUE,AND(Q514:U514))</f>
        <v>1</v>
      </c>
      <c r="N514" t="b">
        <f>COUNTBLANK(metadata!B514:F514)=COLUMNS(metadata!B514:F514)</f>
        <v>1</v>
      </c>
      <c r="O514" t="str">
        <v/>
      </c>
      <c r="Q514" t="b">
        <f ca="1">AND(IF(metadata!B514="",FALSE,TRUE),COUNTIF(metadata!B:B, metadata!B514) = 1,NOT(ISERROR(SUMPRODUCT(SEARCH(MID(metadata!B514,ROW(INDIRECT("1:"&amp;LEN(metadata!B514))), 1),"0123456789abcdefghijklmnopqrstuvwxyzABCDEFGHIJKLMNOPQRSTUVWXYZ.")))))</f>
        <v>0</v>
      </c>
      <c r="R514" t="b">
        <f>AND(IF(metadata!C514="",FALSE,TRUE),OR(EXACT(metadata!C514,"saline"),EXACT(metadata!C514,"non-saline")))</f>
        <v>0</v>
      </c>
      <c r="S514" t="b">
        <f>AND(IF(metadata!D514="",FALSE,TRUE),OR(EXACT(metadata!D514,"surface (non-saline)"),EXACT(metadata!D514,"aerosol (non-saline)"),EXACT(metadata!D514,"sediment (non-saline)"),EXACT(metadata!D514,"surface (saline)"),EXACT(metadata!D514,"aerosol (saline)"),EXACT(metadata!D514,"sediment (saline)")))</f>
        <v>0</v>
      </c>
      <c r="T514" t="b">
        <f>AND(IF(metadata!E514="",FALSE,TRUE),EXACT(metadata!E514,"built environment"))</f>
        <v>0</v>
      </c>
      <c r="U514" t="b">
        <f>OR(AND(IF(metadata!F514="",FALSE,TRUE),EXACT(metadata!F514,"not applicable")),AND(IF(metadata!F514="",FALSE,TRUE),EXACT(metadata!F514,"anaerobic digester content")))</f>
        <v>0</v>
      </c>
    </row>
    <row r="515" spans="1:21" x14ac:dyDescent="0.2">
      <c r="A515" s="4" t="str">
        <f ca="1">IF(B515=" "," ",HYPERLINK(CONCATENATE("#metadata!",ADDRESS(INDEX($L$2:$L$1001,MATCH(ROWS($J$2:J515),$J$2:$J$1001,0),0),1)),INDEX($O$2:$O$1001,MATCH(ROWS($J$2:J515),$J$2:$J$1001,0),0)))</f>
        <v xml:space="preserve"> </v>
      </c>
      <c r="B515" s="3" t="str">
        <f ca="1">IF(OR(INDEX($K$2:$K$1001,MATCH(ROWS($J$2:J515),$J$2:$J$1001,0),1)&gt;=100000,INDEX($Q$1005:$U$1005,1,MATCH(COLUMNS($Q$1006:Q1006),$Q$1006:$U$1006,0))&gt;=100000), " ",IF(INDEX($Q$2:$U$1001,MATCH(ROWS($J$2:J515),$J$2:$J$1001,0),MATCH(COLUMNS($Q$1006:Q1006),$Q$1006:$U$1006,0)), HYPERLINK("#",""), HYPERLINK(CONCATENATE("#metadata!", ADDRESS(INDEX($L$2:$L$1001,MATCH(ROWS($J$2:J515),$J$2:$J$1001,0),0), INDEX($Q$1004:$U$1004,1,MATCH(COLUMNS($Q$1006:Q1006),$Q$1006:$U$1006,0)))),"Fix")))</f>
        <v xml:space="preserve"> </v>
      </c>
      <c r="C515" s="3" t="str">
        <f ca="1">IF(OR(INDEX($K$2:$K$1001,MATCH(ROWS($J$2:J515),$J$2:$J$1001,0),1)&gt;=100000,INDEX($Q$1005:$U$1005,1,MATCH(COLUMNS($Q$1006:R1006),$Q$1006:$U$1006,0))&gt;=100000), " ",IF(INDEX($Q$2:$U$1001,MATCH(ROWS($J$2:J515),$J$2:$J$1001,0),MATCH(COLUMNS($Q$1006:R1006),$Q$1006:$U$1006,0)), HYPERLINK("#",""), HYPERLINK(CONCATENATE("#metadata!", ADDRESS(INDEX($L$2:$L$1001,MATCH(ROWS($J$2:J515),$J$2:$J$1001,0),0), INDEX($Q$1004:$U$1004,1,MATCH(COLUMNS($Q$1006:R1006),$Q$1006:$U$1006,0)))),"Fix")))</f>
        <v xml:space="preserve"> </v>
      </c>
      <c r="D515" s="3" t="str">
        <f ca="1">IF(OR(INDEX($K$2:$K$1001,MATCH(ROWS($J$2:J515),$J$2:$J$1001,0),1)&gt;=100000,INDEX($Q$1005:$U$1005,1,MATCH(COLUMNS($Q$1006:S1006),$Q$1006:$U$1006,0))&gt;=100000), " ",IF(INDEX($Q$2:$U$1001,MATCH(ROWS($J$2:J515),$J$2:$J$1001,0),MATCH(COLUMNS($Q$1006:S1006),$Q$1006:$U$1006,0)), HYPERLINK("#",""), HYPERLINK(CONCATENATE("#metadata!", ADDRESS(INDEX($L$2:$L$1001,MATCH(ROWS($J$2:J515),$J$2:$J$1001,0),0), INDEX($Q$1004:$U$1004,1,MATCH(COLUMNS($Q$1006:S1006),$Q$1006:$U$1006,0)))),"Fix")))</f>
        <v xml:space="preserve"> </v>
      </c>
      <c r="E515" s="3" t="str">
        <f ca="1">IF(OR(INDEX($K$2:$K$1001,MATCH(ROWS($J$2:J515),$J$2:$J$1001,0),1)&gt;=100000,INDEX($Q$1005:$U$1005,1,MATCH(COLUMNS($Q$1006:T1006),$Q$1006:$U$1006,0))&gt;=100000), " ",IF(INDEX($Q$2:$U$1001,MATCH(ROWS($J$2:J515),$J$2:$J$1001,0),MATCH(COLUMNS($Q$1006:T1006),$Q$1006:$U$1006,0)), HYPERLINK("#",""), HYPERLINK(CONCATENATE("#metadata!", ADDRESS(INDEX($L$2:$L$1001,MATCH(ROWS($J$2:J515),$J$2:$J$1001,0),0), INDEX($Q$1004:$U$1004,1,MATCH(COLUMNS($Q$1006:T1006),$Q$1006:$U$1006,0)))),"Fix")))</f>
        <v xml:space="preserve"> </v>
      </c>
      <c r="F515" s="3" t="str">
        <f ca="1">IF(OR(INDEX($K$2:$K$1001,MATCH(ROWS($J$2:J515),$J$2:$J$1001,0),1)&gt;=100000,INDEX($Q$1005:$U$1005,1,MATCH(COLUMNS($Q$1006:U1006),$Q$1006:$U$1006,0))&gt;=100000), " ",IF(INDEX($Q$2:$U$1001,MATCH(ROWS($J$2:J515),$J$2:$J$1001,0),MATCH(COLUMNS($Q$1006:U1006),$Q$1006:$U$1006,0)), HYPERLINK("#",""), HYPERLINK(CONCATENATE("#metadata!", ADDRESS(INDEX($L$2:$L$1001,MATCH(ROWS($J$2:J515),$J$2:$J$1001,0),0), INDEX($Q$1004:$U$1004,1,MATCH(COLUMNS($Q$1006:U1006),$Q$1006:$U$1006,0)))),"Fix")))</f>
        <v xml:space="preserve"> </v>
      </c>
      <c r="J515">
        <v>514</v>
      </c>
      <c r="K515">
        <v>100515</v>
      </c>
      <c r="L515">
        <v>515</v>
      </c>
      <c r="M515" t="b">
        <f t="shared" si="8"/>
        <v>1</v>
      </c>
      <c r="N515" t="b">
        <f>COUNTBLANK(metadata!B515:F515)=COLUMNS(metadata!B515:F515)</f>
        <v>1</v>
      </c>
      <c r="O515" t="str">
        <v/>
      </c>
      <c r="Q515" t="b">
        <f ca="1">AND(IF(metadata!B515="",FALSE,TRUE),COUNTIF(metadata!B:B, metadata!B515) = 1,NOT(ISERROR(SUMPRODUCT(SEARCH(MID(metadata!B515,ROW(INDIRECT("1:"&amp;LEN(metadata!B515))), 1),"0123456789abcdefghijklmnopqrstuvwxyzABCDEFGHIJKLMNOPQRSTUVWXYZ.")))))</f>
        <v>0</v>
      </c>
      <c r="R515" t="b">
        <f>AND(IF(metadata!C515="",FALSE,TRUE),OR(EXACT(metadata!C515,"saline"),EXACT(metadata!C515,"non-saline")))</f>
        <v>0</v>
      </c>
      <c r="S515" t="b">
        <f>AND(IF(metadata!D515="",FALSE,TRUE),OR(EXACT(metadata!D515,"surface (non-saline)"),EXACT(metadata!D515,"aerosol (non-saline)"),EXACT(metadata!D515,"sediment (non-saline)"),EXACT(metadata!D515,"surface (saline)"),EXACT(metadata!D515,"aerosol (saline)"),EXACT(metadata!D515,"sediment (saline)")))</f>
        <v>0</v>
      </c>
      <c r="T515" t="b">
        <f>AND(IF(metadata!E515="",FALSE,TRUE),EXACT(metadata!E515,"built environment"))</f>
        <v>0</v>
      </c>
      <c r="U515" t="b">
        <f>OR(AND(IF(metadata!F515="",FALSE,TRUE),EXACT(metadata!F515,"not applicable")),AND(IF(metadata!F515="",FALSE,TRUE),EXACT(metadata!F515,"anaerobic digester content")))</f>
        <v>0</v>
      </c>
    </row>
    <row r="516" spans="1:21" x14ac:dyDescent="0.2">
      <c r="A516" s="4" t="str">
        <f ca="1">IF(B516=" "," ",HYPERLINK(CONCATENATE("#metadata!",ADDRESS(INDEX($L$2:$L$1001,MATCH(ROWS($J$2:J516),$J$2:$J$1001,0),0),1)),INDEX($O$2:$O$1001,MATCH(ROWS($J$2:J516),$J$2:$J$1001,0),0)))</f>
        <v xml:space="preserve"> </v>
      </c>
      <c r="B516" s="3" t="str">
        <f ca="1">IF(OR(INDEX($K$2:$K$1001,MATCH(ROWS($J$2:J516),$J$2:$J$1001,0),1)&gt;=100000,INDEX($Q$1005:$U$1005,1,MATCH(COLUMNS($Q$1006:Q1006),$Q$1006:$U$1006,0))&gt;=100000), " ",IF(INDEX($Q$2:$U$1001,MATCH(ROWS($J$2:J516),$J$2:$J$1001,0),MATCH(COLUMNS($Q$1006:Q1006),$Q$1006:$U$1006,0)), HYPERLINK("#",""), HYPERLINK(CONCATENATE("#metadata!", ADDRESS(INDEX($L$2:$L$1001,MATCH(ROWS($J$2:J516),$J$2:$J$1001,0),0), INDEX($Q$1004:$U$1004,1,MATCH(COLUMNS($Q$1006:Q1006),$Q$1006:$U$1006,0)))),"Fix")))</f>
        <v xml:space="preserve"> </v>
      </c>
      <c r="C516" s="3" t="str">
        <f ca="1">IF(OR(INDEX($K$2:$K$1001,MATCH(ROWS($J$2:J516),$J$2:$J$1001,0),1)&gt;=100000,INDEX($Q$1005:$U$1005,1,MATCH(COLUMNS($Q$1006:R1006),$Q$1006:$U$1006,0))&gt;=100000), " ",IF(INDEX($Q$2:$U$1001,MATCH(ROWS($J$2:J516),$J$2:$J$1001,0),MATCH(COLUMNS($Q$1006:R1006),$Q$1006:$U$1006,0)), HYPERLINK("#",""), HYPERLINK(CONCATENATE("#metadata!", ADDRESS(INDEX($L$2:$L$1001,MATCH(ROWS($J$2:J516),$J$2:$J$1001,0),0), INDEX($Q$1004:$U$1004,1,MATCH(COLUMNS($Q$1006:R1006),$Q$1006:$U$1006,0)))),"Fix")))</f>
        <v xml:space="preserve"> </v>
      </c>
      <c r="D516" s="3" t="str">
        <f ca="1">IF(OR(INDEX($K$2:$K$1001,MATCH(ROWS($J$2:J516),$J$2:$J$1001,0),1)&gt;=100000,INDEX($Q$1005:$U$1005,1,MATCH(COLUMNS($Q$1006:S1006),$Q$1006:$U$1006,0))&gt;=100000), " ",IF(INDEX($Q$2:$U$1001,MATCH(ROWS($J$2:J516),$J$2:$J$1001,0),MATCH(COLUMNS($Q$1006:S1006),$Q$1006:$U$1006,0)), HYPERLINK("#",""), HYPERLINK(CONCATENATE("#metadata!", ADDRESS(INDEX($L$2:$L$1001,MATCH(ROWS($J$2:J516),$J$2:$J$1001,0),0), INDEX($Q$1004:$U$1004,1,MATCH(COLUMNS($Q$1006:S1006),$Q$1006:$U$1006,0)))),"Fix")))</f>
        <v xml:space="preserve"> </v>
      </c>
      <c r="E516" s="3" t="str">
        <f ca="1">IF(OR(INDEX($K$2:$K$1001,MATCH(ROWS($J$2:J516),$J$2:$J$1001,0),1)&gt;=100000,INDEX($Q$1005:$U$1005,1,MATCH(COLUMNS($Q$1006:T1006),$Q$1006:$U$1006,0))&gt;=100000), " ",IF(INDEX($Q$2:$U$1001,MATCH(ROWS($J$2:J516),$J$2:$J$1001,0),MATCH(COLUMNS($Q$1006:T1006),$Q$1006:$U$1006,0)), HYPERLINK("#",""), HYPERLINK(CONCATENATE("#metadata!", ADDRESS(INDEX($L$2:$L$1001,MATCH(ROWS($J$2:J516),$J$2:$J$1001,0),0), INDEX($Q$1004:$U$1004,1,MATCH(COLUMNS($Q$1006:T1006),$Q$1006:$U$1006,0)))),"Fix")))</f>
        <v xml:space="preserve"> </v>
      </c>
      <c r="F516" s="3" t="str">
        <f ca="1">IF(OR(INDEX($K$2:$K$1001,MATCH(ROWS($J$2:J516),$J$2:$J$1001,0),1)&gt;=100000,INDEX($Q$1005:$U$1005,1,MATCH(COLUMNS($Q$1006:U1006),$Q$1006:$U$1006,0))&gt;=100000), " ",IF(INDEX($Q$2:$U$1001,MATCH(ROWS($J$2:J516),$J$2:$J$1001,0),MATCH(COLUMNS($Q$1006:U1006),$Q$1006:$U$1006,0)), HYPERLINK("#",""), HYPERLINK(CONCATENATE("#metadata!", ADDRESS(INDEX($L$2:$L$1001,MATCH(ROWS($J$2:J516),$J$2:$J$1001,0),0), INDEX($Q$1004:$U$1004,1,MATCH(COLUMNS($Q$1006:U1006),$Q$1006:$U$1006,0)))),"Fix")))</f>
        <v xml:space="preserve"> </v>
      </c>
      <c r="J516">
        <v>515</v>
      </c>
      <c r="K516">
        <v>100516</v>
      </c>
      <c r="L516">
        <v>516</v>
      </c>
      <c r="M516" t="b">
        <f t="shared" si="8"/>
        <v>1</v>
      </c>
      <c r="N516" t="b">
        <f>COUNTBLANK(metadata!B516:F516)=COLUMNS(metadata!B516:F516)</f>
        <v>1</v>
      </c>
      <c r="O516" t="str">
        <v/>
      </c>
      <c r="Q516" t="b">
        <f ca="1">AND(IF(metadata!B516="",FALSE,TRUE),COUNTIF(metadata!B:B, metadata!B516) = 1,NOT(ISERROR(SUMPRODUCT(SEARCH(MID(metadata!B516,ROW(INDIRECT("1:"&amp;LEN(metadata!B516))), 1),"0123456789abcdefghijklmnopqrstuvwxyzABCDEFGHIJKLMNOPQRSTUVWXYZ.")))))</f>
        <v>0</v>
      </c>
      <c r="R516" t="b">
        <f>AND(IF(metadata!C516="",FALSE,TRUE),OR(EXACT(metadata!C516,"saline"),EXACT(metadata!C516,"non-saline")))</f>
        <v>0</v>
      </c>
      <c r="S516" t="b">
        <f>AND(IF(metadata!D516="",FALSE,TRUE),OR(EXACT(metadata!D516,"surface (non-saline)"),EXACT(metadata!D516,"aerosol (non-saline)"),EXACT(metadata!D516,"sediment (non-saline)"),EXACT(metadata!D516,"surface (saline)"),EXACT(metadata!D516,"aerosol (saline)"),EXACT(metadata!D516,"sediment (saline)")))</f>
        <v>0</v>
      </c>
      <c r="T516" t="b">
        <f>AND(IF(metadata!E516="",FALSE,TRUE),EXACT(metadata!E516,"built environment"))</f>
        <v>0</v>
      </c>
      <c r="U516" t="b">
        <f>OR(AND(IF(metadata!F516="",FALSE,TRUE),EXACT(metadata!F516,"not applicable")),AND(IF(metadata!F516="",FALSE,TRUE),EXACT(metadata!F516,"anaerobic digester content")))</f>
        <v>0</v>
      </c>
    </row>
    <row r="517" spans="1:21" x14ac:dyDescent="0.2">
      <c r="A517" s="4" t="str">
        <f ca="1">IF(B517=" "," ",HYPERLINK(CONCATENATE("#metadata!",ADDRESS(INDEX($L$2:$L$1001,MATCH(ROWS($J$2:J517),$J$2:$J$1001,0),0),1)),INDEX($O$2:$O$1001,MATCH(ROWS($J$2:J517),$J$2:$J$1001,0),0)))</f>
        <v xml:space="preserve"> </v>
      </c>
      <c r="B517" s="3" t="str">
        <f ca="1">IF(OR(INDEX($K$2:$K$1001,MATCH(ROWS($J$2:J517),$J$2:$J$1001,0),1)&gt;=100000,INDEX($Q$1005:$U$1005,1,MATCH(COLUMNS($Q$1006:Q1006),$Q$1006:$U$1006,0))&gt;=100000), " ",IF(INDEX($Q$2:$U$1001,MATCH(ROWS($J$2:J517),$J$2:$J$1001,0),MATCH(COLUMNS($Q$1006:Q1006),$Q$1006:$U$1006,0)), HYPERLINK("#",""), HYPERLINK(CONCATENATE("#metadata!", ADDRESS(INDEX($L$2:$L$1001,MATCH(ROWS($J$2:J517),$J$2:$J$1001,0),0), INDEX($Q$1004:$U$1004,1,MATCH(COLUMNS($Q$1006:Q1006),$Q$1006:$U$1006,0)))),"Fix")))</f>
        <v xml:space="preserve"> </v>
      </c>
      <c r="C517" s="3" t="str">
        <f ca="1">IF(OR(INDEX($K$2:$K$1001,MATCH(ROWS($J$2:J517),$J$2:$J$1001,0),1)&gt;=100000,INDEX($Q$1005:$U$1005,1,MATCH(COLUMNS($Q$1006:R1006),$Q$1006:$U$1006,0))&gt;=100000), " ",IF(INDEX($Q$2:$U$1001,MATCH(ROWS($J$2:J517),$J$2:$J$1001,0),MATCH(COLUMNS($Q$1006:R1006),$Q$1006:$U$1006,0)), HYPERLINK("#",""), HYPERLINK(CONCATENATE("#metadata!", ADDRESS(INDEX($L$2:$L$1001,MATCH(ROWS($J$2:J517),$J$2:$J$1001,0),0), INDEX($Q$1004:$U$1004,1,MATCH(COLUMNS($Q$1006:R1006),$Q$1006:$U$1006,0)))),"Fix")))</f>
        <v xml:space="preserve"> </v>
      </c>
      <c r="D517" s="3" t="str">
        <f ca="1">IF(OR(INDEX($K$2:$K$1001,MATCH(ROWS($J$2:J517),$J$2:$J$1001,0),1)&gt;=100000,INDEX($Q$1005:$U$1005,1,MATCH(COLUMNS($Q$1006:S1006),$Q$1006:$U$1006,0))&gt;=100000), " ",IF(INDEX($Q$2:$U$1001,MATCH(ROWS($J$2:J517),$J$2:$J$1001,0),MATCH(COLUMNS($Q$1006:S1006),$Q$1006:$U$1006,0)), HYPERLINK("#",""), HYPERLINK(CONCATENATE("#metadata!", ADDRESS(INDEX($L$2:$L$1001,MATCH(ROWS($J$2:J517),$J$2:$J$1001,0),0), INDEX($Q$1004:$U$1004,1,MATCH(COLUMNS($Q$1006:S1006),$Q$1006:$U$1006,0)))),"Fix")))</f>
        <v xml:space="preserve"> </v>
      </c>
      <c r="E517" s="3" t="str">
        <f ca="1">IF(OR(INDEX($K$2:$K$1001,MATCH(ROWS($J$2:J517),$J$2:$J$1001,0),1)&gt;=100000,INDEX($Q$1005:$U$1005,1,MATCH(COLUMNS($Q$1006:T1006),$Q$1006:$U$1006,0))&gt;=100000), " ",IF(INDEX($Q$2:$U$1001,MATCH(ROWS($J$2:J517),$J$2:$J$1001,0),MATCH(COLUMNS($Q$1006:T1006),$Q$1006:$U$1006,0)), HYPERLINK("#",""), HYPERLINK(CONCATENATE("#metadata!", ADDRESS(INDEX($L$2:$L$1001,MATCH(ROWS($J$2:J517),$J$2:$J$1001,0),0), INDEX($Q$1004:$U$1004,1,MATCH(COLUMNS($Q$1006:T1006),$Q$1006:$U$1006,0)))),"Fix")))</f>
        <v xml:space="preserve"> </v>
      </c>
      <c r="F517" s="3" t="str">
        <f ca="1">IF(OR(INDEX($K$2:$K$1001,MATCH(ROWS($J$2:J517),$J$2:$J$1001,0),1)&gt;=100000,INDEX($Q$1005:$U$1005,1,MATCH(COLUMNS($Q$1006:U1006),$Q$1006:$U$1006,0))&gt;=100000), " ",IF(INDEX($Q$2:$U$1001,MATCH(ROWS($J$2:J517),$J$2:$J$1001,0),MATCH(COLUMNS($Q$1006:U1006),$Q$1006:$U$1006,0)), HYPERLINK("#",""), HYPERLINK(CONCATENATE("#metadata!", ADDRESS(INDEX($L$2:$L$1001,MATCH(ROWS($J$2:J517),$J$2:$J$1001,0),0), INDEX($Q$1004:$U$1004,1,MATCH(COLUMNS($Q$1006:U1006),$Q$1006:$U$1006,0)))),"Fix")))</f>
        <v xml:space="preserve"> </v>
      </c>
      <c r="J517">
        <v>516</v>
      </c>
      <c r="K517">
        <v>100517</v>
      </c>
      <c r="L517">
        <v>517</v>
      </c>
      <c r="M517" t="b">
        <f t="shared" si="8"/>
        <v>1</v>
      </c>
      <c r="N517" t="b">
        <f>COUNTBLANK(metadata!B517:F517)=COLUMNS(metadata!B517:F517)</f>
        <v>1</v>
      </c>
      <c r="O517" t="str">
        <v/>
      </c>
      <c r="Q517" t="b">
        <f ca="1">AND(IF(metadata!B517="",FALSE,TRUE),COUNTIF(metadata!B:B, metadata!B517) = 1,NOT(ISERROR(SUMPRODUCT(SEARCH(MID(metadata!B517,ROW(INDIRECT("1:"&amp;LEN(metadata!B517))), 1),"0123456789abcdefghijklmnopqrstuvwxyzABCDEFGHIJKLMNOPQRSTUVWXYZ.")))))</f>
        <v>0</v>
      </c>
      <c r="R517" t="b">
        <f>AND(IF(metadata!C517="",FALSE,TRUE),OR(EXACT(metadata!C517,"saline"),EXACT(metadata!C517,"non-saline")))</f>
        <v>0</v>
      </c>
      <c r="S517" t="b">
        <f>AND(IF(metadata!D517="",FALSE,TRUE),OR(EXACT(metadata!D517,"surface (non-saline)"),EXACT(metadata!D517,"aerosol (non-saline)"),EXACT(metadata!D517,"sediment (non-saline)"),EXACT(metadata!D517,"surface (saline)"),EXACT(metadata!D517,"aerosol (saline)"),EXACT(metadata!D517,"sediment (saline)")))</f>
        <v>0</v>
      </c>
      <c r="T517" t="b">
        <f>AND(IF(metadata!E517="",FALSE,TRUE),EXACT(metadata!E517,"built environment"))</f>
        <v>0</v>
      </c>
      <c r="U517" t="b">
        <f>OR(AND(IF(metadata!F517="",FALSE,TRUE),EXACT(metadata!F517,"not applicable")),AND(IF(metadata!F517="",FALSE,TRUE),EXACT(metadata!F517,"anaerobic digester content")))</f>
        <v>0</v>
      </c>
    </row>
    <row r="518" spans="1:21" x14ac:dyDescent="0.2">
      <c r="A518" s="4" t="str">
        <f ca="1">IF(B518=" "," ",HYPERLINK(CONCATENATE("#metadata!",ADDRESS(INDEX($L$2:$L$1001,MATCH(ROWS($J$2:J518),$J$2:$J$1001,0),0),1)),INDEX($O$2:$O$1001,MATCH(ROWS($J$2:J518),$J$2:$J$1001,0),0)))</f>
        <v xml:space="preserve"> </v>
      </c>
      <c r="B518" s="3" t="str">
        <f ca="1">IF(OR(INDEX($K$2:$K$1001,MATCH(ROWS($J$2:J518),$J$2:$J$1001,0),1)&gt;=100000,INDEX($Q$1005:$U$1005,1,MATCH(COLUMNS($Q$1006:Q1006),$Q$1006:$U$1006,0))&gt;=100000), " ",IF(INDEX($Q$2:$U$1001,MATCH(ROWS($J$2:J518),$J$2:$J$1001,0),MATCH(COLUMNS($Q$1006:Q1006),$Q$1006:$U$1006,0)), HYPERLINK("#",""), HYPERLINK(CONCATENATE("#metadata!", ADDRESS(INDEX($L$2:$L$1001,MATCH(ROWS($J$2:J518),$J$2:$J$1001,0),0), INDEX($Q$1004:$U$1004,1,MATCH(COLUMNS($Q$1006:Q1006),$Q$1006:$U$1006,0)))),"Fix")))</f>
        <v xml:space="preserve"> </v>
      </c>
      <c r="C518" s="3" t="str">
        <f ca="1">IF(OR(INDEX($K$2:$K$1001,MATCH(ROWS($J$2:J518),$J$2:$J$1001,0),1)&gt;=100000,INDEX($Q$1005:$U$1005,1,MATCH(COLUMNS($Q$1006:R1006),$Q$1006:$U$1006,0))&gt;=100000), " ",IF(INDEX($Q$2:$U$1001,MATCH(ROWS($J$2:J518),$J$2:$J$1001,0),MATCH(COLUMNS($Q$1006:R1006),$Q$1006:$U$1006,0)), HYPERLINK("#",""), HYPERLINK(CONCATENATE("#metadata!", ADDRESS(INDEX($L$2:$L$1001,MATCH(ROWS($J$2:J518),$J$2:$J$1001,0),0), INDEX($Q$1004:$U$1004,1,MATCH(COLUMNS($Q$1006:R1006),$Q$1006:$U$1006,0)))),"Fix")))</f>
        <v xml:space="preserve"> </v>
      </c>
      <c r="D518" s="3" t="str">
        <f ca="1">IF(OR(INDEX($K$2:$K$1001,MATCH(ROWS($J$2:J518),$J$2:$J$1001,0),1)&gt;=100000,INDEX($Q$1005:$U$1005,1,MATCH(COLUMNS($Q$1006:S1006),$Q$1006:$U$1006,0))&gt;=100000), " ",IF(INDEX($Q$2:$U$1001,MATCH(ROWS($J$2:J518),$J$2:$J$1001,0),MATCH(COLUMNS($Q$1006:S1006),$Q$1006:$U$1006,0)), HYPERLINK("#",""), HYPERLINK(CONCATENATE("#metadata!", ADDRESS(INDEX($L$2:$L$1001,MATCH(ROWS($J$2:J518),$J$2:$J$1001,0),0), INDEX($Q$1004:$U$1004,1,MATCH(COLUMNS($Q$1006:S1006),$Q$1006:$U$1006,0)))),"Fix")))</f>
        <v xml:space="preserve"> </v>
      </c>
      <c r="E518" s="3" t="str">
        <f ca="1">IF(OR(INDEX($K$2:$K$1001,MATCH(ROWS($J$2:J518),$J$2:$J$1001,0),1)&gt;=100000,INDEX($Q$1005:$U$1005,1,MATCH(COLUMNS($Q$1006:T1006),$Q$1006:$U$1006,0))&gt;=100000), " ",IF(INDEX($Q$2:$U$1001,MATCH(ROWS($J$2:J518),$J$2:$J$1001,0),MATCH(COLUMNS($Q$1006:T1006),$Q$1006:$U$1006,0)), HYPERLINK("#",""), HYPERLINK(CONCATENATE("#metadata!", ADDRESS(INDEX($L$2:$L$1001,MATCH(ROWS($J$2:J518),$J$2:$J$1001,0),0), INDEX($Q$1004:$U$1004,1,MATCH(COLUMNS($Q$1006:T1006),$Q$1006:$U$1006,0)))),"Fix")))</f>
        <v xml:space="preserve"> </v>
      </c>
      <c r="F518" s="3" t="str">
        <f ca="1">IF(OR(INDEX($K$2:$K$1001,MATCH(ROWS($J$2:J518),$J$2:$J$1001,0),1)&gt;=100000,INDEX($Q$1005:$U$1005,1,MATCH(COLUMNS($Q$1006:U1006),$Q$1006:$U$1006,0))&gt;=100000), " ",IF(INDEX($Q$2:$U$1001,MATCH(ROWS($J$2:J518),$J$2:$J$1001,0),MATCH(COLUMNS($Q$1006:U1006),$Q$1006:$U$1006,0)), HYPERLINK("#",""), HYPERLINK(CONCATENATE("#metadata!", ADDRESS(INDEX($L$2:$L$1001,MATCH(ROWS($J$2:J518),$J$2:$J$1001,0),0), INDEX($Q$1004:$U$1004,1,MATCH(COLUMNS($Q$1006:U1006),$Q$1006:$U$1006,0)))),"Fix")))</f>
        <v xml:space="preserve"> </v>
      </c>
      <c r="J518">
        <v>517</v>
      </c>
      <c r="K518">
        <v>100518</v>
      </c>
      <c r="L518">
        <v>518</v>
      </c>
      <c r="M518" t="b">
        <f t="shared" si="8"/>
        <v>1</v>
      </c>
      <c r="N518" t="b">
        <f>COUNTBLANK(metadata!B518:F518)=COLUMNS(metadata!B518:F518)</f>
        <v>1</v>
      </c>
      <c r="O518" t="str">
        <v/>
      </c>
      <c r="Q518" t="b">
        <f ca="1">AND(IF(metadata!B518="",FALSE,TRUE),COUNTIF(metadata!B:B, metadata!B518) = 1,NOT(ISERROR(SUMPRODUCT(SEARCH(MID(metadata!B518,ROW(INDIRECT("1:"&amp;LEN(metadata!B518))), 1),"0123456789abcdefghijklmnopqrstuvwxyzABCDEFGHIJKLMNOPQRSTUVWXYZ.")))))</f>
        <v>0</v>
      </c>
      <c r="R518" t="b">
        <f>AND(IF(metadata!C518="",FALSE,TRUE),OR(EXACT(metadata!C518,"saline"),EXACT(metadata!C518,"non-saline")))</f>
        <v>0</v>
      </c>
      <c r="S518" t="b">
        <f>AND(IF(metadata!D518="",FALSE,TRUE),OR(EXACT(metadata!D518,"surface (non-saline)"),EXACT(metadata!D518,"aerosol (non-saline)"),EXACT(metadata!D518,"sediment (non-saline)"),EXACT(metadata!D518,"surface (saline)"),EXACT(metadata!D518,"aerosol (saline)"),EXACT(metadata!D518,"sediment (saline)")))</f>
        <v>0</v>
      </c>
      <c r="T518" t="b">
        <f>AND(IF(metadata!E518="",FALSE,TRUE),EXACT(metadata!E518,"built environment"))</f>
        <v>0</v>
      </c>
      <c r="U518" t="b">
        <f>OR(AND(IF(metadata!F518="",FALSE,TRUE),EXACT(metadata!F518,"not applicable")),AND(IF(metadata!F518="",FALSE,TRUE),EXACT(metadata!F518,"anaerobic digester content")))</f>
        <v>0</v>
      </c>
    </row>
    <row r="519" spans="1:21" x14ac:dyDescent="0.2">
      <c r="A519" s="4" t="str">
        <f ca="1">IF(B519=" "," ",HYPERLINK(CONCATENATE("#metadata!",ADDRESS(INDEX($L$2:$L$1001,MATCH(ROWS($J$2:J519),$J$2:$J$1001,0),0),1)),INDEX($O$2:$O$1001,MATCH(ROWS($J$2:J519),$J$2:$J$1001,0),0)))</f>
        <v xml:space="preserve"> </v>
      </c>
      <c r="B519" s="3" t="str">
        <f ca="1">IF(OR(INDEX($K$2:$K$1001,MATCH(ROWS($J$2:J519),$J$2:$J$1001,0),1)&gt;=100000,INDEX($Q$1005:$U$1005,1,MATCH(COLUMNS($Q$1006:Q1006),$Q$1006:$U$1006,0))&gt;=100000), " ",IF(INDEX($Q$2:$U$1001,MATCH(ROWS($J$2:J519),$J$2:$J$1001,0),MATCH(COLUMNS($Q$1006:Q1006),$Q$1006:$U$1006,0)), HYPERLINK("#",""), HYPERLINK(CONCATENATE("#metadata!", ADDRESS(INDEX($L$2:$L$1001,MATCH(ROWS($J$2:J519),$J$2:$J$1001,0),0), INDEX($Q$1004:$U$1004,1,MATCH(COLUMNS($Q$1006:Q1006),$Q$1006:$U$1006,0)))),"Fix")))</f>
        <v xml:space="preserve"> </v>
      </c>
      <c r="C519" s="3" t="str">
        <f ca="1">IF(OR(INDEX($K$2:$K$1001,MATCH(ROWS($J$2:J519),$J$2:$J$1001,0),1)&gt;=100000,INDEX($Q$1005:$U$1005,1,MATCH(COLUMNS($Q$1006:R1006),$Q$1006:$U$1006,0))&gt;=100000), " ",IF(INDEX($Q$2:$U$1001,MATCH(ROWS($J$2:J519),$J$2:$J$1001,0),MATCH(COLUMNS($Q$1006:R1006),$Q$1006:$U$1006,0)), HYPERLINK("#",""), HYPERLINK(CONCATENATE("#metadata!", ADDRESS(INDEX($L$2:$L$1001,MATCH(ROWS($J$2:J519),$J$2:$J$1001,0),0), INDEX($Q$1004:$U$1004,1,MATCH(COLUMNS($Q$1006:R1006),$Q$1006:$U$1006,0)))),"Fix")))</f>
        <v xml:space="preserve"> </v>
      </c>
      <c r="D519" s="3" t="str">
        <f ca="1">IF(OR(INDEX($K$2:$K$1001,MATCH(ROWS($J$2:J519),$J$2:$J$1001,0),1)&gt;=100000,INDEX($Q$1005:$U$1005,1,MATCH(COLUMNS($Q$1006:S1006),$Q$1006:$U$1006,0))&gt;=100000), " ",IF(INDEX($Q$2:$U$1001,MATCH(ROWS($J$2:J519),$J$2:$J$1001,0),MATCH(COLUMNS($Q$1006:S1006),$Q$1006:$U$1006,0)), HYPERLINK("#",""), HYPERLINK(CONCATENATE("#metadata!", ADDRESS(INDEX($L$2:$L$1001,MATCH(ROWS($J$2:J519),$J$2:$J$1001,0),0), INDEX($Q$1004:$U$1004,1,MATCH(COLUMNS($Q$1006:S1006),$Q$1006:$U$1006,0)))),"Fix")))</f>
        <v xml:space="preserve"> </v>
      </c>
      <c r="E519" s="3" t="str">
        <f ca="1">IF(OR(INDEX($K$2:$K$1001,MATCH(ROWS($J$2:J519),$J$2:$J$1001,0),1)&gt;=100000,INDEX($Q$1005:$U$1005,1,MATCH(COLUMNS($Q$1006:T1006),$Q$1006:$U$1006,0))&gt;=100000), " ",IF(INDEX($Q$2:$U$1001,MATCH(ROWS($J$2:J519),$J$2:$J$1001,0),MATCH(COLUMNS($Q$1006:T1006),$Q$1006:$U$1006,0)), HYPERLINK("#",""), HYPERLINK(CONCATENATE("#metadata!", ADDRESS(INDEX($L$2:$L$1001,MATCH(ROWS($J$2:J519),$J$2:$J$1001,0),0), INDEX($Q$1004:$U$1004,1,MATCH(COLUMNS($Q$1006:T1006),$Q$1006:$U$1006,0)))),"Fix")))</f>
        <v xml:space="preserve"> </v>
      </c>
      <c r="F519" s="3" t="str">
        <f ca="1">IF(OR(INDEX($K$2:$K$1001,MATCH(ROWS($J$2:J519),$J$2:$J$1001,0),1)&gt;=100000,INDEX($Q$1005:$U$1005,1,MATCH(COLUMNS($Q$1006:U1006),$Q$1006:$U$1006,0))&gt;=100000), " ",IF(INDEX($Q$2:$U$1001,MATCH(ROWS($J$2:J519),$J$2:$J$1001,0),MATCH(COLUMNS($Q$1006:U1006),$Q$1006:$U$1006,0)), HYPERLINK("#",""), HYPERLINK(CONCATENATE("#metadata!", ADDRESS(INDEX($L$2:$L$1001,MATCH(ROWS($J$2:J519),$J$2:$J$1001,0),0), INDEX($Q$1004:$U$1004,1,MATCH(COLUMNS($Q$1006:U1006),$Q$1006:$U$1006,0)))),"Fix")))</f>
        <v xml:space="preserve"> </v>
      </c>
      <c r="J519">
        <v>518</v>
      </c>
      <c r="K519">
        <v>100519</v>
      </c>
      <c r="L519">
        <v>519</v>
      </c>
      <c r="M519" t="b">
        <f t="shared" si="8"/>
        <v>1</v>
      </c>
      <c r="N519" t="b">
        <f>COUNTBLANK(metadata!B519:F519)=COLUMNS(metadata!B519:F519)</f>
        <v>1</v>
      </c>
      <c r="O519" t="str">
        <v/>
      </c>
      <c r="Q519" t="b">
        <f ca="1">AND(IF(metadata!B519="",FALSE,TRUE),COUNTIF(metadata!B:B, metadata!B519) = 1,NOT(ISERROR(SUMPRODUCT(SEARCH(MID(metadata!B519,ROW(INDIRECT("1:"&amp;LEN(metadata!B519))), 1),"0123456789abcdefghijklmnopqrstuvwxyzABCDEFGHIJKLMNOPQRSTUVWXYZ.")))))</f>
        <v>0</v>
      </c>
      <c r="R519" t="b">
        <f>AND(IF(metadata!C519="",FALSE,TRUE),OR(EXACT(metadata!C519,"saline"),EXACT(metadata!C519,"non-saline")))</f>
        <v>0</v>
      </c>
      <c r="S519" t="b">
        <f>AND(IF(metadata!D519="",FALSE,TRUE),OR(EXACT(metadata!D519,"surface (non-saline)"),EXACT(metadata!D519,"aerosol (non-saline)"),EXACT(metadata!D519,"sediment (non-saline)"),EXACT(metadata!D519,"surface (saline)"),EXACT(metadata!D519,"aerosol (saline)"),EXACT(metadata!D519,"sediment (saline)")))</f>
        <v>0</v>
      </c>
      <c r="T519" t="b">
        <f>AND(IF(metadata!E519="",FALSE,TRUE),EXACT(metadata!E519,"built environment"))</f>
        <v>0</v>
      </c>
      <c r="U519" t="b">
        <f>OR(AND(IF(metadata!F519="",FALSE,TRUE),EXACT(metadata!F519,"not applicable")),AND(IF(metadata!F519="",FALSE,TRUE),EXACT(metadata!F519,"anaerobic digester content")))</f>
        <v>0</v>
      </c>
    </row>
    <row r="520" spans="1:21" x14ac:dyDescent="0.2">
      <c r="A520" s="4" t="str">
        <f ca="1">IF(B520=" "," ",HYPERLINK(CONCATENATE("#metadata!",ADDRESS(INDEX($L$2:$L$1001,MATCH(ROWS($J$2:J520),$J$2:$J$1001,0),0),1)),INDEX($O$2:$O$1001,MATCH(ROWS($J$2:J520),$J$2:$J$1001,0),0)))</f>
        <v xml:space="preserve"> </v>
      </c>
      <c r="B520" s="3" t="str">
        <f ca="1">IF(OR(INDEX($K$2:$K$1001,MATCH(ROWS($J$2:J520),$J$2:$J$1001,0),1)&gt;=100000,INDEX($Q$1005:$U$1005,1,MATCH(COLUMNS($Q$1006:Q1006),$Q$1006:$U$1006,0))&gt;=100000), " ",IF(INDEX($Q$2:$U$1001,MATCH(ROWS($J$2:J520),$J$2:$J$1001,0),MATCH(COLUMNS($Q$1006:Q1006),$Q$1006:$U$1006,0)), HYPERLINK("#",""), HYPERLINK(CONCATENATE("#metadata!", ADDRESS(INDEX($L$2:$L$1001,MATCH(ROWS($J$2:J520),$J$2:$J$1001,0),0), INDEX($Q$1004:$U$1004,1,MATCH(COLUMNS($Q$1006:Q1006),$Q$1006:$U$1006,0)))),"Fix")))</f>
        <v xml:space="preserve"> </v>
      </c>
      <c r="C520" s="3" t="str">
        <f ca="1">IF(OR(INDEX($K$2:$K$1001,MATCH(ROWS($J$2:J520),$J$2:$J$1001,0),1)&gt;=100000,INDEX($Q$1005:$U$1005,1,MATCH(COLUMNS($Q$1006:R1006),$Q$1006:$U$1006,0))&gt;=100000), " ",IF(INDEX($Q$2:$U$1001,MATCH(ROWS($J$2:J520),$J$2:$J$1001,0),MATCH(COLUMNS($Q$1006:R1006),$Q$1006:$U$1006,0)), HYPERLINK("#",""), HYPERLINK(CONCATENATE("#metadata!", ADDRESS(INDEX($L$2:$L$1001,MATCH(ROWS($J$2:J520),$J$2:$J$1001,0),0), INDEX($Q$1004:$U$1004,1,MATCH(COLUMNS($Q$1006:R1006),$Q$1006:$U$1006,0)))),"Fix")))</f>
        <v xml:space="preserve"> </v>
      </c>
      <c r="D520" s="3" t="str">
        <f ca="1">IF(OR(INDEX($K$2:$K$1001,MATCH(ROWS($J$2:J520),$J$2:$J$1001,0),1)&gt;=100000,INDEX($Q$1005:$U$1005,1,MATCH(COLUMNS($Q$1006:S1006),$Q$1006:$U$1006,0))&gt;=100000), " ",IF(INDEX($Q$2:$U$1001,MATCH(ROWS($J$2:J520),$J$2:$J$1001,0),MATCH(COLUMNS($Q$1006:S1006),$Q$1006:$U$1006,0)), HYPERLINK("#",""), HYPERLINK(CONCATENATE("#metadata!", ADDRESS(INDEX($L$2:$L$1001,MATCH(ROWS($J$2:J520),$J$2:$J$1001,0),0), INDEX($Q$1004:$U$1004,1,MATCH(COLUMNS($Q$1006:S1006),$Q$1006:$U$1006,0)))),"Fix")))</f>
        <v xml:space="preserve"> </v>
      </c>
      <c r="E520" s="3" t="str">
        <f ca="1">IF(OR(INDEX($K$2:$K$1001,MATCH(ROWS($J$2:J520),$J$2:$J$1001,0),1)&gt;=100000,INDEX($Q$1005:$U$1005,1,MATCH(COLUMNS($Q$1006:T1006),$Q$1006:$U$1006,0))&gt;=100000), " ",IF(INDEX($Q$2:$U$1001,MATCH(ROWS($J$2:J520),$J$2:$J$1001,0),MATCH(COLUMNS($Q$1006:T1006),$Q$1006:$U$1006,0)), HYPERLINK("#",""), HYPERLINK(CONCATENATE("#metadata!", ADDRESS(INDEX($L$2:$L$1001,MATCH(ROWS($J$2:J520),$J$2:$J$1001,0),0), INDEX($Q$1004:$U$1004,1,MATCH(COLUMNS($Q$1006:T1006),$Q$1006:$U$1006,0)))),"Fix")))</f>
        <v xml:space="preserve"> </v>
      </c>
      <c r="F520" s="3" t="str">
        <f ca="1">IF(OR(INDEX($K$2:$K$1001,MATCH(ROWS($J$2:J520),$J$2:$J$1001,0),1)&gt;=100000,INDEX($Q$1005:$U$1005,1,MATCH(COLUMNS($Q$1006:U1006),$Q$1006:$U$1006,0))&gt;=100000), " ",IF(INDEX($Q$2:$U$1001,MATCH(ROWS($J$2:J520),$J$2:$J$1001,0),MATCH(COLUMNS($Q$1006:U1006),$Q$1006:$U$1006,0)), HYPERLINK("#",""), HYPERLINK(CONCATENATE("#metadata!", ADDRESS(INDEX($L$2:$L$1001,MATCH(ROWS($J$2:J520),$J$2:$J$1001,0),0), INDEX($Q$1004:$U$1004,1,MATCH(COLUMNS($Q$1006:U1006),$Q$1006:$U$1006,0)))),"Fix")))</f>
        <v xml:space="preserve"> </v>
      </c>
      <c r="J520">
        <v>519</v>
      </c>
      <c r="K520">
        <v>100520</v>
      </c>
      <c r="L520">
        <v>520</v>
      </c>
      <c r="M520" t="b">
        <f t="shared" si="8"/>
        <v>1</v>
      </c>
      <c r="N520" t="b">
        <f>COUNTBLANK(metadata!B520:F520)=COLUMNS(metadata!B520:F520)</f>
        <v>1</v>
      </c>
      <c r="O520" t="str">
        <v/>
      </c>
      <c r="Q520" t="b">
        <f ca="1">AND(IF(metadata!B520="",FALSE,TRUE),COUNTIF(metadata!B:B, metadata!B520) = 1,NOT(ISERROR(SUMPRODUCT(SEARCH(MID(metadata!B520,ROW(INDIRECT("1:"&amp;LEN(metadata!B520))), 1),"0123456789abcdefghijklmnopqrstuvwxyzABCDEFGHIJKLMNOPQRSTUVWXYZ.")))))</f>
        <v>0</v>
      </c>
      <c r="R520" t="b">
        <f>AND(IF(metadata!C520="",FALSE,TRUE),OR(EXACT(metadata!C520,"saline"),EXACT(metadata!C520,"non-saline")))</f>
        <v>0</v>
      </c>
      <c r="S520" t="b">
        <f>AND(IF(metadata!D520="",FALSE,TRUE),OR(EXACT(metadata!D520,"surface (non-saline)"),EXACT(metadata!D520,"aerosol (non-saline)"),EXACT(metadata!D520,"sediment (non-saline)"),EXACT(metadata!D520,"surface (saline)"),EXACT(metadata!D520,"aerosol (saline)"),EXACT(metadata!D520,"sediment (saline)")))</f>
        <v>0</v>
      </c>
      <c r="T520" t="b">
        <f>AND(IF(metadata!E520="",FALSE,TRUE),EXACT(metadata!E520,"built environment"))</f>
        <v>0</v>
      </c>
      <c r="U520" t="b">
        <f>OR(AND(IF(metadata!F520="",FALSE,TRUE),EXACT(metadata!F520,"not applicable")),AND(IF(metadata!F520="",FALSE,TRUE),EXACT(metadata!F520,"anaerobic digester content")))</f>
        <v>0</v>
      </c>
    </row>
    <row r="521" spans="1:21" x14ac:dyDescent="0.2">
      <c r="A521" s="4" t="str">
        <f ca="1">IF(B521=" "," ",HYPERLINK(CONCATENATE("#metadata!",ADDRESS(INDEX($L$2:$L$1001,MATCH(ROWS($J$2:J521),$J$2:$J$1001,0),0),1)),INDEX($O$2:$O$1001,MATCH(ROWS($J$2:J521),$J$2:$J$1001,0),0)))</f>
        <v xml:space="preserve"> </v>
      </c>
      <c r="B521" s="3" t="str">
        <f ca="1">IF(OR(INDEX($K$2:$K$1001,MATCH(ROWS($J$2:J521),$J$2:$J$1001,0),1)&gt;=100000,INDEX($Q$1005:$U$1005,1,MATCH(COLUMNS($Q$1006:Q1006),$Q$1006:$U$1006,0))&gt;=100000), " ",IF(INDEX($Q$2:$U$1001,MATCH(ROWS($J$2:J521),$J$2:$J$1001,0),MATCH(COLUMNS($Q$1006:Q1006),$Q$1006:$U$1006,0)), HYPERLINK("#",""), HYPERLINK(CONCATENATE("#metadata!", ADDRESS(INDEX($L$2:$L$1001,MATCH(ROWS($J$2:J521),$J$2:$J$1001,0),0), INDEX($Q$1004:$U$1004,1,MATCH(COLUMNS($Q$1006:Q1006),$Q$1006:$U$1006,0)))),"Fix")))</f>
        <v xml:space="preserve"> </v>
      </c>
      <c r="C521" s="3" t="str">
        <f ca="1">IF(OR(INDEX($K$2:$K$1001,MATCH(ROWS($J$2:J521),$J$2:$J$1001,0),1)&gt;=100000,INDEX($Q$1005:$U$1005,1,MATCH(COLUMNS($Q$1006:R1006),$Q$1006:$U$1006,0))&gt;=100000), " ",IF(INDEX($Q$2:$U$1001,MATCH(ROWS($J$2:J521),$J$2:$J$1001,0),MATCH(COLUMNS($Q$1006:R1006),$Q$1006:$U$1006,0)), HYPERLINK("#",""), HYPERLINK(CONCATENATE("#metadata!", ADDRESS(INDEX($L$2:$L$1001,MATCH(ROWS($J$2:J521),$J$2:$J$1001,0),0), INDEX($Q$1004:$U$1004,1,MATCH(COLUMNS($Q$1006:R1006),$Q$1006:$U$1006,0)))),"Fix")))</f>
        <v xml:space="preserve"> </v>
      </c>
      <c r="D521" s="3" t="str">
        <f ca="1">IF(OR(INDEX($K$2:$K$1001,MATCH(ROWS($J$2:J521),$J$2:$J$1001,0),1)&gt;=100000,INDEX($Q$1005:$U$1005,1,MATCH(COLUMNS($Q$1006:S1006),$Q$1006:$U$1006,0))&gt;=100000), " ",IF(INDEX($Q$2:$U$1001,MATCH(ROWS($J$2:J521),$J$2:$J$1001,0),MATCH(COLUMNS($Q$1006:S1006),$Q$1006:$U$1006,0)), HYPERLINK("#",""), HYPERLINK(CONCATENATE("#metadata!", ADDRESS(INDEX($L$2:$L$1001,MATCH(ROWS($J$2:J521),$J$2:$J$1001,0),0), INDEX($Q$1004:$U$1004,1,MATCH(COLUMNS($Q$1006:S1006),$Q$1006:$U$1006,0)))),"Fix")))</f>
        <v xml:space="preserve"> </v>
      </c>
      <c r="E521" s="3" t="str">
        <f ca="1">IF(OR(INDEX($K$2:$K$1001,MATCH(ROWS($J$2:J521),$J$2:$J$1001,0),1)&gt;=100000,INDEX($Q$1005:$U$1005,1,MATCH(COLUMNS($Q$1006:T1006),$Q$1006:$U$1006,0))&gt;=100000), " ",IF(INDEX($Q$2:$U$1001,MATCH(ROWS($J$2:J521),$J$2:$J$1001,0),MATCH(COLUMNS($Q$1006:T1006),$Q$1006:$U$1006,0)), HYPERLINK("#",""), HYPERLINK(CONCATENATE("#metadata!", ADDRESS(INDEX($L$2:$L$1001,MATCH(ROWS($J$2:J521),$J$2:$J$1001,0),0), INDEX($Q$1004:$U$1004,1,MATCH(COLUMNS($Q$1006:T1006),$Q$1006:$U$1006,0)))),"Fix")))</f>
        <v xml:space="preserve"> </v>
      </c>
      <c r="F521" s="3" t="str">
        <f ca="1">IF(OR(INDEX($K$2:$K$1001,MATCH(ROWS($J$2:J521),$J$2:$J$1001,0),1)&gt;=100000,INDEX($Q$1005:$U$1005,1,MATCH(COLUMNS($Q$1006:U1006),$Q$1006:$U$1006,0))&gt;=100000), " ",IF(INDEX($Q$2:$U$1001,MATCH(ROWS($J$2:J521),$J$2:$J$1001,0),MATCH(COLUMNS($Q$1006:U1006),$Q$1006:$U$1006,0)), HYPERLINK("#",""), HYPERLINK(CONCATENATE("#metadata!", ADDRESS(INDEX($L$2:$L$1001,MATCH(ROWS($J$2:J521),$J$2:$J$1001,0),0), INDEX($Q$1004:$U$1004,1,MATCH(COLUMNS($Q$1006:U1006),$Q$1006:$U$1006,0)))),"Fix")))</f>
        <v xml:space="preserve"> </v>
      </c>
      <c r="J521">
        <v>520</v>
      </c>
      <c r="K521">
        <v>100521</v>
      </c>
      <c r="L521">
        <v>521</v>
      </c>
      <c r="M521" t="b">
        <f t="shared" si="8"/>
        <v>1</v>
      </c>
      <c r="N521" t="b">
        <f>COUNTBLANK(metadata!B521:F521)=COLUMNS(metadata!B521:F521)</f>
        <v>1</v>
      </c>
      <c r="O521" t="str">
        <v/>
      </c>
      <c r="Q521" t="b">
        <f ca="1">AND(IF(metadata!B521="",FALSE,TRUE),COUNTIF(metadata!B:B, metadata!B521) = 1,NOT(ISERROR(SUMPRODUCT(SEARCH(MID(metadata!B521,ROW(INDIRECT("1:"&amp;LEN(metadata!B521))), 1),"0123456789abcdefghijklmnopqrstuvwxyzABCDEFGHIJKLMNOPQRSTUVWXYZ.")))))</f>
        <v>0</v>
      </c>
      <c r="R521" t="b">
        <f>AND(IF(metadata!C521="",FALSE,TRUE),OR(EXACT(metadata!C521,"saline"),EXACT(metadata!C521,"non-saline")))</f>
        <v>0</v>
      </c>
      <c r="S521" t="b">
        <f>AND(IF(metadata!D521="",FALSE,TRUE),OR(EXACT(metadata!D521,"surface (non-saline)"),EXACT(metadata!D521,"aerosol (non-saline)"),EXACT(metadata!D521,"sediment (non-saline)"),EXACT(metadata!D521,"surface (saline)"),EXACT(metadata!D521,"aerosol (saline)"),EXACT(metadata!D521,"sediment (saline)")))</f>
        <v>0</v>
      </c>
      <c r="T521" t="b">
        <f>AND(IF(metadata!E521="",FALSE,TRUE),EXACT(metadata!E521,"built environment"))</f>
        <v>0</v>
      </c>
      <c r="U521" t="b">
        <f>OR(AND(IF(metadata!F521="",FALSE,TRUE),EXACT(metadata!F521,"not applicable")),AND(IF(metadata!F521="",FALSE,TRUE),EXACT(metadata!F521,"anaerobic digester content")))</f>
        <v>0</v>
      </c>
    </row>
    <row r="522" spans="1:21" x14ac:dyDescent="0.2">
      <c r="A522" s="4" t="str">
        <f ca="1">IF(B522=" "," ",HYPERLINK(CONCATENATE("#metadata!",ADDRESS(INDEX($L$2:$L$1001,MATCH(ROWS($J$2:J522),$J$2:$J$1001,0),0),1)),INDEX($O$2:$O$1001,MATCH(ROWS($J$2:J522),$J$2:$J$1001,0),0)))</f>
        <v xml:space="preserve"> </v>
      </c>
      <c r="B522" s="3" t="str">
        <f ca="1">IF(OR(INDEX($K$2:$K$1001,MATCH(ROWS($J$2:J522),$J$2:$J$1001,0),1)&gt;=100000,INDEX($Q$1005:$U$1005,1,MATCH(COLUMNS($Q$1006:Q1006),$Q$1006:$U$1006,0))&gt;=100000), " ",IF(INDEX($Q$2:$U$1001,MATCH(ROWS($J$2:J522),$J$2:$J$1001,0),MATCH(COLUMNS($Q$1006:Q1006),$Q$1006:$U$1006,0)), HYPERLINK("#",""), HYPERLINK(CONCATENATE("#metadata!", ADDRESS(INDEX($L$2:$L$1001,MATCH(ROWS($J$2:J522),$J$2:$J$1001,0),0), INDEX($Q$1004:$U$1004,1,MATCH(COLUMNS($Q$1006:Q1006),$Q$1006:$U$1006,0)))),"Fix")))</f>
        <v xml:space="preserve"> </v>
      </c>
      <c r="C522" s="3" t="str">
        <f ca="1">IF(OR(INDEX($K$2:$K$1001,MATCH(ROWS($J$2:J522),$J$2:$J$1001,0),1)&gt;=100000,INDEX($Q$1005:$U$1005,1,MATCH(COLUMNS($Q$1006:R1006),$Q$1006:$U$1006,0))&gt;=100000), " ",IF(INDEX($Q$2:$U$1001,MATCH(ROWS($J$2:J522),$J$2:$J$1001,0),MATCH(COLUMNS($Q$1006:R1006),$Q$1006:$U$1006,0)), HYPERLINK("#",""), HYPERLINK(CONCATENATE("#metadata!", ADDRESS(INDEX($L$2:$L$1001,MATCH(ROWS($J$2:J522),$J$2:$J$1001,0),0), INDEX($Q$1004:$U$1004,1,MATCH(COLUMNS($Q$1006:R1006),$Q$1006:$U$1006,0)))),"Fix")))</f>
        <v xml:space="preserve"> </v>
      </c>
      <c r="D522" s="3" t="str">
        <f ca="1">IF(OR(INDEX($K$2:$K$1001,MATCH(ROWS($J$2:J522),$J$2:$J$1001,0),1)&gt;=100000,INDEX($Q$1005:$U$1005,1,MATCH(COLUMNS($Q$1006:S1006),$Q$1006:$U$1006,0))&gt;=100000), " ",IF(INDEX($Q$2:$U$1001,MATCH(ROWS($J$2:J522),$J$2:$J$1001,0),MATCH(COLUMNS($Q$1006:S1006),$Q$1006:$U$1006,0)), HYPERLINK("#",""), HYPERLINK(CONCATENATE("#metadata!", ADDRESS(INDEX($L$2:$L$1001,MATCH(ROWS($J$2:J522),$J$2:$J$1001,0),0), INDEX($Q$1004:$U$1004,1,MATCH(COLUMNS($Q$1006:S1006),$Q$1006:$U$1006,0)))),"Fix")))</f>
        <v xml:space="preserve"> </v>
      </c>
      <c r="E522" s="3" t="str">
        <f ca="1">IF(OR(INDEX($K$2:$K$1001,MATCH(ROWS($J$2:J522),$J$2:$J$1001,0),1)&gt;=100000,INDEX($Q$1005:$U$1005,1,MATCH(COLUMNS($Q$1006:T1006),$Q$1006:$U$1006,0))&gt;=100000), " ",IF(INDEX($Q$2:$U$1001,MATCH(ROWS($J$2:J522),$J$2:$J$1001,0),MATCH(COLUMNS($Q$1006:T1006),$Q$1006:$U$1006,0)), HYPERLINK("#",""), HYPERLINK(CONCATENATE("#metadata!", ADDRESS(INDEX($L$2:$L$1001,MATCH(ROWS($J$2:J522),$J$2:$J$1001,0),0), INDEX($Q$1004:$U$1004,1,MATCH(COLUMNS($Q$1006:T1006),$Q$1006:$U$1006,0)))),"Fix")))</f>
        <v xml:space="preserve"> </v>
      </c>
      <c r="F522" s="3" t="str">
        <f ca="1">IF(OR(INDEX($K$2:$K$1001,MATCH(ROWS($J$2:J522),$J$2:$J$1001,0),1)&gt;=100000,INDEX($Q$1005:$U$1005,1,MATCH(COLUMNS($Q$1006:U1006),$Q$1006:$U$1006,0))&gt;=100000), " ",IF(INDEX($Q$2:$U$1001,MATCH(ROWS($J$2:J522),$J$2:$J$1001,0),MATCH(COLUMNS($Q$1006:U1006),$Q$1006:$U$1006,0)), HYPERLINK("#",""), HYPERLINK(CONCATENATE("#metadata!", ADDRESS(INDEX($L$2:$L$1001,MATCH(ROWS($J$2:J522),$J$2:$J$1001,0),0), INDEX($Q$1004:$U$1004,1,MATCH(COLUMNS($Q$1006:U1006),$Q$1006:$U$1006,0)))),"Fix")))</f>
        <v xml:space="preserve"> </v>
      </c>
      <c r="J522">
        <v>521</v>
      </c>
      <c r="K522">
        <v>100522</v>
      </c>
      <c r="L522">
        <v>522</v>
      </c>
      <c r="M522" t="b">
        <f t="shared" si="8"/>
        <v>1</v>
      </c>
      <c r="N522" t="b">
        <f>COUNTBLANK(metadata!B522:F522)=COLUMNS(metadata!B522:F522)</f>
        <v>1</v>
      </c>
      <c r="O522" t="str">
        <v/>
      </c>
      <c r="Q522" t="b">
        <f ca="1">AND(IF(metadata!B522="",FALSE,TRUE),COUNTIF(metadata!B:B, metadata!B522) = 1,NOT(ISERROR(SUMPRODUCT(SEARCH(MID(metadata!B522,ROW(INDIRECT("1:"&amp;LEN(metadata!B522))), 1),"0123456789abcdefghijklmnopqrstuvwxyzABCDEFGHIJKLMNOPQRSTUVWXYZ.")))))</f>
        <v>0</v>
      </c>
      <c r="R522" t="b">
        <f>AND(IF(metadata!C522="",FALSE,TRUE),OR(EXACT(metadata!C522,"saline"),EXACT(metadata!C522,"non-saline")))</f>
        <v>0</v>
      </c>
      <c r="S522" t="b">
        <f>AND(IF(metadata!D522="",FALSE,TRUE),OR(EXACT(metadata!D522,"surface (non-saline)"),EXACT(metadata!D522,"aerosol (non-saline)"),EXACT(metadata!D522,"sediment (non-saline)"),EXACT(metadata!D522,"surface (saline)"),EXACT(metadata!D522,"aerosol (saline)"),EXACT(metadata!D522,"sediment (saline)")))</f>
        <v>0</v>
      </c>
      <c r="T522" t="b">
        <f>AND(IF(metadata!E522="",FALSE,TRUE),EXACT(metadata!E522,"built environment"))</f>
        <v>0</v>
      </c>
      <c r="U522" t="b">
        <f>OR(AND(IF(metadata!F522="",FALSE,TRUE),EXACT(metadata!F522,"not applicable")),AND(IF(metadata!F522="",FALSE,TRUE),EXACT(metadata!F522,"anaerobic digester content")))</f>
        <v>0</v>
      </c>
    </row>
    <row r="523" spans="1:21" x14ac:dyDescent="0.2">
      <c r="A523" s="4" t="str">
        <f ca="1">IF(B523=" "," ",HYPERLINK(CONCATENATE("#metadata!",ADDRESS(INDEX($L$2:$L$1001,MATCH(ROWS($J$2:J523),$J$2:$J$1001,0),0),1)),INDEX($O$2:$O$1001,MATCH(ROWS($J$2:J523),$J$2:$J$1001,0),0)))</f>
        <v xml:space="preserve"> </v>
      </c>
      <c r="B523" s="3" t="str">
        <f ca="1">IF(OR(INDEX($K$2:$K$1001,MATCH(ROWS($J$2:J523),$J$2:$J$1001,0),1)&gt;=100000,INDEX($Q$1005:$U$1005,1,MATCH(COLUMNS($Q$1006:Q1006),$Q$1006:$U$1006,0))&gt;=100000), " ",IF(INDEX($Q$2:$U$1001,MATCH(ROWS($J$2:J523),$J$2:$J$1001,0),MATCH(COLUMNS($Q$1006:Q1006),$Q$1006:$U$1006,0)), HYPERLINK("#",""), HYPERLINK(CONCATENATE("#metadata!", ADDRESS(INDEX($L$2:$L$1001,MATCH(ROWS($J$2:J523),$J$2:$J$1001,0),0), INDEX($Q$1004:$U$1004,1,MATCH(COLUMNS($Q$1006:Q1006),$Q$1006:$U$1006,0)))),"Fix")))</f>
        <v xml:space="preserve"> </v>
      </c>
      <c r="C523" s="3" t="str">
        <f ca="1">IF(OR(INDEX($K$2:$K$1001,MATCH(ROWS($J$2:J523),$J$2:$J$1001,0),1)&gt;=100000,INDEX($Q$1005:$U$1005,1,MATCH(COLUMNS($Q$1006:R1006),$Q$1006:$U$1006,0))&gt;=100000), " ",IF(INDEX($Q$2:$U$1001,MATCH(ROWS($J$2:J523),$J$2:$J$1001,0),MATCH(COLUMNS($Q$1006:R1006),$Q$1006:$U$1006,0)), HYPERLINK("#",""), HYPERLINK(CONCATENATE("#metadata!", ADDRESS(INDEX($L$2:$L$1001,MATCH(ROWS($J$2:J523),$J$2:$J$1001,0),0), INDEX($Q$1004:$U$1004,1,MATCH(COLUMNS($Q$1006:R1006),$Q$1006:$U$1006,0)))),"Fix")))</f>
        <v xml:space="preserve"> </v>
      </c>
      <c r="D523" s="3" t="str">
        <f ca="1">IF(OR(INDEX($K$2:$K$1001,MATCH(ROWS($J$2:J523),$J$2:$J$1001,0),1)&gt;=100000,INDEX($Q$1005:$U$1005,1,MATCH(COLUMNS($Q$1006:S1006),$Q$1006:$U$1006,0))&gt;=100000), " ",IF(INDEX($Q$2:$U$1001,MATCH(ROWS($J$2:J523),$J$2:$J$1001,0),MATCH(COLUMNS($Q$1006:S1006),$Q$1006:$U$1006,0)), HYPERLINK("#",""), HYPERLINK(CONCATENATE("#metadata!", ADDRESS(INDEX($L$2:$L$1001,MATCH(ROWS($J$2:J523),$J$2:$J$1001,0),0), INDEX($Q$1004:$U$1004,1,MATCH(COLUMNS($Q$1006:S1006),$Q$1006:$U$1006,0)))),"Fix")))</f>
        <v xml:space="preserve"> </v>
      </c>
      <c r="E523" s="3" t="str">
        <f ca="1">IF(OR(INDEX($K$2:$K$1001,MATCH(ROWS($J$2:J523),$J$2:$J$1001,0),1)&gt;=100000,INDEX($Q$1005:$U$1005,1,MATCH(COLUMNS($Q$1006:T1006),$Q$1006:$U$1006,0))&gt;=100000), " ",IF(INDEX($Q$2:$U$1001,MATCH(ROWS($J$2:J523),$J$2:$J$1001,0),MATCH(COLUMNS($Q$1006:T1006),$Q$1006:$U$1006,0)), HYPERLINK("#",""), HYPERLINK(CONCATENATE("#metadata!", ADDRESS(INDEX($L$2:$L$1001,MATCH(ROWS($J$2:J523),$J$2:$J$1001,0),0), INDEX($Q$1004:$U$1004,1,MATCH(COLUMNS($Q$1006:T1006),$Q$1006:$U$1006,0)))),"Fix")))</f>
        <v xml:space="preserve"> </v>
      </c>
      <c r="F523" s="3" t="str">
        <f ca="1">IF(OR(INDEX($K$2:$K$1001,MATCH(ROWS($J$2:J523),$J$2:$J$1001,0),1)&gt;=100000,INDEX($Q$1005:$U$1005,1,MATCH(COLUMNS($Q$1006:U1006),$Q$1006:$U$1006,0))&gt;=100000), " ",IF(INDEX($Q$2:$U$1001,MATCH(ROWS($J$2:J523),$J$2:$J$1001,0),MATCH(COLUMNS($Q$1006:U1006),$Q$1006:$U$1006,0)), HYPERLINK("#",""), HYPERLINK(CONCATENATE("#metadata!", ADDRESS(INDEX($L$2:$L$1001,MATCH(ROWS($J$2:J523),$J$2:$J$1001,0),0), INDEX($Q$1004:$U$1004,1,MATCH(COLUMNS($Q$1006:U1006),$Q$1006:$U$1006,0)))),"Fix")))</f>
        <v xml:space="preserve"> </v>
      </c>
      <c r="J523">
        <v>522</v>
      </c>
      <c r="K523">
        <v>100523</v>
      </c>
      <c r="L523">
        <v>523</v>
      </c>
      <c r="M523" t="b">
        <f t="shared" si="8"/>
        <v>1</v>
      </c>
      <c r="N523" t="b">
        <f>COUNTBLANK(metadata!B523:F523)=COLUMNS(metadata!B523:F523)</f>
        <v>1</v>
      </c>
      <c r="O523" t="str">
        <v/>
      </c>
      <c r="Q523" t="b">
        <f ca="1">AND(IF(metadata!B523="",FALSE,TRUE),COUNTIF(metadata!B:B, metadata!B523) = 1,NOT(ISERROR(SUMPRODUCT(SEARCH(MID(metadata!B523,ROW(INDIRECT("1:"&amp;LEN(metadata!B523))), 1),"0123456789abcdefghijklmnopqrstuvwxyzABCDEFGHIJKLMNOPQRSTUVWXYZ.")))))</f>
        <v>0</v>
      </c>
      <c r="R523" t="b">
        <f>AND(IF(metadata!C523="",FALSE,TRUE),OR(EXACT(metadata!C523,"saline"),EXACT(metadata!C523,"non-saline")))</f>
        <v>0</v>
      </c>
      <c r="S523" t="b">
        <f>AND(IF(metadata!D523="",FALSE,TRUE),OR(EXACT(metadata!D523,"surface (non-saline)"),EXACT(metadata!D523,"aerosol (non-saline)"),EXACT(metadata!D523,"sediment (non-saline)"),EXACT(metadata!D523,"surface (saline)"),EXACT(metadata!D523,"aerosol (saline)"),EXACT(metadata!D523,"sediment (saline)")))</f>
        <v>0</v>
      </c>
      <c r="T523" t="b">
        <f>AND(IF(metadata!E523="",FALSE,TRUE),EXACT(metadata!E523,"built environment"))</f>
        <v>0</v>
      </c>
      <c r="U523" t="b">
        <f>OR(AND(IF(metadata!F523="",FALSE,TRUE),EXACT(metadata!F523,"not applicable")),AND(IF(metadata!F523="",FALSE,TRUE),EXACT(metadata!F523,"anaerobic digester content")))</f>
        <v>0</v>
      </c>
    </row>
    <row r="524" spans="1:21" x14ac:dyDescent="0.2">
      <c r="A524" s="4" t="str">
        <f ca="1">IF(B524=" "," ",HYPERLINK(CONCATENATE("#metadata!",ADDRESS(INDEX($L$2:$L$1001,MATCH(ROWS($J$2:J524),$J$2:$J$1001,0),0),1)),INDEX($O$2:$O$1001,MATCH(ROWS($J$2:J524),$J$2:$J$1001,0),0)))</f>
        <v xml:space="preserve"> </v>
      </c>
      <c r="B524" s="3" t="str">
        <f ca="1">IF(OR(INDEX($K$2:$K$1001,MATCH(ROWS($J$2:J524),$J$2:$J$1001,0),1)&gt;=100000,INDEX($Q$1005:$U$1005,1,MATCH(COLUMNS($Q$1006:Q1006),$Q$1006:$U$1006,0))&gt;=100000), " ",IF(INDEX($Q$2:$U$1001,MATCH(ROWS($J$2:J524),$J$2:$J$1001,0),MATCH(COLUMNS($Q$1006:Q1006),$Q$1006:$U$1006,0)), HYPERLINK("#",""), HYPERLINK(CONCATENATE("#metadata!", ADDRESS(INDEX($L$2:$L$1001,MATCH(ROWS($J$2:J524),$J$2:$J$1001,0),0), INDEX($Q$1004:$U$1004,1,MATCH(COLUMNS($Q$1006:Q1006),$Q$1006:$U$1006,0)))),"Fix")))</f>
        <v xml:space="preserve"> </v>
      </c>
      <c r="C524" s="3" t="str">
        <f ca="1">IF(OR(INDEX($K$2:$K$1001,MATCH(ROWS($J$2:J524),$J$2:$J$1001,0),1)&gt;=100000,INDEX($Q$1005:$U$1005,1,MATCH(COLUMNS($Q$1006:R1006),$Q$1006:$U$1006,0))&gt;=100000), " ",IF(INDEX($Q$2:$U$1001,MATCH(ROWS($J$2:J524),$J$2:$J$1001,0),MATCH(COLUMNS($Q$1006:R1006),$Q$1006:$U$1006,0)), HYPERLINK("#",""), HYPERLINK(CONCATENATE("#metadata!", ADDRESS(INDEX($L$2:$L$1001,MATCH(ROWS($J$2:J524),$J$2:$J$1001,0),0), INDEX($Q$1004:$U$1004,1,MATCH(COLUMNS($Q$1006:R1006),$Q$1006:$U$1006,0)))),"Fix")))</f>
        <v xml:space="preserve"> </v>
      </c>
      <c r="D524" s="3" t="str">
        <f ca="1">IF(OR(INDEX($K$2:$K$1001,MATCH(ROWS($J$2:J524),$J$2:$J$1001,0),1)&gt;=100000,INDEX($Q$1005:$U$1005,1,MATCH(COLUMNS($Q$1006:S1006),$Q$1006:$U$1006,0))&gt;=100000), " ",IF(INDEX($Q$2:$U$1001,MATCH(ROWS($J$2:J524),$J$2:$J$1001,0),MATCH(COLUMNS($Q$1006:S1006),$Q$1006:$U$1006,0)), HYPERLINK("#",""), HYPERLINK(CONCATENATE("#metadata!", ADDRESS(INDEX($L$2:$L$1001,MATCH(ROWS($J$2:J524),$J$2:$J$1001,0),0), INDEX($Q$1004:$U$1004,1,MATCH(COLUMNS($Q$1006:S1006),$Q$1006:$U$1006,0)))),"Fix")))</f>
        <v xml:space="preserve"> </v>
      </c>
      <c r="E524" s="3" t="str">
        <f ca="1">IF(OR(INDEX($K$2:$K$1001,MATCH(ROWS($J$2:J524),$J$2:$J$1001,0),1)&gt;=100000,INDEX($Q$1005:$U$1005,1,MATCH(COLUMNS($Q$1006:T1006),$Q$1006:$U$1006,0))&gt;=100000), " ",IF(INDEX($Q$2:$U$1001,MATCH(ROWS($J$2:J524),$J$2:$J$1001,0),MATCH(COLUMNS($Q$1006:T1006),$Q$1006:$U$1006,0)), HYPERLINK("#",""), HYPERLINK(CONCATENATE("#metadata!", ADDRESS(INDEX($L$2:$L$1001,MATCH(ROWS($J$2:J524),$J$2:$J$1001,0),0), INDEX($Q$1004:$U$1004,1,MATCH(COLUMNS($Q$1006:T1006),$Q$1006:$U$1006,0)))),"Fix")))</f>
        <v xml:space="preserve"> </v>
      </c>
      <c r="F524" s="3" t="str">
        <f ca="1">IF(OR(INDEX($K$2:$K$1001,MATCH(ROWS($J$2:J524),$J$2:$J$1001,0),1)&gt;=100000,INDEX($Q$1005:$U$1005,1,MATCH(COLUMNS($Q$1006:U1006),$Q$1006:$U$1006,0))&gt;=100000), " ",IF(INDEX($Q$2:$U$1001,MATCH(ROWS($J$2:J524),$J$2:$J$1001,0),MATCH(COLUMNS($Q$1006:U1006),$Q$1006:$U$1006,0)), HYPERLINK("#",""), HYPERLINK(CONCATENATE("#metadata!", ADDRESS(INDEX($L$2:$L$1001,MATCH(ROWS($J$2:J524),$J$2:$J$1001,0),0), INDEX($Q$1004:$U$1004,1,MATCH(COLUMNS($Q$1006:U1006),$Q$1006:$U$1006,0)))),"Fix")))</f>
        <v xml:space="preserve"> </v>
      </c>
      <c r="J524">
        <v>523</v>
      </c>
      <c r="K524">
        <v>100524</v>
      </c>
      <c r="L524">
        <v>524</v>
      </c>
      <c r="M524" t="b">
        <f t="shared" si="8"/>
        <v>1</v>
      </c>
      <c r="N524" t="b">
        <f>COUNTBLANK(metadata!B524:F524)=COLUMNS(metadata!B524:F524)</f>
        <v>1</v>
      </c>
      <c r="O524" t="str">
        <v/>
      </c>
      <c r="Q524" t="b">
        <f ca="1">AND(IF(metadata!B524="",FALSE,TRUE),COUNTIF(metadata!B:B, metadata!B524) = 1,NOT(ISERROR(SUMPRODUCT(SEARCH(MID(metadata!B524,ROW(INDIRECT("1:"&amp;LEN(metadata!B524))), 1),"0123456789abcdefghijklmnopqrstuvwxyzABCDEFGHIJKLMNOPQRSTUVWXYZ.")))))</f>
        <v>0</v>
      </c>
      <c r="R524" t="b">
        <f>AND(IF(metadata!C524="",FALSE,TRUE),OR(EXACT(metadata!C524,"saline"),EXACT(metadata!C524,"non-saline")))</f>
        <v>0</v>
      </c>
      <c r="S524" t="b">
        <f>AND(IF(metadata!D524="",FALSE,TRUE),OR(EXACT(metadata!D524,"surface (non-saline)"),EXACT(metadata!D524,"aerosol (non-saline)"),EXACT(metadata!D524,"sediment (non-saline)"),EXACT(metadata!D524,"surface (saline)"),EXACT(metadata!D524,"aerosol (saline)"),EXACT(metadata!D524,"sediment (saline)")))</f>
        <v>0</v>
      </c>
      <c r="T524" t="b">
        <f>AND(IF(metadata!E524="",FALSE,TRUE),EXACT(metadata!E524,"built environment"))</f>
        <v>0</v>
      </c>
      <c r="U524" t="b">
        <f>OR(AND(IF(metadata!F524="",FALSE,TRUE),EXACT(metadata!F524,"not applicable")),AND(IF(metadata!F524="",FALSE,TRUE),EXACT(metadata!F524,"anaerobic digester content")))</f>
        <v>0</v>
      </c>
    </row>
    <row r="525" spans="1:21" x14ac:dyDescent="0.2">
      <c r="A525" s="4" t="str">
        <f ca="1">IF(B525=" "," ",HYPERLINK(CONCATENATE("#metadata!",ADDRESS(INDEX($L$2:$L$1001,MATCH(ROWS($J$2:J525),$J$2:$J$1001,0),0),1)),INDEX($O$2:$O$1001,MATCH(ROWS($J$2:J525),$J$2:$J$1001,0),0)))</f>
        <v xml:space="preserve"> </v>
      </c>
      <c r="B525" s="3" t="str">
        <f ca="1">IF(OR(INDEX($K$2:$K$1001,MATCH(ROWS($J$2:J525),$J$2:$J$1001,0),1)&gt;=100000,INDEX($Q$1005:$U$1005,1,MATCH(COLUMNS($Q$1006:Q1006),$Q$1006:$U$1006,0))&gt;=100000), " ",IF(INDEX($Q$2:$U$1001,MATCH(ROWS($J$2:J525),$J$2:$J$1001,0),MATCH(COLUMNS($Q$1006:Q1006),$Q$1006:$U$1006,0)), HYPERLINK("#",""), HYPERLINK(CONCATENATE("#metadata!", ADDRESS(INDEX($L$2:$L$1001,MATCH(ROWS($J$2:J525),$J$2:$J$1001,0),0), INDEX($Q$1004:$U$1004,1,MATCH(COLUMNS($Q$1006:Q1006),$Q$1006:$U$1006,0)))),"Fix")))</f>
        <v xml:space="preserve"> </v>
      </c>
      <c r="C525" s="3" t="str">
        <f ca="1">IF(OR(INDEX($K$2:$K$1001,MATCH(ROWS($J$2:J525),$J$2:$J$1001,0),1)&gt;=100000,INDEX($Q$1005:$U$1005,1,MATCH(COLUMNS($Q$1006:R1006),$Q$1006:$U$1006,0))&gt;=100000), " ",IF(INDEX($Q$2:$U$1001,MATCH(ROWS($J$2:J525),$J$2:$J$1001,0),MATCH(COLUMNS($Q$1006:R1006),$Q$1006:$U$1006,0)), HYPERLINK("#",""), HYPERLINK(CONCATENATE("#metadata!", ADDRESS(INDEX($L$2:$L$1001,MATCH(ROWS($J$2:J525),$J$2:$J$1001,0),0), INDEX($Q$1004:$U$1004,1,MATCH(COLUMNS($Q$1006:R1006),$Q$1006:$U$1006,0)))),"Fix")))</f>
        <v xml:space="preserve"> </v>
      </c>
      <c r="D525" s="3" t="str">
        <f ca="1">IF(OR(INDEX($K$2:$K$1001,MATCH(ROWS($J$2:J525),$J$2:$J$1001,0),1)&gt;=100000,INDEX($Q$1005:$U$1005,1,MATCH(COLUMNS($Q$1006:S1006),$Q$1006:$U$1006,0))&gt;=100000), " ",IF(INDEX($Q$2:$U$1001,MATCH(ROWS($J$2:J525),$J$2:$J$1001,0),MATCH(COLUMNS($Q$1006:S1006),$Q$1006:$U$1006,0)), HYPERLINK("#",""), HYPERLINK(CONCATENATE("#metadata!", ADDRESS(INDEX($L$2:$L$1001,MATCH(ROWS($J$2:J525),$J$2:$J$1001,0),0), INDEX($Q$1004:$U$1004,1,MATCH(COLUMNS($Q$1006:S1006),$Q$1006:$U$1006,0)))),"Fix")))</f>
        <v xml:space="preserve"> </v>
      </c>
      <c r="E525" s="3" t="str">
        <f ca="1">IF(OR(INDEX($K$2:$K$1001,MATCH(ROWS($J$2:J525),$J$2:$J$1001,0),1)&gt;=100000,INDEX($Q$1005:$U$1005,1,MATCH(COLUMNS($Q$1006:T1006),$Q$1006:$U$1006,0))&gt;=100000), " ",IF(INDEX($Q$2:$U$1001,MATCH(ROWS($J$2:J525),$J$2:$J$1001,0),MATCH(COLUMNS($Q$1006:T1006),$Q$1006:$U$1006,0)), HYPERLINK("#",""), HYPERLINK(CONCATENATE("#metadata!", ADDRESS(INDEX($L$2:$L$1001,MATCH(ROWS($J$2:J525),$J$2:$J$1001,0),0), INDEX($Q$1004:$U$1004,1,MATCH(COLUMNS($Q$1006:T1006),$Q$1006:$U$1006,0)))),"Fix")))</f>
        <v xml:space="preserve"> </v>
      </c>
      <c r="F525" s="3" t="str">
        <f ca="1">IF(OR(INDEX($K$2:$K$1001,MATCH(ROWS($J$2:J525),$J$2:$J$1001,0),1)&gt;=100000,INDEX($Q$1005:$U$1005,1,MATCH(COLUMNS($Q$1006:U1006),$Q$1006:$U$1006,0))&gt;=100000), " ",IF(INDEX($Q$2:$U$1001,MATCH(ROWS($J$2:J525),$J$2:$J$1001,0),MATCH(COLUMNS($Q$1006:U1006),$Q$1006:$U$1006,0)), HYPERLINK("#",""), HYPERLINK(CONCATENATE("#metadata!", ADDRESS(INDEX($L$2:$L$1001,MATCH(ROWS($J$2:J525),$J$2:$J$1001,0),0), INDEX($Q$1004:$U$1004,1,MATCH(COLUMNS($Q$1006:U1006),$Q$1006:$U$1006,0)))),"Fix")))</f>
        <v xml:space="preserve"> </v>
      </c>
      <c r="J525">
        <v>524</v>
      </c>
      <c r="K525">
        <v>100525</v>
      </c>
      <c r="L525">
        <v>525</v>
      </c>
      <c r="M525" t="b">
        <f t="shared" si="8"/>
        <v>1</v>
      </c>
      <c r="N525" t="b">
        <f>COUNTBLANK(metadata!B525:F525)=COLUMNS(metadata!B525:F525)</f>
        <v>1</v>
      </c>
      <c r="O525" t="str">
        <v/>
      </c>
      <c r="Q525" t="b">
        <f ca="1">AND(IF(metadata!B525="",FALSE,TRUE),COUNTIF(metadata!B:B, metadata!B525) = 1,NOT(ISERROR(SUMPRODUCT(SEARCH(MID(metadata!B525,ROW(INDIRECT("1:"&amp;LEN(metadata!B525))), 1),"0123456789abcdefghijklmnopqrstuvwxyzABCDEFGHIJKLMNOPQRSTUVWXYZ.")))))</f>
        <v>0</v>
      </c>
      <c r="R525" t="b">
        <f>AND(IF(metadata!C525="",FALSE,TRUE),OR(EXACT(metadata!C525,"saline"),EXACT(metadata!C525,"non-saline")))</f>
        <v>0</v>
      </c>
      <c r="S525" t="b">
        <f>AND(IF(metadata!D525="",FALSE,TRUE),OR(EXACT(metadata!D525,"surface (non-saline)"),EXACT(metadata!D525,"aerosol (non-saline)"),EXACT(metadata!D525,"sediment (non-saline)"),EXACT(metadata!D525,"surface (saline)"),EXACT(metadata!D525,"aerosol (saline)"),EXACT(metadata!D525,"sediment (saline)")))</f>
        <v>0</v>
      </c>
      <c r="T525" t="b">
        <f>AND(IF(metadata!E525="",FALSE,TRUE),EXACT(metadata!E525,"built environment"))</f>
        <v>0</v>
      </c>
      <c r="U525" t="b">
        <f>OR(AND(IF(metadata!F525="",FALSE,TRUE),EXACT(metadata!F525,"not applicable")),AND(IF(metadata!F525="",FALSE,TRUE),EXACT(metadata!F525,"anaerobic digester content")))</f>
        <v>0</v>
      </c>
    </row>
    <row r="526" spans="1:21" x14ac:dyDescent="0.2">
      <c r="A526" s="4" t="str">
        <f ca="1">IF(B526=" "," ",HYPERLINK(CONCATENATE("#metadata!",ADDRESS(INDEX($L$2:$L$1001,MATCH(ROWS($J$2:J526),$J$2:$J$1001,0),0),1)),INDEX($O$2:$O$1001,MATCH(ROWS($J$2:J526),$J$2:$J$1001,0),0)))</f>
        <v xml:space="preserve"> </v>
      </c>
      <c r="B526" s="3" t="str">
        <f ca="1">IF(OR(INDEX($K$2:$K$1001,MATCH(ROWS($J$2:J526),$J$2:$J$1001,0),1)&gt;=100000,INDEX($Q$1005:$U$1005,1,MATCH(COLUMNS($Q$1006:Q1006),$Q$1006:$U$1006,0))&gt;=100000), " ",IF(INDEX($Q$2:$U$1001,MATCH(ROWS($J$2:J526),$J$2:$J$1001,0),MATCH(COLUMNS($Q$1006:Q1006),$Q$1006:$U$1006,0)), HYPERLINK("#",""), HYPERLINK(CONCATENATE("#metadata!", ADDRESS(INDEX($L$2:$L$1001,MATCH(ROWS($J$2:J526),$J$2:$J$1001,0),0), INDEX($Q$1004:$U$1004,1,MATCH(COLUMNS($Q$1006:Q1006),$Q$1006:$U$1006,0)))),"Fix")))</f>
        <v xml:space="preserve"> </v>
      </c>
      <c r="C526" s="3" t="str">
        <f ca="1">IF(OR(INDEX($K$2:$K$1001,MATCH(ROWS($J$2:J526),$J$2:$J$1001,0),1)&gt;=100000,INDEX($Q$1005:$U$1005,1,MATCH(COLUMNS($Q$1006:R1006),$Q$1006:$U$1006,0))&gt;=100000), " ",IF(INDEX($Q$2:$U$1001,MATCH(ROWS($J$2:J526),$J$2:$J$1001,0),MATCH(COLUMNS($Q$1006:R1006),$Q$1006:$U$1006,0)), HYPERLINK("#",""), HYPERLINK(CONCATENATE("#metadata!", ADDRESS(INDEX($L$2:$L$1001,MATCH(ROWS($J$2:J526),$J$2:$J$1001,0),0), INDEX($Q$1004:$U$1004,1,MATCH(COLUMNS($Q$1006:R1006),$Q$1006:$U$1006,0)))),"Fix")))</f>
        <v xml:space="preserve"> </v>
      </c>
      <c r="D526" s="3" t="str">
        <f ca="1">IF(OR(INDEX($K$2:$K$1001,MATCH(ROWS($J$2:J526),$J$2:$J$1001,0),1)&gt;=100000,INDEX($Q$1005:$U$1005,1,MATCH(COLUMNS($Q$1006:S1006),$Q$1006:$U$1006,0))&gt;=100000), " ",IF(INDEX($Q$2:$U$1001,MATCH(ROWS($J$2:J526),$J$2:$J$1001,0),MATCH(COLUMNS($Q$1006:S1006),$Q$1006:$U$1006,0)), HYPERLINK("#",""), HYPERLINK(CONCATENATE("#metadata!", ADDRESS(INDEX($L$2:$L$1001,MATCH(ROWS($J$2:J526),$J$2:$J$1001,0),0), INDEX($Q$1004:$U$1004,1,MATCH(COLUMNS($Q$1006:S1006),$Q$1006:$U$1006,0)))),"Fix")))</f>
        <v xml:space="preserve"> </v>
      </c>
      <c r="E526" s="3" t="str">
        <f ca="1">IF(OR(INDEX($K$2:$K$1001,MATCH(ROWS($J$2:J526),$J$2:$J$1001,0),1)&gt;=100000,INDEX($Q$1005:$U$1005,1,MATCH(COLUMNS($Q$1006:T1006),$Q$1006:$U$1006,0))&gt;=100000), " ",IF(INDEX($Q$2:$U$1001,MATCH(ROWS($J$2:J526),$J$2:$J$1001,0),MATCH(COLUMNS($Q$1006:T1006),$Q$1006:$U$1006,0)), HYPERLINK("#",""), HYPERLINK(CONCATENATE("#metadata!", ADDRESS(INDEX($L$2:$L$1001,MATCH(ROWS($J$2:J526),$J$2:$J$1001,0),0), INDEX($Q$1004:$U$1004,1,MATCH(COLUMNS($Q$1006:T1006),$Q$1006:$U$1006,0)))),"Fix")))</f>
        <v xml:space="preserve"> </v>
      </c>
      <c r="F526" s="3" t="str">
        <f ca="1">IF(OR(INDEX($K$2:$K$1001,MATCH(ROWS($J$2:J526),$J$2:$J$1001,0),1)&gt;=100000,INDEX($Q$1005:$U$1005,1,MATCH(COLUMNS($Q$1006:U1006),$Q$1006:$U$1006,0))&gt;=100000), " ",IF(INDEX($Q$2:$U$1001,MATCH(ROWS($J$2:J526),$J$2:$J$1001,0),MATCH(COLUMNS($Q$1006:U1006),$Q$1006:$U$1006,0)), HYPERLINK("#",""), HYPERLINK(CONCATENATE("#metadata!", ADDRESS(INDEX($L$2:$L$1001,MATCH(ROWS($J$2:J526),$J$2:$J$1001,0),0), INDEX($Q$1004:$U$1004,1,MATCH(COLUMNS($Q$1006:U1006),$Q$1006:$U$1006,0)))),"Fix")))</f>
        <v xml:space="preserve"> </v>
      </c>
      <c r="J526">
        <v>525</v>
      </c>
      <c r="K526">
        <v>100526</v>
      </c>
      <c r="L526">
        <v>526</v>
      </c>
      <c r="M526" t="b">
        <f t="shared" si="8"/>
        <v>1</v>
      </c>
      <c r="N526" t="b">
        <f>COUNTBLANK(metadata!B526:F526)=COLUMNS(metadata!B526:F526)</f>
        <v>1</v>
      </c>
      <c r="O526" t="str">
        <v/>
      </c>
      <c r="Q526" t="b">
        <f ca="1">AND(IF(metadata!B526="",FALSE,TRUE),COUNTIF(metadata!B:B, metadata!B526) = 1,NOT(ISERROR(SUMPRODUCT(SEARCH(MID(metadata!B526,ROW(INDIRECT("1:"&amp;LEN(metadata!B526))), 1),"0123456789abcdefghijklmnopqrstuvwxyzABCDEFGHIJKLMNOPQRSTUVWXYZ.")))))</f>
        <v>0</v>
      </c>
      <c r="R526" t="b">
        <f>AND(IF(metadata!C526="",FALSE,TRUE),OR(EXACT(metadata!C526,"saline"),EXACT(metadata!C526,"non-saline")))</f>
        <v>0</v>
      </c>
      <c r="S526" t="b">
        <f>AND(IF(metadata!D526="",FALSE,TRUE),OR(EXACT(metadata!D526,"surface (non-saline)"),EXACT(metadata!D526,"aerosol (non-saline)"),EXACT(metadata!D526,"sediment (non-saline)"),EXACT(metadata!D526,"surface (saline)"),EXACT(metadata!D526,"aerosol (saline)"),EXACT(metadata!D526,"sediment (saline)")))</f>
        <v>0</v>
      </c>
      <c r="T526" t="b">
        <f>AND(IF(metadata!E526="",FALSE,TRUE),EXACT(metadata!E526,"built environment"))</f>
        <v>0</v>
      </c>
      <c r="U526" t="b">
        <f>OR(AND(IF(metadata!F526="",FALSE,TRUE),EXACT(metadata!F526,"not applicable")),AND(IF(metadata!F526="",FALSE,TRUE),EXACT(metadata!F526,"anaerobic digester content")))</f>
        <v>0</v>
      </c>
    </row>
    <row r="527" spans="1:21" x14ac:dyDescent="0.2">
      <c r="A527" s="4" t="str">
        <f ca="1">IF(B527=" "," ",HYPERLINK(CONCATENATE("#metadata!",ADDRESS(INDEX($L$2:$L$1001,MATCH(ROWS($J$2:J527),$J$2:$J$1001,0),0),1)),INDEX($O$2:$O$1001,MATCH(ROWS($J$2:J527),$J$2:$J$1001,0),0)))</f>
        <v xml:space="preserve"> </v>
      </c>
      <c r="B527" s="3" t="str">
        <f ca="1">IF(OR(INDEX($K$2:$K$1001,MATCH(ROWS($J$2:J527),$J$2:$J$1001,0),1)&gt;=100000,INDEX($Q$1005:$U$1005,1,MATCH(COLUMNS($Q$1006:Q1006),$Q$1006:$U$1006,0))&gt;=100000), " ",IF(INDEX($Q$2:$U$1001,MATCH(ROWS($J$2:J527),$J$2:$J$1001,0),MATCH(COLUMNS($Q$1006:Q1006),$Q$1006:$U$1006,0)), HYPERLINK("#",""), HYPERLINK(CONCATENATE("#metadata!", ADDRESS(INDEX($L$2:$L$1001,MATCH(ROWS($J$2:J527),$J$2:$J$1001,0),0), INDEX($Q$1004:$U$1004,1,MATCH(COLUMNS($Q$1006:Q1006),$Q$1006:$U$1006,0)))),"Fix")))</f>
        <v xml:space="preserve"> </v>
      </c>
      <c r="C527" s="3" t="str">
        <f ca="1">IF(OR(INDEX($K$2:$K$1001,MATCH(ROWS($J$2:J527),$J$2:$J$1001,0),1)&gt;=100000,INDEX($Q$1005:$U$1005,1,MATCH(COLUMNS($Q$1006:R1006),$Q$1006:$U$1006,0))&gt;=100000), " ",IF(INDEX($Q$2:$U$1001,MATCH(ROWS($J$2:J527),$J$2:$J$1001,0),MATCH(COLUMNS($Q$1006:R1006),$Q$1006:$U$1006,0)), HYPERLINK("#",""), HYPERLINK(CONCATENATE("#metadata!", ADDRESS(INDEX($L$2:$L$1001,MATCH(ROWS($J$2:J527),$J$2:$J$1001,0),0), INDEX($Q$1004:$U$1004,1,MATCH(COLUMNS($Q$1006:R1006),$Q$1006:$U$1006,0)))),"Fix")))</f>
        <v xml:space="preserve"> </v>
      </c>
      <c r="D527" s="3" t="str">
        <f ca="1">IF(OR(INDEX($K$2:$K$1001,MATCH(ROWS($J$2:J527),$J$2:$J$1001,0),1)&gt;=100000,INDEX($Q$1005:$U$1005,1,MATCH(COLUMNS($Q$1006:S1006),$Q$1006:$U$1006,0))&gt;=100000), " ",IF(INDEX($Q$2:$U$1001,MATCH(ROWS($J$2:J527),$J$2:$J$1001,0),MATCH(COLUMNS($Q$1006:S1006),$Q$1006:$U$1006,0)), HYPERLINK("#",""), HYPERLINK(CONCATENATE("#metadata!", ADDRESS(INDEX($L$2:$L$1001,MATCH(ROWS($J$2:J527),$J$2:$J$1001,0),0), INDEX($Q$1004:$U$1004,1,MATCH(COLUMNS($Q$1006:S1006),$Q$1006:$U$1006,0)))),"Fix")))</f>
        <v xml:space="preserve"> </v>
      </c>
      <c r="E527" s="3" t="str">
        <f ca="1">IF(OR(INDEX($K$2:$K$1001,MATCH(ROWS($J$2:J527),$J$2:$J$1001,0),1)&gt;=100000,INDEX($Q$1005:$U$1005,1,MATCH(COLUMNS($Q$1006:T1006),$Q$1006:$U$1006,0))&gt;=100000), " ",IF(INDEX($Q$2:$U$1001,MATCH(ROWS($J$2:J527),$J$2:$J$1001,0),MATCH(COLUMNS($Q$1006:T1006),$Q$1006:$U$1006,0)), HYPERLINK("#",""), HYPERLINK(CONCATENATE("#metadata!", ADDRESS(INDEX($L$2:$L$1001,MATCH(ROWS($J$2:J527),$J$2:$J$1001,0),0), INDEX($Q$1004:$U$1004,1,MATCH(COLUMNS($Q$1006:T1006),$Q$1006:$U$1006,0)))),"Fix")))</f>
        <v xml:space="preserve"> </v>
      </c>
      <c r="F527" s="3" t="str">
        <f ca="1">IF(OR(INDEX($K$2:$K$1001,MATCH(ROWS($J$2:J527),$J$2:$J$1001,0),1)&gt;=100000,INDEX($Q$1005:$U$1005,1,MATCH(COLUMNS($Q$1006:U1006),$Q$1006:$U$1006,0))&gt;=100000), " ",IF(INDEX($Q$2:$U$1001,MATCH(ROWS($J$2:J527),$J$2:$J$1001,0),MATCH(COLUMNS($Q$1006:U1006),$Q$1006:$U$1006,0)), HYPERLINK("#",""), HYPERLINK(CONCATENATE("#metadata!", ADDRESS(INDEX($L$2:$L$1001,MATCH(ROWS($J$2:J527),$J$2:$J$1001,0),0), INDEX($Q$1004:$U$1004,1,MATCH(COLUMNS($Q$1006:U1006),$Q$1006:$U$1006,0)))),"Fix")))</f>
        <v xml:space="preserve"> </v>
      </c>
      <c r="J527">
        <v>526</v>
      </c>
      <c r="K527">
        <v>100527</v>
      </c>
      <c r="L527">
        <v>527</v>
      </c>
      <c r="M527" t="b">
        <f t="shared" si="8"/>
        <v>1</v>
      </c>
      <c r="N527" t="b">
        <f>COUNTBLANK(metadata!B527:F527)=COLUMNS(metadata!B527:F527)</f>
        <v>1</v>
      </c>
      <c r="O527" t="str">
        <v/>
      </c>
      <c r="Q527" t="b">
        <f ca="1">AND(IF(metadata!B527="",FALSE,TRUE),COUNTIF(metadata!B:B, metadata!B527) = 1,NOT(ISERROR(SUMPRODUCT(SEARCH(MID(metadata!B527,ROW(INDIRECT("1:"&amp;LEN(metadata!B527))), 1),"0123456789abcdefghijklmnopqrstuvwxyzABCDEFGHIJKLMNOPQRSTUVWXYZ.")))))</f>
        <v>0</v>
      </c>
      <c r="R527" t="b">
        <f>AND(IF(metadata!C527="",FALSE,TRUE),OR(EXACT(metadata!C527,"saline"),EXACT(metadata!C527,"non-saline")))</f>
        <v>0</v>
      </c>
      <c r="S527" t="b">
        <f>AND(IF(metadata!D527="",FALSE,TRUE),OR(EXACT(metadata!D527,"surface (non-saline)"),EXACT(metadata!D527,"aerosol (non-saline)"),EXACT(metadata!D527,"sediment (non-saline)"),EXACT(metadata!D527,"surface (saline)"),EXACT(metadata!D527,"aerosol (saline)"),EXACT(metadata!D527,"sediment (saline)")))</f>
        <v>0</v>
      </c>
      <c r="T527" t="b">
        <f>AND(IF(metadata!E527="",FALSE,TRUE),EXACT(metadata!E527,"built environment"))</f>
        <v>0</v>
      </c>
      <c r="U527" t="b">
        <f>OR(AND(IF(metadata!F527="",FALSE,TRUE),EXACT(metadata!F527,"not applicable")),AND(IF(metadata!F527="",FALSE,TRUE),EXACT(metadata!F527,"anaerobic digester content")))</f>
        <v>0</v>
      </c>
    </row>
    <row r="528" spans="1:21" x14ac:dyDescent="0.2">
      <c r="A528" s="4" t="str">
        <f ca="1">IF(B528=" "," ",HYPERLINK(CONCATENATE("#metadata!",ADDRESS(INDEX($L$2:$L$1001,MATCH(ROWS($J$2:J528),$J$2:$J$1001,0),0),1)),INDEX($O$2:$O$1001,MATCH(ROWS($J$2:J528),$J$2:$J$1001,0),0)))</f>
        <v xml:space="preserve"> </v>
      </c>
      <c r="B528" s="3" t="str">
        <f ca="1">IF(OR(INDEX($K$2:$K$1001,MATCH(ROWS($J$2:J528),$J$2:$J$1001,0),1)&gt;=100000,INDEX($Q$1005:$U$1005,1,MATCH(COLUMNS($Q$1006:Q1006),$Q$1006:$U$1006,0))&gt;=100000), " ",IF(INDEX($Q$2:$U$1001,MATCH(ROWS($J$2:J528),$J$2:$J$1001,0),MATCH(COLUMNS($Q$1006:Q1006),$Q$1006:$U$1006,0)), HYPERLINK("#",""), HYPERLINK(CONCATENATE("#metadata!", ADDRESS(INDEX($L$2:$L$1001,MATCH(ROWS($J$2:J528),$J$2:$J$1001,0),0), INDEX($Q$1004:$U$1004,1,MATCH(COLUMNS($Q$1006:Q1006),$Q$1006:$U$1006,0)))),"Fix")))</f>
        <v xml:space="preserve"> </v>
      </c>
      <c r="C528" s="3" t="str">
        <f ca="1">IF(OR(INDEX($K$2:$K$1001,MATCH(ROWS($J$2:J528),$J$2:$J$1001,0),1)&gt;=100000,INDEX($Q$1005:$U$1005,1,MATCH(COLUMNS($Q$1006:R1006),$Q$1006:$U$1006,0))&gt;=100000), " ",IF(INDEX($Q$2:$U$1001,MATCH(ROWS($J$2:J528),$J$2:$J$1001,0),MATCH(COLUMNS($Q$1006:R1006),$Q$1006:$U$1006,0)), HYPERLINK("#",""), HYPERLINK(CONCATENATE("#metadata!", ADDRESS(INDEX($L$2:$L$1001,MATCH(ROWS($J$2:J528),$J$2:$J$1001,0),0), INDEX($Q$1004:$U$1004,1,MATCH(COLUMNS($Q$1006:R1006),$Q$1006:$U$1006,0)))),"Fix")))</f>
        <v xml:space="preserve"> </v>
      </c>
      <c r="D528" s="3" t="str">
        <f ca="1">IF(OR(INDEX($K$2:$K$1001,MATCH(ROWS($J$2:J528),$J$2:$J$1001,0),1)&gt;=100000,INDEX($Q$1005:$U$1005,1,MATCH(COLUMNS($Q$1006:S1006),$Q$1006:$U$1006,0))&gt;=100000), " ",IF(INDEX($Q$2:$U$1001,MATCH(ROWS($J$2:J528),$J$2:$J$1001,0),MATCH(COLUMNS($Q$1006:S1006),$Q$1006:$U$1006,0)), HYPERLINK("#",""), HYPERLINK(CONCATENATE("#metadata!", ADDRESS(INDEX($L$2:$L$1001,MATCH(ROWS($J$2:J528),$J$2:$J$1001,0),0), INDEX($Q$1004:$U$1004,1,MATCH(COLUMNS($Q$1006:S1006),$Q$1006:$U$1006,0)))),"Fix")))</f>
        <v xml:space="preserve"> </v>
      </c>
      <c r="E528" s="3" t="str">
        <f ca="1">IF(OR(INDEX($K$2:$K$1001,MATCH(ROWS($J$2:J528),$J$2:$J$1001,0),1)&gt;=100000,INDEX($Q$1005:$U$1005,1,MATCH(COLUMNS($Q$1006:T1006),$Q$1006:$U$1006,0))&gt;=100000), " ",IF(INDEX($Q$2:$U$1001,MATCH(ROWS($J$2:J528),$J$2:$J$1001,0),MATCH(COLUMNS($Q$1006:T1006),$Q$1006:$U$1006,0)), HYPERLINK("#",""), HYPERLINK(CONCATENATE("#metadata!", ADDRESS(INDEX($L$2:$L$1001,MATCH(ROWS($J$2:J528),$J$2:$J$1001,0),0), INDEX($Q$1004:$U$1004,1,MATCH(COLUMNS($Q$1006:T1006),$Q$1006:$U$1006,0)))),"Fix")))</f>
        <v xml:space="preserve"> </v>
      </c>
      <c r="F528" s="3" t="str">
        <f ca="1">IF(OR(INDEX($K$2:$K$1001,MATCH(ROWS($J$2:J528),$J$2:$J$1001,0),1)&gt;=100000,INDEX($Q$1005:$U$1005,1,MATCH(COLUMNS($Q$1006:U1006),$Q$1006:$U$1006,0))&gt;=100000), " ",IF(INDEX($Q$2:$U$1001,MATCH(ROWS($J$2:J528),$J$2:$J$1001,0),MATCH(COLUMNS($Q$1006:U1006),$Q$1006:$U$1006,0)), HYPERLINK("#",""), HYPERLINK(CONCATENATE("#metadata!", ADDRESS(INDEX($L$2:$L$1001,MATCH(ROWS($J$2:J528),$J$2:$J$1001,0),0), INDEX($Q$1004:$U$1004,1,MATCH(COLUMNS($Q$1006:U1006),$Q$1006:$U$1006,0)))),"Fix")))</f>
        <v xml:space="preserve"> </v>
      </c>
      <c r="J528">
        <v>527</v>
      </c>
      <c r="K528">
        <v>100528</v>
      </c>
      <c r="L528">
        <v>528</v>
      </c>
      <c r="M528" t="b">
        <f t="shared" si="8"/>
        <v>1</v>
      </c>
      <c r="N528" t="b">
        <f>COUNTBLANK(metadata!B528:F528)=COLUMNS(metadata!B528:F528)</f>
        <v>1</v>
      </c>
      <c r="O528" t="str">
        <v/>
      </c>
      <c r="Q528" t="b">
        <f ca="1">AND(IF(metadata!B528="",FALSE,TRUE),COUNTIF(metadata!B:B, metadata!B528) = 1,NOT(ISERROR(SUMPRODUCT(SEARCH(MID(metadata!B528,ROW(INDIRECT("1:"&amp;LEN(metadata!B528))), 1),"0123456789abcdefghijklmnopqrstuvwxyzABCDEFGHIJKLMNOPQRSTUVWXYZ.")))))</f>
        <v>0</v>
      </c>
      <c r="R528" t="b">
        <f>AND(IF(metadata!C528="",FALSE,TRUE),OR(EXACT(metadata!C528,"saline"),EXACT(metadata!C528,"non-saline")))</f>
        <v>0</v>
      </c>
      <c r="S528" t="b">
        <f>AND(IF(metadata!D528="",FALSE,TRUE),OR(EXACT(metadata!D528,"surface (non-saline)"),EXACT(metadata!D528,"aerosol (non-saline)"),EXACT(metadata!D528,"sediment (non-saline)"),EXACT(metadata!D528,"surface (saline)"),EXACT(metadata!D528,"aerosol (saline)"),EXACT(metadata!D528,"sediment (saline)")))</f>
        <v>0</v>
      </c>
      <c r="T528" t="b">
        <f>AND(IF(metadata!E528="",FALSE,TRUE),EXACT(metadata!E528,"built environment"))</f>
        <v>0</v>
      </c>
      <c r="U528" t="b">
        <f>OR(AND(IF(metadata!F528="",FALSE,TRUE),EXACT(metadata!F528,"not applicable")),AND(IF(metadata!F528="",FALSE,TRUE),EXACT(metadata!F528,"anaerobic digester content")))</f>
        <v>0</v>
      </c>
    </row>
    <row r="529" spans="1:21" x14ac:dyDescent="0.2">
      <c r="A529" s="4" t="str">
        <f ca="1">IF(B529=" "," ",HYPERLINK(CONCATENATE("#metadata!",ADDRESS(INDEX($L$2:$L$1001,MATCH(ROWS($J$2:J529),$J$2:$J$1001,0),0),1)),INDEX($O$2:$O$1001,MATCH(ROWS($J$2:J529),$J$2:$J$1001,0),0)))</f>
        <v xml:space="preserve"> </v>
      </c>
      <c r="B529" s="3" t="str">
        <f ca="1">IF(OR(INDEX($K$2:$K$1001,MATCH(ROWS($J$2:J529),$J$2:$J$1001,0),1)&gt;=100000,INDEX($Q$1005:$U$1005,1,MATCH(COLUMNS($Q$1006:Q1006),$Q$1006:$U$1006,0))&gt;=100000), " ",IF(INDEX($Q$2:$U$1001,MATCH(ROWS($J$2:J529),$J$2:$J$1001,0),MATCH(COLUMNS($Q$1006:Q1006),$Q$1006:$U$1006,0)), HYPERLINK("#",""), HYPERLINK(CONCATENATE("#metadata!", ADDRESS(INDEX($L$2:$L$1001,MATCH(ROWS($J$2:J529),$J$2:$J$1001,0),0), INDEX($Q$1004:$U$1004,1,MATCH(COLUMNS($Q$1006:Q1006),$Q$1006:$U$1006,0)))),"Fix")))</f>
        <v xml:space="preserve"> </v>
      </c>
      <c r="C529" s="3" t="str">
        <f ca="1">IF(OR(INDEX($K$2:$K$1001,MATCH(ROWS($J$2:J529),$J$2:$J$1001,0),1)&gt;=100000,INDEX($Q$1005:$U$1005,1,MATCH(COLUMNS($Q$1006:R1006),$Q$1006:$U$1006,0))&gt;=100000), " ",IF(INDEX($Q$2:$U$1001,MATCH(ROWS($J$2:J529),$J$2:$J$1001,0),MATCH(COLUMNS($Q$1006:R1006),$Q$1006:$U$1006,0)), HYPERLINK("#",""), HYPERLINK(CONCATENATE("#metadata!", ADDRESS(INDEX($L$2:$L$1001,MATCH(ROWS($J$2:J529),$J$2:$J$1001,0),0), INDEX($Q$1004:$U$1004,1,MATCH(COLUMNS($Q$1006:R1006),$Q$1006:$U$1006,0)))),"Fix")))</f>
        <v xml:space="preserve"> </v>
      </c>
      <c r="D529" s="3" t="str">
        <f ca="1">IF(OR(INDEX($K$2:$K$1001,MATCH(ROWS($J$2:J529),$J$2:$J$1001,0),1)&gt;=100000,INDEX($Q$1005:$U$1005,1,MATCH(COLUMNS($Q$1006:S1006),$Q$1006:$U$1006,0))&gt;=100000), " ",IF(INDEX($Q$2:$U$1001,MATCH(ROWS($J$2:J529),$J$2:$J$1001,0),MATCH(COLUMNS($Q$1006:S1006),$Q$1006:$U$1006,0)), HYPERLINK("#",""), HYPERLINK(CONCATENATE("#metadata!", ADDRESS(INDEX($L$2:$L$1001,MATCH(ROWS($J$2:J529),$J$2:$J$1001,0),0), INDEX($Q$1004:$U$1004,1,MATCH(COLUMNS($Q$1006:S1006),$Q$1006:$U$1006,0)))),"Fix")))</f>
        <v xml:space="preserve"> </v>
      </c>
      <c r="E529" s="3" t="str">
        <f ca="1">IF(OR(INDEX($K$2:$K$1001,MATCH(ROWS($J$2:J529),$J$2:$J$1001,0),1)&gt;=100000,INDEX($Q$1005:$U$1005,1,MATCH(COLUMNS($Q$1006:T1006),$Q$1006:$U$1006,0))&gt;=100000), " ",IF(INDEX($Q$2:$U$1001,MATCH(ROWS($J$2:J529),$J$2:$J$1001,0),MATCH(COLUMNS($Q$1006:T1006),$Q$1006:$U$1006,0)), HYPERLINK("#",""), HYPERLINK(CONCATENATE("#metadata!", ADDRESS(INDEX($L$2:$L$1001,MATCH(ROWS($J$2:J529),$J$2:$J$1001,0),0), INDEX($Q$1004:$U$1004,1,MATCH(COLUMNS($Q$1006:T1006),$Q$1006:$U$1006,0)))),"Fix")))</f>
        <v xml:space="preserve"> </v>
      </c>
      <c r="F529" s="3" t="str">
        <f ca="1">IF(OR(INDEX($K$2:$K$1001,MATCH(ROWS($J$2:J529),$J$2:$J$1001,0),1)&gt;=100000,INDEX($Q$1005:$U$1005,1,MATCH(COLUMNS($Q$1006:U1006),$Q$1006:$U$1006,0))&gt;=100000), " ",IF(INDEX($Q$2:$U$1001,MATCH(ROWS($J$2:J529),$J$2:$J$1001,0),MATCH(COLUMNS($Q$1006:U1006),$Q$1006:$U$1006,0)), HYPERLINK("#",""), HYPERLINK(CONCATENATE("#metadata!", ADDRESS(INDEX($L$2:$L$1001,MATCH(ROWS($J$2:J529),$J$2:$J$1001,0),0), INDEX($Q$1004:$U$1004,1,MATCH(COLUMNS($Q$1006:U1006),$Q$1006:$U$1006,0)))),"Fix")))</f>
        <v xml:space="preserve"> </v>
      </c>
      <c r="J529">
        <v>528</v>
      </c>
      <c r="K529">
        <v>100529</v>
      </c>
      <c r="L529">
        <v>529</v>
      </c>
      <c r="M529" t="b">
        <f t="shared" si="8"/>
        <v>1</v>
      </c>
      <c r="N529" t="b">
        <f>COUNTBLANK(metadata!B529:F529)=COLUMNS(metadata!B529:F529)</f>
        <v>1</v>
      </c>
      <c r="O529" t="str">
        <v/>
      </c>
      <c r="Q529" t="b">
        <f ca="1">AND(IF(metadata!B529="",FALSE,TRUE),COUNTIF(metadata!B:B, metadata!B529) = 1,NOT(ISERROR(SUMPRODUCT(SEARCH(MID(metadata!B529,ROW(INDIRECT("1:"&amp;LEN(metadata!B529))), 1),"0123456789abcdefghijklmnopqrstuvwxyzABCDEFGHIJKLMNOPQRSTUVWXYZ.")))))</f>
        <v>0</v>
      </c>
      <c r="R529" t="b">
        <f>AND(IF(metadata!C529="",FALSE,TRUE),OR(EXACT(metadata!C529,"saline"),EXACT(metadata!C529,"non-saline")))</f>
        <v>0</v>
      </c>
      <c r="S529" t="b">
        <f>AND(IF(metadata!D529="",FALSE,TRUE),OR(EXACT(metadata!D529,"surface (non-saline)"),EXACT(metadata!D529,"aerosol (non-saline)"),EXACT(metadata!D529,"sediment (non-saline)"),EXACT(metadata!D529,"surface (saline)"),EXACT(metadata!D529,"aerosol (saline)"),EXACT(metadata!D529,"sediment (saline)")))</f>
        <v>0</v>
      </c>
      <c r="T529" t="b">
        <f>AND(IF(metadata!E529="",FALSE,TRUE),EXACT(metadata!E529,"built environment"))</f>
        <v>0</v>
      </c>
      <c r="U529" t="b">
        <f>OR(AND(IF(metadata!F529="",FALSE,TRUE),EXACT(metadata!F529,"not applicable")),AND(IF(metadata!F529="",FALSE,TRUE),EXACT(metadata!F529,"anaerobic digester content")))</f>
        <v>0</v>
      </c>
    </row>
    <row r="530" spans="1:21" x14ac:dyDescent="0.2">
      <c r="A530" s="4" t="str">
        <f ca="1">IF(B530=" "," ",HYPERLINK(CONCATENATE("#metadata!",ADDRESS(INDEX($L$2:$L$1001,MATCH(ROWS($J$2:J530),$J$2:$J$1001,0),0),1)),INDEX($O$2:$O$1001,MATCH(ROWS($J$2:J530),$J$2:$J$1001,0),0)))</f>
        <v xml:space="preserve"> </v>
      </c>
      <c r="B530" s="3" t="str">
        <f ca="1">IF(OR(INDEX($K$2:$K$1001,MATCH(ROWS($J$2:J530),$J$2:$J$1001,0),1)&gt;=100000,INDEX($Q$1005:$U$1005,1,MATCH(COLUMNS($Q$1006:Q1006),$Q$1006:$U$1006,0))&gt;=100000), " ",IF(INDEX($Q$2:$U$1001,MATCH(ROWS($J$2:J530),$J$2:$J$1001,0),MATCH(COLUMNS($Q$1006:Q1006),$Q$1006:$U$1006,0)), HYPERLINK("#",""), HYPERLINK(CONCATENATE("#metadata!", ADDRESS(INDEX($L$2:$L$1001,MATCH(ROWS($J$2:J530),$J$2:$J$1001,0),0), INDEX($Q$1004:$U$1004,1,MATCH(COLUMNS($Q$1006:Q1006),$Q$1006:$U$1006,0)))),"Fix")))</f>
        <v xml:space="preserve"> </v>
      </c>
      <c r="C530" s="3" t="str">
        <f ca="1">IF(OR(INDEX($K$2:$K$1001,MATCH(ROWS($J$2:J530),$J$2:$J$1001,0),1)&gt;=100000,INDEX($Q$1005:$U$1005,1,MATCH(COLUMNS($Q$1006:R1006),$Q$1006:$U$1006,0))&gt;=100000), " ",IF(INDEX($Q$2:$U$1001,MATCH(ROWS($J$2:J530),$J$2:$J$1001,0),MATCH(COLUMNS($Q$1006:R1006),$Q$1006:$U$1006,0)), HYPERLINK("#",""), HYPERLINK(CONCATENATE("#metadata!", ADDRESS(INDEX($L$2:$L$1001,MATCH(ROWS($J$2:J530),$J$2:$J$1001,0),0), INDEX($Q$1004:$U$1004,1,MATCH(COLUMNS($Q$1006:R1006),$Q$1006:$U$1006,0)))),"Fix")))</f>
        <v xml:space="preserve"> </v>
      </c>
      <c r="D530" s="3" t="str">
        <f ca="1">IF(OR(INDEX($K$2:$K$1001,MATCH(ROWS($J$2:J530),$J$2:$J$1001,0),1)&gt;=100000,INDEX($Q$1005:$U$1005,1,MATCH(COLUMNS($Q$1006:S1006),$Q$1006:$U$1006,0))&gt;=100000), " ",IF(INDEX($Q$2:$U$1001,MATCH(ROWS($J$2:J530),$J$2:$J$1001,0),MATCH(COLUMNS($Q$1006:S1006),$Q$1006:$U$1006,0)), HYPERLINK("#",""), HYPERLINK(CONCATENATE("#metadata!", ADDRESS(INDEX($L$2:$L$1001,MATCH(ROWS($J$2:J530),$J$2:$J$1001,0),0), INDEX($Q$1004:$U$1004,1,MATCH(COLUMNS($Q$1006:S1006),$Q$1006:$U$1006,0)))),"Fix")))</f>
        <v xml:space="preserve"> </v>
      </c>
      <c r="E530" s="3" t="str">
        <f ca="1">IF(OR(INDEX($K$2:$K$1001,MATCH(ROWS($J$2:J530),$J$2:$J$1001,0),1)&gt;=100000,INDEX($Q$1005:$U$1005,1,MATCH(COLUMNS($Q$1006:T1006),$Q$1006:$U$1006,0))&gt;=100000), " ",IF(INDEX($Q$2:$U$1001,MATCH(ROWS($J$2:J530),$J$2:$J$1001,0),MATCH(COLUMNS($Q$1006:T1006),$Q$1006:$U$1006,0)), HYPERLINK("#",""), HYPERLINK(CONCATENATE("#metadata!", ADDRESS(INDEX($L$2:$L$1001,MATCH(ROWS($J$2:J530),$J$2:$J$1001,0),0), INDEX($Q$1004:$U$1004,1,MATCH(COLUMNS($Q$1006:T1006),$Q$1006:$U$1006,0)))),"Fix")))</f>
        <v xml:space="preserve"> </v>
      </c>
      <c r="F530" s="3" t="str">
        <f ca="1">IF(OR(INDEX($K$2:$K$1001,MATCH(ROWS($J$2:J530),$J$2:$J$1001,0),1)&gt;=100000,INDEX($Q$1005:$U$1005,1,MATCH(COLUMNS($Q$1006:U1006),$Q$1006:$U$1006,0))&gt;=100000), " ",IF(INDEX($Q$2:$U$1001,MATCH(ROWS($J$2:J530),$J$2:$J$1001,0),MATCH(COLUMNS($Q$1006:U1006),$Q$1006:$U$1006,0)), HYPERLINK("#",""), HYPERLINK(CONCATENATE("#metadata!", ADDRESS(INDEX($L$2:$L$1001,MATCH(ROWS($J$2:J530),$J$2:$J$1001,0),0), INDEX($Q$1004:$U$1004,1,MATCH(COLUMNS($Q$1006:U1006),$Q$1006:$U$1006,0)))),"Fix")))</f>
        <v xml:space="preserve"> </v>
      </c>
      <c r="J530">
        <v>529</v>
      </c>
      <c r="K530">
        <v>100530</v>
      </c>
      <c r="L530">
        <v>530</v>
      </c>
      <c r="M530" t="b">
        <f t="shared" si="8"/>
        <v>1</v>
      </c>
      <c r="N530" t="b">
        <f>COUNTBLANK(metadata!B530:F530)=COLUMNS(metadata!B530:F530)</f>
        <v>1</v>
      </c>
      <c r="O530" t="str">
        <v/>
      </c>
      <c r="Q530" t="b">
        <f ca="1">AND(IF(metadata!B530="",FALSE,TRUE),COUNTIF(metadata!B:B, metadata!B530) = 1,NOT(ISERROR(SUMPRODUCT(SEARCH(MID(metadata!B530,ROW(INDIRECT("1:"&amp;LEN(metadata!B530))), 1),"0123456789abcdefghijklmnopqrstuvwxyzABCDEFGHIJKLMNOPQRSTUVWXYZ.")))))</f>
        <v>0</v>
      </c>
      <c r="R530" t="b">
        <f>AND(IF(metadata!C530="",FALSE,TRUE),OR(EXACT(metadata!C530,"saline"),EXACT(metadata!C530,"non-saline")))</f>
        <v>0</v>
      </c>
      <c r="S530" t="b">
        <f>AND(IF(metadata!D530="",FALSE,TRUE),OR(EXACT(metadata!D530,"surface (non-saline)"),EXACT(metadata!D530,"aerosol (non-saline)"),EXACT(metadata!D530,"sediment (non-saline)"),EXACT(metadata!D530,"surface (saline)"),EXACT(metadata!D530,"aerosol (saline)"),EXACT(metadata!D530,"sediment (saline)")))</f>
        <v>0</v>
      </c>
      <c r="T530" t="b">
        <f>AND(IF(metadata!E530="",FALSE,TRUE),EXACT(metadata!E530,"built environment"))</f>
        <v>0</v>
      </c>
      <c r="U530" t="b">
        <f>OR(AND(IF(metadata!F530="",FALSE,TRUE),EXACT(metadata!F530,"not applicable")),AND(IF(metadata!F530="",FALSE,TRUE),EXACT(metadata!F530,"anaerobic digester content")))</f>
        <v>0</v>
      </c>
    </row>
    <row r="531" spans="1:21" x14ac:dyDescent="0.2">
      <c r="A531" s="4" t="str">
        <f ca="1">IF(B531=" "," ",HYPERLINK(CONCATENATE("#metadata!",ADDRESS(INDEX($L$2:$L$1001,MATCH(ROWS($J$2:J531),$J$2:$J$1001,0),0),1)),INDEX($O$2:$O$1001,MATCH(ROWS($J$2:J531),$J$2:$J$1001,0),0)))</f>
        <v xml:space="preserve"> </v>
      </c>
      <c r="B531" s="3" t="str">
        <f ca="1">IF(OR(INDEX($K$2:$K$1001,MATCH(ROWS($J$2:J531),$J$2:$J$1001,0),1)&gt;=100000,INDEX($Q$1005:$U$1005,1,MATCH(COLUMNS($Q$1006:Q1006),$Q$1006:$U$1006,0))&gt;=100000), " ",IF(INDEX($Q$2:$U$1001,MATCH(ROWS($J$2:J531),$J$2:$J$1001,0),MATCH(COLUMNS($Q$1006:Q1006),$Q$1006:$U$1006,0)), HYPERLINK("#",""), HYPERLINK(CONCATENATE("#metadata!", ADDRESS(INDEX($L$2:$L$1001,MATCH(ROWS($J$2:J531),$J$2:$J$1001,0),0), INDEX($Q$1004:$U$1004,1,MATCH(COLUMNS($Q$1006:Q1006),$Q$1006:$U$1006,0)))),"Fix")))</f>
        <v xml:space="preserve"> </v>
      </c>
      <c r="C531" s="3" t="str">
        <f ca="1">IF(OR(INDEX($K$2:$K$1001,MATCH(ROWS($J$2:J531),$J$2:$J$1001,0),1)&gt;=100000,INDEX($Q$1005:$U$1005,1,MATCH(COLUMNS($Q$1006:R1006),$Q$1006:$U$1006,0))&gt;=100000), " ",IF(INDEX($Q$2:$U$1001,MATCH(ROWS($J$2:J531),$J$2:$J$1001,0),MATCH(COLUMNS($Q$1006:R1006),$Q$1006:$U$1006,0)), HYPERLINK("#",""), HYPERLINK(CONCATENATE("#metadata!", ADDRESS(INDEX($L$2:$L$1001,MATCH(ROWS($J$2:J531),$J$2:$J$1001,0),0), INDEX($Q$1004:$U$1004,1,MATCH(COLUMNS($Q$1006:R1006),$Q$1006:$U$1006,0)))),"Fix")))</f>
        <v xml:space="preserve"> </v>
      </c>
      <c r="D531" s="3" t="str">
        <f ca="1">IF(OR(INDEX($K$2:$K$1001,MATCH(ROWS($J$2:J531),$J$2:$J$1001,0),1)&gt;=100000,INDEX($Q$1005:$U$1005,1,MATCH(COLUMNS($Q$1006:S1006),$Q$1006:$U$1006,0))&gt;=100000), " ",IF(INDEX($Q$2:$U$1001,MATCH(ROWS($J$2:J531),$J$2:$J$1001,0),MATCH(COLUMNS($Q$1006:S1006),$Q$1006:$U$1006,0)), HYPERLINK("#",""), HYPERLINK(CONCATENATE("#metadata!", ADDRESS(INDEX($L$2:$L$1001,MATCH(ROWS($J$2:J531),$J$2:$J$1001,0),0), INDEX($Q$1004:$U$1004,1,MATCH(COLUMNS($Q$1006:S1006),$Q$1006:$U$1006,0)))),"Fix")))</f>
        <v xml:space="preserve"> </v>
      </c>
      <c r="E531" s="3" t="str">
        <f ca="1">IF(OR(INDEX($K$2:$K$1001,MATCH(ROWS($J$2:J531),$J$2:$J$1001,0),1)&gt;=100000,INDEX($Q$1005:$U$1005,1,MATCH(COLUMNS($Q$1006:T1006),$Q$1006:$U$1006,0))&gt;=100000), " ",IF(INDEX($Q$2:$U$1001,MATCH(ROWS($J$2:J531),$J$2:$J$1001,0),MATCH(COLUMNS($Q$1006:T1006),$Q$1006:$U$1006,0)), HYPERLINK("#",""), HYPERLINK(CONCATENATE("#metadata!", ADDRESS(INDEX($L$2:$L$1001,MATCH(ROWS($J$2:J531),$J$2:$J$1001,0),0), INDEX($Q$1004:$U$1004,1,MATCH(COLUMNS($Q$1006:T1006),$Q$1006:$U$1006,0)))),"Fix")))</f>
        <v xml:space="preserve"> </v>
      </c>
      <c r="F531" s="3" t="str">
        <f ca="1">IF(OR(INDEX($K$2:$K$1001,MATCH(ROWS($J$2:J531),$J$2:$J$1001,0),1)&gt;=100000,INDEX($Q$1005:$U$1005,1,MATCH(COLUMNS($Q$1006:U1006),$Q$1006:$U$1006,0))&gt;=100000), " ",IF(INDEX($Q$2:$U$1001,MATCH(ROWS($J$2:J531),$J$2:$J$1001,0),MATCH(COLUMNS($Q$1006:U1006),$Q$1006:$U$1006,0)), HYPERLINK("#",""), HYPERLINK(CONCATENATE("#metadata!", ADDRESS(INDEX($L$2:$L$1001,MATCH(ROWS($J$2:J531),$J$2:$J$1001,0),0), INDEX($Q$1004:$U$1004,1,MATCH(COLUMNS($Q$1006:U1006),$Q$1006:$U$1006,0)))),"Fix")))</f>
        <v xml:space="preserve"> </v>
      </c>
      <c r="J531">
        <v>530</v>
      </c>
      <c r="K531">
        <v>100531</v>
      </c>
      <c r="L531">
        <v>531</v>
      </c>
      <c r="M531" t="b">
        <f t="shared" si="8"/>
        <v>1</v>
      </c>
      <c r="N531" t="b">
        <f>COUNTBLANK(metadata!B531:F531)=COLUMNS(metadata!B531:F531)</f>
        <v>1</v>
      </c>
      <c r="O531" t="str">
        <v/>
      </c>
      <c r="Q531" t="b">
        <f ca="1">AND(IF(metadata!B531="",FALSE,TRUE),COUNTIF(metadata!B:B, metadata!B531) = 1,NOT(ISERROR(SUMPRODUCT(SEARCH(MID(metadata!B531,ROW(INDIRECT("1:"&amp;LEN(metadata!B531))), 1),"0123456789abcdefghijklmnopqrstuvwxyzABCDEFGHIJKLMNOPQRSTUVWXYZ.")))))</f>
        <v>0</v>
      </c>
      <c r="R531" t="b">
        <f>AND(IF(metadata!C531="",FALSE,TRUE),OR(EXACT(metadata!C531,"saline"),EXACT(metadata!C531,"non-saline")))</f>
        <v>0</v>
      </c>
      <c r="S531" t="b">
        <f>AND(IF(metadata!D531="",FALSE,TRUE),OR(EXACT(metadata!D531,"surface (non-saline)"),EXACT(metadata!D531,"aerosol (non-saline)"),EXACT(metadata!D531,"sediment (non-saline)"),EXACT(metadata!D531,"surface (saline)"),EXACT(metadata!D531,"aerosol (saline)"),EXACT(metadata!D531,"sediment (saline)")))</f>
        <v>0</v>
      </c>
      <c r="T531" t="b">
        <f>AND(IF(metadata!E531="",FALSE,TRUE),EXACT(metadata!E531,"built environment"))</f>
        <v>0</v>
      </c>
      <c r="U531" t="b">
        <f>OR(AND(IF(metadata!F531="",FALSE,TRUE),EXACT(metadata!F531,"not applicable")),AND(IF(metadata!F531="",FALSE,TRUE),EXACT(metadata!F531,"anaerobic digester content")))</f>
        <v>0</v>
      </c>
    </row>
    <row r="532" spans="1:21" x14ac:dyDescent="0.2">
      <c r="A532" s="4" t="str">
        <f ca="1">IF(B532=" "," ",HYPERLINK(CONCATENATE("#metadata!",ADDRESS(INDEX($L$2:$L$1001,MATCH(ROWS($J$2:J532),$J$2:$J$1001,0),0),1)),INDEX($O$2:$O$1001,MATCH(ROWS($J$2:J532),$J$2:$J$1001,0),0)))</f>
        <v xml:space="preserve"> </v>
      </c>
      <c r="B532" s="3" t="str">
        <f ca="1">IF(OR(INDEX($K$2:$K$1001,MATCH(ROWS($J$2:J532),$J$2:$J$1001,0),1)&gt;=100000,INDEX($Q$1005:$U$1005,1,MATCH(COLUMNS($Q$1006:Q1006),$Q$1006:$U$1006,0))&gt;=100000), " ",IF(INDEX($Q$2:$U$1001,MATCH(ROWS($J$2:J532),$J$2:$J$1001,0),MATCH(COLUMNS($Q$1006:Q1006),$Q$1006:$U$1006,0)), HYPERLINK("#",""), HYPERLINK(CONCATENATE("#metadata!", ADDRESS(INDEX($L$2:$L$1001,MATCH(ROWS($J$2:J532),$J$2:$J$1001,0),0), INDEX($Q$1004:$U$1004,1,MATCH(COLUMNS($Q$1006:Q1006),$Q$1006:$U$1006,0)))),"Fix")))</f>
        <v xml:space="preserve"> </v>
      </c>
      <c r="C532" s="3" t="str">
        <f ca="1">IF(OR(INDEX($K$2:$K$1001,MATCH(ROWS($J$2:J532),$J$2:$J$1001,0),1)&gt;=100000,INDEX($Q$1005:$U$1005,1,MATCH(COLUMNS($Q$1006:R1006),$Q$1006:$U$1006,0))&gt;=100000), " ",IF(INDEX($Q$2:$U$1001,MATCH(ROWS($J$2:J532),$J$2:$J$1001,0),MATCH(COLUMNS($Q$1006:R1006),$Q$1006:$U$1006,0)), HYPERLINK("#",""), HYPERLINK(CONCATENATE("#metadata!", ADDRESS(INDEX($L$2:$L$1001,MATCH(ROWS($J$2:J532),$J$2:$J$1001,0),0), INDEX($Q$1004:$U$1004,1,MATCH(COLUMNS($Q$1006:R1006),$Q$1006:$U$1006,0)))),"Fix")))</f>
        <v xml:space="preserve"> </v>
      </c>
      <c r="D532" s="3" t="str">
        <f ca="1">IF(OR(INDEX($K$2:$K$1001,MATCH(ROWS($J$2:J532),$J$2:$J$1001,0),1)&gt;=100000,INDEX($Q$1005:$U$1005,1,MATCH(COLUMNS($Q$1006:S1006),$Q$1006:$U$1006,0))&gt;=100000), " ",IF(INDEX($Q$2:$U$1001,MATCH(ROWS($J$2:J532),$J$2:$J$1001,0),MATCH(COLUMNS($Q$1006:S1006),$Q$1006:$U$1006,0)), HYPERLINK("#",""), HYPERLINK(CONCATENATE("#metadata!", ADDRESS(INDEX($L$2:$L$1001,MATCH(ROWS($J$2:J532),$J$2:$J$1001,0),0), INDEX($Q$1004:$U$1004,1,MATCH(COLUMNS($Q$1006:S1006),$Q$1006:$U$1006,0)))),"Fix")))</f>
        <v xml:space="preserve"> </v>
      </c>
      <c r="E532" s="3" t="str">
        <f ca="1">IF(OR(INDEX($K$2:$K$1001,MATCH(ROWS($J$2:J532),$J$2:$J$1001,0),1)&gt;=100000,INDEX($Q$1005:$U$1005,1,MATCH(COLUMNS($Q$1006:T1006),$Q$1006:$U$1006,0))&gt;=100000), " ",IF(INDEX($Q$2:$U$1001,MATCH(ROWS($J$2:J532),$J$2:$J$1001,0),MATCH(COLUMNS($Q$1006:T1006),$Q$1006:$U$1006,0)), HYPERLINK("#",""), HYPERLINK(CONCATENATE("#metadata!", ADDRESS(INDEX($L$2:$L$1001,MATCH(ROWS($J$2:J532),$J$2:$J$1001,0),0), INDEX($Q$1004:$U$1004,1,MATCH(COLUMNS($Q$1006:T1006),$Q$1006:$U$1006,0)))),"Fix")))</f>
        <v xml:space="preserve"> </v>
      </c>
      <c r="F532" s="3" t="str">
        <f ca="1">IF(OR(INDEX($K$2:$K$1001,MATCH(ROWS($J$2:J532),$J$2:$J$1001,0),1)&gt;=100000,INDEX($Q$1005:$U$1005,1,MATCH(COLUMNS($Q$1006:U1006),$Q$1006:$U$1006,0))&gt;=100000), " ",IF(INDEX($Q$2:$U$1001,MATCH(ROWS($J$2:J532),$J$2:$J$1001,0),MATCH(COLUMNS($Q$1006:U1006),$Q$1006:$U$1006,0)), HYPERLINK("#",""), HYPERLINK(CONCATENATE("#metadata!", ADDRESS(INDEX($L$2:$L$1001,MATCH(ROWS($J$2:J532),$J$2:$J$1001,0),0), INDEX($Q$1004:$U$1004,1,MATCH(COLUMNS($Q$1006:U1006),$Q$1006:$U$1006,0)))),"Fix")))</f>
        <v xml:space="preserve"> </v>
      </c>
      <c r="J532">
        <v>531</v>
      </c>
      <c r="K532">
        <v>100532</v>
      </c>
      <c r="L532">
        <v>532</v>
      </c>
      <c r="M532" t="b">
        <f t="shared" si="8"/>
        <v>1</v>
      </c>
      <c r="N532" t="b">
        <f>COUNTBLANK(metadata!B532:F532)=COLUMNS(metadata!B532:F532)</f>
        <v>1</v>
      </c>
      <c r="O532" t="str">
        <v/>
      </c>
      <c r="Q532" t="b">
        <f ca="1">AND(IF(metadata!B532="",FALSE,TRUE),COUNTIF(metadata!B:B, metadata!B532) = 1,NOT(ISERROR(SUMPRODUCT(SEARCH(MID(metadata!B532,ROW(INDIRECT("1:"&amp;LEN(metadata!B532))), 1),"0123456789abcdefghijklmnopqrstuvwxyzABCDEFGHIJKLMNOPQRSTUVWXYZ.")))))</f>
        <v>0</v>
      </c>
      <c r="R532" t="b">
        <f>AND(IF(metadata!C532="",FALSE,TRUE),OR(EXACT(metadata!C532,"saline"),EXACT(metadata!C532,"non-saline")))</f>
        <v>0</v>
      </c>
      <c r="S532" t="b">
        <f>AND(IF(metadata!D532="",FALSE,TRUE),OR(EXACT(metadata!D532,"surface (non-saline)"),EXACT(metadata!D532,"aerosol (non-saline)"),EXACT(metadata!D532,"sediment (non-saline)"),EXACT(metadata!D532,"surface (saline)"),EXACT(metadata!D532,"aerosol (saline)"),EXACT(metadata!D532,"sediment (saline)")))</f>
        <v>0</v>
      </c>
      <c r="T532" t="b">
        <f>AND(IF(metadata!E532="",FALSE,TRUE),EXACT(metadata!E532,"built environment"))</f>
        <v>0</v>
      </c>
      <c r="U532" t="b">
        <f>OR(AND(IF(metadata!F532="",FALSE,TRUE),EXACT(metadata!F532,"not applicable")),AND(IF(metadata!F532="",FALSE,TRUE),EXACT(metadata!F532,"anaerobic digester content")))</f>
        <v>0</v>
      </c>
    </row>
    <row r="533" spans="1:21" x14ac:dyDescent="0.2">
      <c r="A533" s="4" t="str">
        <f ca="1">IF(B533=" "," ",HYPERLINK(CONCATENATE("#metadata!",ADDRESS(INDEX($L$2:$L$1001,MATCH(ROWS($J$2:J533),$J$2:$J$1001,0),0),1)),INDEX($O$2:$O$1001,MATCH(ROWS($J$2:J533),$J$2:$J$1001,0),0)))</f>
        <v xml:space="preserve"> </v>
      </c>
      <c r="B533" s="3" t="str">
        <f ca="1">IF(OR(INDEX($K$2:$K$1001,MATCH(ROWS($J$2:J533),$J$2:$J$1001,0),1)&gt;=100000,INDEX($Q$1005:$U$1005,1,MATCH(COLUMNS($Q$1006:Q1006),$Q$1006:$U$1006,0))&gt;=100000), " ",IF(INDEX($Q$2:$U$1001,MATCH(ROWS($J$2:J533),$J$2:$J$1001,0),MATCH(COLUMNS($Q$1006:Q1006),$Q$1006:$U$1006,0)), HYPERLINK("#",""), HYPERLINK(CONCATENATE("#metadata!", ADDRESS(INDEX($L$2:$L$1001,MATCH(ROWS($J$2:J533),$J$2:$J$1001,0),0), INDEX($Q$1004:$U$1004,1,MATCH(COLUMNS($Q$1006:Q1006),$Q$1006:$U$1006,0)))),"Fix")))</f>
        <v xml:space="preserve"> </v>
      </c>
      <c r="C533" s="3" t="str">
        <f ca="1">IF(OR(INDEX($K$2:$K$1001,MATCH(ROWS($J$2:J533),$J$2:$J$1001,0),1)&gt;=100000,INDEX($Q$1005:$U$1005,1,MATCH(COLUMNS($Q$1006:R1006),$Q$1006:$U$1006,0))&gt;=100000), " ",IF(INDEX($Q$2:$U$1001,MATCH(ROWS($J$2:J533),$J$2:$J$1001,0),MATCH(COLUMNS($Q$1006:R1006),$Q$1006:$U$1006,0)), HYPERLINK("#",""), HYPERLINK(CONCATENATE("#metadata!", ADDRESS(INDEX($L$2:$L$1001,MATCH(ROWS($J$2:J533),$J$2:$J$1001,0),0), INDEX($Q$1004:$U$1004,1,MATCH(COLUMNS($Q$1006:R1006),$Q$1006:$U$1006,0)))),"Fix")))</f>
        <v xml:space="preserve"> </v>
      </c>
      <c r="D533" s="3" t="str">
        <f ca="1">IF(OR(INDEX($K$2:$K$1001,MATCH(ROWS($J$2:J533),$J$2:$J$1001,0),1)&gt;=100000,INDEX($Q$1005:$U$1005,1,MATCH(COLUMNS($Q$1006:S1006),$Q$1006:$U$1006,0))&gt;=100000), " ",IF(INDEX($Q$2:$U$1001,MATCH(ROWS($J$2:J533),$J$2:$J$1001,0),MATCH(COLUMNS($Q$1006:S1006),$Q$1006:$U$1006,0)), HYPERLINK("#",""), HYPERLINK(CONCATENATE("#metadata!", ADDRESS(INDEX($L$2:$L$1001,MATCH(ROWS($J$2:J533),$J$2:$J$1001,0),0), INDEX($Q$1004:$U$1004,1,MATCH(COLUMNS($Q$1006:S1006),$Q$1006:$U$1006,0)))),"Fix")))</f>
        <v xml:space="preserve"> </v>
      </c>
      <c r="E533" s="3" t="str">
        <f ca="1">IF(OR(INDEX($K$2:$K$1001,MATCH(ROWS($J$2:J533),$J$2:$J$1001,0),1)&gt;=100000,INDEX($Q$1005:$U$1005,1,MATCH(COLUMNS($Q$1006:T1006),$Q$1006:$U$1006,0))&gt;=100000), " ",IF(INDEX($Q$2:$U$1001,MATCH(ROWS($J$2:J533),$J$2:$J$1001,0),MATCH(COLUMNS($Q$1006:T1006),$Q$1006:$U$1006,0)), HYPERLINK("#",""), HYPERLINK(CONCATENATE("#metadata!", ADDRESS(INDEX($L$2:$L$1001,MATCH(ROWS($J$2:J533),$J$2:$J$1001,0),0), INDEX($Q$1004:$U$1004,1,MATCH(COLUMNS($Q$1006:T1006),$Q$1006:$U$1006,0)))),"Fix")))</f>
        <v xml:space="preserve"> </v>
      </c>
      <c r="F533" s="3" t="str">
        <f ca="1">IF(OR(INDEX($K$2:$K$1001,MATCH(ROWS($J$2:J533),$J$2:$J$1001,0),1)&gt;=100000,INDEX($Q$1005:$U$1005,1,MATCH(COLUMNS($Q$1006:U1006),$Q$1006:$U$1006,0))&gt;=100000), " ",IF(INDEX($Q$2:$U$1001,MATCH(ROWS($J$2:J533),$J$2:$J$1001,0),MATCH(COLUMNS($Q$1006:U1006),$Q$1006:$U$1006,0)), HYPERLINK("#",""), HYPERLINK(CONCATENATE("#metadata!", ADDRESS(INDEX($L$2:$L$1001,MATCH(ROWS($J$2:J533),$J$2:$J$1001,0),0), INDEX($Q$1004:$U$1004,1,MATCH(COLUMNS($Q$1006:U1006),$Q$1006:$U$1006,0)))),"Fix")))</f>
        <v xml:space="preserve"> </v>
      </c>
      <c r="J533">
        <v>532</v>
      </c>
      <c r="K533">
        <v>100533</v>
      </c>
      <c r="L533">
        <v>533</v>
      </c>
      <c r="M533" t="b">
        <f t="shared" si="8"/>
        <v>1</v>
      </c>
      <c r="N533" t="b">
        <f>COUNTBLANK(metadata!B533:F533)=COLUMNS(metadata!B533:F533)</f>
        <v>1</v>
      </c>
      <c r="O533" t="str">
        <v/>
      </c>
      <c r="Q533" t="b">
        <f ca="1">AND(IF(metadata!B533="",FALSE,TRUE),COUNTIF(metadata!B:B, metadata!B533) = 1,NOT(ISERROR(SUMPRODUCT(SEARCH(MID(metadata!B533,ROW(INDIRECT("1:"&amp;LEN(metadata!B533))), 1),"0123456789abcdefghijklmnopqrstuvwxyzABCDEFGHIJKLMNOPQRSTUVWXYZ.")))))</f>
        <v>0</v>
      </c>
      <c r="R533" t="b">
        <f>AND(IF(metadata!C533="",FALSE,TRUE),OR(EXACT(metadata!C533,"saline"),EXACT(metadata!C533,"non-saline")))</f>
        <v>0</v>
      </c>
      <c r="S533" t="b">
        <f>AND(IF(metadata!D533="",FALSE,TRUE),OR(EXACT(metadata!D533,"surface (non-saline)"),EXACT(metadata!D533,"aerosol (non-saline)"),EXACT(metadata!D533,"sediment (non-saline)"),EXACT(metadata!D533,"surface (saline)"),EXACT(metadata!D533,"aerosol (saline)"),EXACT(metadata!D533,"sediment (saline)")))</f>
        <v>0</v>
      </c>
      <c r="T533" t="b">
        <f>AND(IF(metadata!E533="",FALSE,TRUE),EXACT(metadata!E533,"built environment"))</f>
        <v>0</v>
      </c>
      <c r="U533" t="b">
        <f>OR(AND(IF(metadata!F533="",FALSE,TRUE),EXACT(metadata!F533,"not applicable")),AND(IF(metadata!F533="",FALSE,TRUE),EXACT(metadata!F533,"anaerobic digester content")))</f>
        <v>0</v>
      </c>
    </row>
    <row r="534" spans="1:21" x14ac:dyDescent="0.2">
      <c r="A534" s="4" t="str">
        <f ca="1">IF(B534=" "," ",HYPERLINK(CONCATENATE("#metadata!",ADDRESS(INDEX($L$2:$L$1001,MATCH(ROWS($J$2:J534),$J$2:$J$1001,0),0),1)),INDEX($O$2:$O$1001,MATCH(ROWS($J$2:J534),$J$2:$J$1001,0),0)))</f>
        <v xml:space="preserve"> </v>
      </c>
      <c r="B534" s="3" t="str">
        <f ca="1">IF(OR(INDEX($K$2:$K$1001,MATCH(ROWS($J$2:J534),$J$2:$J$1001,0),1)&gt;=100000,INDEX($Q$1005:$U$1005,1,MATCH(COLUMNS($Q$1006:Q1006),$Q$1006:$U$1006,0))&gt;=100000), " ",IF(INDEX($Q$2:$U$1001,MATCH(ROWS($J$2:J534),$J$2:$J$1001,0),MATCH(COLUMNS($Q$1006:Q1006),$Q$1006:$U$1006,0)), HYPERLINK("#",""), HYPERLINK(CONCATENATE("#metadata!", ADDRESS(INDEX($L$2:$L$1001,MATCH(ROWS($J$2:J534),$J$2:$J$1001,0),0), INDEX($Q$1004:$U$1004,1,MATCH(COLUMNS($Q$1006:Q1006),$Q$1006:$U$1006,0)))),"Fix")))</f>
        <v xml:space="preserve"> </v>
      </c>
      <c r="C534" s="3" t="str">
        <f ca="1">IF(OR(INDEX($K$2:$K$1001,MATCH(ROWS($J$2:J534),$J$2:$J$1001,0),1)&gt;=100000,INDEX($Q$1005:$U$1005,1,MATCH(COLUMNS($Q$1006:R1006),$Q$1006:$U$1006,0))&gt;=100000), " ",IF(INDEX($Q$2:$U$1001,MATCH(ROWS($J$2:J534),$J$2:$J$1001,0),MATCH(COLUMNS($Q$1006:R1006),$Q$1006:$U$1006,0)), HYPERLINK("#",""), HYPERLINK(CONCATENATE("#metadata!", ADDRESS(INDEX($L$2:$L$1001,MATCH(ROWS($J$2:J534),$J$2:$J$1001,0),0), INDEX($Q$1004:$U$1004,1,MATCH(COLUMNS($Q$1006:R1006),$Q$1006:$U$1006,0)))),"Fix")))</f>
        <v xml:space="preserve"> </v>
      </c>
      <c r="D534" s="3" t="str">
        <f ca="1">IF(OR(INDEX($K$2:$K$1001,MATCH(ROWS($J$2:J534),$J$2:$J$1001,0),1)&gt;=100000,INDEX($Q$1005:$U$1005,1,MATCH(COLUMNS($Q$1006:S1006),$Q$1006:$U$1006,0))&gt;=100000), " ",IF(INDEX($Q$2:$U$1001,MATCH(ROWS($J$2:J534),$J$2:$J$1001,0),MATCH(COLUMNS($Q$1006:S1006),$Q$1006:$U$1006,0)), HYPERLINK("#",""), HYPERLINK(CONCATENATE("#metadata!", ADDRESS(INDEX($L$2:$L$1001,MATCH(ROWS($J$2:J534),$J$2:$J$1001,0),0), INDEX($Q$1004:$U$1004,1,MATCH(COLUMNS($Q$1006:S1006),$Q$1006:$U$1006,0)))),"Fix")))</f>
        <v xml:space="preserve"> </v>
      </c>
      <c r="E534" s="3" t="str">
        <f ca="1">IF(OR(INDEX($K$2:$K$1001,MATCH(ROWS($J$2:J534),$J$2:$J$1001,0),1)&gt;=100000,INDEX($Q$1005:$U$1005,1,MATCH(COLUMNS($Q$1006:T1006),$Q$1006:$U$1006,0))&gt;=100000), " ",IF(INDEX($Q$2:$U$1001,MATCH(ROWS($J$2:J534),$J$2:$J$1001,0),MATCH(COLUMNS($Q$1006:T1006),$Q$1006:$U$1006,0)), HYPERLINK("#",""), HYPERLINK(CONCATENATE("#metadata!", ADDRESS(INDEX($L$2:$L$1001,MATCH(ROWS($J$2:J534),$J$2:$J$1001,0),0), INDEX($Q$1004:$U$1004,1,MATCH(COLUMNS($Q$1006:T1006),$Q$1006:$U$1006,0)))),"Fix")))</f>
        <v xml:space="preserve"> </v>
      </c>
      <c r="F534" s="3" t="str">
        <f ca="1">IF(OR(INDEX($K$2:$K$1001,MATCH(ROWS($J$2:J534),$J$2:$J$1001,0),1)&gt;=100000,INDEX($Q$1005:$U$1005,1,MATCH(COLUMNS($Q$1006:U1006),$Q$1006:$U$1006,0))&gt;=100000), " ",IF(INDEX($Q$2:$U$1001,MATCH(ROWS($J$2:J534),$J$2:$J$1001,0),MATCH(COLUMNS($Q$1006:U1006),$Q$1006:$U$1006,0)), HYPERLINK("#",""), HYPERLINK(CONCATENATE("#metadata!", ADDRESS(INDEX($L$2:$L$1001,MATCH(ROWS($J$2:J534),$J$2:$J$1001,0),0), INDEX($Q$1004:$U$1004,1,MATCH(COLUMNS($Q$1006:U1006),$Q$1006:$U$1006,0)))),"Fix")))</f>
        <v xml:space="preserve"> </v>
      </c>
      <c r="J534">
        <v>533</v>
      </c>
      <c r="K534">
        <v>100534</v>
      </c>
      <c r="L534">
        <v>534</v>
      </c>
      <c r="M534" t="b">
        <f t="shared" si="8"/>
        <v>1</v>
      </c>
      <c r="N534" t="b">
        <f>COUNTBLANK(metadata!B534:F534)=COLUMNS(metadata!B534:F534)</f>
        <v>1</v>
      </c>
      <c r="O534" t="str">
        <v/>
      </c>
      <c r="Q534" t="b">
        <f ca="1">AND(IF(metadata!B534="",FALSE,TRUE),COUNTIF(metadata!B:B, metadata!B534) = 1,NOT(ISERROR(SUMPRODUCT(SEARCH(MID(metadata!B534,ROW(INDIRECT("1:"&amp;LEN(metadata!B534))), 1),"0123456789abcdefghijklmnopqrstuvwxyzABCDEFGHIJKLMNOPQRSTUVWXYZ.")))))</f>
        <v>0</v>
      </c>
      <c r="R534" t="b">
        <f>AND(IF(metadata!C534="",FALSE,TRUE),OR(EXACT(metadata!C534,"saline"),EXACT(metadata!C534,"non-saline")))</f>
        <v>0</v>
      </c>
      <c r="S534" t="b">
        <f>AND(IF(metadata!D534="",FALSE,TRUE),OR(EXACT(metadata!D534,"surface (non-saline)"),EXACT(metadata!D534,"aerosol (non-saline)"),EXACT(metadata!D534,"sediment (non-saline)"),EXACT(metadata!D534,"surface (saline)"),EXACT(metadata!D534,"aerosol (saline)"),EXACT(metadata!D534,"sediment (saline)")))</f>
        <v>0</v>
      </c>
      <c r="T534" t="b">
        <f>AND(IF(metadata!E534="",FALSE,TRUE),EXACT(metadata!E534,"built environment"))</f>
        <v>0</v>
      </c>
      <c r="U534" t="b">
        <f>OR(AND(IF(metadata!F534="",FALSE,TRUE),EXACT(metadata!F534,"not applicable")),AND(IF(metadata!F534="",FALSE,TRUE),EXACT(metadata!F534,"anaerobic digester content")))</f>
        <v>0</v>
      </c>
    </row>
    <row r="535" spans="1:21" x14ac:dyDescent="0.2">
      <c r="A535" s="4" t="str">
        <f ca="1">IF(B535=" "," ",HYPERLINK(CONCATENATE("#metadata!",ADDRESS(INDEX($L$2:$L$1001,MATCH(ROWS($J$2:J535),$J$2:$J$1001,0),0),1)),INDEX($O$2:$O$1001,MATCH(ROWS($J$2:J535),$J$2:$J$1001,0),0)))</f>
        <v xml:space="preserve"> </v>
      </c>
      <c r="B535" s="3" t="str">
        <f ca="1">IF(OR(INDEX($K$2:$K$1001,MATCH(ROWS($J$2:J535),$J$2:$J$1001,0),1)&gt;=100000,INDEX($Q$1005:$U$1005,1,MATCH(COLUMNS($Q$1006:Q1006),$Q$1006:$U$1006,0))&gt;=100000), " ",IF(INDEX($Q$2:$U$1001,MATCH(ROWS($J$2:J535),$J$2:$J$1001,0),MATCH(COLUMNS($Q$1006:Q1006),$Q$1006:$U$1006,0)), HYPERLINK("#",""), HYPERLINK(CONCATENATE("#metadata!", ADDRESS(INDEX($L$2:$L$1001,MATCH(ROWS($J$2:J535),$J$2:$J$1001,0),0), INDEX($Q$1004:$U$1004,1,MATCH(COLUMNS($Q$1006:Q1006),$Q$1006:$U$1006,0)))),"Fix")))</f>
        <v xml:space="preserve"> </v>
      </c>
      <c r="C535" s="3" t="str">
        <f ca="1">IF(OR(INDEX($K$2:$K$1001,MATCH(ROWS($J$2:J535),$J$2:$J$1001,0),1)&gt;=100000,INDEX($Q$1005:$U$1005,1,MATCH(COLUMNS($Q$1006:R1006),$Q$1006:$U$1006,0))&gt;=100000), " ",IF(INDEX($Q$2:$U$1001,MATCH(ROWS($J$2:J535),$J$2:$J$1001,0),MATCH(COLUMNS($Q$1006:R1006),$Q$1006:$U$1006,0)), HYPERLINK("#",""), HYPERLINK(CONCATENATE("#metadata!", ADDRESS(INDEX($L$2:$L$1001,MATCH(ROWS($J$2:J535),$J$2:$J$1001,0),0), INDEX($Q$1004:$U$1004,1,MATCH(COLUMNS($Q$1006:R1006),$Q$1006:$U$1006,0)))),"Fix")))</f>
        <v xml:space="preserve"> </v>
      </c>
      <c r="D535" s="3" t="str">
        <f ca="1">IF(OR(INDEX($K$2:$K$1001,MATCH(ROWS($J$2:J535),$J$2:$J$1001,0),1)&gt;=100000,INDEX($Q$1005:$U$1005,1,MATCH(COLUMNS($Q$1006:S1006),$Q$1006:$U$1006,0))&gt;=100000), " ",IF(INDEX($Q$2:$U$1001,MATCH(ROWS($J$2:J535),$J$2:$J$1001,0),MATCH(COLUMNS($Q$1006:S1006),$Q$1006:$U$1006,0)), HYPERLINK("#",""), HYPERLINK(CONCATENATE("#metadata!", ADDRESS(INDEX($L$2:$L$1001,MATCH(ROWS($J$2:J535),$J$2:$J$1001,0),0), INDEX($Q$1004:$U$1004,1,MATCH(COLUMNS($Q$1006:S1006),$Q$1006:$U$1006,0)))),"Fix")))</f>
        <v xml:space="preserve"> </v>
      </c>
      <c r="E535" s="3" t="str">
        <f ca="1">IF(OR(INDEX($K$2:$K$1001,MATCH(ROWS($J$2:J535),$J$2:$J$1001,0),1)&gt;=100000,INDEX($Q$1005:$U$1005,1,MATCH(COLUMNS($Q$1006:T1006),$Q$1006:$U$1006,0))&gt;=100000), " ",IF(INDEX($Q$2:$U$1001,MATCH(ROWS($J$2:J535),$J$2:$J$1001,0),MATCH(COLUMNS($Q$1006:T1006),$Q$1006:$U$1006,0)), HYPERLINK("#",""), HYPERLINK(CONCATENATE("#metadata!", ADDRESS(INDEX($L$2:$L$1001,MATCH(ROWS($J$2:J535),$J$2:$J$1001,0),0), INDEX($Q$1004:$U$1004,1,MATCH(COLUMNS($Q$1006:T1006),$Q$1006:$U$1006,0)))),"Fix")))</f>
        <v xml:space="preserve"> </v>
      </c>
      <c r="F535" s="3" t="str">
        <f ca="1">IF(OR(INDEX($K$2:$K$1001,MATCH(ROWS($J$2:J535),$J$2:$J$1001,0),1)&gt;=100000,INDEX($Q$1005:$U$1005,1,MATCH(COLUMNS($Q$1006:U1006),$Q$1006:$U$1006,0))&gt;=100000), " ",IF(INDEX($Q$2:$U$1001,MATCH(ROWS($J$2:J535),$J$2:$J$1001,0),MATCH(COLUMNS($Q$1006:U1006),$Q$1006:$U$1006,0)), HYPERLINK("#",""), HYPERLINK(CONCATENATE("#metadata!", ADDRESS(INDEX($L$2:$L$1001,MATCH(ROWS($J$2:J535),$J$2:$J$1001,0),0), INDEX($Q$1004:$U$1004,1,MATCH(COLUMNS($Q$1006:U1006),$Q$1006:$U$1006,0)))),"Fix")))</f>
        <v xml:space="preserve"> </v>
      </c>
      <c r="J535">
        <v>534</v>
      </c>
      <c r="K535">
        <v>100535</v>
      </c>
      <c r="L535">
        <v>535</v>
      </c>
      <c r="M535" t="b">
        <f t="shared" si="8"/>
        <v>1</v>
      </c>
      <c r="N535" t="b">
        <f>COUNTBLANK(metadata!B535:F535)=COLUMNS(metadata!B535:F535)</f>
        <v>1</v>
      </c>
      <c r="O535" t="str">
        <v/>
      </c>
      <c r="Q535" t="b">
        <f ca="1">AND(IF(metadata!B535="",FALSE,TRUE),COUNTIF(metadata!B:B, metadata!B535) = 1,NOT(ISERROR(SUMPRODUCT(SEARCH(MID(metadata!B535,ROW(INDIRECT("1:"&amp;LEN(metadata!B535))), 1),"0123456789abcdefghijklmnopqrstuvwxyzABCDEFGHIJKLMNOPQRSTUVWXYZ.")))))</f>
        <v>0</v>
      </c>
      <c r="R535" t="b">
        <f>AND(IF(metadata!C535="",FALSE,TRUE),OR(EXACT(metadata!C535,"saline"),EXACT(metadata!C535,"non-saline")))</f>
        <v>0</v>
      </c>
      <c r="S535" t="b">
        <f>AND(IF(metadata!D535="",FALSE,TRUE),OR(EXACT(metadata!D535,"surface (non-saline)"),EXACT(metadata!D535,"aerosol (non-saline)"),EXACT(metadata!D535,"sediment (non-saline)"),EXACT(metadata!D535,"surface (saline)"),EXACT(metadata!D535,"aerosol (saline)"),EXACT(metadata!D535,"sediment (saline)")))</f>
        <v>0</v>
      </c>
      <c r="T535" t="b">
        <f>AND(IF(metadata!E535="",FALSE,TRUE),EXACT(metadata!E535,"built environment"))</f>
        <v>0</v>
      </c>
      <c r="U535" t="b">
        <f>OR(AND(IF(metadata!F535="",FALSE,TRUE),EXACT(metadata!F535,"not applicable")),AND(IF(metadata!F535="",FALSE,TRUE),EXACT(metadata!F535,"anaerobic digester content")))</f>
        <v>0</v>
      </c>
    </row>
    <row r="536" spans="1:21" x14ac:dyDescent="0.2">
      <c r="A536" s="4" t="str">
        <f ca="1">IF(B536=" "," ",HYPERLINK(CONCATENATE("#metadata!",ADDRESS(INDEX($L$2:$L$1001,MATCH(ROWS($J$2:J536),$J$2:$J$1001,0),0),1)),INDEX($O$2:$O$1001,MATCH(ROWS($J$2:J536),$J$2:$J$1001,0),0)))</f>
        <v xml:space="preserve"> </v>
      </c>
      <c r="B536" s="3" t="str">
        <f ca="1">IF(OR(INDEX($K$2:$K$1001,MATCH(ROWS($J$2:J536),$J$2:$J$1001,0),1)&gt;=100000,INDEX($Q$1005:$U$1005,1,MATCH(COLUMNS($Q$1006:Q1006),$Q$1006:$U$1006,0))&gt;=100000), " ",IF(INDEX($Q$2:$U$1001,MATCH(ROWS($J$2:J536),$J$2:$J$1001,0),MATCH(COLUMNS($Q$1006:Q1006),$Q$1006:$U$1006,0)), HYPERLINK("#",""), HYPERLINK(CONCATENATE("#metadata!", ADDRESS(INDEX($L$2:$L$1001,MATCH(ROWS($J$2:J536),$J$2:$J$1001,0),0), INDEX($Q$1004:$U$1004,1,MATCH(COLUMNS($Q$1006:Q1006),$Q$1006:$U$1006,0)))),"Fix")))</f>
        <v xml:space="preserve"> </v>
      </c>
      <c r="C536" s="3" t="str">
        <f ca="1">IF(OR(INDEX($K$2:$K$1001,MATCH(ROWS($J$2:J536),$J$2:$J$1001,0),1)&gt;=100000,INDEX($Q$1005:$U$1005,1,MATCH(COLUMNS($Q$1006:R1006),$Q$1006:$U$1006,0))&gt;=100000), " ",IF(INDEX($Q$2:$U$1001,MATCH(ROWS($J$2:J536),$J$2:$J$1001,0),MATCH(COLUMNS($Q$1006:R1006),$Q$1006:$U$1006,0)), HYPERLINK("#",""), HYPERLINK(CONCATENATE("#metadata!", ADDRESS(INDEX($L$2:$L$1001,MATCH(ROWS($J$2:J536),$J$2:$J$1001,0),0), INDEX($Q$1004:$U$1004,1,MATCH(COLUMNS($Q$1006:R1006),$Q$1006:$U$1006,0)))),"Fix")))</f>
        <v xml:space="preserve"> </v>
      </c>
      <c r="D536" s="3" t="str">
        <f ca="1">IF(OR(INDEX($K$2:$K$1001,MATCH(ROWS($J$2:J536),$J$2:$J$1001,0),1)&gt;=100000,INDEX($Q$1005:$U$1005,1,MATCH(COLUMNS($Q$1006:S1006),$Q$1006:$U$1006,0))&gt;=100000), " ",IF(INDEX($Q$2:$U$1001,MATCH(ROWS($J$2:J536),$J$2:$J$1001,0),MATCH(COLUMNS($Q$1006:S1006),$Q$1006:$U$1006,0)), HYPERLINK("#",""), HYPERLINK(CONCATENATE("#metadata!", ADDRESS(INDEX($L$2:$L$1001,MATCH(ROWS($J$2:J536),$J$2:$J$1001,0),0), INDEX($Q$1004:$U$1004,1,MATCH(COLUMNS($Q$1006:S1006),$Q$1006:$U$1006,0)))),"Fix")))</f>
        <v xml:space="preserve"> </v>
      </c>
      <c r="E536" s="3" t="str">
        <f ca="1">IF(OR(INDEX($K$2:$K$1001,MATCH(ROWS($J$2:J536),$J$2:$J$1001,0),1)&gt;=100000,INDEX($Q$1005:$U$1005,1,MATCH(COLUMNS($Q$1006:T1006),$Q$1006:$U$1006,0))&gt;=100000), " ",IF(INDEX($Q$2:$U$1001,MATCH(ROWS($J$2:J536),$J$2:$J$1001,0),MATCH(COLUMNS($Q$1006:T1006),$Q$1006:$U$1006,0)), HYPERLINK("#",""), HYPERLINK(CONCATENATE("#metadata!", ADDRESS(INDEX($L$2:$L$1001,MATCH(ROWS($J$2:J536),$J$2:$J$1001,0),0), INDEX($Q$1004:$U$1004,1,MATCH(COLUMNS($Q$1006:T1006),$Q$1006:$U$1006,0)))),"Fix")))</f>
        <v xml:space="preserve"> </v>
      </c>
      <c r="F536" s="3" t="str">
        <f ca="1">IF(OR(INDEX($K$2:$K$1001,MATCH(ROWS($J$2:J536),$J$2:$J$1001,0),1)&gt;=100000,INDEX($Q$1005:$U$1005,1,MATCH(COLUMNS($Q$1006:U1006),$Q$1006:$U$1006,0))&gt;=100000), " ",IF(INDEX($Q$2:$U$1001,MATCH(ROWS($J$2:J536),$J$2:$J$1001,0),MATCH(COLUMNS($Q$1006:U1006),$Q$1006:$U$1006,0)), HYPERLINK("#",""), HYPERLINK(CONCATENATE("#metadata!", ADDRESS(INDEX($L$2:$L$1001,MATCH(ROWS($J$2:J536),$J$2:$J$1001,0),0), INDEX($Q$1004:$U$1004,1,MATCH(COLUMNS($Q$1006:U1006),$Q$1006:$U$1006,0)))),"Fix")))</f>
        <v xml:space="preserve"> </v>
      </c>
      <c r="J536">
        <v>535</v>
      </c>
      <c r="K536">
        <v>100536</v>
      </c>
      <c r="L536">
        <v>536</v>
      </c>
      <c r="M536" t="b">
        <f t="shared" si="8"/>
        <v>1</v>
      </c>
      <c r="N536" t="b">
        <f>COUNTBLANK(metadata!B536:F536)=COLUMNS(metadata!B536:F536)</f>
        <v>1</v>
      </c>
      <c r="O536" t="str">
        <v/>
      </c>
      <c r="Q536" t="b">
        <f ca="1">AND(IF(metadata!B536="",FALSE,TRUE),COUNTIF(metadata!B:B, metadata!B536) = 1,NOT(ISERROR(SUMPRODUCT(SEARCH(MID(metadata!B536,ROW(INDIRECT("1:"&amp;LEN(metadata!B536))), 1),"0123456789abcdefghijklmnopqrstuvwxyzABCDEFGHIJKLMNOPQRSTUVWXYZ.")))))</f>
        <v>0</v>
      </c>
      <c r="R536" t="b">
        <f>AND(IF(metadata!C536="",FALSE,TRUE),OR(EXACT(metadata!C536,"saline"),EXACT(metadata!C536,"non-saline")))</f>
        <v>0</v>
      </c>
      <c r="S536" t="b">
        <f>AND(IF(metadata!D536="",FALSE,TRUE),OR(EXACT(metadata!D536,"surface (non-saline)"),EXACT(metadata!D536,"aerosol (non-saline)"),EXACT(metadata!D536,"sediment (non-saline)"),EXACT(metadata!D536,"surface (saline)"),EXACT(metadata!D536,"aerosol (saline)"),EXACT(metadata!D536,"sediment (saline)")))</f>
        <v>0</v>
      </c>
      <c r="T536" t="b">
        <f>AND(IF(metadata!E536="",FALSE,TRUE),EXACT(metadata!E536,"built environment"))</f>
        <v>0</v>
      </c>
      <c r="U536" t="b">
        <f>OR(AND(IF(metadata!F536="",FALSE,TRUE),EXACT(metadata!F536,"not applicable")),AND(IF(metadata!F536="",FALSE,TRUE),EXACT(metadata!F536,"anaerobic digester content")))</f>
        <v>0</v>
      </c>
    </row>
    <row r="537" spans="1:21" x14ac:dyDescent="0.2">
      <c r="A537" s="4" t="str">
        <f ca="1">IF(B537=" "," ",HYPERLINK(CONCATENATE("#metadata!",ADDRESS(INDEX($L$2:$L$1001,MATCH(ROWS($J$2:J537),$J$2:$J$1001,0),0),1)),INDEX($O$2:$O$1001,MATCH(ROWS($J$2:J537),$J$2:$J$1001,0),0)))</f>
        <v xml:space="preserve"> </v>
      </c>
      <c r="B537" s="3" t="str">
        <f ca="1">IF(OR(INDEX($K$2:$K$1001,MATCH(ROWS($J$2:J537),$J$2:$J$1001,0),1)&gt;=100000,INDEX($Q$1005:$U$1005,1,MATCH(COLUMNS($Q$1006:Q1006),$Q$1006:$U$1006,0))&gt;=100000), " ",IF(INDEX($Q$2:$U$1001,MATCH(ROWS($J$2:J537),$J$2:$J$1001,0),MATCH(COLUMNS($Q$1006:Q1006),$Q$1006:$U$1006,0)), HYPERLINK("#",""), HYPERLINK(CONCATENATE("#metadata!", ADDRESS(INDEX($L$2:$L$1001,MATCH(ROWS($J$2:J537),$J$2:$J$1001,0),0), INDEX($Q$1004:$U$1004,1,MATCH(COLUMNS($Q$1006:Q1006),$Q$1006:$U$1006,0)))),"Fix")))</f>
        <v xml:space="preserve"> </v>
      </c>
      <c r="C537" s="3" t="str">
        <f ca="1">IF(OR(INDEX($K$2:$K$1001,MATCH(ROWS($J$2:J537),$J$2:$J$1001,0),1)&gt;=100000,INDEX($Q$1005:$U$1005,1,MATCH(COLUMNS($Q$1006:R1006),$Q$1006:$U$1006,0))&gt;=100000), " ",IF(INDEX($Q$2:$U$1001,MATCH(ROWS($J$2:J537),$J$2:$J$1001,0),MATCH(COLUMNS($Q$1006:R1006),$Q$1006:$U$1006,0)), HYPERLINK("#",""), HYPERLINK(CONCATENATE("#metadata!", ADDRESS(INDEX($L$2:$L$1001,MATCH(ROWS($J$2:J537),$J$2:$J$1001,0),0), INDEX($Q$1004:$U$1004,1,MATCH(COLUMNS($Q$1006:R1006),$Q$1006:$U$1006,0)))),"Fix")))</f>
        <v xml:space="preserve"> </v>
      </c>
      <c r="D537" s="3" t="str">
        <f ca="1">IF(OR(INDEX($K$2:$K$1001,MATCH(ROWS($J$2:J537),$J$2:$J$1001,0),1)&gt;=100000,INDEX($Q$1005:$U$1005,1,MATCH(COLUMNS($Q$1006:S1006),$Q$1006:$U$1006,0))&gt;=100000), " ",IF(INDEX($Q$2:$U$1001,MATCH(ROWS($J$2:J537),$J$2:$J$1001,0),MATCH(COLUMNS($Q$1006:S1006),$Q$1006:$U$1006,0)), HYPERLINK("#",""), HYPERLINK(CONCATENATE("#metadata!", ADDRESS(INDEX($L$2:$L$1001,MATCH(ROWS($J$2:J537),$J$2:$J$1001,0),0), INDEX($Q$1004:$U$1004,1,MATCH(COLUMNS($Q$1006:S1006),$Q$1006:$U$1006,0)))),"Fix")))</f>
        <v xml:space="preserve"> </v>
      </c>
      <c r="E537" s="3" t="str">
        <f ca="1">IF(OR(INDEX($K$2:$K$1001,MATCH(ROWS($J$2:J537),$J$2:$J$1001,0),1)&gt;=100000,INDEX($Q$1005:$U$1005,1,MATCH(COLUMNS($Q$1006:T1006),$Q$1006:$U$1006,0))&gt;=100000), " ",IF(INDEX($Q$2:$U$1001,MATCH(ROWS($J$2:J537),$J$2:$J$1001,0),MATCH(COLUMNS($Q$1006:T1006),$Q$1006:$U$1006,0)), HYPERLINK("#",""), HYPERLINK(CONCATENATE("#metadata!", ADDRESS(INDEX($L$2:$L$1001,MATCH(ROWS($J$2:J537),$J$2:$J$1001,0),0), INDEX($Q$1004:$U$1004,1,MATCH(COLUMNS($Q$1006:T1006),$Q$1006:$U$1006,0)))),"Fix")))</f>
        <v xml:space="preserve"> </v>
      </c>
      <c r="F537" s="3" t="str">
        <f ca="1">IF(OR(INDEX($K$2:$K$1001,MATCH(ROWS($J$2:J537),$J$2:$J$1001,0),1)&gt;=100000,INDEX($Q$1005:$U$1005,1,MATCH(COLUMNS($Q$1006:U1006),$Q$1006:$U$1006,0))&gt;=100000), " ",IF(INDEX($Q$2:$U$1001,MATCH(ROWS($J$2:J537),$J$2:$J$1001,0),MATCH(COLUMNS($Q$1006:U1006),$Q$1006:$U$1006,0)), HYPERLINK("#",""), HYPERLINK(CONCATENATE("#metadata!", ADDRESS(INDEX($L$2:$L$1001,MATCH(ROWS($J$2:J537),$J$2:$J$1001,0),0), INDEX($Q$1004:$U$1004,1,MATCH(COLUMNS($Q$1006:U1006),$Q$1006:$U$1006,0)))),"Fix")))</f>
        <v xml:space="preserve"> </v>
      </c>
      <c r="J537">
        <v>536</v>
      </c>
      <c r="K537">
        <v>100537</v>
      </c>
      <c r="L537">
        <v>537</v>
      </c>
      <c r="M537" t="b">
        <f t="shared" si="8"/>
        <v>1</v>
      </c>
      <c r="N537" t="b">
        <f>COUNTBLANK(metadata!B537:F537)=COLUMNS(metadata!B537:F537)</f>
        <v>1</v>
      </c>
      <c r="O537" t="str">
        <v/>
      </c>
      <c r="Q537" t="b">
        <f ca="1">AND(IF(metadata!B537="",FALSE,TRUE),COUNTIF(metadata!B:B, metadata!B537) = 1,NOT(ISERROR(SUMPRODUCT(SEARCH(MID(metadata!B537,ROW(INDIRECT("1:"&amp;LEN(metadata!B537))), 1),"0123456789abcdefghijklmnopqrstuvwxyzABCDEFGHIJKLMNOPQRSTUVWXYZ.")))))</f>
        <v>0</v>
      </c>
      <c r="R537" t="b">
        <f>AND(IF(metadata!C537="",FALSE,TRUE),OR(EXACT(metadata!C537,"saline"),EXACT(metadata!C537,"non-saline")))</f>
        <v>0</v>
      </c>
      <c r="S537" t="b">
        <f>AND(IF(metadata!D537="",FALSE,TRUE),OR(EXACT(metadata!D537,"surface (non-saline)"),EXACT(metadata!D537,"aerosol (non-saline)"),EXACT(metadata!D537,"sediment (non-saline)"),EXACT(metadata!D537,"surface (saline)"),EXACT(metadata!D537,"aerosol (saline)"),EXACT(metadata!D537,"sediment (saline)")))</f>
        <v>0</v>
      </c>
      <c r="T537" t="b">
        <f>AND(IF(metadata!E537="",FALSE,TRUE),EXACT(metadata!E537,"built environment"))</f>
        <v>0</v>
      </c>
      <c r="U537" t="b">
        <f>OR(AND(IF(metadata!F537="",FALSE,TRUE),EXACT(metadata!F537,"not applicable")),AND(IF(metadata!F537="",FALSE,TRUE),EXACT(metadata!F537,"anaerobic digester content")))</f>
        <v>0</v>
      </c>
    </row>
    <row r="538" spans="1:21" x14ac:dyDescent="0.2">
      <c r="A538" s="4" t="str">
        <f ca="1">IF(B538=" "," ",HYPERLINK(CONCATENATE("#metadata!",ADDRESS(INDEX($L$2:$L$1001,MATCH(ROWS($J$2:J538),$J$2:$J$1001,0),0),1)),INDEX($O$2:$O$1001,MATCH(ROWS($J$2:J538),$J$2:$J$1001,0),0)))</f>
        <v xml:space="preserve"> </v>
      </c>
      <c r="B538" s="3" t="str">
        <f ca="1">IF(OR(INDEX($K$2:$K$1001,MATCH(ROWS($J$2:J538),$J$2:$J$1001,0),1)&gt;=100000,INDEX($Q$1005:$U$1005,1,MATCH(COLUMNS($Q$1006:Q1006),$Q$1006:$U$1006,0))&gt;=100000), " ",IF(INDEX($Q$2:$U$1001,MATCH(ROWS($J$2:J538),$J$2:$J$1001,0),MATCH(COLUMNS($Q$1006:Q1006),$Q$1006:$U$1006,0)), HYPERLINK("#",""), HYPERLINK(CONCATENATE("#metadata!", ADDRESS(INDEX($L$2:$L$1001,MATCH(ROWS($J$2:J538),$J$2:$J$1001,0),0), INDEX($Q$1004:$U$1004,1,MATCH(COLUMNS($Q$1006:Q1006),$Q$1006:$U$1006,0)))),"Fix")))</f>
        <v xml:space="preserve"> </v>
      </c>
      <c r="C538" s="3" t="str">
        <f ca="1">IF(OR(INDEX($K$2:$K$1001,MATCH(ROWS($J$2:J538),$J$2:$J$1001,0),1)&gt;=100000,INDEX($Q$1005:$U$1005,1,MATCH(COLUMNS($Q$1006:R1006),$Q$1006:$U$1006,0))&gt;=100000), " ",IF(INDEX($Q$2:$U$1001,MATCH(ROWS($J$2:J538),$J$2:$J$1001,0),MATCH(COLUMNS($Q$1006:R1006),$Q$1006:$U$1006,0)), HYPERLINK("#",""), HYPERLINK(CONCATENATE("#metadata!", ADDRESS(INDEX($L$2:$L$1001,MATCH(ROWS($J$2:J538),$J$2:$J$1001,0),0), INDEX($Q$1004:$U$1004,1,MATCH(COLUMNS($Q$1006:R1006),$Q$1006:$U$1006,0)))),"Fix")))</f>
        <v xml:space="preserve"> </v>
      </c>
      <c r="D538" s="3" t="str">
        <f ca="1">IF(OR(INDEX($K$2:$K$1001,MATCH(ROWS($J$2:J538),$J$2:$J$1001,0),1)&gt;=100000,INDEX($Q$1005:$U$1005,1,MATCH(COLUMNS($Q$1006:S1006),$Q$1006:$U$1006,0))&gt;=100000), " ",IF(INDEX($Q$2:$U$1001,MATCH(ROWS($J$2:J538),$J$2:$J$1001,0),MATCH(COLUMNS($Q$1006:S1006),$Q$1006:$U$1006,0)), HYPERLINK("#",""), HYPERLINK(CONCATENATE("#metadata!", ADDRESS(INDEX($L$2:$L$1001,MATCH(ROWS($J$2:J538),$J$2:$J$1001,0),0), INDEX($Q$1004:$U$1004,1,MATCH(COLUMNS($Q$1006:S1006),$Q$1006:$U$1006,0)))),"Fix")))</f>
        <v xml:space="preserve"> </v>
      </c>
      <c r="E538" s="3" t="str">
        <f ca="1">IF(OR(INDEX($K$2:$K$1001,MATCH(ROWS($J$2:J538),$J$2:$J$1001,0),1)&gt;=100000,INDEX($Q$1005:$U$1005,1,MATCH(COLUMNS($Q$1006:T1006),$Q$1006:$U$1006,0))&gt;=100000), " ",IF(INDEX($Q$2:$U$1001,MATCH(ROWS($J$2:J538),$J$2:$J$1001,0),MATCH(COLUMNS($Q$1006:T1006),$Q$1006:$U$1006,0)), HYPERLINK("#",""), HYPERLINK(CONCATENATE("#metadata!", ADDRESS(INDEX($L$2:$L$1001,MATCH(ROWS($J$2:J538),$J$2:$J$1001,0),0), INDEX($Q$1004:$U$1004,1,MATCH(COLUMNS($Q$1006:T1006),$Q$1006:$U$1006,0)))),"Fix")))</f>
        <v xml:space="preserve"> </v>
      </c>
      <c r="F538" s="3" t="str">
        <f ca="1">IF(OR(INDEX($K$2:$K$1001,MATCH(ROWS($J$2:J538),$J$2:$J$1001,0),1)&gt;=100000,INDEX($Q$1005:$U$1005,1,MATCH(COLUMNS($Q$1006:U1006),$Q$1006:$U$1006,0))&gt;=100000), " ",IF(INDEX($Q$2:$U$1001,MATCH(ROWS($J$2:J538),$J$2:$J$1001,0),MATCH(COLUMNS($Q$1006:U1006),$Q$1006:$U$1006,0)), HYPERLINK("#",""), HYPERLINK(CONCATENATE("#metadata!", ADDRESS(INDEX($L$2:$L$1001,MATCH(ROWS($J$2:J538),$J$2:$J$1001,0),0), INDEX($Q$1004:$U$1004,1,MATCH(COLUMNS($Q$1006:U1006),$Q$1006:$U$1006,0)))),"Fix")))</f>
        <v xml:space="preserve"> </v>
      </c>
      <c r="J538">
        <v>537</v>
      </c>
      <c r="K538">
        <v>100538</v>
      </c>
      <c r="L538">
        <v>538</v>
      </c>
      <c r="M538" t="b">
        <f t="shared" si="8"/>
        <v>1</v>
      </c>
      <c r="N538" t="b">
        <f>COUNTBLANK(metadata!B538:F538)=COLUMNS(metadata!B538:F538)</f>
        <v>1</v>
      </c>
      <c r="O538" t="str">
        <v/>
      </c>
      <c r="Q538" t="b">
        <f ca="1">AND(IF(metadata!B538="",FALSE,TRUE),COUNTIF(metadata!B:B, metadata!B538) = 1,NOT(ISERROR(SUMPRODUCT(SEARCH(MID(metadata!B538,ROW(INDIRECT("1:"&amp;LEN(metadata!B538))), 1),"0123456789abcdefghijklmnopqrstuvwxyzABCDEFGHIJKLMNOPQRSTUVWXYZ.")))))</f>
        <v>0</v>
      </c>
      <c r="R538" t="b">
        <f>AND(IF(metadata!C538="",FALSE,TRUE),OR(EXACT(metadata!C538,"saline"),EXACT(metadata!C538,"non-saline")))</f>
        <v>0</v>
      </c>
      <c r="S538" t="b">
        <f>AND(IF(metadata!D538="",FALSE,TRUE),OR(EXACT(metadata!D538,"surface (non-saline)"),EXACT(metadata!D538,"aerosol (non-saline)"),EXACT(metadata!D538,"sediment (non-saline)"),EXACT(metadata!D538,"surface (saline)"),EXACT(metadata!D538,"aerosol (saline)"),EXACT(metadata!D538,"sediment (saline)")))</f>
        <v>0</v>
      </c>
      <c r="T538" t="b">
        <f>AND(IF(metadata!E538="",FALSE,TRUE),EXACT(metadata!E538,"built environment"))</f>
        <v>0</v>
      </c>
      <c r="U538" t="b">
        <f>OR(AND(IF(metadata!F538="",FALSE,TRUE),EXACT(metadata!F538,"not applicable")),AND(IF(metadata!F538="",FALSE,TRUE),EXACT(metadata!F538,"anaerobic digester content")))</f>
        <v>0</v>
      </c>
    </row>
    <row r="539" spans="1:21" x14ac:dyDescent="0.2">
      <c r="A539" s="4" t="str">
        <f ca="1">IF(B539=" "," ",HYPERLINK(CONCATENATE("#metadata!",ADDRESS(INDEX($L$2:$L$1001,MATCH(ROWS($J$2:J539),$J$2:$J$1001,0),0),1)),INDEX($O$2:$O$1001,MATCH(ROWS($J$2:J539),$J$2:$J$1001,0),0)))</f>
        <v xml:space="preserve"> </v>
      </c>
      <c r="B539" s="3" t="str">
        <f ca="1">IF(OR(INDEX($K$2:$K$1001,MATCH(ROWS($J$2:J539),$J$2:$J$1001,0),1)&gt;=100000,INDEX($Q$1005:$U$1005,1,MATCH(COLUMNS($Q$1006:Q1006),$Q$1006:$U$1006,0))&gt;=100000), " ",IF(INDEX($Q$2:$U$1001,MATCH(ROWS($J$2:J539),$J$2:$J$1001,0),MATCH(COLUMNS($Q$1006:Q1006),$Q$1006:$U$1006,0)), HYPERLINK("#",""), HYPERLINK(CONCATENATE("#metadata!", ADDRESS(INDEX($L$2:$L$1001,MATCH(ROWS($J$2:J539),$J$2:$J$1001,0),0), INDEX($Q$1004:$U$1004,1,MATCH(COLUMNS($Q$1006:Q1006),$Q$1006:$U$1006,0)))),"Fix")))</f>
        <v xml:space="preserve"> </v>
      </c>
      <c r="C539" s="3" t="str">
        <f ca="1">IF(OR(INDEX($K$2:$K$1001,MATCH(ROWS($J$2:J539),$J$2:$J$1001,0),1)&gt;=100000,INDEX($Q$1005:$U$1005,1,MATCH(COLUMNS($Q$1006:R1006),$Q$1006:$U$1006,0))&gt;=100000), " ",IF(INDEX($Q$2:$U$1001,MATCH(ROWS($J$2:J539),$J$2:$J$1001,0),MATCH(COLUMNS($Q$1006:R1006),$Q$1006:$U$1006,0)), HYPERLINK("#",""), HYPERLINK(CONCATENATE("#metadata!", ADDRESS(INDEX($L$2:$L$1001,MATCH(ROWS($J$2:J539),$J$2:$J$1001,0),0), INDEX($Q$1004:$U$1004,1,MATCH(COLUMNS($Q$1006:R1006),$Q$1006:$U$1006,0)))),"Fix")))</f>
        <v xml:space="preserve"> </v>
      </c>
      <c r="D539" s="3" t="str">
        <f ca="1">IF(OR(INDEX($K$2:$K$1001,MATCH(ROWS($J$2:J539),$J$2:$J$1001,0),1)&gt;=100000,INDEX($Q$1005:$U$1005,1,MATCH(COLUMNS($Q$1006:S1006),$Q$1006:$U$1006,0))&gt;=100000), " ",IF(INDEX($Q$2:$U$1001,MATCH(ROWS($J$2:J539),$J$2:$J$1001,0),MATCH(COLUMNS($Q$1006:S1006),$Q$1006:$U$1006,0)), HYPERLINK("#",""), HYPERLINK(CONCATENATE("#metadata!", ADDRESS(INDEX($L$2:$L$1001,MATCH(ROWS($J$2:J539),$J$2:$J$1001,0),0), INDEX($Q$1004:$U$1004,1,MATCH(COLUMNS($Q$1006:S1006),$Q$1006:$U$1006,0)))),"Fix")))</f>
        <v xml:space="preserve"> </v>
      </c>
      <c r="E539" s="3" t="str">
        <f ca="1">IF(OR(INDEX($K$2:$K$1001,MATCH(ROWS($J$2:J539),$J$2:$J$1001,0),1)&gt;=100000,INDEX($Q$1005:$U$1005,1,MATCH(COLUMNS($Q$1006:T1006),$Q$1006:$U$1006,0))&gt;=100000), " ",IF(INDEX($Q$2:$U$1001,MATCH(ROWS($J$2:J539),$J$2:$J$1001,0),MATCH(COLUMNS($Q$1006:T1006),$Q$1006:$U$1006,0)), HYPERLINK("#",""), HYPERLINK(CONCATENATE("#metadata!", ADDRESS(INDEX($L$2:$L$1001,MATCH(ROWS($J$2:J539),$J$2:$J$1001,0),0), INDEX($Q$1004:$U$1004,1,MATCH(COLUMNS($Q$1006:T1006),$Q$1006:$U$1006,0)))),"Fix")))</f>
        <v xml:space="preserve"> </v>
      </c>
      <c r="F539" s="3" t="str">
        <f ca="1">IF(OR(INDEX($K$2:$K$1001,MATCH(ROWS($J$2:J539),$J$2:$J$1001,0),1)&gt;=100000,INDEX($Q$1005:$U$1005,1,MATCH(COLUMNS($Q$1006:U1006),$Q$1006:$U$1006,0))&gt;=100000), " ",IF(INDEX($Q$2:$U$1001,MATCH(ROWS($J$2:J539),$J$2:$J$1001,0),MATCH(COLUMNS($Q$1006:U1006),$Q$1006:$U$1006,0)), HYPERLINK("#",""), HYPERLINK(CONCATENATE("#metadata!", ADDRESS(INDEX($L$2:$L$1001,MATCH(ROWS($J$2:J539),$J$2:$J$1001,0),0), INDEX($Q$1004:$U$1004,1,MATCH(COLUMNS($Q$1006:U1006),$Q$1006:$U$1006,0)))),"Fix")))</f>
        <v xml:space="preserve"> </v>
      </c>
      <c r="J539">
        <v>538</v>
      </c>
      <c r="K539">
        <v>100539</v>
      </c>
      <c r="L539">
        <v>539</v>
      </c>
      <c r="M539" t="b">
        <f t="shared" si="8"/>
        <v>1</v>
      </c>
      <c r="N539" t="b">
        <f>COUNTBLANK(metadata!B539:F539)=COLUMNS(metadata!B539:F539)</f>
        <v>1</v>
      </c>
      <c r="O539" t="str">
        <v/>
      </c>
      <c r="Q539" t="b">
        <f ca="1">AND(IF(metadata!B539="",FALSE,TRUE),COUNTIF(metadata!B:B, metadata!B539) = 1,NOT(ISERROR(SUMPRODUCT(SEARCH(MID(metadata!B539,ROW(INDIRECT("1:"&amp;LEN(metadata!B539))), 1),"0123456789abcdefghijklmnopqrstuvwxyzABCDEFGHIJKLMNOPQRSTUVWXYZ.")))))</f>
        <v>0</v>
      </c>
      <c r="R539" t="b">
        <f>AND(IF(metadata!C539="",FALSE,TRUE),OR(EXACT(metadata!C539,"saline"),EXACT(metadata!C539,"non-saline")))</f>
        <v>0</v>
      </c>
      <c r="S539" t="b">
        <f>AND(IF(metadata!D539="",FALSE,TRUE),OR(EXACT(metadata!D539,"surface (non-saline)"),EXACT(metadata!D539,"aerosol (non-saline)"),EXACT(metadata!D539,"sediment (non-saline)"),EXACT(metadata!D539,"surface (saline)"),EXACT(metadata!D539,"aerosol (saline)"),EXACT(metadata!D539,"sediment (saline)")))</f>
        <v>0</v>
      </c>
      <c r="T539" t="b">
        <f>AND(IF(metadata!E539="",FALSE,TRUE),EXACT(metadata!E539,"built environment"))</f>
        <v>0</v>
      </c>
      <c r="U539" t="b">
        <f>OR(AND(IF(metadata!F539="",FALSE,TRUE),EXACT(metadata!F539,"not applicable")),AND(IF(metadata!F539="",FALSE,TRUE),EXACT(metadata!F539,"anaerobic digester content")))</f>
        <v>0</v>
      </c>
    </row>
    <row r="540" spans="1:21" x14ac:dyDescent="0.2">
      <c r="A540" s="4" t="str">
        <f ca="1">IF(B540=" "," ",HYPERLINK(CONCATENATE("#metadata!",ADDRESS(INDEX($L$2:$L$1001,MATCH(ROWS($J$2:J540),$J$2:$J$1001,0),0),1)),INDEX($O$2:$O$1001,MATCH(ROWS($J$2:J540),$J$2:$J$1001,0),0)))</f>
        <v xml:space="preserve"> </v>
      </c>
      <c r="B540" s="3" t="str">
        <f ca="1">IF(OR(INDEX($K$2:$K$1001,MATCH(ROWS($J$2:J540),$J$2:$J$1001,0),1)&gt;=100000,INDEX($Q$1005:$U$1005,1,MATCH(COLUMNS($Q$1006:Q1006),$Q$1006:$U$1006,0))&gt;=100000), " ",IF(INDEX($Q$2:$U$1001,MATCH(ROWS($J$2:J540),$J$2:$J$1001,0),MATCH(COLUMNS($Q$1006:Q1006),$Q$1006:$U$1006,0)), HYPERLINK("#",""), HYPERLINK(CONCATENATE("#metadata!", ADDRESS(INDEX($L$2:$L$1001,MATCH(ROWS($J$2:J540),$J$2:$J$1001,0),0), INDEX($Q$1004:$U$1004,1,MATCH(COLUMNS($Q$1006:Q1006),$Q$1006:$U$1006,0)))),"Fix")))</f>
        <v xml:space="preserve"> </v>
      </c>
      <c r="C540" s="3" t="str">
        <f ca="1">IF(OR(INDEX($K$2:$K$1001,MATCH(ROWS($J$2:J540),$J$2:$J$1001,0),1)&gt;=100000,INDEX($Q$1005:$U$1005,1,MATCH(COLUMNS($Q$1006:R1006),$Q$1006:$U$1006,0))&gt;=100000), " ",IF(INDEX($Q$2:$U$1001,MATCH(ROWS($J$2:J540),$J$2:$J$1001,0),MATCH(COLUMNS($Q$1006:R1006),$Q$1006:$U$1006,0)), HYPERLINK("#",""), HYPERLINK(CONCATENATE("#metadata!", ADDRESS(INDEX($L$2:$L$1001,MATCH(ROWS($J$2:J540),$J$2:$J$1001,0),0), INDEX($Q$1004:$U$1004,1,MATCH(COLUMNS($Q$1006:R1006),$Q$1006:$U$1006,0)))),"Fix")))</f>
        <v xml:space="preserve"> </v>
      </c>
      <c r="D540" s="3" t="str">
        <f ca="1">IF(OR(INDEX($K$2:$K$1001,MATCH(ROWS($J$2:J540),$J$2:$J$1001,0),1)&gt;=100000,INDEX($Q$1005:$U$1005,1,MATCH(COLUMNS($Q$1006:S1006),$Q$1006:$U$1006,0))&gt;=100000), " ",IF(INDEX($Q$2:$U$1001,MATCH(ROWS($J$2:J540),$J$2:$J$1001,0),MATCH(COLUMNS($Q$1006:S1006),$Q$1006:$U$1006,0)), HYPERLINK("#",""), HYPERLINK(CONCATENATE("#metadata!", ADDRESS(INDEX($L$2:$L$1001,MATCH(ROWS($J$2:J540),$J$2:$J$1001,0),0), INDEX($Q$1004:$U$1004,1,MATCH(COLUMNS($Q$1006:S1006),$Q$1006:$U$1006,0)))),"Fix")))</f>
        <v xml:space="preserve"> </v>
      </c>
      <c r="E540" s="3" t="str">
        <f ca="1">IF(OR(INDEX($K$2:$K$1001,MATCH(ROWS($J$2:J540),$J$2:$J$1001,0),1)&gt;=100000,INDEX($Q$1005:$U$1005,1,MATCH(COLUMNS($Q$1006:T1006),$Q$1006:$U$1006,0))&gt;=100000), " ",IF(INDEX($Q$2:$U$1001,MATCH(ROWS($J$2:J540),$J$2:$J$1001,0),MATCH(COLUMNS($Q$1006:T1006),$Q$1006:$U$1006,0)), HYPERLINK("#",""), HYPERLINK(CONCATENATE("#metadata!", ADDRESS(INDEX($L$2:$L$1001,MATCH(ROWS($J$2:J540),$J$2:$J$1001,0),0), INDEX($Q$1004:$U$1004,1,MATCH(COLUMNS($Q$1006:T1006),$Q$1006:$U$1006,0)))),"Fix")))</f>
        <v xml:space="preserve"> </v>
      </c>
      <c r="F540" s="3" t="str">
        <f ca="1">IF(OR(INDEX($K$2:$K$1001,MATCH(ROWS($J$2:J540),$J$2:$J$1001,0),1)&gt;=100000,INDEX($Q$1005:$U$1005,1,MATCH(COLUMNS($Q$1006:U1006),$Q$1006:$U$1006,0))&gt;=100000), " ",IF(INDEX($Q$2:$U$1001,MATCH(ROWS($J$2:J540),$J$2:$J$1001,0),MATCH(COLUMNS($Q$1006:U1006),$Q$1006:$U$1006,0)), HYPERLINK("#",""), HYPERLINK(CONCATENATE("#metadata!", ADDRESS(INDEX($L$2:$L$1001,MATCH(ROWS($J$2:J540),$J$2:$J$1001,0),0), INDEX($Q$1004:$U$1004,1,MATCH(COLUMNS($Q$1006:U1006),$Q$1006:$U$1006,0)))),"Fix")))</f>
        <v xml:space="preserve"> </v>
      </c>
      <c r="J540">
        <v>539</v>
      </c>
      <c r="K540">
        <v>100540</v>
      </c>
      <c r="L540">
        <v>540</v>
      </c>
      <c r="M540" t="b">
        <f t="shared" si="8"/>
        <v>1</v>
      </c>
      <c r="N540" t="b">
        <f>COUNTBLANK(metadata!B540:F540)=COLUMNS(metadata!B540:F540)</f>
        <v>1</v>
      </c>
      <c r="O540" t="str">
        <v/>
      </c>
      <c r="Q540" t="b">
        <f ca="1">AND(IF(metadata!B540="",FALSE,TRUE),COUNTIF(metadata!B:B, metadata!B540) = 1,NOT(ISERROR(SUMPRODUCT(SEARCH(MID(metadata!B540,ROW(INDIRECT("1:"&amp;LEN(metadata!B540))), 1),"0123456789abcdefghijklmnopqrstuvwxyzABCDEFGHIJKLMNOPQRSTUVWXYZ.")))))</f>
        <v>0</v>
      </c>
      <c r="R540" t="b">
        <f>AND(IF(metadata!C540="",FALSE,TRUE),OR(EXACT(metadata!C540,"saline"),EXACT(metadata!C540,"non-saline")))</f>
        <v>0</v>
      </c>
      <c r="S540" t="b">
        <f>AND(IF(metadata!D540="",FALSE,TRUE),OR(EXACT(metadata!D540,"surface (non-saline)"),EXACT(metadata!D540,"aerosol (non-saline)"),EXACT(metadata!D540,"sediment (non-saline)"),EXACT(metadata!D540,"surface (saline)"),EXACT(metadata!D540,"aerosol (saline)"),EXACT(metadata!D540,"sediment (saline)")))</f>
        <v>0</v>
      </c>
      <c r="T540" t="b">
        <f>AND(IF(metadata!E540="",FALSE,TRUE),EXACT(metadata!E540,"built environment"))</f>
        <v>0</v>
      </c>
      <c r="U540" t="b">
        <f>OR(AND(IF(metadata!F540="",FALSE,TRUE),EXACT(metadata!F540,"not applicable")),AND(IF(metadata!F540="",FALSE,TRUE),EXACT(metadata!F540,"anaerobic digester content")))</f>
        <v>0</v>
      </c>
    </row>
    <row r="541" spans="1:21" x14ac:dyDescent="0.2">
      <c r="A541" s="4" t="str">
        <f ca="1">IF(B541=" "," ",HYPERLINK(CONCATENATE("#metadata!",ADDRESS(INDEX($L$2:$L$1001,MATCH(ROWS($J$2:J541),$J$2:$J$1001,0),0),1)),INDEX($O$2:$O$1001,MATCH(ROWS($J$2:J541),$J$2:$J$1001,0),0)))</f>
        <v xml:space="preserve"> </v>
      </c>
      <c r="B541" s="3" t="str">
        <f ca="1">IF(OR(INDEX($K$2:$K$1001,MATCH(ROWS($J$2:J541),$J$2:$J$1001,0),1)&gt;=100000,INDEX($Q$1005:$U$1005,1,MATCH(COLUMNS($Q$1006:Q1006),$Q$1006:$U$1006,0))&gt;=100000), " ",IF(INDEX($Q$2:$U$1001,MATCH(ROWS($J$2:J541),$J$2:$J$1001,0),MATCH(COLUMNS($Q$1006:Q1006),$Q$1006:$U$1006,0)), HYPERLINK("#",""), HYPERLINK(CONCATENATE("#metadata!", ADDRESS(INDEX($L$2:$L$1001,MATCH(ROWS($J$2:J541),$J$2:$J$1001,0),0), INDEX($Q$1004:$U$1004,1,MATCH(COLUMNS($Q$1006:Q1006),$Q$1006:$U$1006,0)))),"Fix")))</f>
        <v xml:space="preserve"> </v>
      </c>
      <c r="C541" s="3" t="str">
        <f ca="1">IF(OR(INDEX($K$2:$K$1001,MATCH(ROWS($J$2:J541),$J$2:$J$1001,0),1)&gt;=100000,INDEX($Q$1005:$U$1005,1,MATCH(COLUMNS($Q$1006:R1006),$Q$1006:$U$1006,0))&gt;=100000), " ",IF(INDEX($Q$2:$U$1001,MATCH(ROWS($J$2:J541),$J$2:$J$1001,0),MATCH(COLUMNS($Q$1006:R1006),$Q$1006:$U$1006,0)), HYPERLINK("#",""), HYPERLINK(CONCATENATE("#metadata!", ADDRESS(INDEX($L$2:$L$1001,MATCH(ROWS($J$2:J541),$J$2:$J$1001,0),0), INDEX($Q$1004:$U$1004,1,MATCH(COLUMNS($Q$1006:R1006),$Q$1006:$U$1006,0)))),"Fix")))</f>
        <v xml:space="preserve"> </v>
      </c>
      <c r="D541" s="3" t="str">
        <f ca="1">IF(OR(INDEX($K$2:$K$1001,MATCH(ROWS($J$2:J541),$J$2:$J$1001,0),1)&gt;=100000,INDEX($Q$1005:$U$1005,1,MATCH(COLUMNS($Q$1006:S1006),$Q$1006:$U$1006,0))&gt;=100000), " ",IF(INDEX($Q$2:$U$1001,MATCH(ROWS($J$2:J541),$J$2:$J$1001,0),MATCH(COLUMNS($Q$1006:S1006),$Q$1006:$U$1006,0)), HYPERLINK("#",""), HYPERLINK(CONCATENATE("#metadata!", ADDRESS(INDEX($L$2:$L$1001,MATCH(ROWS($J$2:J541),$J$2:$J$1001,0),0), INDEX($Q$1004:$U$1004,1,MATCH(COLUMNS($Q$1006:S1006),$Q$1006:$U$1006,0)))),"Fix")))</f>
        <v xml:space="preserve"> </v>
      </c>
      <c r="E541" s="3" t="str">
        <f ca="1">IF(OR(INDEX($K$2:$K$1001,MATCH(ROWS($J$2:J541),$J$2:$J$1001,0),1)&gt;=100000,INDEX($Q$1005:$U$1005,1,MATCH(COLUMNS($Q$1006:T1006),$Q$1006:$U$1006,0))&gt;=100000), " ",IF(INDEX($Q$2:$U$1001,MATCH(ROWS($J$2:J541),$J$2:$J$1001,0),MATCH(COLUMNS($Q$1006:T1006),$Q$1006:$U$1006,0)), HYPERLINK("#",""), HYPERLINK(CONCATENATE("#metadata!", ADDRESS(INDEX($L$2:$L$1001,MATCH(ROWS($J$2:J541),$J$2:$J$1001,0),0), INDEX($Q$1004:$U$1004,1,MATCH(COLUMNS($Q$1006:T1006),$Q$1006:$U$1006,0)))),"Fix")))</f>
        <v xml:space="preserve"> </v>
      </c>
      <c r="F541" s="3" t="str">
        <f ca="1">IF(OR(INDEX($K$2:$K$1001,MATCH(ROWS($J$2:J541),$J$2:$J$1001,0),1)&gt;=100000,INDEX($Q$1005:$U$1005,1,MATCH(COLUMNS($Q$1006:U1006),$Q$1006:$U$1006,0))&gt;=100000), " ",IF(INDEX($Q$2:$U$1001,MATCH(ROWS($J$2:J541),$J$2:$J$1001,0),MATCH(COLUMNS($Q$1006:U1006),$Q$1006:$U$1006,0)), HYPERLINK("#",""), HYPERLINK(CONCATENATE("#metadata!", ADDRESS(INDEX($L$2:$L$1001,MATCH(ROWS($J$2:J541),$J$2:$J$1001,0),0), INDEX($Q$1004:$U$1004,1,MATCH(COLUMNS($Q$1006:U1006),$Q$1006:$U$1006,0)))),"Fix")))</f>
        <v xml:space="preserve"> </v>
      </c>
      <c r="J541">
        <v>540</v>
      </c>
      <c r="K541">
        <v>100541</v>
      </c>
      <c r="L541">
        <v>541</v>
      </c>
      <c r="M541" t="b">
        <f t="shared" si="8"/>
        <v>1</v>
      </c>
      <c r="N541" t="b">
        <f>COUNTBLANK(metadata!B541:F541)=COLUMNS(metadata!B541:F541)</f>
        <v>1</v>
      </c>
      <c r="O541" t="str">
        <v/>
      </c>
      <c r="Q541" t="b">
        <f ca="1">AND(IF(metadata!B541="",FALSE,TRUE),COUNTIF(metadata!B:B, metadata!B541) = 1,NOT(ISERROR(SUMPRODUCT(SEARCH(MID(metadata!B541,ROW(INDIRECT("1:"&amp;LEN(metadata!B541))), 1),"0123456789abcdefghijklmnopqrstuvwxyzABCDEFGHIJKLMNOPQRSTUVWXYZ.")))))</f>
        <v>0</v>
      </c>
      <c r="R541" t="b">
        <f>AND(IF(metadata!C541="",FALSE,TRUE),OR(EXACT(metadata!C541,"saline"),EXACT(metadata!C541,"non-saline")))</f>
        <v>0</v>
      </c>
      <c r="S541" t="b">
        <f>AND(IF(metadata!D541="",FALSE,TRUE),OR(EXACT(metadata!D541,"surface (non-saline)"),EXACT(metadata!D541,"aerosol (non-saline)"),EXACT(metadata!D541,"sediment (non-saline)"),EXACT(metadata!D541,"surface (saline)"),EXACT(metadata!D541,"aerosol (saline)"),EXACT(metadata!D541,"sediment (saline)")))</f>
        <v>0</v>
      </c>
      <c r="T541" t="b">
        <f>AND(IF(metadata!E541="",FALSE,TRUE),EXACT(metadata!E541,"built environment"))</f>
        <v>0</v>
      </c>
      <c r="U541" t="b">
        <f>OR(AND(IF(metadata!F541="",FALSE,TRUE),EXACT(metadata!F541,"not applicable")),AND(IF(metadata!F541="",FALSE,TRUE),EXACT(metadata!F541,"anaerobic digester content")))</f>
        <v>0</v>
      </c>
    </row>
    <row r="542" spans="1:21" x14ac:dyDescent="0.2">
      <c r="A542" s="4" t="str">
        <f ca="1">IF(B542=" "," ",HYPERLINK(CONCATENATE("#metadata!",ADDRESS(INDEX($L$2:$L$1001,MATCH(ROWS($J$2:J542),$J$2:$J$1001,0),0),1)),INDEX($O$2:$O$1001,MATCH(ROWS($J$2:J542),$J$2:$J$1001,0),0)))</f>
        <v xml:space="preserve"> </v>
      </c>
      <c r="B542" s="3" t="str">
        <f ca="1">IF(OR(INDEX($K$2:$K$1001,MATCH(ROWS($J$2:J542),$J$2:$J$1001,0),1)&gt;=100000,INDEX($Q$1005:$U$1005,1,MATCH(COLUMNS($Q$1006:Q1006),$Q$1006:$U$1006,0))&gt;=100000), " ",IF(INDEX($Q$2:$U$1001,MATCH(ROWS($J$2:J542),$J$2:$J$1001,0),MATCH(COLUMNS($Q$1006:Q1006),$Q$1006:$U$1006,0)), HYPERLINK("#",""), HYPERLINK(CONCATENATE("#metadata!", ADDRESS(INDEX($L$2:$L$1001,MATCH(ROWS($J$2:J542),$J$2:$J$1001,0),0), INDEX($Q$1004:$U$1004,1,MATCH(COLUMNS($Q$1006:Q1006),$Q$1006:$U$1006,0)))),"Fix")))</f>
        <v xml:space="preserve"> </v>
      </c>
      <c r="C542" s="3" t="str">
        <f ca="1">IF(OR(INDEX($K$2:$K$1001,MATCH(ROWS($J$2:J542),$J$2:$J$1001,0),1)&gt;=100000,INDEX($Q$1005:$U$1005,1,MATCH(COLUMNS($Q$1006:R1006),$Q$1006:$U$1006,0))&gt;=100000), " ",IF(INDEX($Q$2:$U$1001,MATCH(ROWS($J$2:J542),$J$2:$J$1001,0),MATCH(COLUMNS($Q$1006:R1006),$Q$1006:$U$1006,0)), HYPERLINK("#",""), HYPERLINK(CONCATENATE("#metadata!", ADDRESS(INDEX($L$2:$L$1001,MATCH(ROWS($J$2:J542),$J$2:$J$1001,0),0), INDEX($Q$1004:$U$1004,1,MATCH(COLUMNS($Q$1006:R1006),$Q$1006:$U$1006,0)))),"Fix")))</f>
        <v xml:space="preserve"> </v>
      </c>
      <c r="D542" s="3" t="str">
        <f ca="1">IF(OR(INDEX($K$2:$K$1001,MATCH(ROWS($J$2:J542),$J$2:$J$1001,0),1)&gt;=100000,INDEX($Q$1005:$U$1005,1,MATCH(COLUMNS($Q$1006:S1006),$Q$1006:$U$1006,0))&gt;=100000), " ",IF(INDEX($Q$2:$U$1001,MATCH(ROWS($J$2:J542),$J$2:$J$1001,0),MATCH(COLUMNS($Q$1006:S1006),$Q$1006:$U$1006,0)), HYPERLINK("#",""), HYPERLINK(CONCATENATE("#metadata!", ADDRESS(INDEX($L$2:$L$1001,MATCH(ROWS($J$2:J542),$J$2:$J$1001,0),0), INDEX($Q$1004:$U$1004,1,MATCH(COLUMNS($Q$1006:S1006),$Q$1006:$U$1006,0)))),"Fix")))</f>
        <v xml:space="preserve"> </v>
      </c>
      <c r="E542" s="3" t="str">
        <f ca="1">IF(OR(INDEX($K$2:$K$1001,MATCH(ROWS($J$2:J542),$J$2:$J$1001,0),1)&gt;=100000,INDEX($Q$1005:$U$1005,1,MATCH(COLUMNS($Q$1006:T1006),$Q$1006:$U$1006,0))&gt;=100000), " ",IF(INDEX($Q$2:$U$1001,MATCH(ROWS($J$2:J542),$J$2:$J$1001,0),MATCH(COLUMNS($Q$1006:T1006),$Q$1006:$U$1006,0)), HYPERLINK("#",""), HYPERLINK(CONCATENATE("#metadata!", ADDRESS(INDEX($L$2:$L$1001,MATCH(ROWS($J$2:J542),$J$2:$J$1001,0),0), INDEX($Q$1004:$U$1004,1,MATCH(COLUMNS($Q$1006:T1006),$Q$1006:$U$1006,0)))),"Fix")))</f>
        <v xml:space="preserve"> </v>
      </c>
      <c r="F542" s="3" t="str">
        <f ca="1">IF(OR(INDEX($K$2:$K$1001,MATCH(ROWS($J$2:J542),$J$2:$J$1001,0),1)&gt;=100000,INDEX($Q$1005:$U$1005,1,MATCH(COLUMNS($Q$1006:U1006),$Q$1006:$U$1006,0))&gt;=100000), " ",IF(INDEX($Q$2:$U$1001,MATCH(ROWS($J$2:J542),$J$2:$J$1001,0),MATCH(COLUMNS($Q$1006:U1006),$Q$1006:$U$1006,0)), HYPERLINK("#",""), HYPERLINK(CONCATENATE("#metadata!", ADDRESS(INDEX($L$2:$L$1001,MATCH(ROWS($J$2:J542),$J$2:$J$1001,0),0), INDEX($Q$1004:$U$1004,1,MATCH(COLUMNS($Q$1006:U1006),$Q$1006:$U$1006,0)))),"Fix")))</f>
        <v xml:space="preserve"> </v>
      </c>
      <c r="J542">
        <v>541</v>
      </c>
      <c r="K542">
        <v>100542</v>
      </c>
      <c r="L542">
        <v>542</v>
      </c>
      <c r="M542" t="b">
        <f t="shared" si="8"/>
        <v>1</v>
      </c>
      <c r="N542" t="b">
        <f>COUNTBLANK(metadata!B542:F542)=COLUMNS(metadata!B542:F542)</f>
        <v>1</v>
      </c>
      <c r="O542" t="str">
        <v/>
      </c>
      <c r="Q542" t="b">
        <f ca="1">AND(IF(metadata!B542="",FALSE,TRUE),COUNTIF(metadata!B:B, metadata!B542) = 1,NOT(ISERROR(SUMPRODUCT(SEARCH(MID(metadata!B542,ROW(INDIRECT("1:"&amp;LEN(metadata!B542))), 1),"0123456789abcdefghijklmnopqrstuvwxyzABCDEFGHIJKLMNOPQRSTUVWXYZ.")))))</f>
        <v>0</v>
      </c>
      <c r="R542" t="b">
        <f>AND(IF(metadata!C542="",FALSE,TRUE),OR(EXACT(metadata!C542,"saline"),EXACT(metadata!C542,"non-saline")))</f>
        <v>0</v>
      </c>
      <c r="S542" t="b">
        <f>AND(IF(metadata!D542="",FALSE,TRUE),OR(EXACT(metadata!D542,"surface (non-saline)"),EXACT(metadata!D542,"aerosol (non-saline)"),EXACT(metadata!D542,"sediment (non-saline)"),EXACT(metadata!D542,"surface (saline)"),EXACT(metadata!D542,"aerosol (saline)"),EXACT(metadata!D542,"sediment (saline)")))</f>
        <v>0</v>
      </c>
      <c r="T542" t="b">
        <f>AND(IF(metadata!E542="",FALSE,TRUE),EXACT(metadata!E542,"built environment"))</f>
        <v>0</v>
      </c>
      <c r="U542" t="b">
        <f>OR(AND(IF(metadata!F542="",FALSE,TRUE),EXACT(metadata!F542,"not applicable")),AND(IF(metadata!F542="",FALSE,TRUE),EXACT(metadata!F542,"anaerobic digester content")))</f>
        <v>0</v>
      </c>
    </row>
    <row r="543" spans="1:21" x14ac:dyDescent="0.2">
      <c r="A543" s="4" t="str">
        <f ca="1">IF(B543=" "," ",HYPERLINK(CONCATENATE("#metadata!",ADDRESS(INDEX($L$2:$L$1001,MATCH(ROWS($J$2:J543),$J$2:$J$1001,0),0),1)),INDEX($O$2:$O$1001,MATCH(ROWS($J$2:J543),$J$2:$J$1001,0),0)))</f>
        <v xml:space="preserve"> </v>
      </c>
      <c r="B543" s="3" t="str">
        <f ca="1">IF(OR(INDEX($K$2:$K$1001,MATCH(ROWS($J$2:J543),$J$2:$J$1001,0),1)&gt;=100000,INDEX($Q$1005:$U$1005,1,MATCH(COLUMNS($Q$1006:Q1006),$Q$1006:$U$1006,0))&gt;=100000), " ",IF(INDEX($Q$2:$U$1001,MATCH(ROWS($J$2:J543),$J$2:$J$1001,0),MATCH(COLUMNS($Q$1006:Q1006),$Q$1006:$U$1006,0)), HYPERLINK("#",""), HYPERLINK(CONCATENATE("#metadata!", ADDRESS(INDEX($L$2:$L$1001,MATCH(ROWS($J$2:J543),$J$2:$J$1001,0),0), INDEX($Q$1004:$U$1004,1,MATCH(COLUMNS($Q$1006:Q1006),$Q$1006:$U$1006,0)))),"Fix")))</f>
        <v xml:space="preserve"> </v>
      </c>
      <c r="C543" s="3" t="str">
        <f ca="1">IF(OR(INDEX($K$2:$K$1001,MATCH(ROWS($J$2:J543),$J$2:$J$1001,0),1)&gt;=100000,INDEX($Q$1005:$U$1005,1,MATCH(COLUMNS($Q$1006:R1006),$Q$1006:$U$1006,0))&gt;=100000), " ",IF(INDEX($Q$2:$U$1001,MATCH(ROWS($J$2:J543),$J$2:$J$1001,0),MATCH(COLUMNS($Q$1006:R1006),$Q$1006:$U$1006,0)), HYPERLINK("#",""), HYPERLINK(CONCATENATE("#metadata!", ADDRESS(INDEX($L$2:$L$1001,MATCH(ROWS($J$2:J543),$J$2:$J$1001,0),0), INDEX($Q$1004:$U$1004,1,MATCH(COLUMNS($Q$1006:R1006),$Q$1006:$U$1006,0)))),"Fix")))</f>
        <v xml:space="preserve"> </v>
      </c>
      <c r="D543" s="3" t="str">
        <f ca="1">IF(OR(INDEX($K$2:$K$1001,MATCH(ROWS($J$2:J543),$J$2:$J$1001,0),1)&gt;=100000,INDEX($Q$1005:$U$1005,1,MATCH(COLUMNS($Q$1006:S1006),$Q$1006:$U$1006,0))&gt;=100000), " ",IF(INDEX($Q$2:$U$1001,MATCH(ROWS($J$2:J543),$J$2:$J$1001,0),MATCH(COLUMNS($Q$1006:S1006),$Q$1006:$U$1006,0)), HYPERLINK("#",""), HYPERLINK(CONCATENATE("#metadata!", ADDRESS(INDEX($L$2:$L$1001,MATCH(ROWS($J$2:J543),$J$2:$J$1001,0),0), INDEX($Q$1004:$U$1004,1,MATCH(COLUMNS($Q$1006:S1006),$Q$1006:$U$1006,0)))),"Fix")))</f>
        <v xml:space="preserve"> </v>
      </c>
      <c r="E543" s="3" t="str">
        <f ca="1">IF(OR(INDEX($K$2:$K$1001,MATCH(ROWS($J$2:J543),$J$2:$J$1001,0),1)&gt;=100000,INDEX($Q$1005:$U$1005,1,MATCH(COLUMNS($Q$1006:T1006),$Q$1006:$U$1006,0))&gt;=100000), " ",IF(INDEX($Q$2:$U$1001,MATCH(ROWS($J$2:J543),$J$2:$J$1001,0),MATCH(COLUMNS($Q$1006:T1006),$Q$1006:$U$1006,0)), HYPERLINK("#",""), HYPERLINK(CONCATENATE("#metadata!", ADDRESS(INDEX($L$2:$L$1001,MATCH(ROWS($J$2:J543),$J$2:$J$1001,0),0), INDEX($Q$1004:$U$1004,1,MATCH(COLUMNS($Q$1006:T1006),$Q$1006:$U$1006,0)))),"Fix")))</f>
        <v xml:space="preserve"> </v>
      </c>
      <c r="F543" s="3" t="str">
        <f ca="1">IF(OR(INDEX($K$2:$K$1001,MATCH(ROWS($J$2:J543),$J$2:$J$1001,0),1)&gt;=100000,INDEX($Q$1005:$U$1005,1,MATCH(COLUMNS($Q$1006:U1006),$Q$1006:$U$1006,0))&gt;=100000), " ",IF(INDEX($Q$2:$U$1001,MATCH(ROWS($J$2:J543),$J$2:$J$1001,0),MATCH(COLUMNS($Q$1006:U1006),$Q$1006:$U$1006,0)), HYPERLINK("#",""), HYPERLINK(CONCATENATE("#metadata!", ADDRESS(INDEX($L$2:$L$1001,MATCH(ROWS($J$2:J543),$J$2:$J$1001,0),0), INDEX($Q$1004:$U$1004,1,MATCH(COLUMNS($Q$1006:U1006),$Q$1006:$U$1006,0)))),"Fix")))</f>
        <v xml:space="preserve"> </v>
      </c>
      <c r="J543">
        <v>542</v>
      </c>
      <c r="K543">
        <v>100543</v>
      </c>
      <c r="L543">
        <v>543</v>
      </c>
      <c r="M543" t="b">
        <f t="shared" si="8"/>
        <v>1</v>
      </c>
      <c r="N543" t="b">
        <f>COUNTBLANK(metadata!B543:F543)=COLUMNS(metadata!B543:F543)</f>
        <v>1</v>
      </c>
      <c r="O543" t="str">
        <v/>
      </c>
      <c r="Q543" t="b">
        <f ca="1">AND(IF(metadata!B543="",FALSE,TRUE),COUNTIF(metadata!B:B, metadata!B543) = 1,NOT(ISERROR(SUMPRODUCT(SEARCH(MID(metadata!B543,ROW(INDIRECT("1:"&amp;LEN(metadata!B543))), 1),"0123456789abcdefghijklmnopqrstuvwxyzABCDEFGHIJKLMNOPQRSTUVWXYZ.")))))</f>
        <v>0</v>
      </c>
      <c r="R543" t="b">
        <f>AND(IF(metadata!C543="",FALSE,TRUE),OR(EXACT(metadata!C543,"saline"),EXACT(metadata!C543,"non-saline")))</f>
        <v>0</v>
      </c>
      <c r="S543" t="b">
        <f>AND(IF(metadata!D543="",FALSE,TRUE),OR(EXACT(metadata!D543,"surface (non-saline)"),EXACT(metadata!D543,"aerosol (non-saline)"),EXACT(metadata!D543,"sediment (non-saline)"),EXACT(metadata!D543,"surface (saline)"),EXACT(metadata!D543,"aerosol (saline)"),EXACT(metadata!D543,"sediment (saline)")))</f>
        <v>0</v>
      </c>
      <c r="T543" t="b">
        <f>AND(IF(metadata!E543="",FALSE,TRUE),EXACT(metadata!E543,"built environment"))</f>
        <v>0</v>
      </c>
      <c r="U543" t="b">
        <f>OR(AND(IF(metadata!F543="",FALSE,TRUE),EXACT(metadata!F543,"not applicable")),AND(IF(metadata!F543="",FALSE,TRUE),EXACT(metadata!F543,"anaerobic digester content")))</f>
        <v>0</v>
      </c>
    </row>
    <row r="544" spans="1:21" x14ac:dyDescent="0.2">
      <c r="A544" s="4" t="str">
        <f ca="1">IF(B544=" "," ",HYPERLINK(CONCATENATE("#metadata!",ADDRESS(INDEX($L$2:$L$1001,MATCH(ROWS($J$2:J544),$J$2:$J$1001,0),0),1)),INDEX($O$2:$O$1001,MATCH(ROWS($J$2:J544),$J$2:$J$1001,0),0)))</f>
        <v xml:space="preserve"> </v>
      </c>
      <c r="B544" s="3" t="str">
        <f ca="1">IF(OR(INDEX($K$2:$K$1001,MATCH(ROWS($J$2:J544),$J$2:$J$1001,0),1)&gt;=100000,INDEX($Q$1005:$U$1005,1,MATCH(COLUMNS($Q$1006:Q1006),$Q$1006:$U$1006,0))&gt;=100000), " ",IF(INDEX($Q$2:$U$1001,MATCH(ROWS($J$2:J544),$J$2:$J$1001,0),MATCH(COLUMNS($Q$1006:Q1006),$Q$1006:$U$1006,0)), HYPERLINK("#",""), HYPERLINK(CONCATENATE("#metadata!", ADDRESS(INDEX($L$2:$L$1001,MATCH(ROWS($J$2:J544),$J$2:$J$1001,0),0), INDEX($Q$1004:$U$1004,1,MATCH(COLUMNS($Q$1006:Q1006),$Q$1006:$U$1006,0)))),"Fix")))</f>
        <v xml:space="preserve"> </v>
      </c>
      <c r="C544" s="3" t="str">
        <f ca="1">IF(OR(INDEX($K$2:$K$1001,MATCH(ROWS($J$2:J544),$J$2:$J$1001,0),1)&gt;=100000,INDEX($Q$1005:$U$1005,1,MATCH(COLUMNS($Q$1006:R1006),$Q$1006:$U$1006,0))&gt;=100000), " ",IF(INDEX($Q$2:$U$1001,MATCH(ROWS($J$2:J544),$J$2:$J$1001,0),MATCH(COLUMNS($Q$1006:R1006),$Q$1006:$U$1006,0)), HYPERLINK("#",""), HYPERLINK(CONCATENATE("#metadata!", ADDRESS(INDEX($L$2:$L$1001,MATCH(ROWS($J$2:J544),$J$2:$J$1001,0),0), INDEX($Q$1004:$U$1004,1,MATCH(COLUMNS($Q$1006:R1006),$Q$1006:$U$1006,0)))),"Fix")))</f>
        <v xml:space="preserve"> </v>
      </c>
      <c r="D544" s="3" t="str">
        <f ca="1">IF(OR(INDEX($K$2:$K$1001,MATCH(ROWS($J$2:J544),$J$2:$J$1001,0),1)&gt;=100000,INDEX($Q$1005:$U$1005,1,MATCH(COLUMNS($Q$1006:S1006),$Q$1006:$U$1006,0))&gt;=100000), " ",IF(INDEX($Q$2:$U$1001,MATCH(ROWS($J$2:J544),$J$2:$J$1001,0),MATCH(COLUMNS($Q$1006:S1006),$Q$1006:$U$1006,0)), HYPERLINK("#",""), HYPERLINK(CONCATENATE("#metadata!", ADDRESS(INDEX($L$2:$L$1001,MATCH(ROWS($J$2:J544),$J$2:$J$1001,0),0), INDEX($Q$1004:$U$1004,1,MATCH(COLUMNS($Q$1006:S1006),$Q$1006:$U$1006,0)))),"Fix")))</f>
        <v xml:space="preserve"> </v>
      </c>
      <c r="E544" s="3" t="str">
        <f ca="1">IF(OR(INDEX($K$2:$K$1001,MATCH(ROWS($J$2:J544),$J$2:$J$1001,0),1)&gt;=100000,INDEX($Q$1005:$U$1005,1,MATCH(COLUMNS($Q$1006:T1006),$Q$1006:$U$1006,0))&gt;=100000), " ",IF(INDEX($Q$2:$U$1001,MATCH(ROWS($J$2:J544),$J$2:$J$1001,0),MATCH(COLUMNS($Q$1006:T1006),$Q$1006:$U$1006,0)), HYPERLINK("#",""), HYPERLINK(CONCATENATE("#metadata!", ADDRESS(INDEX($L$2:$L$1001,MATCH(ROWS($J$2:J544),$J$2:$J$1001,0),0), INDEX($Q$1004:$U$1004,1,MATCH(COLUMNS($Q$1006:T1006),$Q$1006:$U$1006,0)))),"Fix")))</f>
        <v xml:space="preserve"> </v>
      </c>
      <c r="F544" s="3" t="str">
        <f ca="1">IF(OR(INDEX($K$2:$K$1001,MATCH(ROWS($J$2:J544),$J$2:$J$1001,0),1)&gt;=100000,INDEX($Q$1005:$U$1005,1,MATCH(COLUMNS($Q$1006:U1006),$Q$1006:$U$1006,0))&gt;=100000), " ",IF(INDEX($Q$2:$U$1001,MATCH(ROWS($J$2:J544),$J$2:$J$1001,0),MATCH(COLUMNS($Q$1006:U1006),$Q$1006:$U$1006,0)), HYPERLINK("#",""), HYPERLINK(CONCATENATE("#metadata!", ADDRESS(INDEX($L$2:$L$1001,MATCH(ROWS($J$2:J544),$J$2:$J$1001,0),0), INDEX($Q$1004:$U$1004,1,MATCH(COLUMNS($Q$1006:U1006),$Q$1006:$U$1006,0)))),"Fix")))</f>
        <v xml:space="preserve"> </v>
      </c>
      <c r="J544">
        <v>543</v>
      </c>
      <c r="K544">
        <v>100544</v>
      </c>
      <c r="L544">
        <v>544</v>
      </c>
      <c r="M544" t="b">
        <f t="shared" si="8"/>
        <v>1</v>
      </c>
      <c r="N544" t="b">
        <f>COUNTBLANK(metadata!B544:F544)=COLUMNS(metadata!B544:F544)</f>
        <v>1</v>
      </c>
      <c r="O544" t="str">
        <v/>
      </c>
      <c r="Q544" t="b">
        <f ca="1">AND(IF(metadata!B544="",FALSE,TRUE),COUNTIF(metadata!B:B, metadata!B544) = 1,NOT(ISERROR(SUMPRODUCT(SEARCH(MID(metadata!B544,ROW(INDIRECT("1:"&amp;LEN(metadata!B544))), 1),"0123456789abcdefghijklmnopqrstuvwxyzABCDEFGHIJKLMNOPQRSTUVWXYZ.")))))</f>
        <v>0</v>
      </c>
      <c r="R544" t="b">
        <f>AND(IF(metadata!C544="",FALSE,TRUE),OR(EXACT(metadata!C544,"saline"),EXACT(metadata!C544,"non-saline")))</f>
        <v>0</v>
      </c>
      <c r="S544" t="b">
        <f>AND(IF(metadata!D544="",FALSE,TRUE),OR(EXACT(metadata!D544,"surface (non-saline)"),EXACT(metadata!D544,"aerosol (non-saline)"),EXACT(metadata!D544,"sediment (non-saline)"),EXACT(metadata!D544,"surface (saline)"),EXACT(metadata!D544,"aerosol (saline)"),EXACT(metadata!D544,"sediment (saline)")))</f>
        <v>0</v>
      </c>
      <c r="T544" t="b">
        <f>AND(IF(metadata!E544="",FALSE,TRUE),EXACT(metadata!E544,"built environment"))</f>
        <v>0</v>
      </c>
      <c r="U544" t="b">
        <f>OR(AND(IF(metadata!F544="",FALSE,TRUE),EXACT(metadata!F544,"not applicable")),AND(IF(metadata!F544="",FALSE,TRUE),EXACT(metadata!F544,"anaerobic digester content")))</f>
        <v>0</v>
      </c>
    </row>
    <row r="545" spans="1:21" x14ac:dyDescent="0.2">
      <c r="A545" s="4" t="str">
        <f ca="1">IF(B545=" "," ",HYPERLINK(CONCATENATE("#metadata!",ADDRESS(INDEX($L$2:$L$1001,MATCH(ROWS($J$2:J545),$J$2:$J$1001,0),0),1)),INDEX($O$2:$O$1001,MATCH(ROWS($J$2:J545),$J$2:$J$1001,0),0)))</f>
        <v xml:space="preserve"> </v>
      </c>
      <c r="B545" s="3" t="str">
        <f ca="1">IF(OR(INDEX($K$2:$K$1001,MATCH(ROWS($J$2:J545),$J$2:$J$1001,0),1)&gt;=100000,INDEX($Q$1005:$U$1005,1,MATCH(COLUMNS($Q$1006:Q1006),$Q$1006:$U$1006,0))&gt;=100000), " ",IF(INDEX($Q$2:$U$1001,MATCH(ROWS($J$2:J545),$J$2:$J$1001,0),MATCH(COLUMNS($Q$1006:Q1006),$Q$1006:$U$1006,0)), HYPERLINK("#",""), HYPERLINK(CONCATENATE("#metadata!", ADDRESS(INDEX($L$2:$L$1001,MATCH(ROWS($J$2:J545),$J$2:$J$1001,0),0), INDEX($Q$1004:$U$1004,1,MATCH(COLUMNS($Q$1006:Q1006),$Q$1006:$U$1006,0)))),"Fix")))</f>
        <v xml:space="preserve"> </v>
      </c>
      <c r="C545" s="3" t="str">
        <f ca="1">IF(OR(INDEX($K$2:$K$1001,MATCH(ROWS($J$2:J545),$J$2:$J$1001,0),1)&gt;=100000,INDEX($Q$1005:$U$1005,1,MATCH(COLUMNS($Q$1006:R1006),$Q$1006:$U$1006,0))&gt;=100000), " ",IF(INDEX($Q$2:$U$1001,MATCH(ROWS($J$2:J545),$J$2:$J$1001,0),MATCH(COLUMNS($Q$1006:R1006),$Q$1006:$U$1006,0)), HYPERLINK("#",""), HYPERLINK(CONCATENATE("#metadata!", ADDRESS(INDEX($L$2:$L$1001,MATCH(ROWS($J$2:J545),$J$2:$J$1001,0),0), INDEX($Q$1004:$U$1004,1,MATCH(COLUMNS($Q$1006:R1006),$Q$1006:$U$1006,0)))),"Fix")))</f>
        <v xml:space="preserve"> </v>
      </c>
      <c r="D545" s="3" t="str">
        <f ca="1">IF(OR(INDEX($K$2:$K$1001,MATCH(ROWS($J$2:J545),$J$2:$J$1001,0),1)&gt;=100000,INDEX($Q$1005:$U$1005,1,MATCH(COLUMNS($Q$1006:S1006),$Q$1006:$U$1006,0))&gt;=100000), " ",IF(INDEX($Q$2:$U$1001,MATCH(ROWS($J$2:J545),$J$2:$J$1001,0),MATCH(COLUMNS($Q$1006:S1006),$Q$1006:$U$1006,0)), HYPERLINK("#",""), HYPERLINK(CONCATENATE("#metadata!", ADDRESS(INDEX($L$2:$L$1001,MATCH(ROWS($J$2:J545),$J$2:$J$1001,0),0), INDEX($Q$1004:$U$1004,1,MATCH(COLUMNS($Q$1006:S1006),$Q$1006:$U$1006,0)))),"Fix")))</f>
        <v xml:space="preserve"> </v>
      </c>
      <c r="E545" s="3" t="str">
        <f ca="1">IF(OR(INDEX($K$2:$K$1001,MATCH(ROWS($J$2:J545),$J$2:$J$1001,0),1)&gt;=100000,INDEX($Q$1005:$U$1005,1,MATCH(COLUMNS($Q$1006:T1006),$Q$1006:$U$1006,0))&gt;=100000), " ",IF(INDEX($Q$2:$U$1001,MATCH(ROWS($J$2:J545),$J$2:$J$1001,0),MATCH(COLUMNS($Q$1006:T1006),$Q$1006:$U$1006,0)), HYPERLINK("#",""), HYPERLINK(CONCATENATE("#metadata!", ADDRESS(INDEX($L$2:$L$1001,MATCH(ROWS($J$2:J545),$J$2:$J$1001,0),0), INDEX($Q$1004:$U$1004,1,MATCH(COLUMNS($Q$1006:T1006),$Q$1006:$U$1006,0)))),"Fix")))</f>
        <v xml:space="preserve"> </v>
      </c>
      <c r="F545" s="3" t="str">
        <f ca="1">IF(OR(INDEX($K$2:$K$1001,MATCH(ROWS($J$2:J545),$J$2:$J$1001,0),1)&gt;=100000,INDEX($Q$1005:$U$1005,1,MATCH(COLUMNS($Q$1006:U1006),$Q$1006:$U$1006,0))&gt;=100000), " ",IF(INDEX($Q$2:$U$1001,MATCH(ROWS($J$2:J545),$J$2:$J$1001,0),MATCH(COLUMNS($Q$1006:U1006),$Q$1006:$U$1006,0)), HYPERLINK("#",""), HYPERLINK(CONCATENATE("#metadata!", ADDRESS(INDEX($L$2:$L$1001,MATCH(ROWS($J$2:J545),$J$2:$J$1001,0),0), INDEX($Q$1004:$U$1004,1,MATCH(COLUMNS($Q$1006:U1006),$Q$1006:$U$1006,0)))),"Fix")))</f>
        <v xml:space="preserve"> </v>
      </c>
      <c r="J545">
        <v>544</v>
      </c>
      <c r="K545">
        <v>100545</v>
      </c>
      <c r="L545">
        <v>545</v>
      </c>
      <c r="M545" t="b">
        <f t="shared" si="8"/>
        <v>1</v>
      </c>
      <c r="N545" t="b">
        <f>COUNTBLANK(metadata!B545:F545)=COLUMNS(metadata!B545:F545)</f>
        <v>1</v>
      </c>
      <c r="O545" t="str">
        <v/>
      </c>
      <c r="Q545" t="b">
        <f ca="1">AND(IF(metadata!B545="",FALSE,TRUE),COUNTIF(metadata!B:B, metadata!B545) = 1,NOT(ISERROR(SUMPRODUCT(SEARCH(MID(metadata!B545,ROW(INDIRECT("1:"&amp;LEN(metadata!B545))), 1),"0123456789abcdefghijklmnopqrstuvwxyzABCDEFGHIJKLMNOPQRSTUVWXYZ.")))))</f>
        <v>0</v>
      </c>
      <c r="R545" t="b">
        <f>AND(IF(metadata!C545="",FALSE,TRUE),OR(EXACT(metadata!C545,"saline"),EXACT(metadata!C545,"non-saline")))</f>
        <v>0</v>
      </c>
      <c r="S545" t="b">
        <f>AND(IF(metadata!D545="",FALSE,TRUE),OR(EXACT(metadata!D545,"surface (non-saline)"),EXACT(metadata!D545,"aerosol (non-saline)"),EXACT(metadata!D545,"sediment (non-saline)"),EXACT(metadata!D545,"surface (saline)"),EXACT(metadata!D545,"aerosol (saline)"),EXACT(metadata!D545,"sediment (saline)")))</f>
        <v>0</v>
      </c>
      <c r="T545" t="b">
        <f>AND(IF(metadata!E545="",FALSE,TRUE),EXACT(metadata!E545,"built environment"))</f>
        <v>0</v>
      </c>
      <c r="U545" t="b">
        <f>OR(AND(IF(metadata!F545="",FALSE,TRUE),EXACT(metadata!F545,"not applicable")),AND(IF(metadata!F545="",FALSE,TRUE),EXACT(metadata!F545,"anaerobic digester content")))</f>
        <v>0</v>
      </c>
    </row>
    <row r="546" spans="1:21" x14ac:dyDescent="0.2">
      <c r="A546" s="4" t="str">
        <f ca="1">IF(B546=" "," ",HYPERLINK(CONCATENATE("#metadata!",ADDRESS(INDEX($L$2:$L$1001,MATCH(ROWS($J$2:J546),$J$2:$J$1001,0),0),1)),INDEX($O$2:$O$1001,MATCH(ROWS($J$2:J546),$J$2:$J$1001,0),0)))</f>
        <v xml:space="preserve"> </v>
      </c>
      <c r="B546" s="3" t="str">
        <f ca="1">IF(OR(INDEX($K$2:$K$1001,MATCH(ROWS($J$2:J546),$J$2:$J$1001,0),1)&gt;=100000,INDEX($Q$1005:$U$1005,1,MATCH(COLUMNS($Q$1006:Q1006),$Q$1006:$U$1006,0))&gt;=100000), " ",IF(INDEX($Q$2:$U$1001,MATCH(ROWS($J$2:J546),$J$2:$J$1001,0),MATCH(COLUMNS($Q$1006:Q1006),$Q$1006:$U$1006,0)), HYPERLINK("#",""), HYPERLINK(CONCATENATE("#metadata!", ADDRESS(INDEX($L$2:$L$1001,MATCH(ROWS($J$2:J546),$J$2:$J$1001,0),0), INDEX($Q$1004:$U$1004,1,MATCH(COLUMNS($Q$1006:Q1006),$Q$1006:$U$1006,0)))),"Fix")))</f>
        <v xml:space="preserve"> </v>
      </c>
      <c r="C546" s="3" t="str">
        <f ca="1">IF(OR(INDEX($K$2:$K$1001,MATCH(ROWS($J$2:J546),$J$2:$J$1001,0),1)&gt;=100000,INDEX($Q$1005:$U$1005,1,MATCH(COLUMNS($Q$1006:R1006),$Q$1006:$U$1006,0))&gt;=100000), " ",IF(INDEX($Q$2:$U$1001,MATCH(ROWS($J$2:J546),$J$2:$J$1001,0),MATCH(COLUMNS($Q$1006:R1006),$Q$1006:$U$1006,0)), HYPERLINK("#",""), HYPERLINK(CONCATENATE("#metadata!", ADDRESS(INDEX($L$2:$L$1001,MATCH(ROWS($J$2:J546),$J$2:$J$1001,0),0), INDEX($Q$1004:$U$1004,1,MATCH(COLUMNS($Q$1006:R1006),$Q$1006:$U$1006,0)))),"Fix")))</f>
        <v xml:space="preserve"> </v>
      </c>
      <c r="D546" s="3" t="str">
        <f ca="1">IF(OR(INDEX($K$2:$K$1001,MATCH(ROWS($J$2:J546),$J$2:$J$1001,0),1)&gt;=100000,INDEX($Q$1005:$U$1005,1,MATCH(COLUMNS($Q$1006:S1006),$Q$1006:$U$1006,0))&gt;=100000), " ",IF(INDEX($Q$2:$U$1001,MATCH(ROWS($J$2:J546),$J$2:$J$1001,0),MATCH(COLUMNS($Q$1006:S1006),$Q$1006:$U$1006,0)), HYPERLINK("#",""), HYPERLINK(CONCATENATE("#metadata!", ADDRESS(INDEX($L$2:$L$1001,MATCH(ROWS($J$2:J546),$J$2:$J$1001,0),0), INDEX($Q$1004:$U$1004,1,MATCH(COLUMNS($Q$1006:S1006),$Q$1006:$U$1006,0)))),"Fix")))</f>
        <v xml:space="preserve"> </v>
      </c>
      <c r="E546" s="3" t="str">
        <f ca="1">IF(OR(INDEX($K$2:$K$1001,MATCH(ROWS($J$2:J546),$J$2:$J$1001,0),1)&gt;=100000,INDEX($Q$1005:$U$1005,1,MATCH(COLUMNS($Q$1006:T1006),$Q$1006:$U$1006,0))&gt;=100000), " ",IF(INDEX($Q$2:$U$1001,MATCH(ROWS($J$2:J546),$J$2:$J$1001,0),MATCH(COLUMNS($Q$1006:T1006),$Q$1006:$U$1006,0)), HYPERLINK("#",""), HYPERLINK(CONCATENATE("#metadata!", ADDRESS(INDEX($L$2:$L$1001,MATCH(ROWS($J$2:J546),$J$2:$J$1001,0),0), INDEX($Q$1004:$U$1004,1,MATCH(COLUMNS($Q$1006:T1006),$Q$1006:$U$1006,0)))),"Fix")))</f>
        <v xml:space="preserve"> </v>
      </c>
      <c r="F546" s="3" t="str">
        <f ca="1">IF(OR(INDEX($K$2:$K$1001,MATCH(ROWS($J$2:J546),$J$2:$J$1001,0),1)&gt;=100000,INDEX($Q$1005:$U$1005,1,MATCH(COLUMNS($Q$1006:U1006),$Q$1006:$U$1006,0))&gt;=100000), " ",IF(INDEX($Q$2:$U$1001,MATCH(ROWS($J$2:J546),$J$2:$J$1001,0),MATCH(COLUMNS($Q$1006:U1006),$Q$1006:$U$1006,0)), HYPERLINK("#",""), HYPERLINK(CONCATENATE("#metadata!", ADDRESS(INDEX($L$2:$L$1001,MATCH(ROWS($J$2:J546),$J$2:$J$1001,0),0), INDEX($Q$1004:$U$1004,1,MATCH(COLUMNS($Q$1006:U1006),$Q$1006:$U$1006,0)))),"Fix")))</f>
        <v xml:space="preserve"> </v>
      </c>
      <c r="J546">
        <v>545</v>
      </c>
      <c r="K546">
        <v>100546</v>
      </c>
      <c r="L546">
        <v>546</v>
      </c>
      <c r="M546" t="b">
        <f t="shared" si="8"/>
        <v>1</v>
      </c>
      <c r="N546" t="b">
        <f>COUNTBLANK(metadata!B546:F546)=COLUMNS(metadata!B546:F546)</f>
        <v>1</v>
      </c>
      <c r="O546" t="str">
        <v/>
      </c>
      <c r="Q546" t="b">
        <f ca="1">AND(IF(metadata!B546="",FALSE,TRUE),COUNTIF(metadata!B:B, metadata!B546) = 1,NOT(ISERROR(SUMPRODUCT(SEARCH(MID(metadata!B546,ROW(INDIRECT("1:"&amp;LEN(metadata!B546))), 1),"0123456789abcdefghijklmnopqrstuvwxyzABCDEFGHIJKLMNOPQRSTUVWXYZ.")))))</f>
        <v>0</v>
      </c>
      <c r="R546" t="b">
        <f>AND(IF(metadata!C546="",FALSE,TRUE),OR(EXACT(metadata!C546,"saline"),EXACT(metadata!C546,"non-saline")))</f>
        <v>0</v>
      </c>
      <c r="S546" t="b">
        <f>AND(IF(metadata!D546="",FALSE,TRUE),OR(EXACT(metadata!D546,"surface (non-saline)"),EXACT(metadata!D546,"aerosol (non-saline)"),EXACT(metadata!D546,"sediment (non-saline)"),EXACT(metadata!D546,"surface (saline)"),EXACT(metadata!D546,"aerosol (saline)"),EXACT(metadata!D546,"sediment (saline)")))</f>
        <v>0</v>
      </c>
      <c r="T546" t="b">
        <f>AND(IF(metadata!E546="",FALSE,TRUE),EXACT(metadata!E546,"built environment"))</f>
        <v>0</v>
      </c>
      <c r="U546" t="b">
        <f>OR(AND(IF(metadata!F546="",FALSE,TRUE),EXACT(metadata!F546,"not applicable")),AND(IF(metadata!F546="",FALSE,TRUE),EXACT(metadata!F546,"anaerobic digester content")))</f>
        <v>0</v>
      </c>
    </row>
    <row r="547" spans="1:21" x14ac:dyDescent="0.2">
      <c r="A547" s="4" t="str">
        <f ca="1">IF(B547=" "," ",HYPERLINK(CONCATENATE("#metadata!",ADDRESS(INDEX($L$2:$L$1001,MATCH(ROWS($J$2:J547),$J$2:$J$1001,0),0),1)),INDEX($O$2:$O$1001,MATCH(ROWS($J$2:J547),$J$2:$J$1001,0),0)))</f>
        <v xml:space="preserve"> </v>
      </c>
      <c r="B547" s="3" t="str">
        <f ca="1">IF(OR(INDEX($K$2:$K$1001,MATCH(ROWS($J$2:J547),$J$2:$J$1001,0),1)&gt;=100000,INDEX($Q$1005:$U$1005,1,MATCH(COLUMNS($Q$1006:Q1006),$Q$1006:$U$1006,0))&gt;=100000), " ",IF(INDEX($Q$2:$U$1001,MATCH(ROWS($J$2:J547),$J$2:$J$1001,0),MATCH(COLUMNS($Q$1006:Q1006),$Q$1006:$U$1006,0)), HYPERLINK("#",""), HYPERLINK(CONCATENATE("#metadata!", ADDRESS(INDEX($L$2:$L$1001,MATCH(ROWS($J$2:J547),$J$2:$J$1001,0),0), INDEX($Q$1004:$U$1004,1,MATCH(COLUMNS($Q$1006:Q1006),$Q$1006:$U$1006,0)))),"Fix")))</f>
        <v xml:space="preserve"> </v>
      </c>
      <c r="C547" s="3" t="str">
        <f ca="1">IF(OR(INDEX($K$2:$K$1001,MATCH(ROWS($J$2:J547),$J$2:$J$1001,0),1)&gt;=100000,INDEX($Q$1005:$U$1005,1,MATCH(COLUMNS($Q$1006:R1006),$Q$1006:$U$1006,0))&gt;=100000), " ",IF(INDEX($Q$2:$U$1001,MATCH(ROWS($J$2:J547),$J$2:$J$1001,0),MATCH(COLUMNS($Q$1006:R1006),$Q$1006:$U$1006,0)), HYPERLINK("#",""), HYPERLINK(CONCATENATE("#metadata!", ADDRESS(INDEX($L$2:$L$1001,MATCH(ROWS($J$2:J547),$J$2:$J$1001,0),0), INDEX($Q$1004:$U$1004,1,MATCH(COLUMNS($Q$1006:R1006),$Q$1006:$U$1006,0)))),"Fix")))</f>
        <v xml:space="preserve"> </v>
      </c>
      <c r="D547" s="3" t="str">
        <f ca="1">IF(OR(INDEX($K$2:$K$1001,MATCH(ROWS($J$2:J547),$J$2:$J$1001,0),1)&gt;=100000,INDEX($Q$1005:$U$1005,1,MATCH(COLUMNS($Q$1006:S1006),$Q$1006:$U$1006,0))&gt;=100000), " ",IF(INDEX($Q$2:$U$1001,MATCH(ROWS($J$2:J547),$J$2:$J$1001,0),MATCH(COLUMNS($Q$1006:S1006),$Q$1006:$U$1006,0)), HYPERLINK("#",""), HYPERLINK(CONCATENATE("#metadata!", ADDRESS(INDEX($L$2:$L$1001,MATCH(ROWS($J$2:J547),$J$2:$J$1001,0),0), INDEX($Q$1004:$U$1004,1,MATCH(COLUMNS($Q$1006:S1006),$Q$1006:$U$1006,0)))),"Fix")))</f>
        <v xml:space="preserve"> </v>
      </c>
      <c r="E547" s="3" t="str">
        <f ca="1">IF(OR(INDEX($K$2:$K$1001,MATCH(ROWS($J$2:J547),$J$2:$J$1001,0),1)&gt;=100000,INDEX($Q$1005:$U$1005,1,MATCH(COLUMNS($Q$1006:T1006),$Q$1006:$U$1006,0))&gt;=100000), " ",IF(INDEX($Q$2:$U$1001,MATCH(ROWS($J$2:J547),$J$2:$J$1001,0),MATCH(COLUMNS($Q$1006:T1006),$Q$1006:$U$1006,0)), HYPERLINK("#",""), HYPERLINK(CONCATENATE("#metadata!", ADDRESS(INDEX($L$2:$L$1001,MATCH(ROWS($J$2:J547),$J$2:$J$1001,0),0), INDEX($Q$1004:$U$1004,1,MATCH(COLUMNS($Q$1006:T1006),$Q$1006:$U$1006,0)))),"Fix")))</f>
        <v xml:space="preserve"> </v>
      </c>
      <c r="F547" s="3" t="str">
        <f ca="1">IF(OR(INDEX($K$2:$K$1001,MATCH(ROWS($J$2:J547),$J$2:$J$1001,0),1)&gt;=100000,INDEX($Q$1005:$U$1005,1,MATCH(COLUMNS($Q$1006:U1006),$Q$1006:$U$1006,0))&gt;=100000), " ",IF(INDEX($Q$2:$U$1001,MATCH(ROWS($J$2:J547),$J$2:$J$1001,0),MATCH(COLUMNS($Q$1006:U1006),$Q$1006:$U$1006,0)), HYPERLINK("#",""), HYPERLINK(CONCATENATE("#metadata!", ADDRESS(INDEX($L$2:$L$1001,MATCH(ROWS($J$2:J547),$J$2:$J$1001,0),0), INDEX($Q$1004:$U$1004,1,MATCH(COLUMNS($Q$1006:U1006),$Q$1006:$U$1006,0)))),"Fix")))</f>
        <v xml:space="preserve"> </v>
      </c>
      <c r="J547">
        <v>546</v>
      </c>
      <c r="K547">
        <v>100547</v>
      </c>
      <c r="L547">
        <v>547</v>
      </c>
      <c r="M547" t="b">
        <f t="shared" si="8"/>
        <v>1</v>
      </c>
      <c r="N547" t="b">
        <f>COUNTBLANK(metadata!B547:F547)=COLUMNS(metadata!B547:F547)</f>
        <v>1</v>
      </c>
      <c r="O547" t="str">
        <v/>
      </c>
      <c r="Q547" t="b">
        <f ca="1">AND(IF(metadata!B547="",FALSE,TRUE),COUNTIF(metadata!B:B, metadata!B547) = 1,NOT(ISERROR(SUMPRODUCT(SEARCH(MID(metadata!B547,ROW(INDIRECT("1:"&amp;LEN(metadata!B547))), 1),"0123456789abcdefghijklmnopqrstuvwxyzABCDEFGHIJKLMNOPQRSTUVWXYZ.")))))</f>
        <v>0</v>
      </c>
      <c r="R547" t="b">
        <f>AND(IF(metadata!C547="",FALSE,TRUE),OR(EXACT(metadata!C547,"saline"),EXACT(metadata!C547,"non-saline")))</f>
        <v>0</v>
      </c>
      <c r="S547" t="b">
        <f>AND(IF(metadata!D547="",FALSE,TRUE),OR(EXACT(metadata!D547,"surface (non-saline)"),EXACT(metadata!D547,"aerosol (non-saline)"),EXACT(metadata!D547,"sediment (non-saline)"),EXACT(metadata!D547,"surface (saline)"),EXACT(metadata!D547,"aerosol (saline)"),EXACT(metadata!D547,"sediment (saline)")))</f>
        <v>0</v>
      </c>
      <c r="T547" t="b">
        <f>AND(IF(metadata!E547="",FALSE,TRUE),EXACT(metadata!E547,"built environment"))</f>
        <v>0</v>
      </c>
      <c r="U547" t="b">
        <f>OR(AND(IF(metadata!F547="",FALSE,TRUE),EXACT(metadata!F547,"not applicable")),AND(IF(metadata!F547="",FALSE,TRUE),EXACT(metadata!F547,"anaerobic digester content")))</f>
        <v>0</v>
      </c>
    </row>
    <row r="548" spans="1:21" x14ac:dyDescent="0.2">
      <c r="A548" s="4" t="str">
        <f ca="1">IF(B548=" "," ",HYPERLINK(CONCATENATE("#metadata!",ADDRESS(INDEX($L$2:$L$1001,MATCH(ROWS($J$2:J548),$J$2:$J$1001,0),0),1)),INDEX($O$2:$O$1001,MATCH(ROWS($J$2:J548),$J$2:$J$1001,0),0)))</f>
        <v xml:space="preserve"> </v>
      </c>
      <c r="B548" s="3" t="str">
        <f ca="1">IF(OR(INDEX($K$2:$K$1001,MATCH(ROWS($J$2:J548),$J$2:$J$1001,0),1)&gt;=100000,INDEX($Q$1005:$U$1005,1,MATCH(COLUMNS($Q$1006:Q1006),$Q$1006:$U$1006,0))&gt;=100000), " ",IF(INDEX($Q$2:$U$1001,MATCH(ROWS($J$2:J548),$J$2:$J$1001,0),MATCH(COLUMNS($Q$1006:Q1006),$Q$1006:$U$1006,0)), HYPERLINK("#",""), HYPERLINK(CONCATENATE("#metadata!", ADDRESS(INDEX($L$2:$L$1001,MATCH(ROWS($J$2:J548),$J$2:$J$1001,0),0), INDEX($Q$1004:$U$1004,1,MATCH(COLUMNS($Q$1006:Q1006),$Q$1006:$U$1006,0)))),"Fix")))</f>
        <v xml:space="preserve"> </v>
      </c>
      <c r="C548" s="3" t="str">
        <f ca="1">IF(OR(INDEX($K$2:$K$1001,MATCH(ROWS($J$2:J548),$J$2:$J$1001,0),1)&gt;=100000,INDEX($Q$1005:$U$1005,1,MATCH(COLUMNS($Q$1006:R1006),$Q$1006:$U$1006,0))&gt;=100000), " ",IF(INDEX($Q$2:$U$1001,MATCH(ROWS($J$2:J548),$J$2:$J$1001,0),MATCH(COLUMNS($Q$1006:R1006),$Q$1006:$U$1006,0)), HYPERLINK("#",""), HYPERLINK(CONCATENATE("#metadata!", ADDRESS(INDEX($L$2:$L$1001,MATCH(ROWS($J$2:J548),$J$2:$J$1001,0),0), INDEX($Q$1004:$U$1004,1,MATCH(COLUMNS($Q$1006:R1006),$Q$1006:$U$1006,0)))),"Fix")))</f>
        <v xml:space="preserve"> </v>
      </c>
      <c r="D548" s="3" t="str">
        <f ca="1">IF(OR(INDEX($K$2:$K$1001,MATCH(ROWS($J$2:J548),$J$2:$J$1001,0),1)&gt;=100000,INDEX($Q$1005:$U$1005,1,MATCH(COLUMNS($Q$1006:S1006),$Q$1006:$U$1006,0))&gt;=100000), " ",IF(INDEX($Q$2:$U$1001,MATCH(ROWS($J$2:J548),$J$2:$J$1001,0),MATCH(COLUMNS($Q$1006:S1006),$Q$1006:$U$1006,0)), HYPERLINK("#",""), HYPERLINK(CONCATENATE("#metadata!", ADDRESS(INDEX($L$2:$L$1001,MATCH(ROWS($J$2:J548),$J$2:$J$1001,0),0), INDEX($Q$1004:$U$1004,1,MATCH(COLUMNS($Q$1006:S1006),$Q$1006:$U$1006,0)))),"Fix")))</f>
        <v xml:space="preserve"> </v>
      </c>
      <c r="E548" s="3" t="str">
        <f ca="1">IF(OR(INDEX($K$2:$K$1001,MATCH(ROWS($J$2:J548),$J$2:$J$1001,0),1)&gt;=100000,INDEX($Q$1005:$U$1005,1,MATCH(COLUMNS($Q$1006:T1006),$Q$1006:$U$1006,0))&gt;=100000), " ",IF(INDEX($Q$2:$U$1001,MATCH(ROWS($J$2:J548),$J$2:$J$1001,0),MATCH(COLUMNS($Q$1006:T1006),$Q$1006:$U$1006,0)), HYPERLINK("#",""), HYPERLINK(CONCATENATE("#metadata!", ADDRESS(INDEX($L$2:$L$1001,MATCH(ROWS($J$2:J548),$J$2:$J$1001,0),0), INDEX($Q$1004:$U$1004,1,MATCH(COLUMNS($Q$1006:T1006),$Q$1006:$U$1006,0)))),"Fix")))</f>
        <v xml:space="preserve"> </v>
      </c>
      <c r="F548" s="3" t="str">
        <f ca="1">IF(OR(INDEX($K$2:$K$1001,MATCH(ROWS($J$2:J548),$J$2:$J$1001,0),1)&gt;=100000,INDEX($Q$1005:$U$1005,1,MATCH(COLUMNS($Q$1006:U1006),$Q$1006:$U$1006,0))&gt;=100000), " ",IF(INDEX($Q$2:$U$1001,MATCH(ROWS($J$2:J548),$J$2:$J$1001,0),MATCH(COLUMNS($Q$1006:U1006),$Q$1006:$U$1006,0)), HYPERLINK("#",""), HYPERLINK(CONCATENATE("#metadata!", ADDRESS(INDEX($L$2:$L$1001,MATCH(ROWS($J$2:J548),$J$2:$J$1001,0),0), INDEX($Q$1004:$U$1004,1,MATCH(COLUMNS($Q$1006:U1006),$Q$1006:$U$1006,0)))),"Fix")))</f>
        <v xml:space="preserve"> </v>
      </c>
      <c r="J548">
        <v>547</v>
      </c>
      <c r="K548">
        <v>100548</v>
      </c>
      <c r="L548">
        <v>548</v>
      </c>
      <c r="M548" t="b">
        <f t="shared" si="8"/>
        <v>1</v>
      </c>
      <c r="N548" t="b">
        <f>COUNTBLANK(metadata!B548:F548)=COLUMNS(metadata!B548:F548)</f>
        <v>1</v>
      </c>
      <c r="O548" t="str">
        <v/>
      </c>
      <c r="Q548" t="b">
        <f ca="1">AND(IF(metadata!B548="",FALSE,TRUE),COUNTIF(metadata!B:B, metadata!B548) = 1,NOT(ISERROR(SUMPRODUCT(SEARCH(MID(metadata!B548,ROW(INDIRECT("1:"&amp;LEN(metadata!B548))), 1),"0123456789abcdefghijklmnopqrstuvwxyzABCDEFGHIJKLMNOPQRSTUVWXYZ.")))))</f>
        <v>0</v>
      </c>
      <c r="R548" t="b">
        <f>AND(IF(metadata!C548="",FALSE,TRUE),OR(EXACT(metadata!C548,"saline"),EXACT(metadata!C548,"non-saline")))</f>
        <v>0</v>
      </c>
      <c r="S548" t="b">
        <f>AND(IF(metadata!D548="",FALSE,TRUE),OR(EXACT(metadata!D548,"surface (non-saline)"),EXACT(metadata!D548,"aerosol (non-saline)"),EXACT(metadata!D548,"sediment (non-saline)"),EXACT(metadata!D548,"surface (saline)"),EXACT(metadata!D548,"aerosol (saline)"),EXACT(metadata!D548,"sediment (saline)")))</f>
        <v>0</v>
      </c>
      <c r="T548" t="b">
        <f>AND(IF(metadata!E548="",FALSE,TRUE),EXACT(metadata!E548,"built environment"))</f>
        <v>0</v>
      </c>
      <c r="U548" t="b">
        <f>OR(AND(IF(metadata!F548="",FALSE,TRUE),EXACT(metadata!F548,"not applicable")),AND(IF(metadata!F548="",FALSE,TRUE),EXACT(metadata!F548,"anaerobic digester content")))</f>
        <v>0</v>
      </c>
    </row>
    <row r="549" spans="1:21" x14ac:dyDescent="0.2">
      <c r="A549" s="4" t="str">
        <f ca="1">IF(B549=" "," ",HYPERLINK(CONCATENATE("#metadata!",ADDRESS(INDEX($L$2:$L$1001,MATCH(ROWS($J$2:J549),$J$2:$J$1001,0),0),1)),INDEX($O$2:$O$1001,MATCH(ROWS($J$2:J549),$J$2:$J$1001,0),0)))</f>
        <v xml:space="preserve"> </v>
      </c>
      <c r="B549" s="3" t="str">
        <f ca="1">IF(OR(INDEX($K$2:$K$1001,MATCH(ROWS($J$2:J549),$J$2:$J$1001,0),1)&gt;=100000,INDEX($Q$1005:$U$1005,1,MATCH(COLUMNS($Q$1006:Q1006),$Q$1006:$U$1006,0))&gt;=100000), " ",IF(INDEX($Q$2:$U$1001,MATCH(ROWS($J$2:J549),$J$2:$J$1001,0),MATCH(COLUMNS($Q$1006:Q1006),$Q$1006:$U$1006,0)), HYPERLINK("#",""), HYPERLINK(CONCATENATE("#metadata!", ADDRESS(INDEX($L$2:$L$1001,MATCH(ROWS($J$2:J549),$J$2:$J$1001,0),0), INDEX($Q$1004:$U$1004,1,MATCH(COLUMNS($Q$1006:Q1006),$Q$1006:$U$1006,0)))),"Fix")))</f>
        <v xml:space="preserve"> </v>
      </c>
      <c r="C549" s="3" t="str">
        <f ca="1">IF(OR(INDEX($K$2:$K$1001,MATCH(ROWS($J$2:J549),$J$2:$J$1001,0),1)&gt;=100000,INDEX($Q$1005:$U$1005,1,MATCH(COLUMNS($Q$1006:R1006),$Q$1006:$U$1006,0))&gt;=100000), " ",IF(INDEX($Q$2:$U$1001,MATCH(ROWS($J$2:J549),$J$2:$J$1001,0),MATCH(COLUMNS($Q$1006:R1006),$Q$1006:$U$1006,0)), HYPERLINK("#",""), HYPERLINK(CONCATENATE("#metadata!", ADDRESS(INDEX($L$2:$L$1001,MATCH(ROWS($J$2:J549),$J$2:$J$1001,0),0), INDEX($Q$1004:$U$1004,1,MATCH(COLUMNS($Q$1006:R1006),$Q$1006:$U$1006,0)))),"Fix")))</f>
        <v xml:space="preserve"> </v>
      </c>
      <c r="D549" s="3" t="str">
        <f ca="1">IF(OR(INDEX($K$2:$K$1001,MATCH(ROWS($J$2:J549),$J$2:$J$1001,0),1)&gt;=100000,INDEX($Q$1005:$U$1005,1,MATCH(COLUMNS($Q$1006:S1006),$Q$1006:$U$1006,0))&gt;=100000), " ",IF(INDEX($Q$2:$U$1001,MATCH(ROWS($J$2:J549),$J$2:$J$1001,0),MATCH(COLUMNS($Q$1006:S1006),$Q$1006:$U$1006,0)), HYPERLINK("#",""), HYPERLINK(CONCATENATE("#metadata!", ADDRESS(INDEX($L$2:$L$1001,MATCH(ROWS($J$2:J549),$J$2:$J$1001,0),0), INDEX($Q$1004:$U$1004,1,MATCH(COLUMNS($Q$1006:S1006),$Q$1006:$U$1006,0)))),"Fix")))</f>
        <v xml:space="preserve"> </v>
      </c>
      <c r="E549" s="3" t="str">
        <f ca="1">IF(OR(INDEX($K$2:$K$1001,MATCH(ROWS($J$2:J549),$J$2:$J$1001,0),1)&gt;=100000,INDEX($Q$1005:$U$1005,1,MATCH(COLUMNS($Q$1006:T1006),$Q$1006:$U$1006,0))&gt;=100000), " ",IF(INDEX($Q$2:$U$1001,MATCH(ROWS($J$2:J549),$J$2:$J$1001,0),MATCH(COLUMNS($Q$1006:T1006),$Q$1006:$U$1006,0)), HYPERLINK("#",""), HYPERLINK(CONCATENATE("#metadata!", ADDRESS(INDEX($L$2:$L$1001,MATCH(ROWS($J$2:J549),$J$2:$J$1001,0),0), INDEX($Q$1004:$U$1004,1,MATCH(COLUMNS($Q$1006:T1006),$Q$1006:$U$1006,0)))),"Fix")))</f>
        <v xml:space="preserve"> </v>
      </c>
      <c r="F549" s="3" t="str">
        <f ca="1">IF(OR(INDEX($K$2:$K$1001,MATCH(ROWS($J$2:J549),$J$2:$J$1001,0),1)&gt;=100000,INDEX($Q$1005:$U$1005,1,MATCH(COLUMNS($Q$1006:U1006),$Q$1006:$U$1006,0))&gt;=100000), " ",IF(INDEX($Q$2:$U$1001,MATCH(ROWS($J$2:J549),$J$2:$J$1001,0),MATCH(COLUMNS($Q$1006:U1006),$Q$1006:$U$1006,0)), HYPERLINK("#",""), HYPERLINK(CONCATENATE("#metadata!", ADDRESS(INDEX($L$2:$L$1001,MATCH(ROWS($J$2:J549),$J$2:$J$1001,0),0), INDEX($Q$1004:$U$1004,1,MATCH(COLUMNS($Q$1006:U1006),$Q$1006:$U$1006,0)))),"Fix")))</f>
        <v xml:space="preserve"> </v>
      </c>
      <c r="J549">
        <v>548</v>
      </c>
      <c r="K549">
        <v>100549</v>
      </c>
      <c r="L549">
        <v>549</v>
      </c>
      <c r="M549" t="b">
        <f t="shared" si="8"/>
        <v>1</v>
      </c>
      <c r="N549" t="b">
        <f>COUNTBLANK(metadata!B549:F549)=COLUMNS(metadata!B549:F549)</f>
        <v>1</v>
      </c>
      <c r="O549" t="str">
        <v/>
      </c>
      <c r="Q549" t="b">
        <f ca="1">AND(IF(metadata!B549="",FALSE,TRUE),COUNTIF(metadata!B:B, metadata!B549) = 1,NOT(ISERROR(SUMPRODUCT(SEARCH(MID(metadata!B549,ROW(INDIRECT("1:"&amp;LEN(metadata!B549))), 1),"0123456789abcdefghijklmnopqrstuvwxyzABCDEFGHIJKLMNOPQRSTUVWXYZ.")))))</f>
        <v>0</v>
      </c>
      <c r="R549" t="b">
        <f>AND(IF(metadata!C549="",FALSE,TRUE),OR(EXACT(metadata!C549,"saline"),EXACT(metadata!C549,"non-saline")))</f>
        <v>0</v>
      </c>
      <c r="S549" t="b">
        <f>AND(IF(metadata!D549="",FALSE,TRUE),OR(EXACT(metadata!D549,"surface (non-saline)"),EXACT(metadata!D549,"aerosol (non-saline)"),EXACT(metadata!D549,"sediment (non-saline)"),EXACT(metadata!D549,"surface (saline)"),EXACT(metadata!D549,"aerosol (saline)"),EXACT(metadata!D549,"sediment (saline)")))</f>
        <v>0</v>
      </c>
      <c r="T549" t="b">
        <f>AND(IF(metadata!E549="",FALSE,TRUE),EXACT(metadata!E549,"built environment"))</f>
        <v>0</v>
      </c>
      <c r="U549" t="b">
        <f>OR(AND(IF(metadata!F549="",FALSE,TRUE),EXACT(metadata!F549,"not applicable")),AND(IF(metadata!F549="",FALSE,TRUE),EXACT(metadata!F549,"anaerobic digester content")))</f>
        <v>0</v>
      </c>
    </row>
    <row r="550" spans="1:21" x14ac:dyDescent="0.2">
      <c r="A550" s="4" t="str">
        <f ca="1">IF(B550=" "," ",HYPERLINK(CONCATENATE("#metadata!",ADDRESS(INDEX($L$2:$L$1001,MATCH(ROWS($J$2:J550),$J$2:$J$1001,0),0),1)),INDEX($O$2:$O$1001,MATCH(ROWS($J$2:J550),$J$2:$J$1001,0),0)))</f>
        <v xml:space="preserve"> </v>
      </c>
      <c r="B550" s="3" t="str">
        <f ca="1">IF(OR(INDEX($K$2:$K$1001,MATCH(ROWS($J$2:J550),$J$2:$J$1001,0),1)&gt;=100000,INDEX($Q$1005:$U$1005,1,MATCH(COLUMNS($Q$1006:Q1006),$Q$1006:$U$1006,0))&gt;=100000), " ",IF(INDEX($Q$2:$U$1001,MATCH(ROWS($J$2:J550),$J$2:$J$1001,0),MATCH(COLUMNS($Q$1006:Q1006),$Q$1006:$U$1006,0)), HYPERLINK("#",""), HYPERLINK(CONCATENATE("#metadata!", ADDRESS(INDEX($L$2:$L$1001,MATCH(ROWS($J$2:J550),$J$2:$J$1001,0),0), INDEX($Q$1004:$U$1004,1,MATCH(COLUMNS($Q$1006:Q1006),$Q$1006:$U$1006,0)))),"Fix")))</f>
        <v xml:space="preserve"> </v>
      </c>
      <c r="C550" s="3" t="str">
        <f ca="1">IF(OR(INDEX($K$2:$K$1001,MATCH(ROWS($J$2:J550),$J$2:$J$1001,0),1)&gt;=100000,INDEX($Q$1005:$U$1005,1,MATCH(COLUMNS($Q$1006:R1006),$Q$1006:$U$1006,0))&gt;=100000), " ",IF(INDEX($Q$2:$U$1001,MATCH(ROWS($J$2:J550),$J$2:$J$1001,0),MATCH(COLUMNS($Q$1006:R1006),$Q$1006:$U$1006,0)), HYPERLINK("#",""), HYPERLINK(CONCATENATE("#metadata!", ADDRESS(INDEX($L$2:$L$1001,MATCH(ROWS($J$2:J550),$J$2:$J$1001,0),0), INDEX($Q$1004:$U$1004,1,MATCH(COLUMNS($Q$1006:R1006),$Q$1006:$U$1006,0)))),"Fix")))</f>
        <v xml:space="preserve"> </v>
      </c>
      <c r="D550" s="3" t="str">
        <f ca="1">IF(OR(INDEX($K$2:$K$1001,MATCH(ROWS($J$2:J550),$J$2:$J$1001,0),1)&gt;=100000,INDEX($Q$1005:$U$1005,1,MATCH(COLUMNS($Q$1006:S1006),$Q$1006:$U$1006,0))&gt;=100000), " ",IF(INDEX($Q$2:$U$1001,MATCH(ROWS($J$2:J550),$J$2:$J$1001,0),MATCH(COLUMNS($Q$1006:S1006),$Q$1006:$U$1006,0)), HYPERLINK("#",""), HYPERLINK(CONCATENATE("#metadata!", ADDRESS(INDEX($L$2:$L$1001,MATCH(ROWS($J$2:J550),$J$2:$J$1001,0),0), INDEX($Q$1004:$U$1004,1,MATCH(COLUMNS($Q$1006:S1006),$Q$1006:$U$1006,0)))),"Fix")))</f>
        <v xml:space="preserve"> </v>
      </c>
      <c r="E550" s="3" t="str">
        <f ca="1">IF(OR(INDEX($K$2:$K$1001,MATCH(ROWS($J$2:J550),$J$2:$J$1001,0),1)&gt;=100000,INDEX($Q$1005:$U$1005,1,MATCH(COLUMNS($Q$1006:T1006),$Q$1006:$U$1006,0))&gt;=100000), " ",IF(INDEX($Q$2:$U$1001,MATCH(ROWS($J$2:J550),$J$2:$J$1001,0),MATCH(COLUMNS($Q$1006:T1006),$Q$1006:$U$1006,0)), HYPERLINK("#",""), HYPERLINK(CONCATENATE("#metadata!", ADDRESS(INDEX($L$2:$L$1001,MATCH(ROWS($J$2:J550),$J$2:$J$1001,0),0), INDEX($Q$1004:$U$1004,1,MATCH(COLUMNS($Q$1006:T1006),$Q$1006:$U$1006,0)))),"Fix")))</f>
        <v xml:space="preserve"> </v>
      </c>
      <c r="F550" s="3" t="str">
        <f ca="1">IF(OR(INDEX($K$2:$K$1001,MATCH(ROWS($J$2:J550),$J$2:$J$1001,0),1)&gt;=100000,INDEX($Q$1005:$U$1005,1,MATCH(COLUMNS($Q$1006:U1006),$Q$1006:$U$1006,0))&gt;=100000), " ",IF(INDEX($Q$2:$U$1001,MATCH(ROWS($J$2:J550),$J$2:$J$1001,0),MATCH(COLUMNS($Q$1006:U1006),$Q$1006:$U$1006,0)), HYPERLINK("#",""), HYPERLINK(CONCATENATE("#metadata!", ADDRESS(INDEX($L$2:$L$1001,MATCH(ROWS($J$2:J550),$J$2:$J$1001,0),0), INDEX($Q$1004:$U$1004,1,MATCH(COLUMNS($Q$1006:U1006),$Q$1006:$U$1006,0)))),"Fix")))</f>
        <v xml:space="preserve"> </v>
      </c>
      <c r="J550">
        <v>549</v>
      </c>
      <c r="K550">
        <v>100550</v>
      </c>
      <c r="L550">
        <v>550</v>
      </c>
      <c r="M550" t="b">
        <f t="shared" si="8"/>
        <v>1</v>
      </c>
      <c r="N550" t="b">
        <f>COUNTBLANK(metadata!B550:F550)=COLUMNS(metadata!B550:F550)</f>
        <v>1</v>
      </c>
      <c r="O550" t="str">
        <v/>
      </c>
      <c r="Q550" t="b">
        <f ca="1">AND(IF(metadata!B550="",FALSE,TRUE),COUNTIF(metadata!B:B, metadata!B550) = 1,NOT(ISERROR(SUMPRODUCT(SEARCH(MID(metadata!B550,ROW(INDIRECT("1:"&amp;LEN(metadata!B550))), 1),"0123456789abcdefghijklmnopqrstuvwxyzABCDEFGHIJKLMNOPQRSTUVWXYZ.")))))</f>
        <v>0</v>
      </c>
      <c r="R550" t="b">
        <f>AND(IF(metadata!C550="",FALSE,TRUE),OR(EXACT(metadata!C550,"saline"),EXACT(metadata!C550,"non-saline")))</f>
        <v>0</v>
      </c>
      <c r="S550" t="b">
        <f>AND(IF(metadata!D550="",FALSE,TRUE),OR(EXACT(metadata!D550,"surface (non-saline)"),EXACT(metadata!D550,"aerosol (non-saline)"),EXACT(metadata!D550,"sediment (non-saline)"),EXACT(metadata!D550,"surface (saline)"),EXACT(metadata!D550,"aerosol (saline)"),EXACT(metadata!D550,"sediment (saline)")))</f>
        <v>0</v>
      </c>
      <c r="T550" t="b">
        <f>AND(IF(metadata!E550="",FALSE,TRUE),EXACT(metadata!E550,"built environment"))</f>
        <v>0</v>
      </c>
      <c r="U550" t="b">
        <f>OR(AND(IF(metadata!F550="",FALSE,TRUE),EXACT(metadata!F550,"not applicable")),AND(IF(metadata!F550="",FALSE,TRUE),EXACT(metadata!F550,"anaerobic digester content")))</f>
        <v>0</v>
      </c>
    </row>
    <row r="551" spans="1:21" x14ac:dyDescent="0.2">
      <c r="A551" s="4" t="str">
        <f ca="1">IF(B551=" "," ",HYPERLINK(CONCATENATE("#metadata!",ADDRESS(INDEX($L$2:$L$1001,MATCH(ROWS($J$2:J551),$J$2:$J$1001,0),0),1)),INDEX($O$2:$O$1001,MATCH(ROWS($J$2:J551),$J$2:$J$1001,0),0)))</f>
        <v xml:space="preserve"> </v>
      </c>
      <c r="B551" s="3" t="str">
        <f ca="1">IF(OR(INDEX($K$2:$K$1001,MATCH(ROWS($J$2:J551),$J$2:$J$1001,0),1)&gt;=100000,INDEX($Q$1005:$U$1005,1,MATCH(COLUMNS($Q$1006:Q1006),$Q$1006:$U$1006,0))&gt;=100000), " ",IF(INDEX($Q$2:$U$1001,MATCH(ROWS($J$2:J551),$J$2:$J$1001,0),MATCH(COLUMNS($Q$1006:Q1006),$Q$1006:$U$1006,0)), HYPERLINK("#",""), HYPERLINK(CONCATENATE("#metadata!", ADDRESS(INDEX($L$2:$L$1001,MATCH(ROWS($J$2:J551),$J$2:$J$1001,0),0), INDEX($Q$1004:$U$1004,1,MATCH(COLUMNS($Q$1006:Q1006),$Q$1006:$U$1006,0)))),"Fix")))</f>
        <v xml:space="preserve"> </v>
      </c>
      <c r="C551" s="3" t="str">
        <f ca="1">IF(OR(INDEX($K$2:$K$1001,MATCH(ROWS($J$2:J551),$J$2:$J$1001,0),1)&gt;=100000,INDEX($Q$1005:$U$1005,1,MATCH(COLUMNS($Q$1006:R1006),$Q$1006:$U$1006,0))&gt;=100000), " ",IF(INDEX($Q$2:$U$1001,MATCH(ROWS($J$2:J551),$J$2:$J$1001,0),MATCH(COLUMNS($Q$1006:R1006),$Q$1006:$U$1006,0)), HYPERLINK("#",""), HYPERLINK(CONCATENATE("#metadata!", ADDRESS(INDEX($L$2:$L$1001,MATCH(ROWS($J$2:J551),$J$2:$J$1001,0),0), INDEX($Q$1004:$U$1004,1,MATCH(COLUMNS($Q$1006:R1006),$Q$1006:$U$1006,0)))),"Fix")))</f>
        <v xml:space="preserve"> </v>
      </c>
      <c r="D551" s="3" t="str">
        <f ca="1">IF(OR(INDEX($K$2:$K$1001,MATCH(ROWS($J$2:J551),$J$2:$J$1001,0),1)&gt;=100000,INDEX($Q$1005:$U$1005,1,MATCH(COLUMNS($Q$1006:S1006),$Q$1006:$U$1006,0))&gt;=100000), " ",IF(INDEX($Q$2:$U$1001,MATCH(ROWS($J$2:J551),$J$2:$J$1001,0),MATCH(COLUMNS($Q$1006:S1006),$Q$1006:$U$1006,0)), HYPERLINK("#",""), HYPERLINK(CONCATENATE("#metadata!", ADDRESS(INDEX($L$2:$L$1001,MATCH(ROWS($J$2:J551),$J$2:$J$1001,0),0), INDEX($Q$1004:$U$1004,1,MATCH(COLUMNS($Q$1006:S1006),$Q$1006:$U$1006,0)))),"Fix")))</f>
        <v xml:space="preserve"> </v>
      </c>
      <c r="E551" s="3" t="str">
        <f ca="1">IF(OR(INDEX($K$2:$K$1001,MATCH(ROWS($J$2:J551),$J$2:$J$1001,0),1)&gt;=100000,INDEX($Q$1005:$U$1005,1,MATCH(COLUMNS($Q$1006:T1006),$Q$1006:$U$1006,0))&gt;=100000), " ",IF(INDEX($Q$2:$U$1001,MATCH(ROWS($J$2:J551),$J$2:$J$1001,0),MATCH(COLUMNS($Q$1006:T1006),$Q$1006:$U$1006,0)), HYPERLINK("#",""), HYPERLINK(CONCATENATE("#metadata!", ADDRESS(INDEX($L$2:$L$1001,MATCH(ROWS($J$2:J551),$J$2:$J$1001,0),0), INDEX($Q$1004:$U$1004,1,MATCH(COLUMNS($Q$1006:T1006),$Q$1006:$U$1006,0)))),"Fix")))</f>
        <v xml:space="preserve"> </v>
      </c>
      <c r="F551" s="3" t="str">
        <f ca="1">IF(OR(INDEX($K$2:$K$1001,MATCH(ROWS($J$2:J551),$J$2:$J$1001,0),1)&gt;=100000,INDEX($Q$1005:$U$1005,1,MATCH(COLUMNS($Q$1006:U1006),$Q$1006:$U$1006,0))&gt;=100000), " ",IF(INDEX($Q$2:$U$1001,MATCH(ROWS($J$2:J551),$J$2:$J$1001,0),MATCH(COLUMNS($Q$1006:U1006),$Q$1006:$U$1006,0)), HYPERLINK("#",""), HYPERLINK(CONCATENATE("#metadata!", ADDRESS(INDEX($L$2:$L$1001,MATCH(ROWS($J$2:J551),$J$2:$J$1001,0),0), INDEX($Q$1004:$U$1004,1,MATCH(COLUMNS($Q$1006:U1006),$Q$1006:$U$1006,0)))),"Fix")))</f>
        <v xml:space="preserve"> </v>
      </c>
      <c r="J551">
        <v>550</v>
      </c>
      <c r="K551">
        <v>100551</v>
      </c>
      <c r="L551">
        <v>551</v>
      </c>
      <c r="M551" t="b">
        <f t="shared" si="8"/>
        <v>1</v>
      </c>
      <c r="N551" t="b">
        <f>COUNTBLANK(metadata!B551:F551)=COLUMNS(metadata!B551:F551)</f>
        <v>1</v>
      </c>
      <c r="O551" t="str">
        <v/>
      </c>
      <c r="Q551" t="b">
        <f ca="1">AND(IF(metadata!B551="",FALSE,TRUE),COUNTIF(metadata!B:B, metadata!B551) = 1,NOT(ISERROR(SUMPRODUCT(SEARCH(MID(metadata!B551,ROW(INDIRECT("1:"&amp;LEN(metadata!B551))), 1),"0123456789abcdefghijklmnopqrstuvwxyzABCDEFGHIJKLMNOPQRSTUVWXYZ.")))))</f>
        <v>0</v>
      </c>
      <c r="R551" t="b">
        <f>AND(IF(metadata!C551="",FALSE,TRUE),OR(EXACT(metadata!C551,"saline"),EXACT(metadata!C551,"non-saline")))</f>
        <v>0</v>
      </c>
      <c r="S551" t="b">
        <f>AND(IF(metadata!D551="",FALSE,TRUE),OR(EXACT(metadata!D551,"surface (non-saline)"),EXACT(metadata!D551,"aerosol (non-saline)"),EXACT(metadata!D551,"sediment (non-saline)"),EXACT(metadata!D551,"surface (saline)"),EXACT(metadata!D551,"aerosol (saline)"),EXACT(metadata!D551,"sediment (saline)")))</f>
        <v>0</v>
      </c>
      <c r="T551" t="b">
        <f>AND(IF(metadata!E551="",FALSE,TRUE),EXACT(metadata!E551,"built environment"))</f>
        <v>0</v>
      </c>
      <c r="U551" t="b">
        <f>OR(AND(IF(metadata!F551="",FALSE,TRUE),EXACT(metadata!F551,"not applicable")),AND(IF(metadata!F551="",FALSE,TRUE),EXACT(metadata!F551,"anaerobic digester content")))</f>
        <v>0</v>
      </c>
    </row>
    <row r="552" spans="1:21" x14ac:dyDescent="0.2">
      <c r="A552" s="4" t="str">
        <f ca="1">IF(B552=" "," ",HYPERLINK(CONCATENATE("#metadata!",ADDRESS(INDEX($L$2:$L$1001,MATCH(ROWS($J$2:J552),$J$2:$J$1001,0),0),1)),INDEX($O$2:$O$1001,MATCH(ROWS($J$2:J552),$J$2:$J$1001,0),0)))</f>
        <v xml:space="preserve"> </v>
      </c>
      <c r="B552" s="3" t="str">
        <f ca="1">IF(OR(INDEX($K$2:$K$1001,MATCH(ROWS($J$2:J552),$J$2:$J$1001,0),1)&gt;=100000,INDEX($Q$1005:$U$1005,1,MATCH(COLUMNS($Q$1006:Q1006),$Q$1006:$U$1006,0))&gt;=100000), " ",IF(INDEX($Q$2:$U$1001,MATCH(ROWS($J$2:J552),$J$2:$J$1001,0),MATCH(COLUMNS($Q$1006:Q1006),$Q$1006:$U$1006,0)), HYPERLINK("#",""), HYPERLINK(CONCATENATE("#metadata!", ADDRESS(INDEX($L$2:$L$1001,MATCH(ROWS($J$2:J552),$J$2:$J$1001,0),0), INDEX($Q$1004:$U$1004,1,MATCH(COLUMNS($Q$1006:Q1006),$Q$1006:$U$1006,0)))),"Fix")))</f>
        <v xml:space="preserve"> </v>
      </c>
      <c r="C552" s="3" t="str">
        <f ca="1">IF(OR(INDEX($K$2:$K$1001,MATCH(ROWS($J$2:J552),$J$2:$J$1001,0),1)&gt;=100000,INDEX($Q$1005:$U$1005,1,MATCH(COLUMNS($Q$1006:R1006),$Q$1006:$U$1006,0))&gt;=100000), " ",IF(INDEX($Q$2:$U$1001,MATCH(ROWS($J$2:J552),$J$2:$J$1001,0),MATCH(COLUMNS($Q$1006:R1006),$Q$1006:$U$1006,0)), HYPERLINK("#",""), HYPERLINK(CONCATENATE("#metadata!", ADDRESS(INDEX($L$2:$L$1001,MATCH(ROWS($J$2:J552),$J$2:$J$1001,0),0), INDEX($Q$1004:$U$1004,1,MATCH(COLUMNS($Q$1006:R1006),$Q$1006:$U$1006,0)))),"Fix")))</f>
        <v xml:space="preserve"> </v>
      </c>
      <c r="D552" s="3" t="str">
        <f ca="1">IF(OR(INDEX($K$2:$K$1001,MATCH(ROWS($J$2:J552),$J$2:$J$1001,0),1)&gt;=100000,INDEX($Q$1005:$U$1005,1,MATCH(COLUMNS($Q$1006:S1006),$Q$1006:$U$1006,0))&gt;=100000), " ",IF(INDEX($Q$2:$U$1001,MATCH(ROWS($J$2:J552),$J$2:$J$1001,0),MATCH(COLUMNS($Q$1006:S1006),$Q$1006:$U$1006,0)), HYPERLINK("#",""), HYPERLINK(CONCATENATE("#metadata!", ADDRESS(INDEX($L$2:$L$1001,MATCH(ROWS($J$2:J552),$J$2:$J$1001,0),0), INDEX($Q$1004:$U$1004,1,MATCH(COLUMNS($Q$1006:S1006),$Q$1006:$U$1006,0)))),"Fix")))</f>
        <v xml:space="preserve"> </v>
      </c>
      <c r="E552" s="3" t="str">
        <f ca="1">IF(OR(INDEX($K$2:$K$1001,MATCH(ROWS($J$2:J552),$J$2:$J$1001,0),1)&gt;=100000,INDEX($Q$1005:$U$1005,1,MATCH(COLUMNS($Q$1006:T1006),$Q$1006:$U$1006,0))&gt;=100000), " ",IF(INDEX($Q$2:$U$1001,MATCH(ROWS($J$2:J552),$J$2:$J$1001,0),MATCH(COLUMNS($Q$1006:T1006),$Q$1006:$U$1006,0)), HYPERLINK("#",""), HYPERLINK(CONCATENATE("#metadata!", ADDRESS(INDEX($L$2:$L$1001,MATCH(ROWS($J$2:J552),$J$2:$J$1001,0),0), INDEX($Q$1004:$U$1004,1,MATCH(COLUMNS($Q$1006:T1006),$Q$1006:$U$1006,0)))),"Fix")))</f>
        <v xml:space="preserve"> </v>
      </c>
      <c r="F552" s="3" t="str">
        <f ca="1">IF(OR(INDEX($K$2:$K$1001,MATCH(ROWS($J$2:J552),$J$2:$J$1001,0),1)&gt;=100000,INDEX($Q$1005:$U$1005,1,MATCH(COLUMNS($Q$1006:U1006),$Q$1006:$U$1006,0))&gt;=100000), " ",IF(INDEX($Q$2:$U$1001,MATCH(ROWS($J$2:J552),$J$2:$J$1001,0),MATCH(COLUMNS($Q$1006:U1006),$Q$1006:$U$1006,0)), HYPERLINK("#",""), HYPERLINK(CONCATENATE("#metadata!", ADDRESS(INDEX($L$2:$L$1001,MATCH(ROWS($J$2:J552),$J$2:$J$1001,0),0), INDEX($Q$1004:$U$1004,1,MATCH(COLUMNS($Q$1006:U1006),$Q$1006:$U$1006,0)))),"Fix")))</f>
        <v xml:space="preserve"> </v>
      </c>
      <c r="J552">
        <v>551</v>
      </c>
      <c r="K552">
        <v>100552</v>
      </c>
      <c r="L552">
        <v>552</v>
      </c>
      <c r="M552" t="b">
        <f t="shared" si="8"/>
        <v>1</v>
      </c>
      <c r="N552" t="b">
        <f>COUNTBLANK(metadata!B552:F552)=COLUMNS(metadata!B552:F552)</f>
        <v>1</v>
      </c>
      <c r="O552" t="str">
        <v/>
      </c>
      <c r="Q552" t="b">
        <f ca="1">AND(IF(metadata!B552="",FALSE,TRUE),COUNTIF(metadata!B:B, metadata!B552) = 1,NOT(ISERROR(SUMPRODUCT(SEARCH(MID(metadata!B552,ROW(INDIRECT("1:"&amp;LEN(metadata!B552))), 1),"0123456789abcdefghijklmnopqrstuvwxyzABCDEFGHIJKLMNOPQRSTUVWXYZ.")))))</f>
        <v>0</v>
      </c>
      <c r="R552" t="b">
        <f>AND(IF(metadata!C552="",FALSE,TRUE),OR(EXACT(metadata!C552,"saline"),EXACT(metadata!C552,"non-saline")))</f>
        <v>0</v>
      </c>
      <c r="S552" t="b">
        <f>AND(IF(metadata!D552="",FALSE,TRUE),OR(EXACT(metadata!D552,"surface (non-saline)"),EXACT(metadata!D552,"aerosol (non-saline)"),EXACT(metadata!D552,"sediment (non-saline)"),EXACT(metadata!D552,"surface (saline)"),EXACT(metadata!D552,"aerosol (saline)"),EXACT(metadata!D552,"sediment (saline)")))</f>
        <v>0</v>
      </c>
      <c r="T552" t="b">
        <f>AND(IF(metadata!E552="",FALSE,TRUE),EXACT(metadata!E552,"built environment"))</f>
        <v>0</v>
      </c>
      <c r="U552" t="b">
        <f>OR(AND(IF(metadata!F552="",FALSE,TRUE),EXACT(metadata!F552,"not applicable")),AND(IF(metadata!F552="",FALSE,TRUE),EXACT(metadata!F552,"anaerobic digester content")))</f>
        <v>0</v>
      </c>
    </row>
    <row r="553" spans="1:21" x14ac:dyDescent="0.2">
      <c r="A553" s="4" t="str">
        <f ca="1">IF(B553=" "," ",HYPERLINK(CONCATENATE("#metadata!",ADDRESS(INDEX($L$2:$L$1001,MATCH(ROWS($J$2:J553),$J$2:$J$1001,0),0),1)),INDEX($O$2:$O$1001,MATCH(ROWS($J$2:J553),$J$2:$J$1001,0),0)))</f>
        <v xml:space="preserve"> </v>
      </c>
      <c r="B553" s="3" t="str">
        <f ca="1">IF(OR(INDEX($K$2:$K$1001,MATCH(ROWS($J$2:J553),$J$2:$J$1001,0),1)&gt;=100000,INDEX($Q$1005:$U$1005,1,MATCH(COLUMNS($Q$1006:Q1006),$Q$1006:$U$1006,0))&gt;=100000), " ",IF(INDEX($Q$2:$U$1001,MATCH(ROWS($J$2:J553),$J$2:$J$1001,0),MATCH(COLUMNS($Q$1006:Q1006),$Q$1006:$U$1006,0)), HYPERLINK("#",""), HYPERLINK(CONCATENATE("#metadata!", ADDRESS(INDEX($L$2:$L$1001,MATCH(ROWS($J$2:J553),$J$2:$J$1001,0),0), INDEX($Q$1004:$U$1004,1,MATCH(COLUMNS($Q$1006:Q1006),$Q$1006:$U$1006,0)))),"Fix")))</f>
        <v xml:space="preserve"> </v>
      </c>
      <c r="C553" s="3" t="str">
        <f ca="1">IF(OR(INDEX($K$2:$K$1001,MATCH(ROWS($J$2:J553),$J$2:$J$1001,0),1)&gt;=100000,INDEX($Q$1005:$U$1005,1,MATCH(COLUMNS($Q$1006:R1006),$Q$1006:$U$1006,0))&gt;=100000), " ",IF(INDEX($Q$2:$U$1001,MATCH(ROWS($J$2:J553),$J$2:$J$1001,0),MATCH(COLUMNS($Q$1006:R1006),$Q$1006:$U$1006,0)), HYPERLINK("#",""), HYPERLINK(CONCATENATE("#metadata!", ADDRESS(INDEX($L$2:$L$1001,MATCH(ROWS($J$2:J553),$J$2:$J$1001,0),0), INDEX($Q$1004:$U$1004,1,MATCH(COLUMNS($Q$1006:R1006),$Q$1006:$U$1006,0)))),"Fix")))</f>
        <v xml:space="preserve"> </v>
      </c>
      <c r="D553" s="3" t="str">
        <f ca="1">IF(OR(INDEX($K$2:$K$1001,MATCH(ROWS($J$2:J553),$J$2:$J$1001,0),1)&gt;=100000,INDEX($Q$1005:$U$1005,1,MATCH(COLUMNS($Q$1006:S1006),$Q$1006:$U$1006,0))&gt;=100000), " ",IF(INDEX($Q$2:$U$1001,MATCH(ROWS($J$2:J553),$J$2:$J$1001,0),MATCH(COLUMNS($Q$1006:S1006),$Q$1006:$U$1006,0)), HYPERLINK("#",""), HYPERLINK(CONCATENATE("#metadata!", ADDRESS(INDEX($L$2:$L$1001,MATCH(ROWS($J$2:J553),$J$2:$J$1001,0),0), INDEX($Q$1004:$U$1004,1,MATCH(COLUMNS($Q$1006:S1006),$Q$1006:$U$1006,0)))),"Fix")))</f>
        <v xml:space="preserve"> </v>
      </c>
      <c r="E553" s="3" t="str">
        <f ca="1">IF(OR(INDEX($K$2:$K$1001,MATCH(ROWS($J$2:J553),$J$2:$J$1001,0),1)&gt;=100000,INDEX($Q$1005:$U$1005,1,MATCH(COLUMNS($Q$1006:T1006),$Q$1006:$U$1006,0))&gt;=100000), " ",IF(INDEX($Q$2:$U$1001,MATCH(ROWS($J$2:J553),$J$2:$J$1001,0),MATCH(COLUMNS($Q$1006:T1006),$Q$1006:$U$1006,0)), HYPERLINK("#",""), HYPERLINK(CONCATENATE("#metadata!", ADDRESS(INDEX($L$2:$L$1001,MATCH(ROWS($J$2:J553),$J$2:$J$1001,0),0), INDEX($Q$1004:$U$1004,1,MATCH(COLUMNS($Q$1006:T1006),$Q$1006:$U$1006,0)))),"Fix")))</f>
        <v xml:space="preserve"> </v>
      </c>
      <c r="F553" s="3" t="str">
        <f ca="1">IF(OR(INDEX($K$2:$K$1001,MATCH(ROWS($J$2:J553),$J$2:$J$1001,0),1)&gt;=100000,INDEX($Q$1005:$U$1005,1,MATCH(COLUMNS($Q$1006:U1006),$Q$1006:$U$1006,0))&gt;=100000), " ",IF(INDEX($Q$2:$U$1001,MATCH(ROWS($J$2:J553),$J$2:$J$1001,0),MATCH(COLUMNS($Q$1006:U1006),$Q$1006:$U$1006,0)), HYPERLINK("#",""), HYPERLINK(CONCATENATE("#metadata!", ADDRESS(INDEX($L$2:$L$1001,MATCH(ROWS($J$2:J553),$J$2:$J$1001,0),0), INDEX($Q$1004:$U$1004,1,MATCH(COLUMNS($Q$1006:U1006),$Q$1006:$U$1006,0)))),"Fix")))</f>
        <v xml:space="preserve"> </v>
      </c>
      <c r="J553">
        <v>552</v>
      </c>
      <c r="K553">
        <v>100553</v>
      </c>
      <c r="L553">
        <v>553</v>
      </c>
      <c r="M553" t="b">
        <f t="shared" si="8"/>
        <v>1</v>
      </c>
      <c r="N553" t="b">
        <f>COUNTBLANK(metadata!B553:F553)=COLUMNS(metadata!B553:F553)</f>
        <v>1</v>
      </c>
      <c r="O553" t="str">
        <v/>
      </c>
      <c r="Q553" t="b">
        <f ca="1">AND(IF(metadata!B553="",FALSE,TRUE),COUNTIF(metadata!B:B, metadata!B553) = 1,NOT(ISERROR(SUMPRODUCT(SEARCH(MID(metadata!B553,ROW(INDIRECT("1:"&amp;LEN(metadata!B553))), 1),"0123456789abcdefghijklmnopqrstuvwxyzABCDEFGHIJKLMNOPQRSTUVWXYZ.")))))</f>
        <v>0</v>
      </c>
      <c r="R553" t="b">
        <f>AND(IF(metadata!C553="",FALSE,TRUE),OR(EXACT(metadata!C553,"saline"),EXACT(metadata!C553,"non-saline")))</f>
        <v>0</v>
      </c>
      <c r="S553" t="b">
        <f>AND(IF(metadata!D553="",FALSE,TRUE),OR(EXACT(metadata!D553,"surface (non-saline)"),EXACT(metadata!D553,"aerosol (non-saline)"),EXACT(metadata!D553,"sediment (non-saline)"),EXACT(metadata!D553,"surface (saline)"),EXACT(metadata!D553,"aerosol (saline)"),EXACT(metadata!D553,"sediment (saline)")))</f>
        <v>0</v>
      </c>
      <c r="T553" t="b">
        <f>AND(IF(metadata!E553="",FALSE,TRUE),EXACT(metadata!E553,"built environment"))</f>
        <v>0</v>
      </c>
      <c r="U553" t="b">
        <f>OR(AND(IF(metadata!F553="",FALSE,TRUE),EXACT(metadata!F553,"not applicable")),AND(IF(metadata!F553="",FALSE,TRUE),EXACT(metadata!F553,"anaerobic digester content")))</f>
        <v>0</v>
      </c>
    </row>
    <row r="554" spans="1:21" x14ac:dyDescent="0.2">
      <c r="A554" s="4" t="str">
        <f ca="1">IF(B554=" "," ",HYPERLINK(CONCATENATE("#metadata!",ADDRESS(INDEX($L$2:$L$1001,MATCH(ROWS($J$2:J554),$J$2:$J$1001,0),0),1)),INDEX($O$2:$O$1001,MATCH(ROWS($J$2:J554),$J$2:$J$1001,0),0)))</f>
        <v xml:space="preserve"> </v>
      </c>
      <c r="B554" s="3" t="str">
        <f ca="1">IF(OR(INDEX($K$2:$K$1001,MATCH(ROWS($J$2:J554),$J$2:$J$1001,0),1)&gt;=100000,INDEX($Q$1005:$U$1005,1,MATCH(COLUMNS($Q$1006:Q1006),$Q$1006:$U$1006,0))&gt;=100000), " ",IF(INDEX($Q$2:$U$1001,MATCH(ROWS($J$2:J554),$J$2:$J$1001,0),MATCH(COLUMNS($Q$1006:Q1006),$Q$1006:$U$1006,0)), HYPERLINK("#",""), HYPERLINK(CONCATENATE("#metadata!", ADDRESS(INDEX($L$2:$L$1001,MATCH(ROWS($J$2:J554),$J$2:$J$1001,0),0), INDEX($Q$1004:$U$1004,1,MATCH(COLUMNS($Q$1006:Q1006),$Q$1006:$U$1006,0)))),"Fix")))</f>
        <v xml:space="preserve"> </v>
      </c>
      <c r="C554" s="3" t="str">
        <f ca="1">IF(OR(INDEX($K$2:$K$1001,MATCH(ROWS($J$2:J554),$J$2:$J$1001,0),1)&gt;=100000,INDEX($Q$1005:$U$1005,1,MATCH(COLUMNS($Q$1006:R1006),$Q$1006:$U$1006,0))&gt;=100000), " ",IF(INDEX($Q$2:$U$1001,MATCH(ROWS($J$2:J554),$J$2:$J$1001,0),MATCH(COLUMNS($Q$1006:R1006),$Q$1006:$U$1006,0)), HYPERLINK("#",""), HYPERLINK(CONCATENATE("#metadata!", ADDRESS(INDEX($L$2:$L$1001,MATCH(ROWS($J$2:J554),$J$2:$J$1001,0),0), INDEX($Q$1004:$U$1004,1,MATCH(COLUMNS($Q$1006:R1006),$Q$1006:$U$1006,0)))),"Fix")))</f>
        <v xml:space="preserve"> </v>
      </c>
      <c r="D554" s="3" t="str">
        <f ca="1">IF(OR(INDEX($K$2:$K$1001,MATCH(ROWS($J$2:J554),$J$2:$J$1001,0),1)&gt;=100000,INDEX($Q$1005:$U$1005,1,MATCH(COLUMNS($Q$1006:S1006),$Q$1006:$U$1006,0))&gt;=100000), " ",IF(INDEX($Q$2:$U$1001,MATCH(ROWS($J$2:J554),$J$2:$J$1001,0),MATCH(COLUMNS($Q$1006:S1006),$Q$1006:$U$1006,0)), HYPERLINK("#",""), HYPERLINK(CONCATENATE("#metadata!", ADDRESS(INDEX($L$2:$L$1001,MATCH(ROWS($J$2:J554),$J$2:$J$1001,0),0), INDEX($Q$1004:$U$1004,1,MATCH(COLUMNS($Q$1006:S1006),$Q$1006:$U$1006,0)))),"Fix")))</f>
        <v xml:space="preserve"> </v>
      </c>
      <c r="E554" s="3" t="str">
        <f ca="1">IF(OR(INDEX($K$2:$K$1001,MATCH(ROWS($J$2:J554),$J$2:$J$1001,0),1)&gt;=100000,INDEX($Q$1005:$U$1005,1,MATCH(COLUMNS($Q$1006:T1006),$Q$1006:$U$1006,0))&gt;=100000), " ",IF(INDEX($Q$2:$U$1001,MATCH(ROWS($J$2:J554),$J$2:$J$1001,0),MATCH(COLUMNS($Q$1006:T1006),$Q$1006:$U$1006,0)), HYPERLINK("#",""), HYPERLINK(CONCATENATE("#metadata!", ADDRESS(INDEX($L$2:$L$1001,MATCH(ROWS($J$2:J554),$J$2:$J$1001,0),0), INDEX($Q$1004:$U$1004,1,MATCH(COLUMNS($Q$1006:T1006),$Q$1006:$U$1006,0)))),"Fix")))</f>
        <v xml:space="preserve"> </v>
      </c>
      <c r="F554" s="3" t="str">
        <f ca="1">IF(OR(INDEX($K$2:$K$1001,MATCH(ROWS($J$2:J554),$J$2:$J$1001,0),1)&gt;=100000,INDEX($Q$1005:$U$1005,1,MATCH(COLUMNS($Q$1006:U1006),$Q$1006:$U$1006,0))&gt;=100000), " ",IF(INDEX($Q$2:$U$1001,MATCH(ROWS($J$2:J554),$J$2:$J$1001,0),MATCH(COLUMNS($Q$1006:U1006),$Q$1006:$U$1006,0)), HYPERLINK("#",""), HYPERLINK(CONCATENATE("#metadata!", ADDRESS(INDEX($L$2:$L$1001,MATCH(ROWS($J$2:J554),$J$2:$J$1001,0),0), INDEX($Q$1004:$U$1004,1,MATCH(COLUMNS($Q$1006:U1006),$Q$1006:$U$1006,0)))),"Fix")))</f>
        <v xml:space="preserve"> </v>
      </c>
      <c r="J554">
        <v>553</v>
      </c>
      <c r="K554">
        <v>100554</v>
      </c>
      <c r="L554">
        <v>554</v>
      </c>
      <c r="M554" t="b">
        <f t="shared" si="8"/>
        <v>1</v>
      </c>
      <c r="N554" t="b">
        <f>COUNTBLANK(metadata!B554:F554)=COLUMNS(metadata!B554:F554)</f>
        <v>1</v>
      </c>
      <c r="O554" t="str">
        <v/>
      </c>
      <c r="Q554" t="b">
        <f ca="1">AND(IF(metadata!B554="",FALSE,TRUE),COUNTIF(metadata!B:B, metadata!B554) = 1,NOT(ISERROR(SUMPRODUCT(SEARCH(MID(metadata!B554,ROW(INDIRECT("1:"&amp;LEN(metadata!B554))), 1),"0123456789abcdefghijklmnopqrstuvwxyzABCDEFGHIJKLMNOPQRSTUVWXYZ.")))))</f>
        <v>0</v>
      </c>
      <c r="R554" t="b">
        <f>AND(IF(metadata!C554="",FALSE,TRUE),OR(EXACT(metadata!C554,"saline"),EXACT(metadata!C554,"non-saline")))</f>
        <v>0</v>
      </c>
      <c r="S554" t="b">
        <f>AND(IF(metadata!D554="",FALSE,TRUE),OR(EXACT(metadata!D554,"surface (non-saline)"),EXACT(metadata!D554,"aerosol (non-saline)"),EXACT(metadata!D554,"sediment (non-saline)"),EXACT(metadata!D554,"surface (saline)"),EXACT(metadata!D554,"aerosol (saline)"),EXACT(metadata!D554,"sediment (saline)")))</f>
        <v>0</v>
      </c>
      <c r="T554" t="b">
        <f>AND(IF(metadata!E554="",FALSE,TRUE),EXACT(metadata!E554,"built environment"))</f>
        <v>0</v>
      </c>
      <c r="U554" t="b">
        <f>OR(AND(IF(metadata!F554="",FALSE,TRUE),EXACT(metadata!F554,"not applicable")),AND(IF(metadata!F554="",FALSE,TRUE),EXACT(metadata!F554,"anaerobic digester content")))</f>
        <v>0</v>
      </c>
    </row>
    <row r="555" spans="1:21" x14ac:dyDescent="0.2">
      <c r="A555" s="4" t="str">
        <f ca="1">IF(B555=" "," ",HYPERLINK(CONCATENATE("#metadata!",ADDRESS(INDEX($L$2:$L$1001,MATCH(ROWS($J$2:J555),$J$2:$J$1001,0),0),1)),INDEX($O$2:$O$1001,MATCH(ROWS($J$2:J555),$J$2:$J$1001,0),0)))</f>
        <v xml:space="preserve"> </v>
      </c>
      <c r="B555" s="3" t="str">
        <f ca="1">IF(OR(INDEX($K$2:$K$1001,MATCH(ROWS($J$2:J555),$J$2:$J$1001,0),1)&gt;=100000,INDEX($Q$1005:$U$1005,1,MATCH(COLUMNS($Q$1006:Q1006),$Q$1006:$U$1006,0))&gt;=100000), " ",IF(INDEX($Q$2:$U$1001,MATCH(ROWS($J$2:J555),$J$2:$J$1001,0),MATCH(COLUMNS($Q$1006:Q1006),$Q$1006:$U$1006,0)), HYPERLINK("#",""), HYPERLINK(CONCATENATE("#metadata!", ADDRESS(INDEX($L$2:$L$1001,MATCH(ROWS($J$2:J555),$J$2:$J$1001,0),0), INDEX($Q$1004:$U$1004,1,MATCH(COLUMNS($Q$1006:Q1006),$Q$1006:$U$1006,0)))),"Fix")))</f>
        <v xml:space="preserve"> </v>
      </c>
      <c r="C555" s="3" t="str">
        <f ca="1">IF(OR(INDEX($K$2:$K$1001,MATCH(ROWS($J$2:J555),$J$2:$J$1001,0),1)&gt;=100000,INDEX($Q$1005:$U$1005,1,MATCH(COLUMNS($Q$1006:R1006),$Q$1006:$U$1006,0))&gt;=100000), " ",IF(INDEX($Q$2:$U$1001,MATCH(ROWS($J$2:J555),$J$2:$J$1001,0),MATCH(COLUMNS($Q$1006:R1006),$Q$1006:$U$1006,0)), HYPERLINK("#",""), HYPERLINK(CONCATENATE("#metadata!", ADDRESS(INDEX($L$2:$L$1001,MATCH(ROWS($J$2:J555),$J$2:$J$1001,0),0), INDEX($Q$1004:$U$1004,1,MATCH(COLUMNS($Q$1006:R1006),$Q$1006:$U$1006,0)))),"Fix")))</f>
        <v xml:space="preserve"> </v>
      </c>
      <c r="D555" s="3" t="str">
        <f ca="1">IF(OR(INDEX($K$2:$K$1001,MATCH(ROWS($J$2:J555),$J$2:$J$1001,0),1)&gt;=100000,INDEX($Q$1005:$U$1005,1,MATCH(COLUMNS($Q$1006:S1006),$Q$1006:$U$1006,0))&gt;=100000), " ",IF(INDEX($Q$2:$U$1001,MATCH(ROWS($J$2:J555),$J$2:$J$1001,0),MATCH(COLUMNS($Q$1006:S1006),$Q$1006:$U$1006,0)), HYPERLINK("#",""), HYPERLINK(CONCATENATE("#metadata!", ADDRESS(INDEX($L$2:$L$1001,MATCH(ROWS($J$2:J555),$J$2:$J$1001,0),0), INDEX($Q$1004:$U$1004,1,MATCH(COLUMNS($Q$1006:S1006),$Q$1006:$U$1006,0)))),"Fix")))</f>
        <v xml:space="preserve"> </v>
      </c>
      <c r="E555" s="3" t="str">
        <f ca="1">IF(OR(INDEX($K$2:$K$1001,MATCH(ROWS($J$2:J555),$J$2:$J$1001,0),1)&gt;=100000,INDEX($Q$1005:$U$1005,1,MATCH(COLUMNS($Q$1006:T1006),$Q$1006:$U$1006,0))&gt;=100000), " ",IF(INDEX($Q$2:$U$1001,MATCH(ROWS($J$2:J555),$J$2:$J$1001,0),MATCH(COLUMNS($Q$1006:T1006),$Q$1006:$U$1006,0)), HYPERLINK("#",""), HYPERLINK(CONCATENATE("#metadata!", ADDRESS(INDEX($L$2:$L$1001,MATCH(ROWS($J$2:J555),$J$2:$J$1001,0),0), INDEX($Q$1004:$U$1004,1,MATCH(COLUMNS($Q$1006:T1006),$Q$1006:$U$1006,0)))),"Fix")))</f>
        <v xml:space="preserve"> </v>
      </c>
      <c r="F555" s="3" t="str">
        <f ca="1">IF(OR(INDEX($K$2:$K$1001,MATCH(ROWS($J$2:J555),$J$2:$J$1001,0),1)&gt;=100000,INDEX($Q$1005:$U$1005,1,MATCH(COLUMNS($Q$1006:U1006),$Q$1006:$U$1006,0))&gt;=100000), " ",IF(INDEX($Q$2:$U$1001,MATCH(ROWS($J$2:J555),$J$2:$J$1001,0),MATCH(COLUMNS($Q$1006:U1006),$Q$1006:$U$1006,0)), HYPERLINK("#",""), HYPERLINK(CONCATENATE("#metadata!", ADDRESS(INDEX($L$2:$L$1001,MATCH(ROWS($J$2:J555),$J$2:$J$1001,0),0), INDEX($Q$1004:$U$1004,1,MATCH(COLUMNS($Q$1006:U1006),$Q$1006:$U$1006,0)))),"Fix")))</f>
        <v xml:space="preserve"> </v>
      </c>
      <c r="J555">
        <v>554</v>
      </c>
      <c r="K555">
        <v>100555</v>
      </c>
      <c r="L555">
        <v>555</v>
      </c>
      <c r="M555" t="b">
        <f t="shared" si="8"/>
        <v>1</v>
      </c>
      <c r="N555" t="b">
        <f>COUNTBLANK(metadata!B555:F555)=COLUMNS(metadata!B555:F555)</f>
        <v>1</v>
      </c>
      <c r="O555" t="str">
        <v/>
      </c>
      <c r="Q555" t="b">
        <f ca="1">AND(IF(metadata!B555="",FALSE,TRUE),COUNTIF(metadata!B:B, metadata!B555) = 1,NOT(ISERROR(SUMPRODUCT(SEARCH(MID(metadata!B555,ROW(INDIRECT("1:"&amp;LEN(metadata!B555))), 1),"0123456789abcdefghijklmnopqrstuvwxyzABCDEFGHIJKLMNOPQRSTUVWXYZ.")))))</f>
        <v>0</v>
      </c>
      <c r="R555" t="b">
        <f>AND(IF(metadata!C555="",FALSE,TRUE),OR(EXACT(metadata!C555,"saline"),EXACT(metadata!C555,"non-saline")))</f>
        <v>0</v>
      </c>
      <c r="S555" t="b">
        <f>AND(IF(metadata!D555="",FALSE,TRUE),OR(EXACT(metadata!D555,"surface (non-saline)"),EXACT(metadata!D555,"aerosol (non-saline)"),EXACT(metadata!D555,"sediment (non-saline)"),EXACT(metadata!D555,"surface (saline)"),EXACT(metadata!D555,"aerosol (saline)"),EXACT(metadata!D555,"sediment (saline)")))</f>
        <v>0</v>
      </c>
      <c r="T555" t="b">
        <f>AND(IF(metadata!E555="",FALSE,TRUE),EXACT(metadata!E555,"built environment"))</f>
        <v>0</v>
      </c>
      <c r="U555" t="b">
        <f>OR(AND(IF(metadata!F555="",FALSE,TRUE),EXACT(metadata!F555,"not applicable")),AND(IF(metadata!F555="",FALSE,TRUE),EXACT(metadata!F555,"anaerobic digester content")))</f>
        <v>0</v>
      </c>
    </row>
    <row r="556" spans="1:21" x14ac:dyDescent="0.2">
      <c r="A556" s="4" t="str">
        <f ca="1">IF(B556=" "," ",HYPERLINK(CONCATENATE("#metadata!",ADDRESS(INDEX($L$2:$L$1001,MATCH(ROWS($J$2:J556),$J$2:$J$1001,0),0),1)),INDEX($O$2:$O$1001,MATCH(ROWS($J$2:J556),$J$2:$J$1001,0),0)))</f>
        <v xml:space="preserve"> </v>
      </c>
      <c r="B556" s="3" t="str">
        <f ca="1">IF(OR(INDEX($K$2:$K$1001,MATCH(ROWS($J$2:J556),$J$2:$J$1001,0),1)&gt;=100000,INDEX($Q$1005:$U$1005,1,MATCH(COLUMNS($Q$1006:Q1006),$Q$1006:$U$1006,0))&gt;=100000), " ",IF(INDEX($Q$2:$U$1001,MATCH(ROWS($J$2:J556),$J$2:$J$1001,0),MATCH(COLUMNS($Q$1006:Q1006),$Q$1006:$U$1006,0)), HYPERLINK("#",""), HYPERLINK(CONCATENATE("#metadata!", ADDRESS(INDEX($L$2:$L$1001,MATCH(ROWS($J$2:J556),$J$2:$J$1001,0),0), INDEX($Q$1004:$U$1004,1,MATCH(COLUMNS($Q$1006:Q1006),$Q$1006:$U$1006,0)))),"Fix")))</f>
        <v xml:space="preserve"> </v>
      </c>
      <c r="C556" s="3" t="str">
        <f ca="1">IF(OR(INDEX($K$2:$K$1001,MATCH(ROWS($J$2:J556),$J$2:$J$1001,0),1)&gt;=100000,INDEX($Q$1005:$U$1005,1,MATCH(COLUMNS($Q$1006:R1006),$Q$1006:$U$1006,0))&gt;=100000), " ",IF(INDEX($Q$2:$U$1001,MATCH(ROWS($J$2:J556),$J$2:$J$1001,0),MATCH(COLUMNS($Q$1006:R1006),$Q$1006:$U$1006,0)), HYPERLINK("#",""), HYPERLINK(CONCATENATE("#metadata!", ADDRESS(INDEX($L$2:$L$1001,MATCH(ROWS($J$2:J556),$J$2:$J$1001,0),0), INDEX($Q$1004:$U$1004,1,MATCH(COLUMNS($Q$1006:R1006),$Q$1006:$U$1006,0)))),"Fix")))</f>
        <v xml:space="preserve"> </v>
      </c>
      <c r="D556" s="3" t="str">
        <f ca="1">IF(OR(INDEX($K$2:$K$1001,MATCH(ROWS($J$2:J556),$J$2:$J$1001,0),1)&gt;=100000,INDEX($Q$1005:$U$1005,1,MATCH(COLUMNS($Q$1006:S1006),$Q$1006:$U$1006,0))&gt;=100000), " ",IF(INDEX($Q$2:$U$1001,MATCH(ROWS($J$2:J556),$J$2:$J$1001,0),MATCH(COLUMNS($Q$1006:S1006),$Q$1006:$U$1006,0)), HYPERLINK("#",""), HYPERLINK(CONCATENATE("#metadata!", ADDRESS(INDEX($L$2:$L$1001,MATCH(ROWS($J$2:J556),$J$2:$J$1001,0),0), INDEX($Q$1004:$U$1004,1,MATCH(COLUMNS($Q$1006:S1006),$Q$1006:$U$1006,0)))),"Fix")))</f>
        <v xml:space="preserve"> </v>
      </c>
      <c r="E556" s="3" t="str">
        <f ca="1">IF(OR(INDEX($K$2:$K$1001,MATCH(ROWS($J$2:J556),$J$2:$J$1001,0),1)&gt;=100000,INDEX($Q$1005:$U$1005,1,MATCH(COLUMNS($Q$1006:T1006),$Q$1006:$U$1006,0))&gt;=100000), " ",IF(INDEX($Q$2:$U$1001,MATCH(ROWS($J$2:J556),$J$2:$J$1001,0),MATCH(COLUMNS($Q$1006:T1006),$Q$1006:$U$1006,0)), HYPERLINK("#",""), HYPERLINK(CONCATENATE("#metadata!", ADDRESS(INDEX($L$2:$L$1001,MATCH(ROWS($J$2:J556),$J$2:$J$1001,0),0), INDEX($Q$1004:$U$1004,1,MATCH(COLUMNS($Q$1006:T1006),$Q$1006:$U$1006,0)))),"Fix")))</f>
        <v xml:space="preserve"> </v>
      </c>
      <c r="F556" s="3" t="str">
        <f ca="1">IF(OR(INDEX($K$2:$K$1001,MATCH(ROWS($J$2:J556),$J$2:$J$1001,0),1)&gt;=100000,INDEX($Q$1005:$U$1005,1,MATCH(COLUMNS($Q$1006:U1006),$Q$1006:$U$1006,0))&gt;=100000), " ",IF(INDEX($Q$2:$U$1001,MATCH(ROWS($J$2:J556),$J$2:$J$1001,0),MATCH(COLUMNS($Q$1006:U1006),$Q$1006:$U$1006,0)), HYPERLINK("#",""), HYPERLINK(CONCATENATE("#metadata!", ADDRESS(INDEX($L$2:$L$1001,MATCH(ROWS($J$2:J556),$J$2:$J$1001,0),0), INDEX($Q$1004:$U$1004,1,MATCH(COLUMNS($Q$1006:U1006),$Q$1006:$U$1006,0)))),"Fix")))</f>
        <v xml:space="preserve"> </v>
      </c>
      <c r="J556">
        <v>555</v>
      </c>
      <c r="K556">
        <v>100556</v>
      </c>
      <c r="L556">
        <v>556</v>
      </c>
      <c r="M556" t="b">
        <f t="shared" si="8"/>
        <v>1</v>
      </c>
      <c r="N556" t="b">
        <f>COUNTBLANK(metadata!B556:F556)=COLUMNS(metadata!B556:F556)</f>
        <v>1</v>
      </c>
      <c r="O556" t="str">
        <v/>
      </c>
      <c r="Q556" t="b">
        <f ca="1">AND(IF(metadata!B556="",FALSE,TRUE),COUNTIF(metadata!B:B, metadata!B556) = 1,NOT(ISERROR(SUMPRODUCT(SEARCH(MID(metadata!B556,ROW(INDIRECT("1:"&amp;LEN(metadata!B556))), 1),"0123456789abcdefghijklmnopqrstuvwxyzABCDEFGHIJKLMNOPQRSTUVWXYZ.")))))</f>
        <v>0</v>
      </c>
      <c r="R556" t="b">
        <f>AND(IF(metadata!C556="",FALSE,TRUE),OR(EXACT(metadata!C556,"saline"),EXACT(metadata!C556,"non-saline")))</f>
        <v>0</v>
      </c>
      <c r="S556" t="b">
        <f>AND(IF(metadata!D556="",FALSE,TRUE),OR(EXACT(metadata!D556,"surface (non-saline)"),EXACT(metadata!D556,"aerosol (non-saline)"),EXACT(metadata!D556,"sediment (non-saline)"),EXACT(metadata!D556,"surface (saline)"),EXACT(metadata!D556,"aerosol (saline)"),EXACT(metadata!D556,"sediment (saline)")))</f>
        <v>0</v>
      </c>
      <c r="T556" t="b">
        <f>AND(IF(metadata!E556="",FALSE,TRUE),EXACT(metadata!E556,"built environment"))</f>
        <v>0</v>
      </c>
      <c r="U556" t="b">
        <f>OR(AND(IF(metadata!F556="",FALSE,TRUE),EXACT(metadata!F556,"not applicable")),AND(IF(metadata!F556="",FALSE,TRUE),EXACT(metadata!F556,"anaerobic digester content")))</f>
        <v>0</v>
      </c>
    </row>
    <row r="557" spans="1:21" x14ac:dyDescent="0.2">
      <c r="A557" s="4" t="str">
        <f ca="1">IF(B557=" "," ",HYPERLINK(CONCATENATE("#metadata!",ADDRESS(INDEX($L$2:$L$1001,MATCH(ROWS($J$2:J557),$J$2:$J$1001,0),0),1)),INDEX($O$2:$O$1001,MATCH(ROWS($J$2:J557),$J$2:$J$1001,0),0)))</f>
        <v xml:space="preserve"> </v>
      </c>
      <c r="B557" s="3" t="str">
        <f ca="1">IF(OR(INDEX($K$2:$K$1001,MATCH(ROWS($J$2:J557),$J$2:$J$1001,0),1)&gt;=100000,INDEX($Q$1005:$U$1005,1,MATCH(COLUMNS($Q$1006:Q1006),$Q$1006:$U$1006,0))&gt;=100000), " ",IF(INDEX($Q$2:$U$1001,MATCH(ROWS($J$2:J557),$J$2:$J$1001,0),MATCH(COLUMNS($Q$1006:Q1006),$Q$1006:$U$1006,0)), HYPERLINK("#",""), HYPERLINK(CONCATENATE("#metadata!", ADDRESS(INDEX($L$2:$L$1001,MATCH(ROWS($J$2:J557),$J$2:$J$1001,0),0), INDEX($Q$1004:$U$1004,1,MATCH(COLUMNS($Q$1006:Q1006),$Q$1006:$U$1006,0)))),"Fix")))</f>
        <v xml:space="preserve"> </v>
      </c>
      <c r="C557" s="3" t="str">
        <f ca="1">IF(OR(INDEX($K$2:$K$1001,MATCH(ROWS($J$2:J557),$J$2:$J$1001,0),1)&gt;=100000,INDEX($Q$1005:$U$1005,1,MATCH(COLUMNS($Q$1006:R1006),$Q$1006:$U$1006,0))&gt;=100000), " ",IF(INDEX($Q$2:$U$1001,MATCH(ROWS($J$2:J557),$J$2:$J$1001,0),MATCH(COLUMNS($Q$1006:R1006),$Q$1006:$U$1006,0)), HYPERLINK("#",""), HYPERLINK(CONCATENATE("#metadata!", ADDRESS(INDEX($L$2:$L$1001,MATCH(ROWS($J$2:J557),$J$2:$J$1001,0),0), INDEX($Q$1004:$U$1004,1,MATCH(COLUMNS($Q$1006:R1006),$Q$1006:$U$1006,0)))),"Fix")))</f>
        <v xml:space="preserve"> </v>
      </c>
      <c r="D557" s="3" t="str">
        <f ca="1">IF(OR(INDEX($K$2:$K$1001,MATCH(ROWS($J$2:J557),$J$2:$J$1001,0),1)&gt;=100000,INDEX($Q$1005:$U$1005,1,MATCH(COLUMNS($Q$1006:S1006),$Q$1006:$U$1006,0))&gt;=100000), " ",IF(INDEX($Q$2:$U$1001,MATCH(ROWS($J$2:J557),$J$2:$J$1001,0),MATCH(COLUMNS($Q$1006:S1006),$Q$1006:$U$1006,0)), HYPERLINK("#",""), HYPERLINK(CONCATENATE("#metadata!", ADDRESS(INDEX($L$2:$L$1001,MATCH(ROWS($J$2:J557),$J$2:$J$1001,0),0), INDEX($Q$1004:$U$1004,1,MATCH(COLUMNS($Q$1006:S1006),$Q$1006:$U$1006,0)))),"Fix")))</f>
        <v xml:space="preserve"> </v>
      </c>
      <c r="E557" s="3" t="str">
        <f ca="1">IF(OR(INDEX($K$2:$K$1001,MATCH(ROWS($J$2:J557),$J$2:$J$1001,0),1)&gt;=100000,INDEX($Q$1005:$U$1005,1,MATCH(COLUMNS($Q$1006:T1006),$Q$1006:$U$1006,0))&gt;=100000), " ",IF(INDEX($Q$2:$U$1001,MATCH(ROWS($J$2:J557),$J$2:$J$1001,0),MATCH(COLUMNS($Q$1006:T1006),$Q$1006:$U$1006,0)), HYPERLINK("#",""), HYPERLINK(CONCATENATE("#metadata!", ADDRESS(INDEX($L$2:$L$1001,MATCH(ROWS($J$2:J557),$J$2:$J$1001,0),0), INDEX($Q$1004:$U$1004,1,MATCH(COLUMNS($Q$1006:T1006),$Q$1006:$U$1006,0)))),"Fix")))</f>
        <v xml:space="preserve"> </v>
      </c>
      <c r="F557" s="3" t="str">
        <f ca="1">IF(OR(INDEX($K$2:$K$1001,MATCH(ROWS($J$2:J557),$J$2:$J$1001,0),1)&gt;=100000,INDEX($Q$1005:$U$1005,1,MATCH(COLUMNS($Q$1006:U1006),$Q$1006:$U$1006,0))&gt;=100000), " ",IF(INDEX($Q$2:$U$1001,MATCH(ROWS($J$2:J557),$J$2:$J$1001,0),MATCH(COLUMNS($Q$1006:U1006),$Q$1006:$U$1006,0)), HYPERLINK("#",""), HYPERLINK(CONCATENATE("#metadata!", ADDRESS(INDEX($L$2:$L$1001,MATCH(ROWS($J$2:J557),$J$2:$J$1001,0),0), INDEX($Q$1004:$U$1004,1,MATCH(COLUMNS($Q$1006:U1006),$Q$1006:$U$1006,0)))),"Fix")))</f>
        <v xml:space="preserve"> </v>
      </c>
      <c r="J557">
        <v>556</v>
      </c>
      <c r="K557">
        <v>100557</v>
      </c>
      <c r="L557">
        <v>557</v>
      </c>
      <c r="M557" t="b">
        <f t="shared" si="8"/>
        <v>1</v>
      </c>
      <c r="N557" t="b">
        <f>COUNTBLANK(metadata!B557:F557)=COLUMNS(metadata!B557:F557)</f>
        <v>1</v>
      </c>
      <c r="O557" t="str">
        <v/>
      </c>
      <c r="Q557" t="b">
        <f ca="1">AND(IF(metadata!B557="",FALSE,TRUE),COUNTIF(metadata!B:B, metadata!B557) = 1,NOT(ISERROR(SUMPRODUCT(SEARCH(MID(metadata!B557,ROW(INDIRECT("1:"&amp;LEN(metadata!B557))), 1),"0123456789abcdefghijklmnopqrstuvwxyzABCDEFGHIJKLMNOPQRSTUVWXYZ.")))))</f>
        <v>0</v>
      </c>
      <c r="R557" t="b">
        <f>AND(IF(metadata!C557="",FALSE,TRUE),OR(EXACT(metadata!C557,"saline"),EXACT(metadata!C557,"non-saline")))</f>
        <v>0</v>
      </c>
      <c r="S557" t="b">
        <f>AND(IF(metadata!D557="",FALSE,TRUE),OR(EXACT(metadata!D557,"surface (non-saline)"),EXACT(metadata!D557,"aerosol (non-saline)"),EXACT(metadata!D557,"sediment (non-saline)"),EXACT(metadata!D557,"surface (saline)"),EXACT(metadata!D557,"aerosol (saline)"),EXACT(metadata!D557,"sediment (saline)")))</f>
        <v>0</v>
      </c>
      <c r="T557" t="b">
        <f>AND(IF(metadata!E557="",FALSE,TRUE),EXACT(metadata!E557,"built environment"))</f>
        <v>0</v>
      </c>
      <c r="U557" t="b">
        <f>OR(AND(IF(metadata!F557="",FALSE,TRUE),EXACT(metadata!F557,"not applicable")),AND(IF(metadata!F557="",FALSE,TRUE),EXACT(metadata!F557,"anaerobic digester content")))</f>
        <v>0</v>
      </c>
    </row>
    <row r="558" spans="1:21" x14ac:dyDescent="0.2">
      <c r="A558" s="4" t="str">
        <f ca="1">IF(B558=" "," ",HYPERLINK(CONCATENATE("#metadata!",ADDRESS(INDEX($L$2:$L$1001,MATCH(ROWS($J$2:J558),$J$2:$J$1001,0),0),1)),INDEX($O$2:$O$1001,MATCH(ROWS($J$2:J558),$J$2:$J$1001,0),0)))</f>
        <v xml:space="preserve"> </v>
      </c>
      <c r="B558" s="3" t="str">
        <f ca="1">IF(OR(INDEX($K$2:$K$1001,MATCH(ROWS($J$2:J558),$J$2:$J$1001,0),1)&gt;=100000,INDEX($Q$1005:$U$1005,1,MATCH(COLUMNS($Q$1006:Q1006),$Q$1006:$U$1006,0))&gt;=100000), " ",IF(INDEX($Q$2:$U$1001,MATCH(ROWS($J$2:J558),$J$2:$J$1001,0),MATCH(COLUMNS($Q$1006:Q1006),$Q$1006:$U$1006,0)), HYPERLINK("#",""), HYPERLINK(CONCATENATE("#metadata!", ADDRESS(INDEX($L$2:$L$1001,MATCH(ROWS($J$2:J558),$J$2:$J$1001,0),0), INDEX($Q$1004:$U$1004,1,MATCH(COLUMNS($Q$1006:Q1006),$Q$1006:$U$1006,0)))),"Fix")))</f>
        <v xml:space="preserve"> </v>
      </c>
      <c r="C558" s="3" t="str">
        <f ca="1">IF(OR(INDEX($K$2:$K$1001,MATCH(ROWS($J$2:J558),$J$2:$J$1001,0),1)&gt;=100000,INDEX($Q$1005:$U$1005,1,MATCH(COLUMNS($Q$1006:R1006),$Q$1006:$U$1006,0))&gt;=100000), " ",IF(INDEX($Q$2:$U$1001,MATCH(ROWS($J$2:J558),$J$2:$J$1001,0),MATCH(COLUMNS($Q$1006:R1006),$Q$1006:$U$1006,0)), HYPERLINK("#",""), HYPERLINK(CONCATENATE("#metadata!", ADDRESS(INDEX($L$2:$L$1001,MATCH(ROWS($J$2:J558),$J$2:$J$1001,0),0), INDEX($Q$1004:$U$1004,1,MATCH(COLUMNS($Q$1006:R1006),$Q$1006:$U$1006,0)))),"Fix")))</f>
        <v xml:space="preserve"> </v>
      </c>
      <c r="D558" s="3" t="str">
        <f ca="1">IF(OR(INDEX($K$2:$K$1001,MATCH(ROWS($J$2:J558),$J$2:$J$1001,0),1)&gt;=100000,INDEX($Q$1005:$U$1005,1,MATCH(COLUMNS($Q$1006:S1006),$Q$1006:$U$1006,0))&gt;=100000), " ",IF(INDEX($Q$2:$U$1001,MATCH(ROWS($J$2:J558),$J$2:$J$1001,0),MATCH(COLUMNS($Q$1006:S1006),$Q$1006:$U$1006,0)), HYPERLINK("#",""), HYPERLINK(CONCATENATE("#metadata!", ADDRESS(INDEX($L$2:$L$1001,MATCH(ROWS($J$2:J558),$J$2:$J$1001,0),0), INDEX($Q$1004:$U$1004,1,MATCH(COLUMNS($Q$1006:S1006),$Q$1006:$U$1006,0)))),"Fix")))</f>
        <v xml:space="preserve"> </v>
      </c>
      <c r="E558" s="3" t="str">
        <f ca="1">IF(OR(INDEX($K$2:$K$1001,MATCH(ROWS($J$2:J558),$J$2:$J$1001,0),1)&gt;=100000,INDEX($Q$1005:$U$1005,1,MATCH(COLUMNS($Q$1006:T1006),$Q$1006:$U$1006,0))&gt;=100000), " ",IF(INDEX($Q$2:$U$1001,MATCH(ROWS($J$2:J558),$J$2:$J$1001,0),MATCH(COLUMNS($Q$1006:T1006),$Q$1006:$U$1006,0)), HYPERLINK("#",""), HYPERLINK(CONCATENATE("#metadata!", ADDRESS(INDEX($L$2:$L$1001,MATCH(ROWS($J$2:J558),$J$2:$J$1001,0),0), INDEX($Q$1004:$U$1004,1,MATCH(COLUMNS($Q$1006:T1006),$Q$1006:$U$1006,0)))),"Fix")))</f>
        <v xml:space="preserve"> </v>
      </c>
      <c r="F558" s="3" t="str">
        <f ca="1">IF(OR(INDEX($K$2:$K$1001,MATCH(ROWS($J$2:J558),$J$2:$J$1001,0),1)&gt;=100000,INDEX($Q$1005:$U$1005,1,MATCH(COLUMNS($Q$1006:U1006),$Q$1006:$U$1006,0))&gt;=100000), " ",IF(INDEX($Q$2:$U$1001,MATCH(ROWS($J$2:J558),$J$2:$J$1001,0),MATCH(COLUMNS($Q$1006:U1006),$Q$1006:$U$1006,0)), HYPERLINK("#",""), HYPERLINK(CONCATENATE("#metadata!", ADDRESS(INDEX($L$2:$L$1001,MATCH(ROWS($J$2:J558),$J$2:$J$1001,0),0), INDEX($Q$1004:$U$1004,1,MATCH(COLUMNS($Q$1006:U1006),$Q$1006:$U$1006,0)))),"Fix")))</f>
        <v xml:space="preserve"> </v>
      </c>
      <c r="J558">
        <v>557</v>
      </c>
      <c r="K558">
        <v>100558</v>
      </c>
      <c r="L558">
        <v>558</v>
      </c>
      <c r="M558" t="b">
        <f t="shared" si="8"/>
        <v>1</v>
      </c>
      <c r="N558" t="b">
        <f>COUNTBLANK(metadata!B558:F558)=COLUMNS(metadata!B558:F558)</f>
        <v>1</v>
      </c>
      <c r="O558" t="str">
        <v/>
      </c>
      <c r="Q558" t="b">
        <f ca="1">AND(IF(metadata!B558="",FALSE,TRUE),COUNTIF(metadata!B:B, metadata!B558) = 1,NOT(ISERROR(SUMPRODUCT(SEARCH(MID(metadata!B558,ROW(INDIRECT("1:"&amp;LEN(metadata!B558))), 1),"0123456789abcdefghijklmnopqrstuvwxyzABCDEFGHIJKLMNOPQRSTUVWXYZ.")))))</f>
        <v>0</v>
      </c>
      <c r="R558" t="b">
        <f>AND(IF(metadata!C558="",FALSE,TRUE),OR(EXACT(metadata!C558,"saline"),EXACT(metadata!C558,"non-saline")))</f>
        <v>0</v>
      </c>
      <c r="S558" t="b">
        <f>AND(IF(metadata!D558="",FALSE,TRUE),OR(EXACT(metadata!D558,"surface (non-saline)"),EXACT(metadata!D558,"aerosol (non-saline)"),EXACT(metadata!D558,"sediment (non-saline)"),EXACT(metadata!D558,"surface (saline)"),EXACT(metadata!D558,"aerosol (saline)"),EXACT(metadata!D558,"sediment (saline)")))</f>
        <v>0</v>
      </c>
      <c r="T558" t="b">
        <f>AND(IF(metadata!E558="",FALSE,TRUE),EXACT(metadata!E558,"built environment"))</f>
        <v>0</v>
      </c>
      <c r="U558" t="b">
        <f>OR(AND(IF(metadata!F558="",FALSE,TRUE),EXACT(metadata!F558,"not applicable")),AND(IF(metadata!F558="",FALSE,TRUE),EXACT(metadata!F558,"anaerobic digester content")))</f>
        <v>0</v>
      </c>
    </row>
    <row r="559" spans="1:21" x14ac:dyDescent="0.2">
      <c r="A559" s="4" t="str">
        <f ca="1">IF(B559=" "," ",HYPERLINK(CONCATENATE("#metadata!",ADDRESS(INDEX($L$2:$L$1001,MATCH(ROWS($J$2:J559),$J$2:$J$1001,0),0),1)),INDEX($O$2:$O$1001,MATCH(ROWS($J$2:J559),$J$2:$J$1001,0),0)))</f>
        <v xml:space="preserve"> </v>
      </c>
      <c r="B559" s="3" t="str">
        <f ca="1">IF(OR(INDEX($K$2:$K$1001,MATCH(ROWS($J$2:J559),$J$2:$J$1001,0),1)&gt;=100000,INDEX($Q$1005:$U$1005,1,MATCH(COLUMNS($Q$1006:Q1006),$Q$1006:$U$1006,0))&gt;=100000), " ",IF(INDEX($Q$2:$U$1001,MATCH(ROWS($J$2:J559),$J$2:$J$1001,0),MATCH(COLUMNS($Q$1006:Q1006),$Q$1006:$U$1006,0)), HYPERLINK("#",""), HYPERLINK(CONCATENATE("#metadata!", ADDRESS(INDEX($L$2:$L$1001,MATCH(ROWS($J$2:J559),$J$2:$J$1001,0),0), INDEX($Q$1004:$U$1004,1,MATCH(COLUMNS($Q$1006:Q1006),$Q$1006:$U$1006,0)))),"Fix")))</f>
        <v xml:space="preserve"> </v>
      </c>
      <c r="C559" s="3" t="str">
        <f ca="1">IF(OR(INDEX($K$2:$K$1001,MATCH(ROWS($J$2:J559),$J$2:$J$1001,0),1)&gt;=100000,INDEX($Q$1005:$U$1005,1,MATCH(COLUMNS($Q$1006:R1006),$Q$1006:$U$1006,0))&gt;=100000), " ",IF(INDEX($Q$2:$U$1001,MATCH(ROWS($J$2:J559),$J$2:$J$1001,0),MATCH(COLUMNS($Q$1006:R1006),$Q$1006:$U$1006,0)), HYPERLINK("#",""), HYPERLINK(CONCATENATE("#metadata!", ADDRESS(INDEX($L$2:$L$1001,MATCH(ROWS($J$2:J559),$J$2:$J$1001,0),0), INDEX($Q$1004:$U$1004,1,MATCH(COLUMNS($Q$1006:R1006),$Q$1006:$U$1006,0)))),"Fix")))</f>
        <v xml:space="preserve"> </v>
      </c>
      <c r="D559" s="3" t="str">
        <f ca="1">IF(OR(INDEX($K$2:$K$1001,MATCH(ROWS($J$2:J559),$J$2:$J$1001,0),1)&gt;=100000,INDEX($Q$1005:$U$1005,1,MATCH(COLUMNS($Q$1006:S1006),$Q$1006:$U$1006,0))&gt;=100000), " ",IF(INDEX($Q$2:$U$1001,MATCH(ROWS($J$2:J559),$J$2:$J$1001,0),MATCH(COLUMNS($Q$1006:S1006),$Q$1006:$U$1006,0)), HYPERLINK("#",""), HYPERLINK(CONCATENATE("#metadata!", ADDRESS(INDEX($L$2:$L$1001,MATCH(ROWS($J$2:J559),$J$2:$J$1001,0),0), INDEX($Q$1004:$U$1004,1,MATCH(COLUMNS($Q$1006:S1006),$Q$1006:$U$1006,0)))),"Fix")))</f>
        <v xml:space="preserve"> </v>
      </c>
      <c r="E559" s="3" t="str">
        <f ca="1">IF(OR(INDEX($K$2:$K$1001,MATCH(ROWS($J$2:J559),$J$2:$J$1001,0),1)&gt;=100000,INDEX($Q$1005:$U$1005,1,MATCH(COLUMNS($Q$1006:T1006),$Q$1006:$U$1006,0))&gt;=100000), " ",IF(INDEX($Q$2:$U$1001,MATCH(ROWS($J$2:J559),$J$2:$J$1001,0),MATCH(COLUMNS($Q$1006:T1006),$Q$1006:$U$1006,0)), HYPERLINK("#",""), HYPERLINK(CONCATENATE("#metadata!", ADDRESS(INDEX($L$2:$L$1001,MATCH(ROWS($J$2:J559),$J$2:$J$1001,0),0), INDEX($Q$1004:$U$1004,1,MATCH(COLUMNS($Q$1006:T1006),$Q$1006:$U$1006,0)))),"Fix")))</f>
        <v xml:space="preserve"> </v>
      </c>
      <c r="F559" s="3" t="str">
        <f ca="1">IF(OR(INDEX($K$2:$K$1001,MATCH(ROWS($J$2:J559),$J$2:$J$1001,0),1)&gt;=100000,INDEX($Q$1005:$U$1005,1,MATCH(COLUMNS($Q$1006:U1006),$Q$1006:$U$1006,0))&gt;=100000), " ",IF(INDEX($Q$2:$U$1001,MATCH(ROWS($J$2:J559),$J$2:$J$1001,0),MATCH(COLUMNS($Q$1006:U1006),$Q$1006:$U$1006,0)), HYPERLINK("#",""), HYPERLINK(CONCATENATE("#metadata!", ADDRESS(INDEX($L$2:$L$1001,MATCH(ROWS($J$2:J559),$J$2:$J$1001,0),0), INDEX($Q$1004:$U$1004,1,MATCH(COLUMNS($Q$1006:U1006),$Q$1006:$U$1006,0)))),"Fix")))</f>
        <v xml:space="preserve"> </v>
      </c>
      <c r="J559">
        <v>558</v>
      </c>
      <c r="K559">
        <v>100559</v>
      </c>
      <c r="L559">
        <v>559</v>
      </c>
      <c r="M559" t="b">
        <f t="shared" si="8"/>
        <v>1</v>
      </c>
      <c r="N559" t="b">
        <f>COUNTBLANK(metadata!B559:F559)=COLUMNS(metadata!B559:F559)</f>
        <v>1</v>
      </c>
      <c r="O559" t="str">
        <v/>
      </c>
      <c r="Q559" t="b">
        <f ca="1">AND(IF(metadata!B559="",FALSE,TRUE),COUNTIF(metadata!B:B, metadata!B559) = 1,NOT(ISERROR(SUMPRODUCT(SEARCH(MID(metadata!B559,ROW(INDIRECT("1:"&amp;LEN(metadata!B559))), 1),"0123456789abcdefghijklmnopqrstuvwxyzABCDEFGHIJKLMNOPQRSTUVWXYZ.")))))</f>
        <v>0</v>
      </c>
      <c r="R559" t="b">
        <f>AND(IF(metadata!C559="",FALSE,TRUE),OR(EXACT(metadata!C559,"saline"),EXACT(metadata!C559,"non-saline")))</f>
        <v>0</v>
      </c>
      <c r="S559" t="b">
        <f>AND(IF(metadata!D559="",FALSE,TRUE),OR(EXACT(metadata!D559,"surface (non-saline)"),EXACT(metadata!D559,"aerosol (non-saline)"),EXACT(metadata!D559,"sediment (non-saline)"),EXACT(metadata!D559,"surface (saline)"),EXACT(metadata!D559,"aerosol (saline)"),EXACT(metadata!D559,"sediment (saline)")))</f>
        <v>0</v>
      </c>
      <c r="T559" t="b">
        <f>AND(IF(metadata!E559="",FALSE,TRUE),EXACT(metadata!E559,"built environment"))</f>
        <v>0</v>
      </c>
      <c r="U559" t="b">
        <f>OR(AND(IF(metadata!F559="",FALSE,TRUE),EXACT(metadata!F559,"not applicable")),AND(IF(metadata!F559="",FALSE,TRUE),EXACT(metadata!F559,"anaerobic digester content")))</f>
        <v>0</v>
      </c>
    </row>
    <row r="560" spans="1:21" x14ac:dyDescent="0.2">
      <c r="A560" s="4" t="str">
        <f ca="1">IF(B560=" "," ",HYPERLINK(CONCATENATE("#metadata!",ADDRESS(INDEX($L$2:$L$1001,MATCH(ROWS($J$2:J560),$J$2:$J$1001,0),0),1)),INDEX($O$2:$O$1001,MATCH(ROWS($J$2:J560),$J$2:$J$1001,0),0)))</f>
        <v xml:space="preserve"> </v>
      </c>
      <c r="B560" s="3" t="str">
        <f ca="1">IF(OR(INDEX($K$2:$K$1001,MATCH(ROWS($J$2:J560),$J$2:$J$1001,0),1)&gt;=100000,INDEX($Q$1005:$U$1005,1,MATCH(COLUMNS($Q$1006:Q1006),$Q$1006:$U$1006,0))&gt;=100000), " ",IF(INDEX($Q$2:$U$1001,MATCH(ROWS($J$2:J560),$J$2:$J$1001,0),MATCH(COLUMNS($Q$1006:Q1006),$Q$1006:$U$1006,0)), HYPERLINK("#",""), HYPERLINK(CONCATENATE("#metadata!", ADDRESS(INDEX($L$2:$L$1001,MATCH(ROWS($J$2:J560),$J$2:$J$1001,0),0), INDEX($Q$1004:$U$1004,1,MATCH(COLUMNS($Q$1006:Q1006),$Q$1006:$U$1006,0)))),"Fix")))</f>
        <v xml:space="preserve"> </v>
      </c>
      <c r="C560" s="3" t="str">
        <f ca="1">IF(OR(INDEX($K$2:$K$1001,MATCH(ROWS($J$2:J560),$J$2:$J$1001,0),1)&gt;=100000,INDEX($Q$1005:$U$1005,1,MATCH(COLUMNS($Q$1006:R1006),$Q$1006:$U$1006,0))&gt;=100000), " ",IF(INDEX($Q$2:$U$1001,MATCH(ROWS($J$2:J560),$J$2:$J$1001,0),MATCH(COLUMNS($Q$1006:R1006),$Q$1006:$U$1006,0)), HYPERLINK("#",""), HYPERLINK(CONCATENATE("#metadata!", ADDRESS(INDEX($L$2:$L$1001,MATCH(ROWS($J$2:J560),$J$2:$J$1001,0),0), INDEX($Q$1004:$U$1004,1,MATCH(COLUMNS($Q$1006:R1006),$Q$1006:$U$1006,0)))),"Fix")))</f>
        <v xml:space="preserve"> </v>
      </c>
      <c r="D560" s="3" t="str">
        <f ca="1">IF(OR(INDEX($K$2:$K$1001,MATCH(ROWS($J$2:J560),$J$2:$J$1001,0),1)&gt;=100000,INDEX($Q$1005:$U$1005,1,MATCH(COLUMNS($Q$1006:S1006),$Q$1006:$U$1006,0))&gt;=100000), " ",IF(INDEX($Q$2:$U$1001,MATCH(ROWS($J$2:J560),$J$2:$J$1001,0),MATCH(COLUMNS($Q$1006:S1006),$Q$1006:$U$1006,0)), HYPERLINK("#",""), HYPERLINK(CONCATENATE("#metadata!", ADDRESS(INDEX($L$2:$L$1001,MATCH(ROWS($J$2:J560),$J$2:$J$1001,0),0), INDEX($Q$1004:$U$1004,1,MATCH(COLUMNS($Q$1006:S1006),$Q$1006:$U$1006,0)))),"Fix")))</f>
        <v xml:space="preserve"> </v>
      </c>
      <c r="E560" s="3" t="str">
        <f ca="1">IF(OR(INDEX($K$2:$K$1001,MATCH(ROWS($J$2:J560),$J$2:$J$1001,0),1)&gt;=100000,INDEX($Q$1005:$U$1005,1,MATCH(COLUMNS($Q$1006:T1006),$Q$1006:$U$1006,0))&gt;=100000), " ",IF(INDEX($Q$2:$U$1001,MATCH(ROWS($J$2:J560),$J$2:$J$1001,0),MATCH(COLUMNS($Q$1006:T1006),$Q$1006:$U$1006,0)), HYPERLINK("#",""), HYPERLINK(CONCATENATE("#metadata!", ADDRESS(INDEX($L$2:$L$1001,MATCH(ROWS($J$2:J560),$J$2:$J$1001,0),0), INDEX($Q$1004:$U$1004,1,MATCH(COLUMNS($Q$1006:T1006),$Q$1006:$U$1006,0)))),"Fix")))</f>
        <v xml:space="preserve"> </v>
      </c>
      <c r="F560" s="3" t="str">
        <f ca="1">IF(OR(INDEX($K$2:$K$1001,MATCH(ROWS($J$2:J560),$J$2:$J$1001,0),1)&gt;=100000,INDEX($Q$1005:$U$1005,1,MATCH(COLUMNS($Q$1006:U1006),$Q$1006:$U$1006,0))&gt;=100000), " ",IF(INDEX($Q$2:$U$1001,MATCH(ROWS($J$2:J560),$J$2:$J$1001,0),MATCH(COLUMNS($Q$1006:U1006),$Q$1006:$U$1006,0)), HYPERLINK("#",""), HYPERLINK(CONCATENATE("#metadata!", ADDRESS(INDEX($L$2:$L$1001,MATCH(ROWS($J$2:J560),$J$2:$J$1001,0),0), INDEX($Q$1004:$U$1004,1,MATCH(COLUMNS($Q$1006:U1006),$Q$1006:$U$1006,0)))),"Fix")))</f>
        <v xml:space="preserve"> </v>
      </c>
      <c r="J560">
        <v>559</v>
      </c>
      <c r="K560">
        <v>100560</v>
      </c>
      <c r="L560">
        <v>560</v>
      </c>
      <c r="M560" t="b">
        <f t="shared" si="8"/>
        <v>1</v>
      </c>
      <c r="N560" t="b">
        <f>COUNTBLANK(metadata!B560:F560)=COLUMNS(metadata!B560:F560)</f>
        <v>1</v>
      </c>
      <c r="O560" t="str">
        <v/>
      </c>
      <c r="Q560" t="b">
        <f ca="1">AND(IF(metadata!B560="",FALSE,TRUE),COUNTIF(metadata!B:B, metadata!B560) = 1,NOT(ISERROR(SUMPRODUCT(SEARCH(MID(metadata!B560,ROW(INDIRECT("1:"&amp;LEN(metadata!B560))), 1),"0123456789abcdefghijklmnopqrstuvwxyzABCDEFGHIJKLMNOPQRSTUVWXYZ.")))))</f>
        <v>0</v>
      </c>
      <c r="R560" t="b">
        <f>AND(IF(metadata!C560="",FALSE,TRUE),OR(EXACT(metadata!C560,"saline"),EXACT(metadata!C560,"non-saline")))</f>
        <v>0</v>
      </c>
      <c r="S560" t="b">
        <f>AND(IF(metadata!D560="",FALSE,TRUE),OR(EXACT(metadata!D560,"surface (non-saline)"),EXACT(metadata!D560,"aerosol (non-saline)"),EXACT(metadata!D560,"sediment (non-saline)"),EXACT(metadata!D560,"surface (saline)"),EXACT(metadata!D560,"aerosol (saline)"),EXACT(metadata!D560,"sediment (saline)")))</f>
        <v>0</v>
      </c>
      <c r="T560" t="b">
        <f>AND(IF(metadata!E560="",FALSE,TRUE),EXACT(metadata!E560,"built environment"))</f>
        <v>0</v>
      </c>
      <c r="U560" t="b">
        <f>OR(AND(IF(metadata!F560="",FALSE,TRUE),EXACT(metadata!F560,"not applicable")),AND(IF(metadata!F560="",FALSE,TRUE),EXACT(metadata!F560,"anaerobic digester content")))</f>
        <v>0</v>
      </c>
    </row>
    <row r="561" spans="1:21" x14ac:dyDescent="0.2">
      <c r="A561" s="4" t="str">
        <f ca="1">IF(B561=" "," ",HYPERLINK(CONCATENATE("#metadata!",ADDRESS(INDEX($L$2:$L$1001,MATCH(ROWS($J$2:J561),$J$2:$J$1001,0),0),1)),INDEX($O$2:$O$1001,MATCH(ROWS($J$2:J561),$J$2:$J$1001,0),0)))</f>
        <v xml:space="preserve"> </v>
      </c>
      <c r="B561" s="3" t="str">
        <f ca="1">IF(OR(INDEX($K$2:$K$1001,MATCH(ROWS($J$2:J561),$J$2:$J$1001,0),1)&gt;=100000,INDEX($Q$1005:$U$1005,1,MATCH(COLUMNS($Q$1006:Q1006),$Q$1006:$U$1006,0))&gt;=100000), " ",IF(INDEX($Q$2:$U$1001,MATCH(ROWS($J$2:J561),$J$2:$J$1001,0),MATCH(COLUMNS($Q$1006:Q1006),$Q$1006:$U$1006,0)), HYPERLINK("#",""), HYPERLINK(CONCATENATE("#metadata!", ADDRESS(INDEX($L$2:$L$1001,MATCH(ROWS($J$2:J561),$J$2:$J$1001,0),0), INDEX($Q$1004:$U$1004,1,MATCH(COLUMNS($Q$1006:Q1006),$Q$1006:$U$1006,0)))),"Fix")))</f>
        <v xml:space="preserve"> </v>
      </c>
      <c r="C561" s="3" t="str">
        <f ca="1">IF(OR(INDEX($K$2:$K$1001,MATCH(ROWS($J$2:J561),$J$2:$J$1001,0),1)&gt;=100000,INDEX($Q$1005:$U$1005,1,MATCH(COLUMNS($Q$1006:R1006),$Q$1006:$U$1006,0))&gt;=100000), " ",IF(INDEX($Q$2:$U$1001,MATCH(ROWS($J$2:J561),$J$2:$J$1001,0),MATCH(COLUMNS($Q$1006:R1006),$Q$1006:$U$1006,0)), HYPERLINK("#",""), HYPERLINK(CONCATENATE("#metadata!", ADDRESS(INDEX($L$2:$L$1001,MATCH(ROWS($J$2:J561),$J$2:$J$1001,0),0), INDEX($Q$1004:$U$1004,1,MATCH(COLUMNS($Q$1006:R1006),$Q$1006:$U$1006,0)))),"Fix")))</f>
        <v xml:space="preserve"> </v>
      </c>
      <c r="D561" s="3" t="str">
        <f ca="1">IF(OR(INDEX($K$2:$K$1001,MATCH(ROWS($J$2:J561),$J$2:$J$1001,0),1)&gt;=100000,INDEX($Q$1005:$U$1005,1,MATCH(COLUMNS($Q$1006:S1006),$Q$1006:$U$1006,0))&gt;=100000), " ",IF(INDEX($Q$2:$U$1001,MATCH(ROWS($J$2:J561),$J$2:$J$1001,0),MATCH(COLUMNS($Q$1006:S1006),$Q$1006:$U$1006,0)), HYPERLINK("#",""), HYPERLINK(CONCATENATE("#metadata!", ADDRESS(INDEX($L$2:$L$1001,MATCH(ROWS($J$2:J561),$J$2:$J$1001,0),0), INDEX($Q$1004:$U$1004,1,MATCH(COLUMNS($Q$1006:S1006),$Q$1006:$U$1006,0)))),"Fix")))</f>
        <v xml:space="preserve"> </v>
      </c>
      <c r="E561" s="3" t="str">
        <f ca="1">IF(OR(INDEX($K$2:$K$1001,MATCH(ROWS($J$2:J561),$J$2:$J$1001,0),1)&gt;=100000,INDEX($Q$1005:$U$1005,1,MATCH(COLUMNS($Q$1006:T1006),$Q$1006:$U$1006,0))&gt;=100000), " ",IF(INDEX($Q$2:$U$1001,MATCH(ROWS($J$2:J561),$J$2:$J$1001,0),MATCH(COLUMNS($Q$1006:T1006),$Q$1006:$U$1006,0)), HYPERLINK("#",""), HYPERLINK(CONCATENATE("#metadata!", ADDRESS(INDEX($L$2:$L$1001,MATCH(ROWS($J$2:J561),$J$2:$J$1001,0),0), INDEX($Q$1004:$U$1004,1,MATCH(COLUMNS($Q$1006:T1006),$Q$1006:$U$1006,0)))),"Fix")))</f>
        <v xml:space="preserve"> </v>
      </c>
      <c r="F561" s="3" t="str">
        <f ca="1">IF(OR(INDEX($K$2:$K$1001,MATCH(ROWS($J$2:J561),$J$2:$J$1001,0),1)&gt;=100000,INDEX($Q$1005:$U$1005,1,MATCH(COLUMNS($Q$1006:U1006),$Q$1006:$U$1006,0))&gt;=100000), " ",IF(INDEX($Q$2:$U$1001,MATCH(ROWS($J$2:J561),$J$2:$J$1001,0),MATCH(COLUMNS($Q$1006:U1006),$Q$1006:$U$1006,0)), HYPERLINK("#",""), HYPERLINK(CONCATENATE("#metadata!", ADDRESS(INDEX($L$2:$L$1001,MATCH(ROWS($J$2:J561),$J$2:$J$1001,0),0), INDEX($Q$1004:$U$1004,1,MATCH(COLUMNS($Q$1006:U1006),$Q$1006:$U$1006,0)))),"Fix")))</f>
        <v xml:space="preserve"> </v>
      </c>
      <c r="J561">
        <v>560</v>
      </c>
      <c r="K561">
        <v>100561</v>
      </c>
      <c r="L561">
        <v>561</v>
      </c>
      <c r="M561" t="b">
        <f t="shared" si="8"/>
        <v>1</v>
      </c>
      <c r="N561" t="b">
        <f>COUNTBLANK(metadata!B561:F561)=COLUMNS(metadata!B561:F561)</f>
        <v>1</v>
      </c>
      <c r="O561" t="str">
        <v/>
      </c>
      <c r="Q561" t="b">
        <f ca="1">AND(IF(metadata!B561="",FALSE,TRUE),COUNTIF(metadata!B:B, metadata!B561) = 1,NOT(ISERROR(SUMPRODUCT(SEARCH(MID(metadata!B561,ROW(INDIRECT("1:"&amp;LEN(metadata!B561))), 1),"0123456789abcdefghijklmnopqrstuvwxyzABCDEFGHIJKLMNOPQRSTUVWXYZ.")))))</f>
        <v>0</v>
      </c>
      <c r="R561" t="b">
        <f>AND(IF(metadata!C561="",FALSE,TRUE),OR(EXACT(metadata!C561,"saline"),EXACT(metadata!C561,"non-saline")))</f>
        <v>0</v>
      </c>
      <c r="S561" t="b">
        <f>AND(IF(metadata!D561="",FALSE,TRUE),OR(EXACT(metadata!D561,"surface (non-saline)"),EXACT(metadata!D561,"aerosol (non-saline)"),EXACT(metadata!D561,"sediment (non-saline)"),EXACT(metadata!D561,"surface (saline)"),EXACT(metadata!D561,"aerosol (saline)"),EXACT(metadata!D561,"sediment (saline)")))</f>
        <v>0</v>
      </c>
      <c r="T561" t="b">
        <f>AND(IF(metadata!E561="",FALSE,TRUE),EXACT(metadata!E561,"built environment"))</f>
        <v>0</v>
      </c>
      <c r="U561" t="b">
        <f>OR(AND(IF(metadata!F561="",FALSE,TRUE),EXACT(metadata!F561,"not applicable")),AND(IF(metadata!F561="",FALSE,TRUE),EXACT(metadata!F561,"anaerobic digester content")))</f>
        <v>0</v>
      </c>
    </row>
    <row r="562" spans="1:21" x14ac:dyDescent="0.2">
      <c r="A562" s="4" t="str">
        <f ca="1">IF(B562=" "," ",HYPERLINK(CONCATENATE("#metadata!",ADDRESS(INDEX($L$2:$L$1001,MATCH(ROWS($J$2:J562),$J$2:$J$1001,0),0),1)),INDEX($O$2:$O$1001,MATCH(ROWS($J$2:J562),$J$2:$J$1001,0),0)))</f>
        <v xml:space="preserve"> </v>
      </c>
      <c r="B562" s="3" t="str">
        <f ca="1">IF(OR(INDEX($K$2:$K$1001,MATCH(ROWS($J$2:J562),$J$2:$J$1001,0),1)&gt;=100000,INDEX($Q$1005:$U$1005,1,MATCH(COLUMNS($Q$1006:Q1006),$Q$1006:$U$1006,0))&gt;=100000), " ",IF(INDEX($Q$2:$U$1001,MATCH(ROWS($J$2:J562),$J$2:$J$1001,0),MATCH(COLUMNS($Q$1006:Q1006),$Q$1006:$U$1006,0)), HYPERLINK("#",""), HYPERLINK(CONCATENATE("#metadata!", ADDRESS(INDEX($L$2:$L$1001,MATCH(ROWS($J$2:J562),$J$2:$J$1001,0),0), INDEX($Q$1004:$U$1004,1,MATCH(COLUMNS($Q$1006:Q1006),$Q$1006:$U$1006,0)))),"Fix")))</f>
        <v xml:space="preserve"> </v>
      </c>
      <c r="C562" s="3" t="str">
        <f ca="1">IF(OR(INDEX($K$2:$K$1001,MATCH(ROWS($J$2:J562),$J$2:$J$1001,0),1)&gt;=100000,INDEX($Q$1005:$U$1005,1,MATCH(COLUMNS($Q$1006:R1006),$Q$1006:$U$1006,0))&gt;=100000), " ",IF(INDEX($Q$2:$U$1001,MATCH(ROWS($J$2:J562),$J$2:$J$1001,0),MATCH(COLUMNS($Q$1006:R1006),$Q$1006:$U$1006,0)), HYPERLINK("#",""), HYPERLINK(CONCATENATE("#metadata!", ADDRESS(INDEX($L$2:$L$1001,MATCH(ROWS($J$2:J562),$J$2:$J$1001,0),0), INDEX($Q$1004:$U$1004,1,MATCH(COLUMNS($Q$1006:R1006),$Q$1006:$U$1006,0)))),"Fix")))</f>
        <v xml:space="preserve"> </v>
      </c>
      <c r="D562" s="3" t="str">
        <f ca="1">IF(OR(INDEX($K$2:$K$1001,MATCH(ROWS($J$2:J562),$J$2:$J$1001,0),1)&gt;=100000,INDEX($Q$1005:$U$1005,1,MATCH(COLUMNS($Q$1006:S1006),$Q$1006:$U$1006,0))&gt;=100000), " ",IF(INDEX($Q$2:$U$1001,MATCH(ROWS($J$2:J562),$J$2:$J$1001,0),MATCH(COLUMNS($Q$1006:S1006),$Q$1006:$U$1006,0)), HYPERLINK("#",""), HYPERLINK(CONCATENATE("#metadata!", ADDRESS(INDEX($L$2:$L$1001,MATCH(ROWS($J$2:J562),$J$2:$J$1001,0),0), INDEX($Q$1004:$U$1004,1,MATCH(COLUMNS($Q$1006:S1006),$Q$1006:$U$1006,0)))),"Fix")))</f>
        <v xml:space="preserve"> </v>
      </c>
      <c r="E562" s="3" t="str">
        <f ca="1">IF(OR(INDEX($K$2:$K$1001,MATCH(ROWS($J$2:J562),$J$2:$J$1001,0),1)&gt;=100000,INDEX($Q$1005:$U$1005,1,MATCH(COLUMNS($Q$1006:T1006),$Q$1006:$U$1006,0))&gt;=100000), " ",IF(INDEX($Q$2:$U$1001,MATCH(ROWS($J$2:J562),$J$2:$J$1001,0),MATCH(COLUMNS($Q$1006:T1006),$Q$1006:$U$1006,0)), HYPERLINK("#",""), HYPERLINK(CONCATENATE("#metadata!", ADDRESS(INDEX($L$2:$L$1001,MATCH(ROWS($J$2:J562),$J$2:$J$1001,0),0), INDEX($Q$1004:$U$1004,1,MATCH(COLUMNS($Q$1006:T1006),$Q$1006:$U$1006,0)))),"Fix")))</f>
        <v xml:space="preserve"> </v>
      </c>
      <c r="F562" s="3" t="str">
        <f ca="1">IF(OR(INDEX($K$2:$K$1001,MATCH(ROWS($J$2:J562),$J$2:$J$1001,0),1)&gt;=100000,INDEX($Q$1005:$U$1005,1,MATCH(COLUMNS($Q$1006:U1006),$Q$1006:$U$1006,0))&gt;=100000), " ",IF(INDEX($Q$2:$U$1001,MATCH(ROWS($J$2:J562),$J$2:$J$1001,0),MATCH(COLUMNS($Q$1006:U1006),$Q$1006:$U$1006,0)), HYPERLINK("#",""), HYPERLINK(CONCATENATE("#metadata!", ADDRESS(INDEX($L$2:$L$1001,MATCH(ROWS($J$2:J562),$J$2:$J$1001,0),0), INDEX($Q$1004:$U$1004,1,MATCH(COLUMNS($Q$1006:U1006),$Q$1006:$U$1006,0)))),"Fix")))</f>
        <v xml:space="preserve"> </v>
      </c>
      <c r="J562">
        <v>561</v>
      </c>
      <c r="K562">
        <v>100562</v>
      </c>
      <c r="L562">
        <v>562</v>
      </c>
      <c r="M562" t="b">
        <f t="shared" si="8"/>
        <v>1</v>
      </c>
      <c r="N562" t="b">
        <f>COUNTBLANK(metadata!B562:F562)=COLUMNS(metadata!B562:F562)</f>
        <v>1</v>
      </c>
      <c r="O562" t="str">
        <v/>
      </c>
      <c r="Q562" t="b">
        <f ca="1">AND(IF(metadata!B562="",FALSE,TRUE),COUNTIF(metadata!B:B, metadata!B562) = 1,NOT(ISERROR(SUMPRODUCT(SEARCH(MID(metadata!B562,ROW(INDIRECT("1:"&amp;LEN(metadata!B562))), 1),"0123456789abcdefghijklmnopqrstuvwxyzABCDEFGHIJKLMNOPQRSTUVWXYZ.")))))</f>
        <v>0</v>
      </c>
      <c r="R562" t="b">
        <f>AND(IF(metadata!C562="",FALSE,TRUE),OR(EXACT(metadata!C562,"saline"),EXACT(metadata!C562,"non-saline")))</f>
        <v>0</v>
      </c>
      <c r="S562" t="b">
        <f>AND(IF(metadata!D562="",FALSE,TRUE),OR(EXACT(metadata!D562,"surface (non-saline)"),EXACT(metadata!D562,"aerosol (non-saline)"),EXACT(metadata!D562,"sediment (non-saline)"),EXACT(metadata!D562,"surface (saline)"),EXACT(metadata!D562,"aerosol (saline)"),EXACT(metadata!D562,"sediment (saline)")))</f>
        <v>0</v>
      </c>
      <c r="T562" t="b">
        <f>AND(IF(metadata!E562="",FALSE,TRUE),EXACT(metadata!E562,"built environment"))</f>
        <v>0</v>
      </c>
      <c r="U562" t="b">
        <f>OR(AND(IF(metadata!F562="",FALSE,TRUE),EXACT(metadata!F562,"not applicable")),AND(IF(metadata!F562="",FALSE,TRUE),EXACT(metadata!F562,"anaerobic digester content")))</f>
        <v>0</v>
      </c>
    </row>
    <row r="563" spans="1:21" x14ac:dyDescent="0.2">
      <c r="A563" s="4" t="str">
        <f ca="1">IF(B563=" "," ",HYPERLINK(CONCATENATE("#metadata!",ADDRESS(INDEX($L$2:$L$1001,MATCH(ROWS($J$2:J563),$J$2:$J$1001,0),0),1)),INDEX($O$2:$O$1001,MATCH(ROWS($J$2:J563),$J$2:$J$1001,0),0)))</f>
        <v xml:space="preserve"> </v>
      </c>
      <c r="B563" s="3" t="str">
        <f ca="1">IF(OR(INDEX($K$2:$K$1001,MATCH(ROWS($J$2:J563),$J$2:$J$1001,0),1)&gt;=100000,INDEX($Q$1005:$U$1005,1,MATCH(COLUMNS($Q$1006:Q1006),$Q$1006:$U$1006,0))&gt;=100000), " ",IF(INDEX($Q$2:$U$1001,MATCH(ROWS($J$2:J563),$J$2:$J$1001,0),MATCH(COLUMNS($Q$1006:Q1006),$Q$1006:$U$1006,0)), HYPERLINK("#",""), HYPERLINK(CONCATENATE("#metadata!", ADDRESS(INDEX($L$2:$L$1001,MATCH(ROWS($J$2:J563),$J$2:$J$1001,0),0), INDEX($Q$1004:$U$1004,1,MATCH(COLUMNS($Q$1006:Q1006),$Q$1006:$U$1006,0)))),"Fix")))</f>
        <v xml:space="preserve"> </v>
      </c>
      <c r="C563" s="3" t="str">
        <f ca="1">IF(OR(INDEX($K$2:$K$1001,MATCH(ROWS($J$2:J563),$J$2:$J$1001,0),1)&gt;=100000,INDEX($Q$1005:$U$1005,1,MATCH(COLUMNS($Q$1006:R1006),$Q$1006:$U$1006,0))&gt;=100000), " ",IF(INDEX($Q$2:$U$1001,MATCH(ROWS($J$2:J563),$J$2:$J$1001,0),MATCH(COLUMNS($Q$1006:R1006),$Q$1006:$U$1006,0)), HYPERLINK("#",""), HYPERLINK(CONCATENATE("#metadata!", ADDRESS(INDEX($L$2:$L$1001,MATCH(ROWS($J$2:J563),$J$2:$J$1001,0),0), INDEX($Q$1004:$U$1004,1,MATCH(COLUMNS($Q$1006:R1006),$Q$1006:$U$1006,0)))),"Fix")))</f>
        <v xml:space="preserve"> </v>
      </c>
      <c r="D563" s="3" t="str">
        <f ca="1">IF(OR(INDEX($K$2:$K$1001,MATCH(ROWS($J$2:J563),$J$2:$J$1001,0),1)&gt;=100000,INDEX($Q$1005:$U$1005,1,MATCH(COLUMNS($Q$1006:S1006),$Q$1006:$U$1006,0))&gt;=100000), " ",IF(INDEX($Q$2:$U$1001,MATCH(ROWS($J$2:J563),$J$2:$J$1001,0),MATCH(COLUMNS($Q$1006:S1006),$Q$1006:$U$1006,0)), HYPERLINK("#",""), HYPERLINK(CONCATENATE("#metadata!", ADDRESS(INDEX($L$2:$L$1001,MATCH(ROWS($J$2:J563),$J$2:$J$1001,0),0), INDEX($Q$1004:$U$1004,1,MATCH(COLUMNS($Q$1006:S1006),$Q$1006:$U$1006,0)))),"Fix")))</f>
        <v xml:space="preserve"> </v>
      </c>
      <c r="E563" s="3" t="str">
        <f ca="1">IF(OR(INDEX($K$2:$K$1001,MATCH(ROWS($J$2:J563),$J$2:$J$1001,0),1)&gt;=100000,INDEX($Q$1005:$U$1005,1,MATCH(COLUMNS($Q$1006:T1006),$Q$1006:$U$1006,0))&gt;=100000), " ",IF(INDEX($Q$2:$U$1001,MATCH(ROWS($J$2:J563),$J$2:$J$1001,0),MATCH(COLUMNS($Q$1006:T1006),$Q$1006:$U$1006,0)), HYPERLINK("#",""), HYPERLINK(CONCATENATE("#metadata!", ADDRESS(INDEX($L$2:$L$1001,MATCH(ROWS($J$2:J563),$J$2:$J$1001,0),0), INDEX($Q$1004:$U$1004,1,MATCH(COLUMNS($Q$1006:T1006),$Q$1006:$U$1006,0)))),"Fix")))</f>
        <v xml:space="preserve"> </v>
      </c>
      <c r="F563" s="3" t="str">
        <f ca="1">IF(OR(INDEX($K$2:$K$1001,MATCH(ROWS($J$2:J563),$J$2:$J$1001,0),1)&gt;=100000,INDEX($Q$1005:$U$1005,1,MATCH(COLUMNS($Q$1006:U1006),$Q$1006:$U$1006,0))&gt;=100000), " ",IF(INDEX($Q$2:$U$1001,MATCH(ROWS($J$2:J563),$J$2:$J$1001,0),MATCH(COLUMNS($Q$1006:U1006),$Q$1006:$U$1006,0)), HYPERLINK("#",""), HYPERLINK(CONCATENATE("#metadata!", ADDRESS(INDEX($L$2:$L$1001,MATCH(ROWS($J$2:J563),$J$2:$J$1001,0),0), INDEX($Q$1004:$U$1004,1,MATCH(COLUMNS($Q$1006:U1006),$Q$1006:$U$1006,0)))),"Fix")))</f>
        <v xml:space="preserve"> </v>
      </c>
      <c r="J563">
        <v>562</v>
      </c>
      <c r="K563">
        <v>100563</v>
      </c>
      <c r="L563">
        <v>563</v>
      </c>
      <c r="M563" t="b">
        <f t="shared" si="8"/>
        <v>1</v>
      </c>
      <c r="N563" t="b">
        <f>COUNTBLANK(metadata!B563:F563)=COLUMNS(metadata!B563:F563)</f>
        <v>1</v>
      </c>
      <c r="O563" t="str">
        <v/>
      </c>
      <c r="Q563" t="b">
        <f ca="1">AND(IF(metadata!B563="",FALSE,TRUE),COUNTIF(metadata!B:B, metadata!B563) = 1,NOT(ISERROR(SUMPRODUCT(SEARCH(MID(metadata!B563,ROW(INDIRECT("1:"&amp;LEN(metadata!B563))), 1),"0123456789abcdefghijklmnopqrstuvwxyzABCDEFGHIJKLMNOPQRSTUVWXYZ.")))))</f>
        <v>0</v>
      </c>
      <c r="R563" t="b">
        <f>AND(IF(metadata!C563="",FALSE,TRUE),OR(EXACT(metadata!C563,"saline"),EXACT(metadata!C563,"non-saline")))</f>
        <v>0</v>
      </c>
      <c r="S563" t="b">
        <f>AND(IF(metadata!D563="",FALSE,TRUE),OR(EXACT(metadata!D563,"surface (non-saline)"),EXACT(metadata!D563,"aerosol (non-saline)"),EXACT(metadata!D563,"sediment (non-saline)"),EXACT(metadata!D563,"surface (saline)"),EXACT(metadata!D563,"aerosol (saline)"),EXACT(metadata!D563,"sediment (saline)")))</f>
        <v>0</v>
      </c>
      <c r="T563" t="b">
        <f>AND(IF(metadata!E563="",FALSE,TRUE),EXACT(metadata!E563,"built environment"))</f>
        <v>0</v>
      </c>
      <c r="U563" t="b">
        <f>OR(AND(IF(metadata!F563="",FALSE,TRUE),EXACT(metadata!F563,"not applicable")),AND(IF(metadata!F563="",FALSE,TRUE),EXACT(metadata!F563,"anaerobic digester content")))</f>
        <v>0</v>
      </c>
    </row>
    <row r="564" spans="1:21" x14ac:dyDescent="0.2">
      <c r="A564" s="4" t="str">
        <f ca="1">IF(B564=" "," ",HYPERLINK(CONCATENATE("#metadata!",ADDRESS(INDEX($L$2:$L$1001,MATCH(ROWS($J$2:J564),$J$2:$J$1001,0),0),1)),INDEX($O$2:$O$1001,MATCH(ROWS($J$2:J564),$J$2:$J$1001,0),0)))</f>
        <v xml:space="preserve"> </v>
      </c>
      <c r="B564" s="3" t="str">
        <f ca="1">IF(OR(INDEX($K$2:$K$1001,MATCH(ROWS($J$2:J564),$J$2:$J$1001,0),1)&gt;=100000,INDEX($Q$1005:$U$1005,1,MATCH(COLUMNS($Q$1006:Q1006),$Q$1006:$U$1006,0))&gt;=100000), " ",IF(INDEX($Q$2:$U$1001,MATCH(ROWS($J$2:J564),$J$2:$J$1001,0),MATCH(COLUMNS($Q$1006:Q1006),$Q$1006:$U$1006,0)), HYPERLINK("#",""), HYPERLINK(CONCATENATE("#metadata!", ADDRESS(INDEX($L$2:$L$1001,MATCH(ROWS($J$2:J564),$J$2:$J$1001,0),0), INDEX($Q$1004:$U$1004,1,MATCH(COLUMNS($Q$1006:Q1006),$Q$1006:$U$1006,0)))),"Fix")))</f>
        <v xml:space="preserve"> </v>
      </c>
      <c r="C564" s="3" t="str">
        <f ca="1">IF(OR(INDEX($K$2:$K$1001,MATCH(ROWS($J$2:J564),$J$2:$J$1001,0),1)&gt;=100000,INDEX($Q$1005:$U$1005,1,MATCH(COLUMNS($Q$1006:R1006),$Q$1006:$U$1006,0))&gt;=100000), " ",IF(INDEX($Q$2:$U$1001,MATCH(ROWS($J$2:J564),$J$2:$J$1001,0),MATCH(COLUMNS($Q$1006:R1006),$Q$1006:$U$1006,0)), HYPERLINK("#",""), HYPERLINK(CONCATENATE("#metadata!", ADDRESS(INDEX($L$2:$L$1001,MATCH(ROWS($J$2:J564),$J$2:$J$1001,0),0), INDEX($Q$1004:$U$1004,1,MATCH(COLUMNS($Q$1006:R1006),$Q$1006:$U$1006,0)))),"Fix")))</f>
        <v xml:space="preserve"> </v>
      </c>
      <c r="D564" s="3" t="str">
        <f ca="1">IF(OR(INDEX($K$2:$K$1001,MATCH(ROWS($J$2:J564),$J$2:$J$1001,0),1)&gt;=100000,INDEX($Q$1005:$U$1005,1,MATCH(COLUMNS($Q$1006:S1006),$Q$1006:$U$1006,0))&gt;=100000), " ",IF(INDEX($Q$2:$U$1001,MATCH(ROWS($J$2:J564),$J$2:$J$1001,0),MATCH(COLUMNS($Q$1006:S1006),$Q$1006:$U$1006,0)), HYPERLINK("#",""), HYPERLINK(CONCATENATE("#metadata!", ADDRESS(INDEX($L$2:$L$1001,MATCH(ROWS($J$2:J564),$J$2:$J$1001,0),0), INDEX($Q$1004:$U$1004,1,MATCH(COLUMNS($Q$1006:S1006),$Q$1006:$U$1006,0)))),"Fix")))</f>
        <v xml:space="preserve"> </v>
      </c>
      <c r="E564" s="3" t="str">
        <f ca="1">IF(OR(INDEX($K$2:$K$1001,MATCH(ROWS($J$2:J564),$J$2:$J$1001,0),1)&gt;=100000,INDEX($Q$1005:$U$1005,1,MATCH(COLUMNS($Q$1006:T1006),$Q$1006:$U$1006,0))&gt;=100000), " ",IF(INDEX($Q$2:$U$1001,MATCH(ROWS($J$2:J564),$J$2:$J$1001,0),MATCH(COLUMNS($Q$1006:T1006),$Q$1006:$U$1006,0)), HYPERLINK("#",""), HYPERLINK(CONCATENATE("#metadata!", ADDRESS(INDEX($L$2:$L$1001,MATCH(ROWS($J$2:J564),$J$2:$J$1001,0),0), INDEX($Q$1004:$U$1004,1,MATCH(COLUMNS($Q$1006:T1006),$Q$1006:$U$1006,0)))),"Fix")))</f>
        <v xml:space="preserve"> </v>
      </c>
      <c r="F564" s="3" t="str">
        <f ca="1">IF(OR(INDEX($K$2:$K$1001,MATCH(ROWS($J$2:J564),$J$2:$J$1001,0),1)&gt;=100000,INDEX($Q$1005:$U$1005,1,MATCH(COLUMNS($Q$1006:U1006),$Q$1006:$U$1006,0))&gt;=100000), " ",IF(INDEX($Q$2:$U$1001,MATCH(ROWS($J$2:J564),$J$2:$J$1001,0),MATCH(COLUMNS($Q$1006:U1006),$Q$1006:$U$1006,0)), HYPERLINK("#",""), HYPERLINK(CONCATENATE("#metadata!", ADDRESS(INDEX($L$2:$L$1001,MATCH(ROWS($J$2:J564),$J$2:$J$1001,0),0), INDEX($Q$1004:$U$1004,1,MATCH(COLUMNS($Q$1006:U1006),$Q$1006:$U$1006,0)))),"Fix")))</f>
        <v xml:space="preserve"> </v>
      </c>
      <c r="J564">
        <v>563</v>
      </c>
      <c r="K564">
        <v>100564</v>
      </c>
      <c r="L564">
        <v>564</v>
      </c>
      <c r="M564" t="b">
        <f t="shared" si="8"/>
        <v>1</v>
      </c>
      <c r="N564" t="b">
        <f>COUNTBLANK(metadata!B564:F564)=COLUMNS(metadata!B564:F564)</f>
        <v>1</v>
      </c>
      <c r="O564" t="str">
        <v/>
      </c>
      <c r="Q564" t="b">
        <f ca="1">AND(IF(metadata!B564="",FALSE,TRUE),COUNTIF(metadata!B:B, metadata!B564) = 1,NOT(ISERROR(SUMPRODUCT(SEARCH(MID(metadata!B564,ROW(INDIRECT("1:"&amp;LEN(metadata!B564))), 1),"0123456789abcdefghijklmnopqrstuvwxyzABCDEFGHIJKLMNOPQRSTUVWXYZ.")))))</f>
        <v>0</v>
      </c>
      <c r="R564" t="b">
        <f>AND(IF(metadata!C564="",FALSE,TRUE),OR(EXACT(metadata!C564,"saline"),EXACT(metadata!C564,"non-saline")))</f>
        <v>0</v>
      </c>
      <c r="S564" t="b">
        <f>AND(IF(metadata!D564="",FALSE,TRUE),OR(EXACT(metadata!D564,"surface (non-saline)"),EXACT(metadata!D564,"aerosol (non-saline)"),EXACT(metadata!D564,"sediment (non-saline)"),EXACT(metadata!D564,"surface (saline)"),EXACT(metadata!D564,"aerosol (saline)"),EXACT(metadata!D564,"sediment (saline)")))</f>
        <v>0</v>
      </c>
      <c r="T564" t="b">
        <f>AND(IF(metadata!E564="",FALSE,TRUE),EXACT(metadata!E564,"built environment"))</f>
        <v>0</v>
      </c>
      <c r="U564" t="b">
        <f>OR(AND(IF(metadata!F564="",FALSE,TRUE),EXACT(metadata!F564,"not applicable")),AND(IF(metadata!F564="",FALSE,TRUE),EXACT(metadata!F564,"anaerobic digester content")))</f>
        <v>0</v>
      </c>
    </row>
    <row r="565" spans="1:21" x14ac:dyDescent="0.2">
      <c r="A565" s="4" t="str">
        <f ca="1">IF(B565=" "," ",HYPERLINK(CONCATENATE("#metadata!",ADDRESS(INDEX($L$2:$L$1001,MATCH(ROWS($J$2:J565),$J$2:$J$1001,0),0),1)),INDEX($O$2:$O$1001,MATCH(ROWS($J$2:J565),$J$2:$J$1001,0),0)))</f>
        <v xml:space="preserve"> </v>
      </c>
      <c r="B565" s="3" t="str">
        <f ca="1">IF(OR(INDEX($K$2:$K$1001,MATCH(ROWS($J$2:J565),$J$2:$J$1001,0),1)&gt;=100000,INDEX($Q$1005:$U$1005,1,MATCH(COLUMNS($Q$1006:Q1006),$Q$1006:$U$1006,0))&gt;=100000), " ",IF(INDEX($Q$2:$U$1001,MATCH(ROWS($J$2:J565),$J$2:$J$1001,0),MATCH(COLUMNS($Q$1006:Q1006),$Q$1006:$U$1006,0)), HYPERLINK("#",""), HYPERLINK(CONCATENATE("#metadata!", ADDRESS(INDEX($L$2:$L$1001,MATCH(ROWS($J$2:J565),$J$2:$J$1001,0),0), INDEX($Q$1004:$U$1004,1,MATCH(COLUMNS($Q$1006:Q1006),$Q$1006:$U$1006,0)))),"Fix")))</f>
        <v xml:space="preserve"> </v>
      </c>
      <c r="C565" s="3" t="str">
        <f ca="1">IF(OR(INDEX($K$2:$K$1001,MATCH(ROWS($J$2:J565),$J$2:$J$1001,0),1)&gt;=100000,INDEX($Q$1005:$U$1005,1,MATCH(COLUMNS($Q$1006:R1006),$Q$1006:$U$1006,0))&gt;=100000), " ",IF(INDEX($Q$2:$U$1001,MATCH(ROWS($J$2:J565),$J$2:$J$1001,0),MATCH(COLUMNS($Q$1006:R1006),$Q$1006:$U$1006,0)), HYPERLINK("#",""), HYPERLINK(CONCATENATE("#metadata!", ADDRESS(INDEX($L$2:$L$1001,MATCH(ROWS($J$2:J565),$J$2:$J$1001,0),0), INDEX($Q$1004:$U$1004,1,MATCH(COLUMNS($Q$1006:R1006),$Q$1006:$U$1006,0)))),"Fix")))</f>
        <v xml:space="preserve"> </v>
      </c>
      <c r="D565" s="3" t="str">
        <f ca="1">IF(OR(INDEX($K$2:$K$1001,MATCH(ROWS($J$2:J565),$J$2:$J$1001,0),1)&gt;=100000,INDEX($Q$1005:$U$1005,1,MATCH(COLUMNS($Q$1006:S1006),$Q$1006:$U$1006,0))&gt;=100000), " ",IF(INDEX($Q$2:$U$1001,MATCH(ROWS($J$2:J565),$J$2:$J$1001,0),MATCH(COLUMNS($Q$1006:S1006),$Q$1006:$U$1006,0)), HYPERLINK("#",""), HYPERLINK(CONCATENATE("#metadata!", ADDRESS(INDEX($L$2:$L$1001,MATCH(ROWS($J$2:J565),$J$2:$J$1001,0),0), INDEX($Q$1004:$U$1004,1,MATCH(COLUMNS($Q$1006:S1006),$Q$1006:$U$1006,0)))),"Fix")))</f>
        <v xml:space="preserve"> </v>
      </c>
      <c r="E565" s="3" t="str">
        <f ca="1">IF(OR(INDEX($K$2:$K$1001,MATCH(ROWS($J$2:J565),$J$2:$J$1001,0),1)&gt;=100000,INDEX($Q$1005:$U$1005,1,MATCH(COLUMNS($Q$1006:T1006),$Q$1006:$U$1006,0))&gt;=100000), " ",IF(INDEX($Q$2:$U$1001,MATCH(ROWS($J$2:J565),$J$2:$J$1001,0),MATCH(COLUMNS($Q$1006:T1006),$Q$1006:$U$1006,0)), HYPERLINK("#",""), HYPERLINK(CONCATENATE("#metadata!", ADDRESS(INDEX($L$2:$L$1001,MATCH(ROWS($J$2:J565),$J$2:$J$1001,0),0), INDEX($Q$1004:$U$1004,1,MATCH(COLUMNS($Q$1006:T1006),$Q$1006:$U$1006,0)))),"Fix")))</f>
        <v xml:space="preserve"> </v>
      </c>
      <c r="F565" s="3" t="str">
        <f ca="1">IF(OR(INDEX($K$2:$K$1001,MATCH(ROWS($J$2:J565),$J$2:$J$1001,0),1)&gt;=100000,INDEX($Q$1005:$U$1005,1,MATCH(COLUMNS($Q$1006:U1006),$Q$1006:$U$1006,0))&gt;=100000), " ",IF(INDEX($Q$2:$U$1001,MATCH(ROWS($J$2:J565),$J$2:$J$1001,0),MATCH(COLUMNS($Q$1006:U1006),$Q$1006:$U$1006,0)), HYPERLINK("#",""), HYPERLINK(CONCATENATE("#metadata!", ADDRESS(INDEX($L$2:$L$1001,MATCH(ROWS($J$2:J565),$J$2:$J$1001,0),0), INDEX($Q$1004:$U$1004,1,MATCH(COLUMNS($Q$1006:U1006),$Q$1006:$U$1006,0)))),"Fix")))</f>
        <v xml:space="preserve"> </v>
      </c>
      <c r="J565">
        <v>564</v>
      </c>
      <c r="K565">
        <v>100565</v>
      </c>
      <c r="L565">
        <v>565</v>
      </c>
      <c r="M565" t="b">
        <f t="shared" si="8"/>
        <v>1</v>
      </c>
      <c r="N565" t="b">
        <f>COUNTBLANK(metadata!B565:F565)=COLUMNS(metadata!B565:F565)</f>
        <v>1</v>
      </c>
      <c r="O565" t="str">
        <v/>
      </c>
      <c r="Q565" t="b">
        <f ca="1">AND(IF(metadata!B565="",FALSE,TRUE),COUNTIF(metadata!B:B, metadata!B565) = 1,NOT(ISERROR(SUMPRODUCT(SEARCH(MID(metadata!B565,ROW(INDIRECT("1:"&amp;LEN(metadata!B565))), 1),"0123456789abcdefghijklmnopqrstuvwxyzABCDEFGHIJKLMNOPQRSTUVWXYZ.")))))</f>
        <v>0</v>
      </c>
      <c r="R565" t="b">
        <f>AND(IF(metadata!C565="",FALSE,TRUE),OR(EXACT(metadata!C565,"saline"),EXACT(metadata!C565,"non-saline")))</f>
        <v>0</v>
      </c>
      <c r="S565" t="b">
        <f>AND(IF(metadata!D565="",FALSE,TRUE),OR(EXACT(metadata!D565,"surface (non-saline)"),EXACT(metadata!D565,"aerosol (non-saline)"),EXACT(metadata!D565,"sediment (non-saline)"),EXACT(metadata!D565,"surface (saline)"),EXACT(metadata!D565,"aerosol (saline)"),EXACT(metadata!D565,"sediment (saline)")))</f>
        <v>0</v>
      </c>
      <c r="T565" t="b">
        <f>AND(IF(metadata!E565="",FALSE,TRUE),EXACT(metadata!E565,"built environment"))</f>
        <v>0</v>
      </c>
      <c r="U565" t="b">
        <f>OR(AND(IF(metadata!F565="",FALSE,TRUE),EXACT(metadata!F565,"not applicable")),AND(IF(metadata!F565="",FALSE,TRUE),EXACT(metadata!F565,"anaerobic digester content")))</f>
        <v>0</v>
      </c>
    </row>
    <row r="566" spans="1:21" x14ac:dyDescent="0.2">
      <c r="A566" s="4" t="str">
        <f ca="1">IF(B566=" "," ",HYPERLINK(CONCATENATE("#metadata!",ADDRESS(INDEX($L$2:$L$1001,MATCH(ROWS($J$2:J566),$J$2:$J$1001,0),0),1)),INDEX($O$2:$O$1001,MATCH(ROWS($J$2:J566),$J$2:$J$1001,0),0)))</f>
        <v xml:space="preserve"> </v>
      </c>
      <c r="B566" s="3" t="str">
        <f ca="1">IF(OR(INDEX($K$2:$K$1001,MATCH(ROWS($J$2:J566),$J$2:$J$1001,0),1)&gt;=100000,INDEX($Q$1005:$U$1005,1,MATCH(COLUMNS($Q$1006:Q1006),$Q$1006:$U$1006,0))&gt;=100000), " ",IF(INDEX($Q$2:$U$1001,MATCH(ROWS($J$2:J566),$J$2:$J$1001,0),MATCH(COLUMNS($Q$1006:Q1006),$Q$1006:$U$1006,0)), HYPERLINK("#",""), HYPERLINK(CONCATENATE("#metadata!", ADDRESS(INDEX($L$2:$L$1001,MATCH(ROWS($J$2:J566),$J$2:$J$1001,0),0), INDEX($Q$1004:$U$1004,1,MATCH(COLUMNS($Q$1006:Q1006),$Q$1006:$U$1006,0)))),"Fix")))</f>
        <v xml:space="preserve"> </v>
      </c>
      <c r="C566" s="3" t="str">
        <f ca="1">IF(OR(INDEX($K$2:$K$1001,MATCH(ROWS($J$2:J566),$J$2:$J$1001,0),1)&gt;=100000,INDEX($Q$1005:$U$1005,1,MATCH(COLUMNS($Q$1006:R1006),$Q$1006:$U$1006,0))&gt;=100000), " ",IF(INDEX($Q$2:$U$1001,MATCH(ROWS($J$2:J566),$J$2:$J$1001,0),MATCH(COLUMNS($Q$1006:R1006),$Q$1006:$U$1006,0)), HYPERLINK("#",""), HYPERLINK(CONCATENATE("#metadata!", ADDRESS(INDEX($L$2:$L$1001,MATCH(ROWS($J$2:J566),$J$2:$J$1001,0),0), INDEX($Q$1004:$U$1004,1,MATCH(COLUMNS($Q$1006:R1006),$Q$1006:$U$1006,0)))),"Fix")))</f>
        <v xml:space="preserve"> </v>
      </c>
      <c r="D566" s="3" t="str">
        <f ca="1">IF(OR(INDEX($K$2:$K$1001,MATCH(ROWS($J$2:J566),$J$2:$J$1001,0),1)&gt;=100000,INDEX($Q$1005:$U$1005,1,MATCH(COLUMNS($Q$1006:S1006),$Q$1006:$U$1006,0))&gt;=100000), " ",IF(INDEX($Q$2:$U$1001,MATCH(ROWS($J$2:J566),$J$2:$J$1001,0),MATCH(COLUMNS($Q$1006:S1006),$Q$1006:$U$1006,0)), HYPERLINK("#",""), HYPERLINK(CONCATENATE("#metadata!", ADDRESS(INDEX($L$2:$L$1001,MATCH(ROWS($J$2:J566),$J$2:$J$1001,0),0), INDEX($Q$1004:$U$1004,1,MATCH(COLUMNS($Q$1006:S1006),$Q$1006:$U$1006,0)))),"Fix")))</f>
        <v xml:space="preserve"> </v>
      </c>
      <c r="E566" s="3" t="str">
        <f ca="1">IF(OR(INDEX($K$2:$K$1001,MATCH(ROWS($J$2:J566),$J$2:$J$1001,0),1)&gt;=100000,INDEX($Q$1005:$U$1005,1,MATCH(COLUMNS($Q$1006:T1006),$Q$1006:$U$1006,0))&gt;=100000), " ",IF(INDEX($Q$2:$U$1001,MATCH(ROWS($J$2:J566),$J$2:$J$1001,0),MATCH(COLUMNS($Q$1006:T1006),$Q$1006:$U$1006,0)), HYPERLINK("#",""), HYPERLINK(CONCATENATE("#metadata!", ADDRESS(INDEX($L$2:$L$1001,MATCH(ROWS($J$2:J566),$J$2:$J$1001,0),0), INDEX($Q$1004:$U$1004,1,MATCH(COLUMNS($Q$1006:T1006),$Q$1006:$U$1006,0)))),"Fix")))</f>
        <v xml:space="preserve"> </v>
      </c>
      <c r="F566" s="3" t="str">
        <f ca="1">IF(OR(INDEX($K$2:$K$1001,MATCH(ROWS($J$2:J566),$J$2:$J$1001,0),1)&gt;=100000,INDEX($Q$1005:$U$1005,1,MATCH(COLUMNS($Q$1006:U1006),$Q$1006:$U$1006,0))&gt;=100000), " ",IF(INDEX($Q$2:$U$1001,MATCH(ROWS($J$2:J566),$J$2:$J$1001,0),MATCH(COLUMNS($Q$1006:U1006),$Q$1006:$U$1006,0)), HYPERLINK("#",""), HYPERLINK(CONCATENATE("#metadata!", ADDRESS(INDEX($L$2:$L$1001,MATCH(ROWS($J$2:J566),$J$2:$J$1001,0),0), INDEX($Q$1004:$U$1004,1,MATCH(COLUMNS($Q$1006:U1006),$Q$1006:$U$1006,0)))),"Fix")))</f>
        <v xml:space="preserve"> </v>
      </c>
      <c r="J566">
        <v>565</v>
      </c>
      <c r="K566">
        <v>100566</v>
      </c>
      <c r="L566">
        <v>566</v>
      </c>
      <c r="M566" t="b">
        <f t="shared" si="8"/>
        <v>1</v>
      </c>
      <c r="N566" t="b">
        <f>COUNTBLANK(metadata!B566:F566)=COLUMNS(metadata!B566:F566)</f>
        <v>1</v>
      </c>
      <c r="O566" t="str">
        <v/>
      </c>
      <c r="Q566" t="b">
        <f ca="1">AND(IF(metadata!B566="",FALSE,TRUE),COUNTIF(metadata!B:B, metadata!B566) = 1,NOT(ISERROR(SUMPRODUCT(SEARCH(MID(metadata!B566,ROW(INDIRECT("1:"&amp;LEN(metadata!B566))), 1),"0123456789abcdefghijklmnopqrstuvwxyzABCDEFGHIJKLMNOPQRSTUVWXYZ.")))))</f>
        <v>0</v>
      </c>
      <c r="R566" t="b">
        <f>AND(IF(metadata!C566="",FALSE,TRUE),OR(EXACT(metadata!C566,"saline"),EXACT(metadata!C566,"non-saline")))</f>
        <v>0</v>
      </c>
      <c r="S566" t="b">
        <f>AND(IF(metadata!D566="",FALSE,TRUE),OR(EXACT(metadata!D566,"surface (non-saline)"),EXACT(metadata!D566,"aerosol (non-saline)"),EXACT(metadata!D566,"sediment (non-saline)"),EXACT(metadata!D566,"surface (saline)"),EXACT(metadata!D566,"aerosol (saline)"),EXACT(metadata!D566,"sediment (saline)")))</f>
        <v>0</v>
      </c>
      <c r="T566" t="b">
        <f>AND(IF(metadata!E566="",FALSE,TRUE),EXACT(metadata!E566,"built environment"))</f>
        <v>0</v>
      </c>
      <c r="U566" t="b">
        <f>OR(AND(IF(metadata!F566="",FALSE,TRUE),EXACT(metadata!F566,"not applicable")),AND(IF(metadata!F566="",FALSE,TRUE),EXACT(metadata!F566,"anaerobic digester content")))</f>
        <v>0</v>
      </c>
    </row>
    <row r="567" spans="1:21" x14ac:dyDescent="0.2">
      <c r="A567" s="4" t="str">
        <f ca="1">IF(B567=" "," ",HYPERLINK(CONCATENATE("#metadata!",ADDRESS(INDEX($L$2:$L$1001,MATCH(ROWS($J$2:J567),$J$2:$J$1001,0),0),1)),INDEX($O$2:$O$1001,MATCH(ROWS($J$2:J567),$J$2:$J$1001,0),0)))</f>
        <v xml:space="preserve"> </v>
      </c>
      <c r="B567" s="3" t="str">
        <f ca="1">IF(OR(INDEX($K$2:$K$1001,MATCH(ROWS($J$2:J567),$J$2:$J$1001,0),1)&gt;=100000,INDEX($Q$1005:$U$1005,1,MATCH(COLUMNS($Q$1006:Q1006),$Q$1006:$U$1006,0))&gt;=100000), " ",IF(INDEX($Q$2:$U$1001,MATCH(ROWS($J$2:J567),$J$2:$J$1001,0),MATCH(COLUMNS($Q$1006:Q1006),$Q$1006:$U$1006,0)), HYPERLINK("#",""), HYPERLINK(CONCATENATE("#metadata!", ADDRESS(INDEX($L$2:$L$1001,MATCH(ROWS($J$2:J567),$J$2:$J$1001,0),0), INDEX($Q$1004:$U$1004,1,MATCH(COLUMNS($Q$1006:Q1006),$Q$1006:$U$1006,0)))),"Fix")))</f>
        <v xml:space="preserve"> </v>
      </c>
      <c r="C567" s="3" t="str">
        <f ca="1">IF(OR(INDEX($K$2:$K$1001,MATCH(ROWS($J$2:J567),$J$2:$J$1001,0),1)&gt;=100000,INDEX($Q$1005:$U$1005,1,MATCH(COLUMNS($Q$1006:R1006),$Q$1006:$U$1006,0))&gt;=100000), " ",IF(INDEX($Q$2:$U$1001,MATCH(ROWS($J$2:J567),$J$2:$J$1001,0),MATCH(COLUMNS($Q$1006:R1006),$Q$1006:$U$1006,0)), HYPERLINK("#",""), HYPERLINK(CONCATENATE("#metadata!", ADDRESS(INDEX($L$2:$L$1001,MATCH(ROWS($J$2:J567),$J$2:$J$1001,0),0), INDEX($Q$1004:$U$1004,1,MATCH(COLUMNS($Q$1006:R1006),$Q$1006:$U$1006,0)))),"Fix")))</f>
        <v xml:space="preserve"> </v>
      </c>
      <c r="D567" s="3" t="str">
        <f ca="1">IF(OR(INDEX($K$2:$K$1001,MATCH(ROWS($J$2:J567),$J$2:$J$1001,0),1)&gt;=100000,INDEX($Q$1005:$U$1005,1,MATCH(COLUMNS($Q$1006:S1006),$Q$1006:$U$1006,0))&gt;=100000), " ",IF(INDEX($Q$2:$U$1001,MATCH(ROWS($J$2:J567),$J$2:$J$1001,0),MATCH(COLUMNS($Q$1006:S1006),$Q$1006:$U$1006,0)), HYPERLINK("#",""), HYPERLINK(CONCATENATE("#metadata!", ADDRESS(INDEX($L$2:$L$1001,MATCH(ROWS($J$2:J567),$J$2:$J$1001,0),0), INDEX($Q$1004:$U$1004,1,MATCH(COLUMNS($Q$1006:S1006),$Q$1006:$U$1006,0)))),"Fix")))</f>
        <v xml:space="preserve"> </v>
      </c>
      <c r="E567" s="3" t="str">
        <f ca="1">IF(OR(INDEX($K$2:$K$1001,MATCH(ROWS($J$2:J567),$J$2:$J$1001,0),1)&gt;=100000,INDEX($Q$1005:$U$1005,1,MATCH(COLUMNS($Q$1006:T1006),$Q$1006:$U$1006,0))&gt;=100000), " ",IF(INDEX($Q$2:$U$1001,MATCH(ROWS($J$2:J567),$J$2:$J$1001,0),MATCH(COLUMNS($Q$1006:T1006),$Q$1006:$U$1006,0)), HYPERLINK("#",""), HYPERLINK(CONCATENATE("#metadata!", ADDRESS(INDEX($L$2:$L$1001,MATCH(ROWS($J$2:J567),$J$2:$J$1001,0),0), INDEX($Q$1004:$U$1004,1,MATCH(COLUMNS($Q$1006:T1006),$Q$1006:$U$1006,0)))),"Fix")))</f>
        <v xml:space="preserve"> </v>
      </c>
      <c r="F567" s="3" t="str">
        <f ca="1">IF(OR(INDEX($K$2:$K$1001,MATCH(ROWS($J$2:J567),$J$2:$J$1001,0),1)&gt;=100000,INDEX($Q$1005:$U$1005,1,MATCH(COLUMNS($Q$1006:U1006),$Q$1006:$U$1006,0))&gt;=100000), " ",IF(INDEX($Q$2:$U$1001,MATCH(ROWS($J$2:J567),$J$2:$J$1001,0),MATCH(COLUMNS($Q$1006:U1006),$Q$1006:$U$1006,0)), HYPERLINK("#",""), HYPERLINK(CONCATENATE("#metadata!", ADDRESS(INDEX($L$2:$L$1001,MATCH(ROWS($J$2:J567),$J$2:$J$1001,0),0), INDEX($Q$1004:$U$1004,1,MATCH(COLUMNS($Q$1006:U1006),$Q$1006:$U$1006,0)))),"Fix")))</f>
        <v xml:space="preserve"> </v>
      </c>
      <c r="J567">
        <v>566</v>
      </c>
      <c r="K567">
        <v>100567</v>
      </c>
      <c r="L567">
        <v>567</v>
      </c>
      <c r="M567" t="b">
        <f t="shared" si="8"/>
        <v>1</v>
      </c>
      <c r="N567" t="b">
        <f>COUNTBLANK(metadata!B567:F567)=COLUMNS(metadata!B567:F567)</f>
        <v>1</v>
      </c>
      <c r="O567" t="str">
        <v/>
      </c>
      <c r="Q567" t="b">
        <f ca="1">AND(IF(metadata!B567="",FALSE,TRUE),COUNTIF(metadata!B:B, metadata!B567) = 1,NOT(ISERROR(SUMPRODUCT(SEARCH(MID(metadata!B567,ROW(INDIRECT("1:"&amp;LEN(metadata!B567))), 1),"0123456789abcdefghijklmnopqrstuvwxyzABCDEFGHIJKLMNOPQRSTUVWXYZ.")))))</f>
        <v>0</v>
      </c>
      <c r="R567" t="b">
        <f>AND(IF(metadata!C567="",FALSE,TRUE),OR(EXACT(metadata!C567,"saline"),EXACT(metadata!C567,"non-saline")))</f>
        <v>0</v>
      </c>
      <c r="S567" t="b">
        <f>AND(IF(metadata!D567="",FALSE,TRUE),OR(EXACT(metadata!D567,"surface (non-saline)"),EXACT(metadata!D567,"aerosol (non-saline)"),EXACT(metadata!D567,"sediment (non-saline)"),EXACT(metadata!D567,"surface (saline)"),EXACT(metadata!D567,"aerosol (saline)"),EXACT(metadata!D567,"sediment (saline)")))</f>
        <v>0</v>
      </c>
      <c r="T567" t="b">
        <f>AND(IF(metadata!E567="",FALSE,TRUE),EXACT(metadata!E567,"built environment"))</f>
        <v>0</v>
      </c>
      <c r="U567" t="b">
        <f>OR(AND(IF(metadata!F567="",FALSE,TRUE),EXACT(metadata!F567,"not applicable")),AND(IF(metadata!F567="",FALSE,TRUE),EXACT(metadata!F567,"anaerobic digester content")))</f>
        <v>0</v>
      </c>
    </row>
    <row r="568" spans="1:21" x14ac:dyDescent="0.2">
      <c r="A568" s="4" t="str">
        <f ca="1">IF(B568=" "," ",HYPERLINK(CONCATENATE("#metadata!",ADDRESS(INDEX($L$2:$L$1001,MATCH(ROWS($J$2:J568),$J$2:$J$1001,0),0),1)),INDEX($O$2:$O$1001,MATCH(ROWS($J$2:J568),$J$2:$J$1001,0),0)))</f>
        <v xml:space="preserve"> </v>
      </c>
      <c r="B568" s="3" t="str">
        <f ca="1">IF(OR(INDEX($K$2:$K$1001,MATCH(ROWS($J$2:J568),$J$2:$J$1001,0),1)&gt;=100000,INDEX($Q$1005:$U$1005,1,MATCH(COLUMNS($Q$1006:Q1006),$Q$1006:$U$1006,0))&gt;=100000), " ",IF(INDEX($Q$2:$U$1001,MATCH(ROWS($J$2:J568),$J$2:$J$1001,0),MATCH(COLUMNS($Q$1006:Q1006),$Q$1006:$U$1006,0)), HYPERLINK("#",""), HYPERLINK(CONCATENATE("#metadata!", ADDRESS(INDEX($L$2:$L$1001,MATCH(ROWS($J$2:J568),$J$2:$J$1001,0),0), INDEX($Q$1004:$U$1004,1,MATCH(COLUMNS($Q$1006:Q1006),$Q$1006:$U$1006,0)))),"Fix")))</f>
        <v xml:space="preserve"> </v>
      </c>
      <c r="C568" s="3" t="str">
        <f ca="1">IF(OR(INDEX($K$2:$K$1001,MATCH(ROWS($J$2:J568),$J$2:$J$1001,0),1)&gt;=100000,INDEX($Q$1005:$U$1005,1,MATCH(COLUMNS($Q$1006:R1006),$Q$1006:$U$1006,0))&gt;=100000), " ",IF(INDEX($Q$2:$U$1001,MATCH(ROWS($J$2:J568),$J$2:$J$1001,0),MATCH(COLUMNS($Q$1006:R1006),$Q$1006:$U$1006,0)), HYPERLINK("#",""), HYPERLINK(CONCATENATE("#metadata!", ADDRESS(INDEX($L$2:$L$1001,MATCH(ROWS($J$2:J568),$J$2:$J$1001,0),0), INDEX($Q$1004:$U$1004,1,MATCH(COLUMNS($Q$1006:R1006),$Q$1006:$U$1006,0)))),"Fix")))</f>
        <v xml:space="preserve"> </v>
      </c>
      <c r="D568" s="3" t="str">
        <f ca="1">IF(OR(INDEX($K$2:$K$1001,MATCH(ROWS($J$2:J568),$J$2:$J$1001,0),1)&gt;=100000,INDEX($Q$1005:$U$1005,1,MATCH(COLUMNS($Q$1006:S1006),$Q$1006:$U$1006,0))&gt;=100000), " ",IF(INDEX($Q$2:$U$1001,MATCH(ROWS($J$2:J568),$J$2:$J$1001,0),MATCH(COLUMNS($Q$1006:S1006),$Q$1006:$U$1006,0)), HYPERLINK("#",""), HYPERLINK(CONCATENATE("#metadata!", ADDRESS(INDEX($L$2:$L$1001,MATCH(ROWS($J$2:J568),$J$2:$J$1001,0),0), INDEX($Q$1004:$U$1004,1,MATCH(COLUMNS($Q$1006:S1006),$Q$1006:$U$1006,0)))),"Fix")))</f>
        <v xml:space="preserve"> </v>
      </c>
      <c r="E568" s="3" t="str">
        <f ca="1">IF(OR(INDEX($K$2:$K$1001,MATCH(ROWS($J$2:J568),$J$2:$J$1001,0),1)&gt;=100000,INDEX($Q$1005:$U$1005,1,MATCH(COLUMNS($Q$1006:T1006),$Q$1006:$U$1006,0))&gt;=100000), " ",IF(INDEX($Q$2:$U$1001,MATCH(ROWS($J$2:J568),$J$2:$J$1001,0),MATCH(COLUMNS($Q$1006:T1006),$Q$1006:$U$1006,0)), HYPERLINK("#",""), HYPERLINK(CONCATENATE("#metadata!", ADDRESS(INDEX($L$2:$L$1001,MATCH(ROWS($J$2:J568),$J$2:$J$1001,0),0), INDEX($Q$1004:$U$1004,1,MATCH(COLUMNS($Q$1006:T1006),$Q$1006:$U$1006,0)))),"Fix")))</f>
        <v xml:space="preserve"> </v>
      </c>
      <c r="F568" s="3" t="str">
        <f ca="1">IF(OR(INDEX($K$2:$K$1001,MATCH(ROWS($J$2:J568),$J$2:$J$1001,0),1)&gt;=100000,INDEX($Q$1005:$U$1005,1,MATCH(COLUMNS($Q$1006:U1006),$Q$1006:$U$1006,0))&gt;=100000), " ",IF(INDEX($Q$2:$U$1001,MATCH(ROWS($J$2:J568),$J$2:$J$1001,0),MATCH(COLUMNS($Q$1006:U1006),$Q$1006:$U$1006,0)), HYPERLINK("#",""), HYPERLINK(CONCATENATE("#metadata!", ADDRESS(INDEX($L$2:$L$1001,MATCH(ROWS($J$2:J568),$J$2:$J$1001,0),0), INDEX($Q$1004:$U$1004,1,MATCH(COLUMNS($Q$1006:U1006),$Q$1006:$U$1006,0)))),"Fix")))</f>
        <v xml:space="preserve"> </v>
      </c>
      <c r="J568">
        <v>567</v>
      </c>
      <c r="K568">
        <v>100568</v>
      </c>
      <c r="L568">
        <v>568</v>
      </c>
      <c r="M568" t="b">
        <f t="shared" si="8"/>
        <v>1</v>
      </c>
      <c r="N568" t="b">
        <f>COUNTBLANK(metadata!B568:F568)=COLUMNS(metadata!B568:F568)</f>
        <v>1</v>
      </c>
      <c r="O568" t="str">
        <v/>
      </c>
      <c r="Q568" t="b">
        <f ca="1">AND(IF(metadata!B568="",FALSE,TRUE),COUNTIF(metadata!B:B, metadata!B568) = 1,NOT(ISERROR(SUMPRODUCT(SEARCH(MID(metadata!B568,ROW(INDIRECT("1:"&amp;LEN(metadata!B568))), 1),"0123456789abcdefghijklmnopqrstuvwxyzABCDEFGHIJKLMNOPQRSTUVWXYZ.")))))</f>
        <v>0</v>
      </c>
      <c r="R568" t="b">
        <f>AND(IF(metadata!C568="",FALSE,TRUE),OR(EXACT(metadata!C568,"saline"),EXACT(metadata!C568,"non-saline")))</f>
        <v>0</v>
      </c>
      <c r="S568" t="b">
        <f>AND(IF(metadata!D568="",FALSE,TRUE),OR(EXACT(metadata!D568,"surface (non-saline)"),EXACT(metadata!D568,"aerosol (non-saline)"),EXACT(metadata!D568,"sediment (non-saline)"),EXACT(metadata!D568,"surface (saline)"),EXACT(metadata!D568,"aerosol (saline)"),EXACT(metadata!D568,"sediment (saline)")))</f>
        <v>0</v>
      </c>
      <c r="T568" t="b">
        <f>AND(IF(metadata!E568="",FALSE,TRUE),EXACT(metadata!E568,"built environment"))</f>
        <v>0</v>
      </c>
      <c r="U568" t="b">
        <f>OR(AND(IF(metadata!F568="",FALSE,TRUE),EXACT(metadata!F568,"not applicable")),AND(IF(metadata!F568="",FALSE,TRUE),EXACT(metadata!F568,"anaerobic digester content")))</f>
        <v>0</v>
      </c>
    </row>
    <row r="569" spans="1:21" x14ac:dyDescent="0.2">
      <c r="A569" s="4" t="str">
        <f ca="1">IF(B569=" "," ",HYPERLINK(CONCATENATE("#metadata!",ADDRESS(INDEX($L$2:$L$1001,MATCH(ROWS($J$2:J569),$J$2:$J$1001,0),0),1)),INDEX($O$2:$O$1001,MATCH(ROWS($J$2:J569),$J$2:$J$1001,0),0)))</f>
        <v xml:space="preserve"> </v>
      </c>
      <c r="B569" s="3" t="str">
        <f ca="1">IF(OR(INDEX($K$2:$K$1001,MATCH(ROWS($J$2:J569),$J$2:$J$1001,0),1)&gt;=100000,INDEX($Q$1005:$U$1005,1,MATCH(COLUMNS($Q$1006:Q1006),$Q$1006:$U$1006,0))&gt;=100000), " ",IF(INDEX($Q$2:$U$1001,MATCH(ROWS($J$2:J569),$J$2:$J$1001,0),MATCH(COLUMNS($Q$1006:Q1006),$Q$1006:$U$1006,0)), HYPERLINK("#",""), HYPERLINK(CONCATENATE("#metadata!", ADDRESS(INDEX($L$2:$L$1001,MATCH(ROWS($J$2:J569),$J$2:$J$1001,0),0), INDEX($Q$1004:$U$1004,1,MATCH(COLUMNS($Q$1006:Q1006),$Q$1006:$U$1006,0)))),"Fix")))</f>
        <v xml:space="preserve"> </v>
      </c>
      <c r="C569" s="3" t="str">
        <f ca="1">IF(OR(INDEX($K$2:$K$1001,MATCH(ROWS($J$2:J569),$J$2:$J$1001,0),1)&gt;=100000,INDEX($Q$1005:$U$1005,1,MATCH(COLUMNS($Q$1006:R1006),$Q$1006:$U$1006,0))&gt;=100000), " ",IF(INDEX($Q$2:$U$1001,MATCH(ROWS($J$2:J569),$J$2:$J$1001,0),MATCH(COLUMNS($Q$1006:R1006),$Q$1006:$U$1006,0)), HYPERLINK("#",""), HYPERLINK(CONCATENATE("#metadata!", ADDRESS(INDEX($L$2:$L$1001,MATCH(ROWS($J$2:J569),$J$2:$J$1001,0),0), INDEX($Q$1004:$U$1004,1,MATCH(COLUMNS($Q$1006:R1006),$Q$1006:$U$1006,0)))),"Fix")))</f>
        <v xml:space="preserve"> </v>
      </c>
      <c r="D569" s="3" t="str">
        <f ca="1">IF(OR(INDEX($K$2:$K$1001,MATCH(ROWS($J$2:J569),$J$2:$J$1001,0),1)&gt;=100000,INDEX($Q$1005:$U$1005,1,MATCH(COLUMNS($Q$1006:S1006),$Q$1006:$U$1006,0))&gt;=100000), " ",IF(INDEX($Q$2:$U$1001,MATCH(ROWS($J$2:J569),$J$2:$J$1001,0),MATCH(COLUMNS($Q$1006:S1006),$Q$1006:$U$1006,0)), HYPERLINK("#",""), HYPERLINK(CONCATENATE("#metadata!", ADDRESS(INDEX($L$2:$L$1001,MATCH(ROWS($J$2:J569),$J$2:$J$1001,0),0), INDEX($Q$1004:$U$1004,1,MATCH(COLUMNS($Q$1006:S1006),$Q$1006:$U$1006,0)))),"Fix")))</f>
        <v xml:space="preserve"> </v>
      </c>
      <c r="E569" s="3" t="str">
        <f ca="1">IF(OR(INDEX($K$2:$K$1001,MATCH(ROWS($J$2:J569),$J$2:$J$1001,0),1)&gt;=100000,INDEX($Q$1005:$U$1005,1,MATCH(COLUMNS($Q$1006:T1006),$Q$1006:$U$1006,0))&gt;=100000), " ",IF(INDEX($Q$2:$U$1001,MATCH(ROWS($J$2:J569),$J$2:$J$1001,0),MATCH(COLUMNS($Q$1006:T1006),$Q$1006:$U$1006,0)), HYPERLINK("#",""), HYPERLINK(CONCATENATE("#metadata!", ADDRESS(INDEX($L$2:$L$1001,MATCH(ROWS($J$2:J569),$J$2:$J$1001,0),0), INDEX($Q$1004:$U$1004,1,MATCH(COLUMNS($Q$1006:T1006),$Q$1006:$U$1006,0)))),"Fix")))</f>
        <v xml:space="preserve"> </v>
      </c>
      <c r="F569" s="3" t="str">
        <f ca="1">IF(OR(INDEX($K$2:$K$1001,MATCH(ROWS($J$2:J569),$J$2:$J$1001,0),1)&gt;=100000,INDEX($Q$1005:$U$1005,1,MATCH(COLUMNS($Q$1006:U1006),$Q$1006:$U$1006,0))&gt;=100000), " ",IF(INDEX($Q$2:$U$1001,MATCH(ROWS($J$2:J569),$J$2:$J$1001,0),MATCH(COLUMNS($Q$1006:U1006),$Q$1006:$U$1006,0)), HYPERLINK("#",""), HYPERLINK(CONCATENATE("#metadata!", ADDRESS(INDEX($L$2:$L$1001,MATCH(ROWS($J$2:J569),$J$2:$J$1001,0),0), INDEX($Q$1004:$U$1004,1,MATCH(COLUMNS($Q$1006:U1006),$Q$1006:$U$1006,0)))),"Fix")))</f>
        <v xml:space="preserve"> </v>
      </c>
      <c r="J569">
        <v>568</v>
      </c>
      <c r="K569">
        <v>100569</v>
      </c>
      <c r="L569">
        <v>569</v>
      </c>
      <c r="M569" t="b">
        <f t="shared" si="8"/>
        <v>1</v>
      </c>
      <c r="N569" t="b">
        <f>COUNTBLANK(metadata!B569:F569)=COLUMNS(metadata!B569:F569)</f>
        <v>1</v>
      </c>
      <c r="O569" t="str">
        <v/>
      </c>
      <c r="Q569" t="b">
        <f ca="1">AND(IF(metadata!B569="",FALSE,TRUE),COUNTIF(metadata!B:B, metadata!B569) = 1,NOT(ISERROR(SUMPRODUCT(SEARCH(MID(metadata!B569,ROW(INDIRECT("1:"&amp;LEN(metadata!B569))), 1),"0123456789abcdefghijklmnopqrstuvwxyzABCDEFGHIJKLMNOPQRSTUVWXYZ.")))))</f>
        <v>0</v>
      </c>
      <c r="R569" t="b">
        <f>AND(IF(metadata!C569="",FALSE,TRUE),OR(EXACT(metadata!C569,"saline"),EXACT(metadata!C569,"non-saline")))</f>
        <v>0</v>
      </c>
      <c r="S569" t="b">
        <f>AND(IF(metadata!D569="",FALSE,TRUE),OR(EXACT(metadata!D569,"surface (non-saline)"),EXACT(metadata!D569,"aerosol (non-saline)"),EXACT(metadata!D569,"sediment (non-saline)"),EXACT(metadata!D569,"surface (saline)"),EXACT(metadata!D569,"aerosol (saline)"),EXACT(metadata!D569,"sediment (saline)")))</f>
        <v>0</v>
      </c>
      <c r="T569" t="b">
        <f>AND(IF(metadata!E569="",FALSE,TRUE),EXACT(metadata!E569,"built environment"))</f>
        <v>0</v>
      </c>
      <c r="U569" t="b">
        <f>OR(AND(IF(metadata!F569="",FALSE,TRUE),EXACT(metadata!F569,"not applicable")),AND(IF(metadata!F569="",FALSE,TRUE),EXACT(metadata!F569,"anaerobic digester content")))</f>
        <v>0</v>
      </c>
    </row>
    <row r="570" spans="1:21" x14ac:dyDescent="0.2">
      <c r="A570" s="4" t="str">
        <f ca="1">IF(B570=" "," ",HYPERLINK(CONCATENATE("#metadata!",ADDRESS(INDEX($L$2:$L$1001,MATCH(ROWS($J$2:J570),$J$2:$J$1001,0),0),1)),INDEX($O$2:$O$1001,MATCH(ROWS($J$2:J570),$J$2:$J$1001,0),0)))</f>
        <v xml:space="preserve"> </v>
      </c>
      <c r="B570" s="3" t="str">
        <f ca="1">IF(OR(INDEX($K$2:$K$1001,MATCH(ROWS($J$2:J570),$J$2:$J$1001,0),1)&gt;=100000,INDEX($Q$1005:$U$1005,1,MATCH(COLUMNS($Q$1006:Q1006),$Q$1006:$U$1006,0))&gt;=100000), " ",IF(INDEX($Q$2:$U$1001,MATCH(ROWS($J$2:J570),$J$2:$J$1001,0),MATCH(COLUMNS($Q$1006:Q1006),$Q$1006:$U$1006,0)), HYPERLINK("#",""), HYPERLINK(CONCATENATE("#metadata!", ADDRESS(INDEX($L$2:$L$1001,MATCH(ROWS($J$2:J570),$J$2:$J$1001,0),0), INDEX($Q$1004:$U$1004,1,MATCH(COLUMNS($Q$1006:Q1006),$Q$1006:$U$1006,0)))),"Fix")))</f>
        <v xml:space="preserve"> </v>
      </c>
      <c r="C570" s="3" t="str">
        <f ca="1">IF(OR(INDEX($K$2:$K$1001,MATCH(ROWS($J$2:J570),$J$2:$J$1001,0),1)&gt;=100000,INDEX($Q$1005:$U$1005,1,MATCH(COLUMNS($Q$1006:R1006),$Q$1006:$U$1006,0))&gt;=100000), " ",IF(INDEX($Q$2:$U$1001,MATCH(ROWS($J$2:J570),$J$2:$J$1001,0),MATCH(COLUMNS($Q$1006:R1006),$Q$1006:$U$1006,0)), HYPERLINK("#",""), HYPERLINK(CONCATENATE("#metadata!", ADDRESS(INDEX($L$2:$L$1001,MATCH(ROWS($J$2:J570),$J$2:$J$1001,0),0), INDEX($Q$1004:$U$1004,1,MATCH(COLUMNS($Q$1006:R1006),$Q$1006:$U$1006,0)))),"Fix")))</f>
        <v xml:space="preserve"> </v>
      </c>
      <c r="D570" s="3" t="str">
        <f ca="1">IF(OR(INDEX($K$2:$K$1001,MATCH(ROWS($J$2:J570),$J$2:$J$1001,0),1)&gt;=100000,INDEX($Q$1005:$U$1005,1,MATCH(COLUMNS($Q$1006:S1006),$Q$1006:$U$1006,0))&gt;=100000), " ",IF(INDEX($Q$2:$U$1001,MATCH(ROWS($J$2:J570),$J$2:$J$1001,0),MATCH(COLUMNS($Q$1006:S1006),$Q$1006:$U$1006,0)), HYPERLINK("#",""), HYPERLINK(CONCATENATE("#metadata!", ADDRESS(INDEX($L$2:$L$1001,MATCH(ROWS($J$2:J570),$J$2:$J$1001,0),0), INDEX($Q$1004:$U$1004,1,MATCH(COLUMNS($Q$1006:S1006),$Q$1006:$U$1006,0)))),"Fix")))</f>
        <v xml:space="preserve"> </v>
      </c>
      <c r="E570" s="3" t="str">
        <f ca="1">IF(OR(INDEX($K$2:$K$1001,MATCH(ROWS($J$2:J570),$J$2:$J$1001,0),1)&gt;=100000,INDEX($Q$1005:$U$1005,1,MATCH(COLUMNS($Q$1006:T1006),$Q$1006:$U$1006,0))&gt;=100000), " ",IF(INDEX($Q$2:$U$1001,MATCH(ROWS($J$2:J570),$J$2:$J$1001,0),MATCH(COLUMNS($Q$1006:T1006),$Q$1006:$U$1006,0)), HYPERLINK("#",""), HYPERLINK(CONCATENATE("#metadata!", ADDRESS(INDEX($L$2:$L$1001,MATCH(ROWS($J$2:J570),$J$2:$J$1001,0),0), INDEX($Q$1004:$U$1004,1,MATCH(COLUMNS($Q$1006:T1006),$Q$1006:$U$1006,0)))),"Fix")))</f>
        <v xml:space="preserve"> </v>
      </c>
      <c r="F570" s="3" t="str">
        <f ca="1">IF(OR(INDEX($K$2:$K$1001,MATCH(ROWS($J$2:J570),$J$2:$J$1001,0),1)&gt;=100000,INDEX($Q$1005:$U$1005,1,MATCH(COLUMNS($Q$1006:U1006),$Q$1006:$U$1006,0))&gt;=100000), " ",IF(INDEX($Q$2:$U$1001,MATCH(ROWS($J$2:J570),$J$2:$J$1001,0),MATCH(COLUMNS($Q$1006:U1006),$Q$1006:$U$1006,0)), HYPERLINK("#",""), HYPERLINK(CONCATENATE("#metadata!", ADDRESS(INDEX($L$2:$L$1001,MATCH(ROWS($J$2:J570),$J$2:$J$1001,0),0), INDEX($Q$1004:$U$1004,1,MATCH(COLUMNS($Q$1006:U1006),$Q$1006:$U$1006,0)))),"Fix")))</f>
        <v xml:space="preserve"> </v>
      </c>
      <c r="J570">
        <v>569</v>
      </c>
      <c r="K570">
        <v>100570</v>
      </c>
      <c r="L570">
        <v>570</v>
      </c>
      <c r="M570" t="b">
        <f t="shared" si="8"/>
        <v>1</v>
      </c>
      <c r="N570" t="b">
        <f>COUNTBLANK(metadata!B570:F570)=COLUMNS(metadata!B570:F570)</f>
        <v>1</v>
      </c>
      <c r="O570" t="str">
        <v/>
      </c>
      <c r="Q570" t="b">
        <f ca="1">AND(IF(metadata!B570="",FALSE,TRUE),COUNTIF(metadata!B:B, metadata!B570) = 1,NOT(ISERROR(SUMPRODUCT(SEARCH(MID(metadata!B570,ROW(INDIRECT("1:"&amp;LEN(metadata!B570))), 1),"0123456789abcdefghijklmnopqrstuvwxyzABCDEFGHIJKLMNOPQRSTUVWXYZ.")))))</f>
        <v>0</v>
      </c>
      <c r="R570" t="b">
        <f>AND(IF(metadata!C570="",FALSE,TRUE),OR(EXACT(metadata!C570,"saline"),EXACT(metadata!C570,"non-saline")))</f>
        <v>0</v>
      </c>
      <c r="S570" t="b">
        <f>AND(IF(metadata!D570="",FALSE,TRUE),OR(EXACT(metadata!D570,"surface (non-saline)"),EXACT(metadata!D570,"aerosol (non-saline)"),EXACT(metadata!D570,"sediment (non-saline)"),EXACT(metadata!D570,"surface (saline)"),EXACT(metadata!D570,"aerosol (saline)"),EXACT(metadata!D570,"sediment (saline)")))</f>
        <v>0</v>
      </c>
      <c r="T570" t="b">
        <f>AND(IF(metadata!E570="",FALSE,TRUE),EXACT(metadata!E570,"built environment"))</f>
        <v>0</v>
      </c>
      <c r="U570" t="b">
        <f>OR(AND(IF(metadata!F570="",FALSE,TRUE),EXACT(metadata!F570,"not applicable")),AND(IF(metadata!F570="",FALSE,TRUE),EXACT(metadata!F570,"anaerobic digester content")))</f>
        <v>0</v>
      </c>
    </row>
    <row r="571" spans="1:21" x14ac:dyDescent="0.2">
      <c r="A571" s="4" t="str">
        <f ca="1">IF(B571=" "," ",HYPERLINK(CONCATENATE("#metadata!",ADDRESS(INDEX($L$2:$L$1001,MATCH(ROWS($J$2:J571),$J$2:$J$1001,0),0),1)),INDEX($O$2:$O$1001,MATCH(ROWS($J$2:J571),$J$2:$J$1001,0),0)))</f>
        <v xml:space="preserve"> </v>
      </c>
      <c r="B571" s="3" t="str">
        <f ca="1">IF(OR(INDEX($K$2:$K$1001,MATCH(ROWS($J$2:J571),$J$2:$J$1001,0),1)&gt;=100000,INDEX($Q$1005:$U$1005,1,MATCH(COLUMNS($Q$1006:Q1006),$Q$1006:$U$1006,0))&gt;=100000), " ",IF(INDEX($Q$2:$U$1001,MATCH(ROWS($J$2:J571),$J$2:$J$1001,0),MATCH(COLUMNS($Q$1006:Q1006),$Q$1006:$U$1006,0)), HYPERLINK("#",""), HYPERLINK(CONCATENATE("#metadata!", ADDRESS(INDEX($L$2:$L$1001,MATCH(ROWS($J$2:J571),$J$2:$J$1001,0),0), INDEX($Q$1004:$U$1004,1,MATCH(COLUMNS($Q$1006:Q1006),$Q$1006:$U$1006,0)))),"Fix")))</f>
        <v xml:space="preserve"> </v>
      </c>
      <c r="C571" s="3" t="str">
        <f ca="1">IF(OR(INDEX($K$2:$K$1001,MATCH(ROWS($J$2:J571),$J$2:$J$1001,0),1)&gt;=100000,INDEX($Q$1005:$U$1005,1,MATCH(COLUMNS($Q$1006:R1006),$Q$1006:$U$1006,0))&gt;=100000), " ",IF(INDEX($Q$2:$U$1001,MATCH(ROWS($J$2:J571),$J$2:$J$1001,0),MATCH(COLUMNS($Q$1006:R1006),$Q$1006:$U$1006,0)), HYPERLINK("#",""), HYPERLINK(CONCATENATE("#metadata!", ADDRESS(INDEX($L$2:$L$1001,MATCH(ROWS($J$2:J571),$J$2:$J$1001,0),0), INDEX($Q$1004:$U$1004,1,MATCH(COLUMNS($Q$1006:R1006),$Q$1006:$U$1006,0)))),"Fix")))</f>
        <v xml:space="preserve"> </v>
      </c>
      <c r="D571" s="3" t="str">
        <f ca="1">IF(OR(INDEX($K$2:$K$1001,MATCH(ROWS($J$2:J571),$J$2:$J$1001,0),1)&gt;=100000,INDEX($Q$1005:$U$1005,1,MATCH(COLUMNS($Q$1006:S1006),$Q$1006:$U$1006,0))&gt;=100000), " ",IF(INDEX($Q$2:$U$1001,MATCH(ROWS($J$2:J571),$J$2:$J$1001,0),MATCH(COLUMNS($Q$1006:S1006),$Q$1006:$U$1006,0)), HYPERLINK("#",""), HYPERLINK(CONCATENATE("#metadata!", ADDRESS(INDEX($L$2:$L$1001,MATCH(ROWS($J$2:J571),$J$2:$J$1001,0),0), INDEX($Q$1004:$U$1004,1,MATCH(COLUMNS($Q$1006:S1006),$Q$1006:$U$1006,0)))),"Fix")))</f>
        <v xml:space="preserve"> </v>
      </c>
      <c r="E571" s="3" t="str">
        <f ca="1">IF(OR(INDEX($K$2:$K$1001,MATCH(ROWS($J$2:J571),$J$2:$J$1001,0),1)&gt;=100000,INDEX($Q$1005:$U$1005,1,MATCH(COLUMNS($Q$1006:T1006),$Q$1006:$U$1006,0))&gt;=100000), " ",IF(INDEX($Q$2:$U$1001,MATCH(ROWS($J$2:J571),$J$2:$J$1001,0),MATCH(COLUMNS($Q$1006:T1006),$Q$1006:$U$1006,0)), HYPERLINK("#",""), HYPERLINK(CONCATENATE("#metadata!", ADDRESS(INDEX($L$2:$L$1001,MATCH(ROWS($J$2:J571),$J$2:$J$1001,0),0), INDEX($Q$1004:$U$1004,1,MATCH(COLUMNS($Q$1006:T1006),$Q$1006:$U$1006,0)))),"Fix")))</f>
        <v xml:space="preserve"> </v>
      </c>
      <c r="F571" s="3" t="str">
        <f ca="1">IF(OR(INDEX($K$2:$K$1001,MATCH(ROWS($J$2:J571),$J$2:$J$1001,0),1)&gt;=100000,INDEX($Q$1005:$U$1005,1,MATCH(COLUMNS($Q$1006:U1006),$Q$1006:$U$1006,0))&gt;=100000), " ",IF(INDEX($Q$2:$U$1001,MATCH(ROWS($J$2:J571),$J$2:$J$1001,0),MATCH(COLUMNS($Q$1006:U1006),$Q$1006:$U$1006,0)), HYPERLINK("#",""), HYPERLINK(CONCATENATE("#metadata!", ADDRESS(INDEX($L$2:$L$1001,MATCH(ROWS($J$2:J571),$J$2:$J$1001,0),0), INDEX($Q$1004:$U$1004,1,MATCH(COLUMNS($Q$1006:U1006),$Q$1006:$U$1006,0)))),"Fix")))</f>
        <v xml:space="preserve"> </v>
      </c>
      <c r="J571">
        <v>570</v>
      </c>
      <c r="K571">
        <v>100571</v>
      </c>
      <c r="L571">
        <v>571</v>
      </c>
      <c r="M571" t="b">
        <f t="shared" si="8"/>
        <v>1</v>
      </c>
      <c r="N571" t="b">
        <f>COUNTBLANK(metadata!B571:F571)=COLUMNS(metadata!B571:F571)</f>
        <v>1</v>
      </c>
      <c r="O571" t="str">
        <v/>
      </c>
      <c r="Q571" t="b">
        <f ca="1">AND(IF(metadata!B571="",FALSE,TRUE),COUNTIF(metadata!B:B, metadata!B571) = 1,NOT(ISERROR(SUMPRODUCT(SEARCH(MID(metadata!B571,ROW(INDIRECT("1:"&amp;LEN(metadata!B571))), 1),"0123456789abcdefghijklmnopqrstuvwxyzABCDEFGHIJKLMNOPQRSTUVWXYZ.")))))</f>
        <v>0</v>
      </c>
      <c r="R571" t="b">
        <f>AND(IF(metadata!C571="",FALSE,TRUE),OR(EXACT(metadata!C571,"saline"),EXACT(metadata!C571,"non-saline")))</f>
        <v>0</v>
      </c>
      <c r="S571" t="b">
        <f>AND(IF(metadata!D571="",FALSE,TRUE),OR(EXACT(metadata!D571,"surface (non-saline)"),EXACT(metadata!D571,"aerosol (non-saline)"),EXACT(metadata!D571,"sediment (non-saline)"),EXACT(metadata!D571,"surface (saline)"),EXACT(metadata!D571,"aerosol (saline)"),EXACT(metadata!D571,"sediment (saline)")))</f>
        <v>0</v>
      </c>
      <c r="T571" t="b">
        <f>AND(IF(metadata!E571="",FALSE,TRUE),EXACT(metadata!E571,"built environment"))</f>
        <v>0</v>
      </c>
      <c r="U571" t="b">
        <f>OR(AND(IF(metadata!F571="",FALSE,TRUE),EXACT(metadata!F571,"not applicable")),AND(IF(metadata!F571="",FALSE,TRUE),EXACT(metadata!F571,"anaerobic digester content")))</f>
        <v>0</v>
      </c>
    </row>
    <row r="572" spans="1:21" x14ac:dyDescent="0.2">
      <c r="A572" s="4" t="str">
        <f ca="1">IF(B572=" "," ",HYPERLINK(CONCATENATE("#metadata!",ADDRESS(INDEX($L$2:$L$1001,MATCH(ROWS($J$2:J572),$J$2:$J$1001,0),0),1)),INDEX($O$2:$O$1001,MATCH(ROWS($J$2:J572),$J$2:$J$1001,0),0)))</f>
        <v xml:space="preserve"> </v>
      </c>
      <c r="B572" s="3" t="str">
        <f ca="1">IF(OR(INDEX($K$2:$K$1001,MATCH(ROWS($J$2:J572),$J$2:$J$1001,0),1)&gt;=100000,INDEX($Q$1005:$U$1005,1,MATCH(COLUMNS($Q$1006:Q1006),$Q$1006:$U$1006,0))&gt;=100000), " ",IF(INDEX($Q$2:$U$1001,MATCH(ROWS($J$2:J572),$J$2:$J$1001,0),MATCH(COLUMNS($Q$1006:Q1006),$Q$1006:$U$1006,0)), HYPERLINK("#",""), HYPERLINK(CONCATENATE("#metadata!", ADDRESS(INDEX($L$2:$L$1001,MATCH(ROWS($J$2:J572),$J$2:$J$1001,0),0), INDEX($Q$1004:$U$1004,1,MATCH(COLUMNS($Q$1006:Q1006),$Q$1006:$U$1006,0)))),"Fix")))</f>
        <v xml:space="preserve"> </v>
      </c>
      <c r="C572" s="3" t="str">
        <f ca="1">IF(OR(INDEX($K$2:$K$1001,MATCH(ROWS($J$2:J572),$J$2:$J$1001,0),1)&gt;=100000,INDEX($Q$1005:$U$1005,1,MATCH(COLUMNS($Q$1006:R1006),$Q$1006:$U$1006,0))&gt;=100000), " ",IF(INDEX($Q$2:$U$1001,MATCH(ROWS($J$2:J572),$J$2:$J$1001,0),MATCH(COLUMNS($Q$1006:R1006),$Q$1006:$U$1006,0)), HYPERLINK("#",""), HYPERLINK(CONCATENATE("#metadata!", ADDRESS(INDEX($L$2:$L$1001,MATCH(ROWS($J$2:J572),$J$2:$J$1001,0),0), INDEX($Q$1004:$U$1004,1,MATCH(COLUMNS($Q$1006:R1006),$Q$1006:$U$1006,0)))),"Fix")))</f>
        <v xml:space="preserve"> </v>
      </c>
      <c r="D572" s="3" t="str">
        <f ca="1">IF(OR(INDEX($K$2:$K$1001,MATCH(ROWS($J$2:J572),$J$2:$J$1001,0),1)&gt;=100000,INDEX($Q$1005:$U$1005,1,MATCH(COLUMNS($Q$1006:S1006),$Q$1006:$U$1006,0))&gt;=100000), " ",IF(INDEX($Q$2:$U$1001,MATCH(ROWS($J$2:J572),$J$2:$J$1001,0),MATCH(COLUMNS($Q$1006:S1006),$Q$1006:$U$1006,0)), HYPERLINK("#",""), HYPERLINK(CONCATENATE("#metadata!", ADDRESS(INDEX($L$2:$L$1001,MATCH(ROWS($J$2:J572),$J$2:$J$1001,0),0), INDEX($Q$1004:$U$1004,1,MATCH(COLUMNS($Q$1006:S1006),$Q$1006:$U$1006,0)))),"Fix")))</f>
        <v xml:space="preserve"> </v>
      </c>
      <c r="E572" s="3" t="str">
        <f ca="1">IF(OR(INDEX($K$2:$K$1001,MATCH(ROWS($J$2:J572),$J$2:$J$1001,0),1)&gt;=100000,INDEX($Q$1005:$U$1005,1,MATCH(COLUMNS($Q$1006:T1006),$Q$1006:$U$1006,0))&gt;=100000), " ",IF(INDEX($Q$2:$U$1001,MATCH(ROWS($J$2:J572),$J$2:$J$1001,0),MATCH(COLUMNS($Q$1006:T1006),$Q$1006:$U$1006,0)), HYPERLINK("#",""), HYPERLINK(CONCATENATE("#metadata!", ADDRESS(INDEX($L$2:$L$1001,MATCH(ROWS($J$2:J572),$J$2:$J$1001,0),0), INDEX($Q$1004:$U$1004,1,MATCH(COLUMNS($Q$1006:T1006),$Q$1006:$U$1006,0)))),"Fix")))</f>
        <v xml:space="preserve"> </v>
      </c>
      <c r="F572" s="3" t="str">
        <f ca="1">IF(OR(INDEX($K$2:$K$1001,MATCH(ROWS($J$2:J572),$J$2:$J$1001,0),1)&gt;=100000,INDEX($Q$1005:$U$1005,1,MATCH(COLUMNS($Q$1006:U1006),$Q$1006:$U$1006,0))&gt;=100000), " ",IF(INDEX($Q$2:$U$1001,MATCH(ROWS($J$2:J572),$J$2:$J$1001,0),MATCH(COLUMNS($Q$1006:U1006),$Q$1006:$U$1006,0)), HYPERLINK("#",""), HYPERLINK(CONCATENATE("#metadata!", ADDRESS(INDEX($L$2:$L$1001,MATCH(ROWS($J$2:J572),$J$2:$J$1001,0),0), INDEX($Q$1004:$U$1004,1,MATCH(COLUMNS($Q$1006:U1006),$Q$1006:$U$1006,0)))),"Fix")))</f>
        <v xml:space="preserve"> </v>
      </c>
      <c r="J572">
        <v>571</v>
      </c>
      <c r="K572">
        <v>100572</v>
      </c>
      <c r="L572">
        <v>572</v>
      </c>
      <c r="M572" t="b">
        <f t="shared" si="8"/>
        <v>1</v>
      </c>
      <c r="N572" t="b">
        <f>COUNTBLANK(metadata!B572:F572)=COLUMNS(metadata!B572:F572)</f>
        <v>1</v>
      </c>
      <c r="O572" t="str">
        <v/>
      </c>
      <c r="Q572" t="b">
        <f ca="1">AND(IF(metadata!B572="",FALSE,TRUE),COUNTIF(metadata!B:B, metadata!B572) = 1,NOT(ISERROR(SUMPRODUCT(SEARCH(MID(metadata!B572,ROW(INDIRECT("1:"&amp;LEN(metadata!B572))), 1),"0123456789abcdefghijklmnopqrstuvwxyzABCDEFGHIJKLMNOPQRSTUVWXYZ.")))))</f>
        <v>0</v>
      </c>
      <c r="R572" t="b">
        <f>AND(IF(metadata!C572="",FALSE,TRUE),OR(EXACT(metadata!C572,"saline"),EXACT(metadata!C572,"non-saline")))</f>
        <v>0</v>
      </c>
      <c r="S572" t="b">
        <f>AND(IF(metadata!D572="",FALSE,TRUE),OR(EXACT(metadata!D572,"surface (non-saline)"),EXACT(metadata!D572,"aerosol (non-saline)"),EXACT(metadata!D572,"sediment (non-saline)"),EXACT(metadata!D572,"surface (saline)"),EXACT(metadata!D572,"aerosol (saline)"),EXACT(metadata!D572,"sediment (saline)")))</f>
        <v>0</v>
      </c>
      <c r="T572" t="b">
        <f>AND(IF(metadata!E572="",FALSE,TRUE),EXACT(metadata!E572,"built environment"))</f>
        <v>0</v>
      </c>
      <c r="U572" t="b">
        <f>OR(AND(IF(metadata!F572="",FALSE,TRUE),EXACT(metadata!F572,"not applicable")),AND(IF(metadata!F572="",FALSE,TRUE),EXACT(metadata!F572,"anaerobic digester content")))</f>
        <v>0</v>
      </c>
    </row>
    <row r="573" spans="1:21" x14ac:dyDescent="0.2">
      <c r="A573" s="4" t="str">
        <f ca="1">IF(B573=" "," ",HYPERLINK(CONCATENATE("#metadata!",ADDRESS(INDEX($L$2:$L$1001,MATCH(ROWS($J$2:J573),$J$2:$J$1001,0),0),1)),INDEX($O$2:$O$1001,MATCH(ROWS($J$2:J573),$J$2:$J$1001,0),0)))</f>
        <v xml:space="preserve"> </v>
      </c>
      <c r="B573" s="3" t="str">
        <f ca="1">IF(OR(INDEX($K$2:$K$1001,MATCH(ROWS($J$2:J573),$J$2:$J$1001,0),1)&gt;=100000,INDEX($Q$1005:$U$1005,1,MATCH(COLUMNS($Q$1006:Q1006),$Q$1006:$U$1006,0))&gt;=100000), " ",IF(INDEX($Q$2:$U$1001,MATCH(ROWS($J$2:J573),$J$2:$J$1001,0),MATCH(COLUMNS($Q$1006:Q1006),$Q$1006:$U$1006,0)), HYPERLINK("#",""), HYPERLINK(CONCATENATE("#metadata!", ADDRESS(INDEX($L$2:$L$1001,MATCH(ROWS($J$2:J573),$J$2:$J$1001,0),0), INDEX($Q$1004:$U$1004,1,MATCH(COLUMNS($Q$1006:Q1006),$Q$1006:$U$1006,0)))),"Fix")))</f>
        <v xml:space="preserve"> </v>
      </c>
      <c r="C573" s="3" t="str">
        <f ca="1">IF(OR(INDEX($K$2:$K$1001,MATCH(ROWS($J$2:J573),$J$2:$J$1001,0),1)&gt;=100000,INDEX($Q$1005:$U$1005,1,MATCH(COLUMNS($Q$1006:R1006),$Q$1006:$U$1006,0))&gt;=100000), " ",IF(INDEX($Q$2:$U$1001,MATCH(ROWS($J$2:J573),$J$2:$J$1001,0),MATCH(COLUMNS($Q$1006:R1006),$Q$1006:$U$1006,0)), HYPERLINK("#",""), HYPERLINK(CONCATENATE("#metadata!", ADDRESS(INDEX($L$2:$L$1001,MATCH(ROWS($J$2:J573),$J$2:$J$1001,0),0), INDEX($Q$1004:$U$1004,1,MATCH(COLUMNS($Q$1006:R1006),$Q$1006:$U$1006,0)))),"Fix")))</f>
        <v xml:space="preserve"> </v>
      </c>
      <c r="D573" s="3" t="str">
        <f ca="1">IF(OR(INDEX($K$2:$K$1001,MATCH(ROWS($J$2:J573),$J$2:$J$1001,0),1)&gt;=100000,INDEX($Q$1005:$U$1005,1,MATCH(COLUMNS($Q$1006:S1006),$Q$1006:$U$1006,0))&gt;=100000), " ",IF(INDEX($Q$2:$U$1001,MATCH(ROWS($J$2:J573),$J$2:$J$1001,0),MATCH(COLUMNS($Q$1006:S1006),$Q$1006:$U$1006,0)), HYPERLINK("#",""), HYPERLINK(CONCATENATE("#metadata!", ADDRESS(INDEX($L$2:$L$1001,MATCH(ROWS($J$2:J573),$J$2:$J$1001,0),0), INDEX($Q$1004:$U$1004,1,MATCH(COLUMNS($Q$1006:S1006),$Q$1006:$U$1006,0)))),"Fix")))</f>
        <v xml:space="preserve"> </v>
      </c>
      <c r="E573" s="3" t="str">
        <f ca="1">IF(OR(INDEX($K$2:$K$1001,MATCH(ROWS($J$2:J573),$J$2:$J$1001,0),1)&gt;=100000,INDEX($Q$1005:$U$1005,1,MATCH(COLUMNS($Q$1006:T1006),$Q$1006:$U$1006,0))&gt;=100000), " ",IF(INDEX($Q$2:$U$1001,MATCH(ROWS($J$2:J573),$J$2:$J$1001,0),MATCH(COLUMNS($Q$1006:T1006),$Q$1006:$U$1006,0)), HYPERLINK("#",""), HYPERLINK(CONCATENATE("#metadata!", ADDRESS(INDEX($L$2:$L$1001,MATCH(ROWS($J$2:J573),$J$2:$J$1001,0),0), INDEX($Q$1004:$U$1004,1,MATCH(COLUMNS($Q$1006:T1006),$Q$1006:$U$1006,0)))),"Fix")))</f>
        <v xml:space="preserve"> </v>
      </c>
      <c r="F573" s="3" t="str">
        <f ca="1">IF(OR(INDEX($K$2:$K$1001,MATCH(ROWS($J$2:J573),$J$2:$J$1001,0),1)&gt;=100000,INDEX($Q$1005:$U$1005,1,MATCH(COLUMNS($Q$1006:U1006),$Q$1006:$U$1006,0))&gt;=100000), " ",IF(INDEX($Q$2:$U$1001,MATCH(ROWS($J$2:J573),$J$2:$J$1001,0),MATCH(COLUMNS($Q$1006:U1006),$Q$1006:$U$1006,0)), HYPERLINK("#",""), HYPERLINK(CONCATENATE("#metadata!", ADDRESS(INDEX($L$2:$L$1001,MATCH(ROWS($J$2:J573),$J$2:$J$1001,0),0), INDEX($Q$1004:$U$1004,1,MATCH(COLUMNS($Q$1006:U1006),$Q$1006:$U$1006,0)))),"Fix")))</f>
        <v xml:space="preserve"> </v>
      </c>
      <c r="J573">
        <v>572</v>
      </c>
      <c r="K573">
        <v>100573</v>
      </c>
      <c r="L573">
        <v>573</v>
      </c>
      <c r="M573" t="b">
        <f t="shared" si="8"/>
        <v>1</v>
      </c>
      <c r="N573" t="b">
        <f>COUNTBLANK(metadata!B573:F573)=COLUMNS(metadata!B573:F573)</f>
        <v>1</v>
      </c>
      <c r="O573" t="str">
        <v/>
      </c>
      <c r="Q573" t="b">
        <f ca="1">AND(IF(metadata!B573="",FALSE,TRUE),COUNTIF(metadata!B:B, metadata!B573) = 1,NOT(ISERROR(SUMPRODUCT(SEARCH(MID(metadata!B573,ROW(INDIRECT("1:"&amp;LEN(metadata!B573))), 1),"0123456789abcdefghijklmnopqrstuvwxyzABCDEFGHIJKLMNOPQRSTUVWXYZ.")))))</f>
        <v>0</v>
      </c>
      <c r="R573" t="b">
        <f>AND(IF(metadata!C573="",FALSE,TRUE),OR(EXACT(metadata!C573,"saline"),EXACT(metadata!C573,"non-saline")))</f>
        <v>0</v>
      </c>
      <c r="S573" t="b">
        <f>AND(IF(metadata!D573="",FALSE,TRUE),OR(EXACT(metadata!D573,"surface (non-saline)"),EXACT(metadata!D573,"aerosol (non-saline)"),EXACT(metadata!D573,"sediment (non-saline)"),EXACT(metadata!D573,"surface (saline)"),EXACT(metadata!D573,"aerosol (saline)"),EXACT(metadata!D573,"sediment (saline)")))</f>
        <v>0</v>
      </c>
      <c r="T573" t="b">
        <f>AND(IF(metadata!E573="",FALSE,TRUE),EXACT(metadata!E573,"built environment"))</f>
        <v>0</v>
      </c>
      <c r="U573" t="b">
        <f>OR(AND(IF(metadata!F573="",FALSE,TRUE),EXACT(metadata!F573,"not applicable")),AND(IF(metadata!F573="",FALSE,TRUE),EXACT(metadata!F573,"anaerobic digester content")))</f>
        <v>0</v>
      </c>
    </row>
    <row r="574" spans="1:21" x14ac:dyDescent="0.2">
      <c r="A574" s="4" t="str">
        <f ca="1">IF(B574=" "," ",HYPERLINK(CONCATENATE("#metadata!",ADDRESS(INDEX($L$2:$L$1001,MATCH(ROWS($J$2:J574),$J$2:$J$1001,0),0),1)),INDEX($O$2:$O$1001,MATCH(ROWS($J$2:J574),$J$2:$J$1001,0),0)))</f>
        <v xml:space="preserve"> </v>
      </c>
      <c r="B574" s="3" t="str">
        <f ca="1">IF(OR(INDEX($K$2:$K$1001,MATCH(ROWS($J$2:J574),$J$2:$J$1001,0),1)&gt;=100000,INDEX($Q$1005:$U$1005,1,MATCH(COLUMNS($Q$1006:Q1006),$Q$1006:$U$1006,0))&gt;=100000), " ",IF(INDEX($Q$2:$U$1001,MATCH(ROWS($J$2:J574),$J$2:$J$1001,0),MATCH(COLUMNS($Q$1006:Q1006),$Q$1006:$U$1006,0)), HYPERLINK("#",""), HYPERLINK(CONCATENATE("#metadata!", ADDRESS(INDEX($L$2:$L$1001,MATCH(ROWS($J$2:J574),$J$2:$J$1001,0),0), INDEX($Q$1004:$U$1004,1,MATCH(COLUMNS($Q$1006:Q1006),$Q$1006:$U$1006,0)))),"Fix")))</f>
        <v xml:space="preserve"> </v>
      </c>
      <c r="C574" s="3" t="str">
        <f ca="1">IF(OR(INDEX($K$2:$K$1001,MATCH(ROWS($J$2:J574),$J$2:$J$1001,0),1)&gt;=100000,INDEX($Q$1005:$U$1005,1,MATCH(COLUMNS($Q$1006:R1006),$Q$1006:$U$1006,0))&gt;=100000), " ",IF(INDEX($Q$2:$U$1001,MATCH(ROWS($J$2:J574),$J$2:$J$1001,0),MATCH(COLUMNS($Q$1006:R1006),$Q$1006:$U$1006,0)), HYPERLINK("#",""), HYPERLINK(CONCATENATE("#metadata!", ADDRESS(INDEX($L$2:$L$1001,MATCH(ROWS($J$2:J574),$J$2:$J$1001,0),0), INDEX($Q$1004:$U$1004,1,MATCH(COLUMNS($Q$1006:R1006),$Q$1006:$U$1006,0)))),"Fix")))</f>
        <v xml:space="preserve"> </v>
      </c>
      <c r="D574" s="3" t="str">
        <f ca="1">IF(OR(INDEX($K$2:$K$1001,MATCH(ROWS($J$2:J574),$J$2:$J$1001,0),1)&gt;=100000,INDEX($Q$1005:$U$1005,1,MATCH(COLUMNS($Q$1006:S1006),$Q$1006:$U$1006,0))&gt;=100000), " ",IF(INDEX($Q$2:$U$1001,MATCH(ROWS($J$2:J574),$J$2:$J$1001,0),MATCH(COLUMNS($Q$1006:S1006),$Q$1006:$U$1006,0)), HYPERLINK("#",""), HYPERLINK(CONCATENATE("#metadata!", ADDRESS(INDEX($L$2:$L$1001,MATCH(ROWS($J$2:J574),$J$2:$J$1001,0),0), INDEX($Q$1004:$U$1004,1,MATCH(COLUMNS($Q$1006:S1006),$Q$1006:$U$1006,0)))),"Fix")))</f>
        <v xml:space="preserve"> </v>
      </c>
      <c r="E574" s="3" t="str">
        <f ca="1">IF(OR(INDEX($K$2:$K$1001,MATCH(ROWS($J$2:J574),$J$2:$J$1001,0),1)&gt;=100000,INDEX($Q$1005:$U$1005,1,MATCH(COLUMNS($Q$1006:T1006),$Q$1006:$U$1006,0))&gt;=100000), " ",IF(INDEX($Q$2:$U$1001,MATCH(ROWS($J$2:J574),$J$2:$J$1001,0),MATCH(COLUMNS($Q$1006:T1006),$Q$1006:$U$1006,0)), HYPERLINK("#",""), HYPERLINK(CONCATENATE("#metadata!", ADDRESS(INDEX($L$2:$L$1001,MATCH(ROWS($J$2:J574),$J$2:$J$1001,0),0), INDEX($Q$1004:$U$1004,1,MATCH(COLUMNS($Q$1006:T1006),$Q$1006:$U$1006,0)))),"Fix")))</f>
        <v xml:space="preserve"> </v>
      </c>
      <c r="F574" s="3" t="str">
        <f ca="1">IF(OR(INDEX($K$2:$K$1001,MATCH(ROWS($J$2:J574),$J$2:$J$1001,0),1)&gt;=100000,INDEX($Q$1005:$U$1005,1,MATCH(COLUMNS($Q$1006:U1006),$Q$1006:$U$1006,0))&gt;=100000), " ",IF(INDEX($Q$2:$U$1001,MATCH(ROWS($J$2:J574),$J$2:$J$1001,0),MATCH(COLUMNS($Q$1006:U1006),$Q$1006:$U$1006,0)), HYPERLINK("#",""), HYPERLINK(CONCATENATE("#metadata!", ADDRESS(INDEX($L$2:$L$1001,MATCH(ROWS($J$2:J574),$J$2:$J$1001,0),0), INDEX($Q$1004:$U$1004,1,MATCH(COLUMNS($Q$1006:U1006),$Q$1006:$U$1006,0)))),"Fix")))</f>
        <v xml:space="preserve"> </v>
      </c>
      <c r="J574">
        <v>573</v>
      </c>
      <c r="K574">
        <v>100574</v>
      </c>
      <c r="L574">
        <v>574</v>
      </c>
      <c r="M574" t="b">
        <f t="shared" si="8"/>
        <v>1</v>
      </c>
      <c r="N574" t="b">
        <f>COUNTBLANK(metadata!B574:F574)=COLUMNS(metadata!B574:F574)</f>
        <v>1</v>
      </c>
      <c r="O574" t="str">
        <v/>
      </c>
      <c r="Q574" t="b">
        <f ca="1">AND(IF(metadata!B574="",FALSE,TRUE),COUNTIF(metadata!B:B, metadata!B574) = 1,NOT(ISERROR(SUMPRODUCT(SEARCH(MID(metadata!B574,ROW(INDIRECT("1:"&amp;LEN(metadata!B574))), 1),"0123456789abcdefghijklmnopqrstuvwxyzABCDEFGHIJKLMNOPQRSTUVWXYZ.")))))</f>
        <v>0</v>
      </c>
      <c r="R574" t="b">
        <f>AND(IF(metadata!C574="",FALSE,TRUE),OR(EXACT(metadata!C574,"saline"),EXACT(metadata!C574,"non-saline")))</f>
        <v>0</v>
      </c>
      <c r="S574" t="b">
        <f>AND(IF(metadata!D574="",FALSE,TRUE),OR(EXACT(metadata!D574,"surface (non-saline)"),EXACT(metadata!D574,"aerosol (non-saline)"),EXACT(metadata!D574,"sediment (non-saline)"),EXACT(metadata!D574,"surface (saline)"),EXACT(metadata!D574,"aerosol (saline)"),EXACT(metadata!D574,"sediment (saline)")))</f>
        <v>0</v>
      </c>
      <c r="T574" t="b">
        <f>AND(IF(metadata!E574="",FALSE,TRUE),EXACT(metadata!E574,"built environment"))</f>
        <v>0</v>
      </c>
      <c r="U574" t="b">
        <f>OR(AND(IF(metadata!F574="",FALSE,TRUE),EXACT(metadata!F574,"not applicable")),AND(IF(metadata!F574="",FALSE,TRUE),EXACT(metadata!F574,"anaerobic digester content")))</f>
        <v>0</v>
      </c>
    </row>
    <row r="575" spans="1:21" x14ac:dyDescent="0.2">
      <c r="A575" s="4" t="str">
        <f ca="1">IF(B575=" "," ",HYPERLINK(CONCATENATE("#metadata!",ADDRESS(INDEX($L$2:$L$1001,MATCH(ROWS($J$2:J575),$J$2:$J$1001,0),0),1)),INDEX($O$2:$O$1001,MATCH(ROWS($J$2:J575),$J$2:$J$1001,0),0)))</f>
        <v xml:space="preserve"> </v>
      </c>
      <c r="B575" s="3" t="str">
        <f ca="1">IF(OR(INDEX($K$2:$K$1001,MATCH(ROWS($J$2:J575),$J$2:$J$1001,0),1)&gt;=100000,INDEX($Q$1005:$U$1005,1,MATCH(COLUMNS($Q$1006:Q1006),$Q$1006:$U$1006,0))&gt;=100000), " ",IF(INDEX($Q$2:$U$1001,MATCH(ROWS($J$2:J575),$J$2:$J$1001,0),MATCH(COLUMNS($Q$1006:Q1006),$Q$1006:$U$1006,0)), HYPERLINK("#",""), HYPERLINK(CONCATENATE("#metadata!", ADDRESS(INDEX($L$2:$L$1001,MATCH(ROWS($J$2:J575),$J$2:$J$1001,0),0), INDEX($Q$1004:$U$1004,1,MATCH(COLUMNS($Q$1006:Q1006),$Q$1006:$U$1006,0)))),"Fix")))</f>
        <v xml:space="preserve"> </v>
      </c>
      <c r="C575" s="3" t="str">
        <f ca="1">IF(OR(INDEX($K$2:$K$1001,MATCH(ROWS($J$2:J575),$J$2:$J$1001,0),1)&gt;=100000,INDEX($Q$1005:$U$1005,1,MATCH(COLUMNS($Q$1006:R1006),$Q$1006:$U$1006,0))&gt;=100000), " ",IF(INDEX($Q$2:$U$1001,MATCH(ROWS($J$2:J575),$J$2:$J$1001,0),MATCH(COLUMNS($Q$1006:R1006),$Q$1006:$U$1006,0)), HYPERLINK("#",""), HYPERLINK(CONCATENATE("#metadata!", ADDRESS(INDEX($L$2:$L$1001,MATCH(ROWS($J$2:J575),$J$2:$J$1001,0),0), INDEX($Q$1004:$U$1004,1,MATCH(COLUMNS($Q$1006:R1006),$Q$1006:$U$1006,0)))),"Fix")))</f>
        <v xml:space="preserve"> </v>
      </c>
      <c r="D575" s="3" t="str">
        <f ca="1">IF(OR(INDEX($K$2:$K$1001,MATCH(ROWS($J$2:J575),$J$2:$J$1001,0),1)&gt;=100000,INDEX($Q$1005:$U$1005,1,MATCH(COLUMNS($Q$1006:S1006),$Q$1006:$U$1006,0))&gt;=100000), " ",IF(INDEX($Q$2:$U$1001,MATCH(ROWS($J$2:J575),$J$2:$J$1001,0),MATCH(COLUMNS($Q$1006:S1006),$Q$1006:$U$1006,0)), HYPERLINK("#",""), HYPERLINK(CONCATENATE("#metadata!", ADDRESS(INDEX($L$2:$L$1001,MATCH(ROWS($J$2:J575),$J$2:$J$1001,0),0), INDEX($Q$1004:$U$1004,1,MATCH(COLUMNS($Q$1006:S1006),$Q$1006:$U$1006,0)))),"Fix")))</f>
        <v xml:space="preserve"> </v>
      </c>
      <c r="E575" s="3" t="str">
        <f ca="1">IF(OR(INDEX($K$2:$K$1001,MATCH(ROWS($J$2:J575),$J$2:$J$1001,0),1)&gt;=100000,INDEX($Q$1005:$U$1005,1,MATCH(COLUMNS($Q$1006:T1006),$Q$1006:$U$1006,0))&gt;=100000), " ",IF(INDEX($Q$2:$U$1001,MATCH(ROWS($J$2:J575),$J$2:$J$1001,0),MATCH(COLUMNS($Q$1006:T1006),$Q$1006:$U$1006,0)), HYPERLINK("#",""), HYPERLINK(CONCATENATE("#metadata!", ADDRESS(INDEX($L$2:$L$1001,MATCH(ROWS($J$2:J575),$J$2:$J$1001,0),0), INDEX($Q$1004:$U$1004,1,MATCH(COLUMNS($Q$1006:T1006),$Q$1006:$U$1006,0)))),"Fix")))</f>
        <v xml:space="preserve"> </v>
      </c>
      <c r="F575" s="3" t="str">
        <f ca="1">IF(OR(INDEX($K$2:$K$1001,MATCH(ROWS($J$2:J575),$J$2:$J$1001,0),1)&gt;=100000,INDEX($Q$1005:$U$1005,1,MATCH(COLUMNS($Q$1006:U1006),$Q$1006:$U$1006,0))&gt;=100000), " ",IF(INDEX($Q$2:$U$1001,MATCH(ROWS($J$2:J575),$J$2:$J$1001,0),MATCH(COLUMNS($Q$1006:U1006),$Q$1006:$U$1006,0)), HYPERLINK("#",""), HYPERLINK(CONCATENATE("#metadata!", ADDRESS(INDEX($L$2:$L$1001,MATCH(ROWS($J$2:J575),$J$2:$J$1001,0),0), INDEX($Q$1004:$U$1004,1,MATCH(COLUMNS($Q$1006:U1006),$Q$1006:$U$1006,0)))),"Fix")))</f>
        <v xml:space="preserve"> </v>
      </c>
      <c r="J575">
        <v>574</v>
      </c>
      <c r="K575">
        <v>100575</v>
      </c>
      <c r="L575">
        <v>575</v>
      </c>
      <c r="M575" t="b">
        <f t="shared" si="8"/>
        <v>1</v>
      </c>
      <c r="N575" t="b">
        <f>COUNTBLANK(metadata!B575:F575)=COLUMNS(metadata!B575:F575)</f>
        <v>1</v>
      </c>
      <c r="O575" t="str">
        <v/>
      </c>
      <c r="Q575" t="b">
        <f ca="1">AND(IF(metadata!B575="",FALSE,TRUE),COUNTIF(metadata!B:B, metadata!B575) = 1,NOT(ISERROR(SUMPRODUCT(SEARCH(MID(metadata!B575,ROW(INDIRECT("1:"&amp;LEN(metadata!B575))), 1),"0123456789abcdefghijklmnopqrstuvwxyzABCDEFGHIJKLMNOPQRSTUVWXYZ.")))))</f>
        <v>0</v>
      </c>
      <c r="R575" t="b">
        <f>AND(IF(metadata!C575="",FALSE,TRUE),OR(EXACT(metadata!C575,"saline"),EXACT(metadata!C575,"non-saline")))</f>
        <v>0</v>
      </c>
      <c r="S575" t="b">
        <f>AND(IF(metadata!D575="",FALSE,TRUE),OR(EXACT(metadata!D575,"surface (non-saline)"),EXACT(metadata!D575,"aerosol (non-saline)"),EXACT(metadata!D575,"sediment (non-saline)"),EXACT(metadata!D575,"surface (saline)"),EXACT(metadata!D575,"aerosol (saline)"),EXACT(metadata!D575,"sediment (saline)")))</f>
        <v>0</v>
      </c>
      <c r="T575" t="b">
        <f>AND(IF(metadata!E575="",FALSE,TRUE),EXACT(metadata!E575,"built environment"))</f>
        <v>0</v>
      </c>
      <c r="U575" t="b">
        <f>OR(AND(IF(metadata!F575="",FALSE,TRUE),EXACT(metadata!F575,"not applicable")),AND(IF(metadata!F575="",FALSE,TRUE),EXACT(metadata!F575,"anaerobic digester content")))</f>
        <v>0</v>
      </c>
    </row>
    <row r="576" spans="1:21" x14ac:dyDescent="0.2">
      <c r="A576" s="4" t="str">
        <f ca="1">IF(B576=" "," ",HYPERLINK(CONCATENATE("#metadata!",ADDRESS(INDEX($L$2:$L$1001,MATCH(ROWS($J$2:J576),$J$2:$J$1001,0),0),1)),INDEX($O$2:$O$1001,MATCH(ROWS($J$2:J576),$J$2:$J$1001,0),0)))</f>
        <v xml:space="preserve"> </v>
      </c>
      <c r="B576" s="3" t="str">
        <f ca="1">IF(OR(INDEX($K$2:$K$1001,MATCH(ROWS($J$2:J576),$J$2:$J$1001,0),1)&gt;=100000,INDEX($Q$1005:$U$1005,1,MATCH(COLUMNS($Q$1006:Q1006),$Q$1006:$U$1006,0))&gt;=100000), " ",IF(INDEX($Q$2:$U$1001,MATCH(ROWS($J$2:J576),$J$2:$J$1001,0),MATCH(COLUMNS($Q$1006:Q1006),$Q$1006:$U$1006,0)), HYPERLINK("#",""), HYPERLINK(CONCATENATE("#metadata!", ADDRESS(INDEX($L$2:$L$1001,MATCH(ROWS($J$2:J576),$J$2:$J$1001,0),0), INDEX($Q$1004:$U$1004,1,MATCH(COLUMNS($Q$1006:Q1006),$Q$1006:$U$1006,0)))),"Fix")))</f>
        <v xml:space="preserve"> </v>
      </c>
      <c r="C576" s="3" t="str">
        <f ca="1">IF(OR(INDEX($K$2:$K$1001,MATCH(ROWS($J$2:J576),$J$2:$J$1001,0),1)&gt;=100000,INDEX($Q$1005:$U$1005,1,MATCH(COLUMNS($Q$1006:R1006),$Q$1006:$U$1006,0))&gt;=100000), " ",IF(INDEX($Q$2:$U$1001,MATCH(ROWS($J$2:J576),$J$2:$J$1001,0),MATCH(COLUMNS($Q$1006:R1006),$Q$1006:$U$1006,0)), HYPERLINK("#",""), HYPERLINK(CONCATENATE("#metadata!", ADDRESS(INDEX($L$2:$L$1001,MATCH(ROWS($J$2:J576),$J$2:$J$1001,0),0), INDEX($Q$1004:$U$1004,1,MATCH(COLUMNS($Q$1006:R1006),$Q$1006:$U$1006,0)))),"Fix")))</f>
        <v xml:space="preserve"> </v>
      </c>
      <c r="D576" s="3" t="str">
        <f ca="1">IF(OR(INDEX($K$2:$K$1001,MATCH(ROWS($J$2:J576),$J$2:$J$1001,0),1)&gt;=100000,INDEX($Q$1005:$U$1005,1,MATCH(COLUMNS($Q$1006:S1006),$Q$1006:$U$1006,0))&gt;=100000), " ",IF(INDEX($Q$2:$U$1001,MATCH(ROWS($J$2:J576),$J$2:$J$1001,0),MATCH(COLUMNS($Q$1006:S1006),$Q$1006:$U$1006,0)), HYPERLINK("#",""), HYPERLINK(CONCATENATE("#metadata!", ADDRESS(INDEX($L$2:$L$1001,MATCH(ROWS($J$2:J576),$J$2:$J$1001,0),0), INDEX($Q$1004:$U$1004,1,MATCH(COLUMNS($Q$1006:S1006),$Q$1006:$U$1006,0)))),"Fix")))</f>
        <v xml:space="preserve"> </v>
      </c>
      <c r="E576" s="3" t="str">
        <f ca="1">IF(OR(INDEX($K$2:$K$1001,MATCH(ROWS($J$2:J576),$J$2:$J$1001,0),1)&gt;=100000,INDEX($Q$1005:$U$1005,1,MATCH(COLUMNS($Q$1006:T1006),$Q$1006:$U$1006,0))&gt;=100000), " ",IF(INDEX($Q$2:$U$1001,MATCH(ROWS($J$2:J576),$J$2:$J$1001,0),MATCH(COLUMNS($Q$1006:T1006),$Q$1006:$U$1006,0)), HYPERLINK("#",""), HYPERLINK(CONCATENATE("#metadata!", ADDRESS(INDEX($L$2:$L$1001,MATCH(ROWS($J$2:J576),$J$2:$J$1001,0),0), INDEX($Q$1004:$U$1004,1,MATCH(COLUMNS($Q$1006:T1006),$Q$1006:$U$1006,0)))),"Fix")))</f>
        <v xml:space="preserve"> </v>
      </c>
      <c r="F576" s="3" t="str">
        <f ca="1">IF(OR(INDEX($K$2:$K$1001,MATCH(ROWS($J$2:J576),$J$2:$J$1001,0),1)&gt;=100000,INDEX($Q$1005:$U$1005,1,MATCH(COLUMNS($Q$1006:U1006),$Q$1006:$U$1006,0))&gt;=100000), " ",IF(INDEX($Q$2:$U$1001,MATCH(ROWS($J$2:J576),$J$2:$J$1001,0),MATCH(COLUMNS($Q$1006:U1006),$Q$1006:$U$1006,0)), HYPERLINK("#",""), HYPERLINK(CONCATENATE("#metadata!", ADDRESS(INDEX($L$2:$L$1001,MATCH(ROWS($J$2:J576),$J$2:$J$1001,0),0), INDEX($Q$1004:$U$1004,1,MATCH(COLUMNS($Q$1006:U1006),$Q$1006:$U$1006,0)))),"Fix")))</f>
        <v xml:space="preserve"> </v>
      </c>
      <c r="J576">
        <v>575</v>
      </c>
      <c r="K576">
        <v>100576</v>
      </c>
      <c r="L576">
        <v>576</v>
      </c>
      <c r="M576" t="b">
        <f t="shared" si="8"/>
        <v>1</v>
      </c>
      <c r="N576" t="b">
        <f>COUNTBLANK(metadata!B576:F576)=COLUMNS(metadata!B576:F576)</f>
        <v>1</v>
      </c>
      <c r="O576" t="str">
        <v/>
      </c>
      <c r="Q576" t="b">
        <f ca="1">AND(IF(metadata!B576="",FALSE,TRUE),COUNTIF(metadata!B:B, metadata!B576) = 1,NOT(ISERROR(SUMPRODUCT(SEARCH(MID(metadata!B576,ROW(INDIRECT("1:"&amp;LEN(metadata!B576))), 1),"0123456789abcdefghijklmnopqrstuvwxyzABCDEFGHIJKLMNOPQRSTUVWXYZ.")))))</f>
        <v>0</v>
      </c>
      <c r="R576" t="b">
        <f>AND(IF(metadata!C576="",FALSE,TRUE),OR(EXACT(metadata!C576,"saline"),EXACT(metadata!C576,"non-saline")))</f>
        <v>0</v>
      </c>
      <c r="S576" t="b">
        <f>AND(IF(metadata!D576="",FALSE,TRUE),OR(EXACT(metadata!D576,"surface (non-saline)"),EXACT(metadata!D576,"aerosol (non-saline)"),EXACT(metadata!D576,"sediment (non-saline)"),EXACT(metadata!D576,"surface (saline)"),EXACT(metadata!D576,"aerosol (saline)"),EXACT(metadata!D576,"sediment (saline)")))</f>
        <v>0</v>
      </c>
      <c r="T576" t="b">
        <f>AND(IF(metadata!E576="",FALSE,TRUE),EXACT(metadata!E576,"built environment"))</f>
        <v>0</v>
      </c>
      <c r="U576" t="b">
        <f>OR(AND(IF(metadata!F576="",FALSE,TRUE),EXACT(metadata!F576,"not applicable")),AND(IF(metadata!F576="",FALSE,TRUE),EXACT(metadata!F576,"anaerobic digester content")))</f>
        <v>0</v>
      </c>
    </row>
    <row r="577" spans="1:21" x14ac:dyDescent="0.2">
      <c r="A577" s="4" t="str">
        <f ca="1">IF(B577=" "," ",HYPERLINK(CONCATENATE("#metadata!",ADDRESS(INDEX($L$2:$L$1001,MATCH(ROWS($J$2:J577),$J$2:$J$1001,0),0),1)),INDEX($O$2:$O$1001,MATCH(ROWS($J$2:J577),$J$2:$J$1001,0),0)))</f>
        <v xml:space="preserve"> </v>
      </c>
      <c r="B577" s="3" t="str">
        <f ca="1">IF(OR(INDEX($K$2:$K$1001,MATCH(ROWS($J$2:J577),$J$2:$J$1001,0),1)&gt;=100000,INDEX($Q$1005:$U$1005,1,MATCH(COLUMNS($Q$1006:Q1006),$Q$1006:$U$1006,0))&gt;=100000), " ",IF(INDEX($Q$2:$U$1001,MATCH(ROWS($J$2:J577),$J$2:$J$1001,0),MATCH(COLUMNS($Q$1006:Q1006),$Q$1006:$U$1006,0)), HYPERLINK("#",""), HYPERLINK(CONCATENATE("#metadata!", ADDRESS(INDEX($L$2:$L$1001,MATCH(ROWS($J$2:J577),$J$2:$J$1001,0),0), INDEX($Q$1004:$U$1004,1,MATCH(COLUMNS($Q$1006:Q1006),$Q$1006:$U$1006,0)))),"Fix")))</f>
        <v xml:space="preserve"> </v>
      </c>
      <c r="C577" s="3" t="str">
        <f ca="1">IF(OR(INDEX($K$2:$K$1001,MATCH(ROWS($J$2:J577),$J$2:$J$1001,0),1)&gt;=100000,INDEX($Q$1005:$U$1005,1,MATCH(COLUMNS($Q$1006:R1006),$Q$1006:$U$1006,0))&gt;=100000), " ",IF(INDEX($Q$2:$U$1001,MATCH(ROWS($J$2:J577),$J$2:$J$1001,0),MATCH(COLUMNS($Q$1006:R1006),$Q$1006:$U$1006,0)), HYPERLINK("#",""), HYPERLINK(CONCATENATE("#metadata!", ADDRESS(INDEX($L$2:$L$1001,MATCH(ROWS($J$2:J577),$J$2:$J$1001,0),0), INDEX($Q$1004:$U$1004,1,MATCH(COLUMNS($Q$1006:R1006),$Q$1006:$U$1006,0)))),"Fix")))</f>
        <v xml:space="preserve"> </v>
      </c>
      <c r="D577" s="3" t="str">
        <f ca="1">IF(OR(INDEX($K$2:$K$1001,MATCH(ROWS($J$2:J577),$J$2:$J$1001,0),1)&gt;=100000,INDEX($Q$1005:$U$1005,1,MATCH(COLUMNS($Q$1006:S1006),$Q$1006:$U$1006,0))&gt;=100000), " ",IF(INDEX($Q$2:$U$1001,MATCH(ROWS($J$2:J577),$J$2:$J$1001,0),MATCH(COLUMNS($Q$1006:S1006),$Q$1006:$U$1006,0)), HYPERLINK("#",""), HYPERLINK(CONCATENATE("#metadata!", ADDRESS(INDEX($L$2:$L$1001,MATCH(ROWS($J$2:J577),$J$2:$J$1001,0),0), INDEX($Q$1004:$U$1004,1,MATCH(COLUMNS($Q$1006:S1006),$Q$1006:$U$1006,0)))),"Fix")))</f>
        <v xml:space="preserve"> </v>
      </c>
      <c r="E577" s="3" t="str">
        <f ca="1">IF(OR(INDEX($K$2:$K$1001,MATCH(ROWS($J$2:J577),$J$2:$J$1001,0),1)&gt;=100000,INDEX($Q$1005:$U$1005,1,MATCH(COLUMNS($Q$1006:T1006),$Q$1006:$U$1006,0))&gt;=100000), " ",IF(INDEX($Q$2:$U$1001,MATCH(ROWS($J$2:J577),$J$2:$J$1001,0),MATCH(COLUMNS($Q$1006:T1006),$Q$1006:$U$1006,0)), HYPERLINK("#",""), HYPERLINK(CONCATENATE("#metadata!", ADDRESS(INDEX($L$2:$L$1001,MATCH(ROWS($J$2:J577),$J$2:$J$1001,0),0), INDEX($Q$1004:$U$1004,1,MATCH(COLUMNS($Q$1006:T1006),$Q$1006:$U$1006,0)))),"Fix")))</f>
        <v xml:space="preserve"> </v>
      </c>
      <c r="F577" s="3" t="str">
        <f ca="1">IF(OR(INDEX($K$2:$K$1001,MATCH(ROWS($J$2:J577),$J$2:$J$1001,0),1)&gt;=100000,INDEX($Q$1005:$U$1005,1,MATCH(COLUMNS($Q$1006:U1006),$Q$1006:$U$1006,0))&gt;=100000), " ",IF(INDEX($Q$2:$U$1001,MATCH(ROWS($J$2:J577),$J$2:$J$1001,0),MATCH(COLUMNS($Q$1006:U1006),$Q$1006:$U$1006,0)), HYPERLINK("#",""), HYPERLINK(CONCATENATE("#metadata!", ADDRESS(INDEX($L$2:$L$1001,MATCH(ROWS($J$2:J577),$J$2:$J$1001,0),0), INDEX($Q$1004:$U$1004,1,MATCH(COLUMNS($Q$1006:U1006),$Q$1006:$U$1006,0)))),"Fix")))</f>
        <v xml:space="preserve"> </v>
      </c>
      <c r="J577">
        <v>576</v>
      </c>
      <c r="K577">
        <v>100577</v>
      </c>
      <c r="L577">
        <v>577</v>
      </c>
      <c r="M577" t="b">
        <f t="shared" si="8"/>
        <v>1</v>
      </c>
      <c r="N577" t="b">
        <f>COUNTBLANK(metadata!B577:F577)=COLUMNS(metadata!B577:F577)</f>
        <v>1</v>
      </c>
      <c r="O577" t="str">
        <v/>
      </c>
      <c r="Q577" t="b">
        <f ca="1">AND(IF(metadata!B577="",FALSE,TRUE),COUNTIF(metadata!B:B, metadata!B577) = 1,NOT(ISERROR(SUMPRODUCT(SEARCH(MID(metadata!B577,ROW(INDIRECT("1:"&amp;LEN(metadata!B577))), 1),"0123456789abcdefghijklmnopqrstuvwxyzABCDEFGHIJKLMNOPQRSTUVWXYZ.")))))</f>
        <v>0</v>
      </c>
      <c r="R577" t="b">
        <f>AND(IF(metadata!C577="",FALSE,TRUE),OR(EXACT(metadata!C577,"saline"),EXACT(metadata!C577,"non-saline")))</f>
        <v>0</v>
      </c>
      <c r="S577" t="b">
        <f>AND(IF(metadata!D577="",FALSE,TRUE),OR(EXACT(metadata!D577,"surface (non-saline)"),EXACT(metadata!D577,"aerosol (non-saline)"),EXACT(metadata!D577,"sediment (non-saline)"),EXACT(metadata!D577,"surface (saline)"),EXACT(metadata!D577,"aerosol (saline)"),EXACT(metadata!D577,"sediment (saline)")))</f>
        <v>0</v>
      </c>
      <c r="T577" t="b">
        <f>AND(IF(metadata!E577="",FALSE,TRUE),EXACT(metadata!E577,"built environment"))</f>
        <v>0</v>
      </c>
      <c r="U577" t="b">
        <f>OR(AND(IF(metadata!F577="",FALSE,TRUE),EXACT(metadata!F577,"not applicable")),AND(IF(metadata!F577="",FALSE,TRUE),EXACT(metadata!F577,"anaerobic digester content")))</f>
        <v>0</v>
      </c>
    </row>
    <row r="578" spans="1:21" x14ac:dyDescent="0.2">
      <c r="A578" s="4" t="str">
        <f ca="1">IF(B578=" "," ",HYPERLINK(CONCATENATE("#metadata!",ADDRESS(INDEX($L$2:$L$1001,MATCH(ROWS($J$2:J578),$J$2:$J$1001,0),0),1)),INDEX($O$2:$O$1001,MATCH(ROWS($J$2:J578),$J$2:$J$1001,0),0)))</f>
        <v xml:space="preserve"> </v>
      </c>
      <c r="B578" s="3" t="str">
        <f ca="1">IF(OR(INDEX($K$2:$K$1001,MATCH(ROWS($J$2:J578),$J$2:$J$1001,0),1)&gt;=100000,INDEX($Q$1005:$U$1005,1,MATCH(COLUMNS($Q$1006:Q1006),$Q$1006:$U$1006,0))&gt;=100000), " ",IF(INDEX($Q$2:$U$1001,MATCH(ROWS($J$2:J578),$J$2:$J$1001,0),MATCH(COLUMNS($Q$1006:Q1006),$Q$1006:$U$1006,0)), HYPERLINK("#",""), HYPERLINK(CONCATENATE("#metadata!", ADDRESS(INDEX($L$2:$L$1001,MATCH(ROWS($J$2:J578),$J$2:$J$1001,0),0), INDEX($Q$1004:$U$1004,1,MATCH(COLUMNS($Q$1006:Q1006),$Q$1006:$U$1006,0)))),"Fix")))</f>
        <v xml:space="preserve"> </v>
      </c>
      <c r="C578" s="3" t="str">
        <f ca="1">IF(OR(INDEX($K$2:$K$1001,MATCH(ROWS($J$2:J578),$J$2:$J$1001,0),1)&gt;=100000,INDEX($Q$1005:$U$1005,1,MATCH(COLUMNS($Q$1006:R1006),$Q$1006:$U$1006,0))&gt;=100000), " ",IF(INDEX($Q$2:$U$1001,MATCH(ROWS($J$2:J578),$J$2:$J$1001,0),MATCH(COLUMNS($Q$1006:R1006),$Q$1006:$U$1006,0)), HYPERLINK("#",""), HYPERLINK(CONCATENATE("#metadata!", ADDRESS(INDEX($L$2:$L$1001,MATCH(ROWS($J$2:J578),$J$2:$J$1001,0),0), INDEX($Q$1004:$U$1004,1,MATCH(COLUMNS($Q$1006:R1006),$Q$1006:$U$1006,0)))),"Fix")))</f>
        <v xml:space="preserve"> </v>
      </c>
      <c r="D578" s="3" t="str">
        <f ca="1">IF(OR(INDEX($K$2:$K$1001,MATCH(ROWS($J$2:J578),$J$2:$J$1001,0),1)&gt;=100000,INDEX($Q$1005:$U$1005,1,MATCH(COLUMNS($Q$1006:S1006),$Q$1006:$U$1006,0))&gt;=100000), " ",IF(INDEX($Q$2:$U$1001,MATCH(ROWS($J$2:J578),$J$2:$J$1001,0),MATCH(COLUMNS($Q$1006:S1006),$Q$1006:$U$1006,0)), HYPERLINK("#",""), HYPERLINK(CONCATENATE("#metadata!", ADDRESS(INDEX($L$2:$L$1001,MATCH(ROWS($J$2:J578),$J$2:$J$1001,0),0), INDEX($Q$1004:$U$1004,1,MATCH(COLUMNS($Q$1006:S1006),$Q$1006:$U$1006,0)))),"Fix")))</f>
        <v xml:space="preserve"> </v>
      </c>
      <c r="E578" s="3" t="str">
        <f ca="1">IF(OR(INDEX($K$2:$K$1001,MATCH(ROWS($J$2:J578),$J$2:$J$1001,0),1)&gt;=100000,INDEX($Q$1005:$U$1005,1,MATCH(COLUMNS($Q$1006:T1006),$Q$1006:$U$1006,0))&gt;=100000), " ",IF(INDEX($Q$2:$U$1001,MATCH(ROWS($J$2:J578),$J$2:$J$1001,0),MATCH(COLUMNS($Q$1006:T1006),$Q$1006:$U$1006,0)), HYPERLINK("#",""), HYPERLINK(CONCATENATE("#metadata!", ADDRESS(INDEX($L$2:$L$1001,MATCH(ROWS($J$2:J578),$J$2:$J$1001,0),0), INDEX($Q$1004:$U$1004,1,MATCH(COLUMNS($Q$1006:T1006),$Q$1006:$U$1006,0)))),"Fix")))</f>
        <v xml:space="preserve"> </v>
      </c>
      <c r="F578" s="3" t="str">
        <f ca="1">IF(OR(INDEX($K$2:$K$1001,MATCH(ROWS($J$2:J578),$J$2:$J$1001,0),1)&gt;=100000,INDEX($Q$1005:$U$1005,1,MATCH(COLUMNS($Q$1006:U1006),$Q$1006:$U$1006,0))&gt;=100000), " ",IF(INDEX($Q$2:$U$1001,MATCH(ROWS($J$2:J578),$J$2:$J$1001,0),MATCH(COLUMNS($Q$1006:U1006),$Q$1006:$U$1006,0)), HYPERLINK("#",""), HYPERLINK(CONCATENATE("#metadata!", ADDRESS(INDEX($L$2:$L$1001,MATCH(ROWS($J$2:J578),$J$2:$J$1001,0),0), INDEX($Q$1004:$U$1004,1,MATCH(COLUMNS($Q$1006:U1006),$Q$1006:$U$1006,0)))),"Fix")))</f>
        <v xml:space="preserve"> </v>
      </c>
      <c r="J578">
        <v>577</v>
      </c>
      <c r="K578">
        <v>100578</v>
      </c>
      <c r="L578">
        <v>578</v>
      </c>
      <c r="M578" t="b">
        <f t="shared" ref="M578:M641" si="9">IF(N578,TRUE,AND(Q578:U578))</f>
        <v>1</v>
      </c>
      <c r="N578" t="b">
        <f>COUNTBLANK(metadata!B578:F578)=COLUMNS(metadata!B578:F578)</f>
        <v>1</v>
      </c>
      <c r="O578" t="str">
        <v/>
      </c>
      <c r="Q578" t="b">
        <f ca="1">AND(IF(metadata!B578="",FALSE,TRUE),COUNTIF(metadata!B:B, metadata!B578) = 1,NOT(ISERROR(SUMPRODUCT(SEARCH(MID(metadata!B578,ROW(INDIRECT("1:"&amp;LEN(metadata!B578))), 1),"0123456789abcdefghijklmnopqrstuvwxyzABCDEFGHIJKLMNOPQRSTUVWXYZ.")))))</f>
        <v>0</v>
      </c>
      <c r="R578" t="b">
        <f>AND(IF(metadata!C578="",FALSE,TRUE),OR(EXACT(metadata!C578,"saline"),EXACT(metadata!C578,"non-saline")))</f>
        <v>0</v>
      </c>
      <c r="S578" t="b">
        <f>AND(IF(metadata!D578="",FALSE,TRUE),OR(EXACT(metadata!D578,"surface (non-saline)"),EXACT(metadata!D578,"aerosol (non-saline)"),EXACT(metadata!D578,"sediment (non-saline)"),EXACT(metadata!D578,"surface (saline)"),EXACT(metadata!D578,"aerosol (saline)"),EXACT(metadata!D578,"sediment (saline)")))</f>
        <v>0</v>
      </c>
      <c r="T578" t="b">
        <f>AND(IF(metadata!E578="",FALSE,TRUE),EXACT(metadata!E578,"built environment"))</f>
        <v>0</v>
      </c>
      <c r="U578" t="b">
        <f>OR(AND(IF(metadata!F578="",FALSE,TRUE),EXACT(metadata!F578,"not applicable")),AND(IF(metadata!F578="",FALSE,TRUE),EXACT(metadata!F578,"anaerobic digester content")))</f>
        <v>0</v>
      </c>
    </row>
    <row r="579" spans="1:21" x14ac:dyDescent="0.2">
      <c r="A579" s="4" t="str">
        <f ca="1">IF(B579=" "," ",HYPERLINK(CONCATENATE("#metadata!",ADDRESS(INDEX($L$2:$L$1001,MATCH(ROWS($J$2:J579),$J$2:$J$1001,0),0),1)),INDEX($O$2:$O$1001,MATCH(ROWS($J$2:J579),$J$2:$J$1001,0),0)))</f>
        <v xml:space="preserve"> </v>
      </c>
      <c r="B579" s="3" t="str">
        <f ca="1">IF(OR(INDEX($K$2:$K$1001,MATCH(ROWS($J$2:J579),$J$2:$J$1001,0),1)&gt;=100000,INDEX($Q$1005:$U$1005,1,MATCH(COLUMNS($Q$1006:Q1006),$Q$1006:$U$1006,0))&gt;=100000), " ",IF(INDEX($Q$2:$U$1001,MATCH(ROWS($J$2:J579),$J$2:$J$1001,0),MATCH(COLUMNS($Q$1006:Q1006),$Q$1006:$U$1006,0)), HYPERLINK("#",""), HYPERLINK(CONCATENATE("#metadata!", ADDRESS(INDEX($L$2:$L$1001,MATCH(ROWS($J$2:J579),$J$2:$J$1001,0),0), INDEX($Q$1004:$U$1004,1,MATCH(COLUMNS($Q$1006:Q1006),$Q$1006:$U$1006,0)))),"Fix")))</f>
        <v xml:space="preserve"> </v>
      </c>
      <c r="C579" s="3" t="str">
        <f ca="1">IF(OR(INDEX($K$2:$K$1001,MATCH(ROWS($J$2:J579),$J$2:$J$1001,0),1)&gt;=100000,INDEX($Q$1005:$U$1005,1,MATCH(COLUMNS($Q$1006:R1006),$Q$1006:$U$1006,0))&gt;=100000), " ",IF(INDEX($Q$2:$U$1001,MATCH(ROWS($J$2:J579),$J$2:$J$1001,0),MATCH(COLUMNS($Q$1006:R1006),$Q$1006:$U$1006,0)), HYPERLINK("#",""), HYPERLINK(CONCATENATE("#metadata!", ADDRESS(INDEX($L$2:$L$1001,MATCH(ROWS($J$2:J579),$J$2:$J$1001,0),0), INDEX($Q$1004:$U$1004,1,MATCH(COLUMNS($Q$1006:R1006),$Q$1006:$U$1006,0)))),"Fix")))</f>
        <v xml:space="preserve"> </v>
      </c>
      <c r="D579" s="3" t="str">
        <f ca="1">IF(OR(INDEX($K$2:$K$1001,MATCH(ROWS($J$2:J579),$J$2:$J$1001,0),1)&gt;=100000,INDEX($Q$1005:$U$1005,1,MATCH(COLUMNS($Q$1006:S1006),$Q$1006:$U$1006,0))&gt;=100000), " ",IF(INDEX($Q$2:$U$1001,MATCH(ROWS($J$2:J579),$J$2:$J$1001,0),MATCH(COLUMNS($Q$1006:S1006),$Q$1006:$U$1006,0)), HYPERLINK("#",""), HYPERLINK(CONCATENATE("#metadata!", ADDRESS(INDEX($L$2:$L$1001,MATCH(ROWS($J$2:J579),$J$2:$J$1001,0),0), INDEX($Q$1004:$U$1004,1,MATCH(COLUMNS($Q$1006:S1006),$Q$1006:$U$1006,0)))),"Fix")))</f>
        <v xml:space="preserve"> </v>
      </c>
      <c r="E579" s="3" t="str">
        <f ca="1">IF(OR(INDEX($K$2:$K$1001,MATCH(ROWS($J$2:J579),$J$2:$J$1001,0),1)&gt;=100000,INDEX($Q$1005:$U$1005,1,MATCH(COLUMNS($Q$1006:T1006),$Q$1006:$U$1006,0))&gt;=100000), " ",IF(INDEX($Q$2:$U$1001,MATCH(ROWS($J$2:J579),$J$2:$J$1001,0),MATCH(COLUMNS($Q$1006:T1006),$Q$1006:$U$1006,0)), HYPERLINK("#",""), HYPERLINK(CONCATENATE("#metadata!", ADDRESS(INDEX($L$2:$L$1001,MATCH(ROWS($J$2:J579),$J$2:$J$1001,0),0), INDEX($Q$1004:$U$1004,1,MATCH(COLUMNS($Q$1006:T1006),$Q$1006:$U$1006,0)))),"Fix")))</f>
        <v xml:space="preserve"> </v>
      </c>
      <c r="F579" s="3" t="str">
        <f ca="1">IF(OR(INDEX($K$2:$K$1001,MATCH(ROWS($J$2:J579),$J$2:$J$1001,0),1)&gt;=100000,INDEX($Q$1005:$U$1005,1,MATCH(COLUMNS($Q$1006:U1006),$Q$1006:$U$1006,0))&gt;=100000), " ",IF(INDEX($Q$2:$U$1001,MATCH(ROWS($J$2:J579),$J$2:$J$1001,0),MATCH(COLUMNS($Q$1006:U1006),$Q$1006:$U$1006,0)), HYPERLINK("#",""), HYPERLINK(CONCATENATE("#metadata!", ADDRESS(INDEX($L$2:$L$1001,MATCH(ROWS($J$2:J579),$J$2:$J$1001,0),0), INDEX($Q$1004:$U$1004,1,MATCH(COLUMNS($Q$1006:U1006),$Q$1006:$U$1006,0)))),"Fix")))</f>
        <v xml:space="preserve"> </v>
      </c>
      <c r="J579">
        <v>578</v>
      </c>
      <c r="K579">
        <v>100579</v>
      </c>
      <c r="L579">
        <v>579</v>
      </c>
      <c r="M579" t="b">
        <f t="shared" si="9"/>
        <v>1</v>
      </c>
      <c r="N579" t="b">
        <f>COUNTBLANK(metadata!B579:F579)=COLUMNS(metadata!B579:F579)</f>
        <v>1</v>
      </c>
      <c r="O579" t="str">
        <v/>
      </c>
      <c r="Q579" t="b">
        <f ca="1">AND(IF(metadata!B579="",FALSE,TRUE),COUNTIF(metadata!B:B, metadata!B579) = 1,NOT(ISERROR(SUMPRODUCT(SEARCH(MID(metadata!B579,ROW(INDIRECT("1:"&amp;LEN(metadata!B579))), 1),"0123456789abcdefghijklmnopqrstuvwxyzABCDEFGHIJKLMNOPQRSTUVWXYZ.")))))</f>
        <v>0</v>
      </c>
      <c r="R579" t="b">
        <f>AND(IF(metadata!C579="",FALSE,TRUE),OR(EXACT(metadata!C579,"saline"),EXACT(metadata!C579,"non-saline")))</f>
        <v>0</v>
      </c>
      <c r="S579" t="b">
        <f>AND(IF(metadata!D579="",FALSE,TRUE),OR(EXACT(metadata!D579,"surface (non-saline)"),EXACT(metadata!D579,"aerosol (non-saline)"),EXACT(metadata!D579,"sediment (non-saline)"),EXACT(metadata!D579,"surface (saline)"),EXACT(metadata!D579,"aerosol (saline)"),EXACT(metadata!D579,"sediment (saline)")))</f>
        <v>0</v>
      </c>
      <c r="T579" t="b">
        <f>AND(IF(metadata!E579="",FALSE,TRUE),EXACT(metadata!E579,"built environment"))</f>
        <v>0</v>
      </c>
      <c r="U579" t="b">
        <f>OR(AND(IF(metadata!F579="",FALSE,TRUE),EXACT(metadata!F579,"not applicable")),AND(IF(metadata!F579="",FALSE,TRUE),EXACT(metadata!F579,"anaerobic digester content")))</f>
        <v>0</v>
      </c>
    </row>
    <row r="580" spans="1:21" x14ac:dyDescent="0.2">
      <c r="A580" s="4" t="str">
        <f ca="1">IF(B580=" "," ",HYPERLINK(CONCATENATE("#metadata!",ADDRESS(INDEX($L$2:$L$1001,MATCH(ROWS($J$2:J580),$J$2:$J$1001,0),0),1)),INDEX($O$2:$O$1001,MATCH(ROWS($J$2:J580),$J$2:$J$1001,0),0)))</f>
        <v xml:space="preserve"> </v>
      </c>
      <c r="B580" s="3" t="str">
        <f ca="1">IF(OR(INDEX($K$2:$K$1001,MATCH(ROWS($J$2:J580),$J$2:$J$1001,0),1)&gt;=100000,INDEX($Q$1005:$U$1005,1,MATCH(COLUMNS($Q$1006:Q1006),$Q$1006:$U$1006,0))&gt;=100000), " ",IF(INDEX($Q$2:$U$1001,MATCH(ROWS($J$2:J580),$J$2:$J$1001,0),MATCH(COLUMNS($Q$1006:Q1006),$Q$1006:$U$1006,0)), HYPERLINK("#",""), HYPERLINK(CONCATENATE("#metadata!", ADDRESS(INDEX($L$2:$L$1001,MATCH(ROWS($J$2:J580),$J$2:$J$1001,0),0), INDEX($Q$1004:$U$1004,1,MATCH(COLUMNS($Q$1006:Q1006),$Q$1006:$U$1006,0)))),"Fix")))</f>
        <v xml:space="preserve"> </v>
      </c>
      <c r="C580" s="3" t="str">
        <f ca="1">IF(OR(INDEX($K$2:$K$1001,MATCH(ROWS($J$2:J580),$J$2:$J$1001,0),1)&gt;=100000,INDEX($Q$1005:$U$1005,1,MATCH(COLUMNS($Q$1006:R1006),$Q$1006:$U$1006,0))&gt;=100000), " ",IF(INDEX($Q$2:$U$1001,MATCH(ROWS($J$2:J580),$J$2:$J$1001,0),MATCH(COLUMNS($Q$1006:R1006),$Q$1006:$U$1006,0)), HYPERLINK("#",""), HYPERLINK(CONCATENATE("#metadata!", ADDRESS(INDEX($L$2:$L$1001,MATCH(ROWS($J$2:J580),$J$2:$J$1001,0),0), INDEX($Q$1004:$U$1004,1,MATCH(COLUMNS($Q$1006:R1006),$Q$1006:$U$1006,0)))),"Fix")))</f>
        <v xml:space="preserve"> </v>
      </c>
      <c r="D580" s="3" t="str">
        <f ca="1">IF(OR(INDEX($K$2:$K$1001,MATCH(ROWS($J$2:J580),$J$2:$J$1001,0),1)&gt;=100000,INDEX($Q$1005:$U$1005,1,MATCH(COLUMNS($Q$1006:S1006),$Q$1006:$U$1006,0))&gt;=100000), " ",IF(INDEX($Q$2:$U$1001,MATCH(ROWS($J$2:J580),$J$2:$J$1001,0),MATCH(COLUMNS($Q$1006:S1006),$Q$1006:$U$1006,0)), HYPERLINK("#",""), HYPERLINK(CONCATENATE("#metadata!", ADDRESS(INDEX($L$2:$L$1001,MATCH(ROWS($J$2:J580),$J$2:$J$1001,0),0), INDEX($Q$1004:$U$1004,1,MATCH(COLUMNS($Q$1006:S1006),$Q$1006:$U$1006,0)))),"Fix")))</f>
        <v xml:space="preserve"> </v>
      </c>
      <c r="E580" s="3" t="str">
        <f ca="1">IF(OR(INDEX($K$2:$K$1001,MATCH(ROWS($J$2:J580),$J$2:$J$1001,0),1)&gt;=100000,INDEX($Q$1005:$U$1005,1,MATCH(COLUMNS($Q$1006:T1006),$Q$1006:$U$1006,0))&gt;=100000), " ",IF(INDEX($Q$2:$U$1001,MATCH(ROWS($J$2:J580),$J$2:$J$1001,0),MATCH(COLUMNS($Q$1006:T1006),$Q$1006:$U$1006,0)), HYPERLINK("#",""), HYPERLINK(CONCATENATE("#metadata!", ADDRESS(INDEX($L$2:$L$1001,MATCH(ROWS($J$2:J580),$J$2:$J$1001,0),0), INDEX($Q$1004:$U$1004,1,MATCH(COLUMNS($Q$1006:T1006),$Q$1006:$U$1006,0)))),"Fix")))</f>
        <v xml:space="preserve"> </v>
      </c>
      <c r="F580" s="3" t="str">
        <f ca="1">IF(OR(INDEX($K$2:$K$1001,MATCH(ROWS($J$2:J580),$J$2:$J$1001,0),1)&gt;=100000,INDEX($Q$1005:$U$1005,1,MATCH(COLUMNS($Q$1006:U1006),$Q$1006:$U$1006,0))&gt;=100000), " ",IF(INDEX($Q$2:$U$1001,MATCH(ROWS($J$2:J580),$J$2:$J$1001,0),MATCH(COLUMNS($Q$1006:U1006),$Q$1006:$U$1006,0)), HYPERLINK("#",""), HYPERLINK(CONCATENATE("#metadata!", ADDRESS(INDEX($L$2:$L$1001,MATCH(ROWS($J$2:J580),$J$2:$J$1001,0),0), INDEX($Q$1004:$U$1004,1,MATCH(COLUMNS($Q$1006:U1006),$Q$1006:$U$1006,0)))),"Fix")))</f>
        <v xml:space="preserve"> </v>
      </c>
      <c r="J580">
        <v>579</v>
      </c>
      <c r="K580">
        <v>100580</v>
      </c>
      <c r="L580">
        <v>580</v>
      </c>
      <c r="M580" t="b">
        <f t="shared" si="9"/>
        <v>1</v>
      </c>
      <c r="N580" t="b">
        <f>COUNTBLANK(metadata!B580:F580)=COLUMNS(metadata!B580:F580)</f>
        <v>1</v>
      </c>
      <c r="O580" t="str">
        <v/>
      </c>
      <c r="Q580" t="b">
        <f ca="1">AND(IF(metadata!B580="",FALSE,TRUE),COUNTIF(metadata!B:B, metadata!B580) = 1,NOT(ISERROR(SUMPRODUCT(SEARCH(MID(metadata!B580,ROW(INDIRECT("1:"&amp;LEN(metadata!B580))), 1),"0123456789abcdefghijklmnopqrstuvwxyzABCDEFGHIJKLMNOPQRSTUVWXYZ.")))))</f>
        <v>0</v>
      </c>
      <c r="R580" t="b">
        <f>AND(IF(metadata!C580="",FALSE,TRUE),OR(EXACT(metadata!C580,"saline"),EXACT(metadata!C580,"non-saline")))</f>
        <v>0</v>
      </c>
      <c r="S580" t="b">
        <f>AND(IF(metadata!D580="",FALSE,TRUE),OR(EXACT(metadata!D580,"surface (non-saline)"),EXACT(metadata!D580,"aerosol (non-saline)"),EXACT(metadata!D580,"sediment (non-saline)"),EXACT(metadata!D580,"surface (saline)"),EXACT(metadata!D580,"aerosol (saline)"),EXACT(metadata!D580,"sediment (saline)")))</f>
        <v>0</v>
      </c>
      <c r="T580" t="b">
        <f>AND(IF(metadata!E580="",FALSE,TRUE),EXACT(metadata!E580,"built environment"))</f>
        <v>0</v>
      </c>
      <c r="U580" t="b">
        <f>OR(AND(IF(metadata!F580="",FALSE,TRUE),EXACT(metadata!F580,"not applicable")),AND(IF(metadata!F580="",FALSE,TRUE),EXACT(metadata!F580,"anaerobic digester content")))</f>
        <v>0</v>
      </c>
    </row>
    <row r="581" spans="1:21" x14ac:dyDescent="0.2">
      <c r="A581" s="4" t="str">
        <f ca="1">IF(B581=" "," ",HYPERLINK(CONCATENATE("#metadata!",ADDRESS(INDEX($L$2:$L$1001,MATCH(ROWS($J$2:J581),$J$2:$J$1001,0),0),1)),INDEX($O$2:$O$1001,MATCH(ROWS($J$2:J581),$J$2:$J$1001,0),0)))</f>
        <v xml:space="preserve"> </v>
      </c>
      <c r="B581" s="3" t="str">
        <f ca="1">IF(OR(INDEX($K$2:$K$1001,MATCH(ROWS($J$2:J581),$J$2:$J$1001,0),1)&gt;=100000,INDEX($Q$1005:$U$1005,1,MATCH(COLUMNS($Q$1006:Q1006),$Q$1006:$U$1006,0))&gt;=100000), " ",IF(INDEX($Q$2:$U$1001,MATCH(ROWS($J$2:J581),$J$2:$J$1001,0),MATCH(COLUMNS($Q$1006:Q1006),$Q$1006:$U$1006,0)), HYPERLINK("#",""), HYPERLINK(CONCATENATE("#metadata!", ADDRESS(INDEX($L$2:$L$1001,MATCH(ROWS($J$2:J581),$J$2:$J$1001,0),0), INDEX($Q$1004:$U$1004,1,MATCH(COLUMNS($Q$1006:Q1006),$Q$1006:$U$1006,0)))),"Fix")))</f>
        <v xml:space="preserve"> </v>
      </c>
      <c r="C581" s="3" t="str">
        <f ca="1">IF(OR(INDEX($K$2:$K$1001,MATCH(ROWS($J$2:J581),$J$2:$J$1001,0),1)&gt;=100000,INDEX($Q$1005:$U$1005,1,MATCH(COLUMNS($Q$1006:R1006),$Q$1006:$U$1006,0))&gt;=100000), " ",IF(INDEX($Q$2:$U$1001,MATCH(ROWS($J$2:J581),$J$2:$J$1001,0),MATCH(COLUMNS($Q$1006:R1006),$Q$1006:$U$1006,0)), HYPERLINK("#",""), HYPERLINK(CONCATENATE("#metadata!", ADDRESS(INDEX($L$2:$L$1001,MATCH(ROWS($J$2:J581),$J$2:$J$1001,0),0), INDEX($Q$1004:$U$1004,1,MATCH(COLUMNS($Q$1006:R1006),$Q$1006:$U$1006,0)))),"Fix")))</f>
        <v xml:space="preserve"> </v>
      </c>
      <c r="D581" s="3" t="str">
        <f ca="1">IF(OR(INDEX($K$2:$K$1001,MATCH(ROWS($J$2:J581),$J$2:$J$1001,0),1)&gt;=100000,INDEX($Q$1005:$U$1005,1,MATCH(COLUMNS($Q$1006:S1006),$Q$1006:$U$1006,0))&gt;=100000), " ",IF(INDEX($Q$2:$U$1001,MATCH(ROWS($J$2:J581),$J$2:$J$1001,0),MATCH(COLUMNS($Q$1006:S1006),$Q$1006:$U$1006,0)), HYPERLINK("#",""), HYPERLINK(CONCATENATE("#metadata!", ADDRESS(INDEX($L$2:$L$1001,MATCH(ROWS($J$2:J581),$J$2:$J$1001,0),0), INDEX($Q$1004:$U$1004,1,MATCH(COLUMNS($Q$1006:S1006),$Q$1006:$U$1006,0)))),"Fix")))</f>
        <v xml:space="preserve"> </v>
      </c>
      <c r="E581" s="3" t="str">
        <f ca="1">IF(OR(INDEX($K$2:$K$1001,MATCH(ROWS($J$2:J581),$J$2:$J$1001,0),1)&gt;=100000,INDEX($Q$1005:$U$1005,1,MATCH(COLUMNS($Q$1006:T1006),$Q$1006:$U$1006,0))&gt;=100000), " ",IF(INDEX($Q$2:$U$1001,MATCH(ROWS($J$2:J581),$J$2:$J$1001,0),MATCH(COLUMNS($Q$1006:T1006),$Q$1006:$U$1006,0)), HYPERLINK("#",""), HYPERLINK(CONCATENATE("#metadata!", ADDRESS(INDEX($L$2:$L$1001,MATCH(ROWS($J$2:J581),$J$2:$J$1001,0),0), INDEX($Q$1004:$U$1004,1,MATCH(COLUMNS($Q$1006:T1006),$Q$1006:$U$1006,0)))),"Fix")))</f>
        <v xml:space="preserve"> </v>
      </c>
      <c r="F581" s="3" t="str">
        <f ca="1">IF(OR(INDEX($K$2:$K$1001,MATCH(ROWS($J$2:J581),$J$2:$J$1001,0),1)&gt;=100000,INDEX($Q$1005:$U$1005,1,MATCH(COLUMNS($Q$1006:U1006),$Q$1006:$U$1006,0))&gt;=100000), " ",IF(INDEX($Q$2:$U$1001,MATCH(ROWS($J$2:J581),$J$2:$J$1001,0),MATCH(COLUMNS($Q$1006:U1006),$Q$1006:$U$1006,0)), HYPERLINK("#",""), HYPERLINK(CONCATENATE("#metadata!", ADDRESS(INDEX($L$2:$L$1001,MATCH(ROWS($J$2:J581),$J$2:$J$1001,0),0), INDEX($Q$1004:$U$1004,1,MATCH(COLUMNS($Q$1006:U1006),$Q$1006:$U$1006,0)))),"Fix")))</f>
        <v xml:space="preserve"> </v>
      </c>
      <c r="J581">
        <v>580</v>
      </c>
      <c r="K581">
        <v>100581</v>
      </c>
      <c r="L581">
        <v>581</v>
      </c>
      <c r="M581" t="b">
        <f t="shared" si="9"/>
        <v>1</v>
      </c>
      <c r="N581" t="b">
        <f>COUNTBLANK(metadata!B581:F581)=COLUMNS(metadata!B581:F581)</f>
        <v>1</v>
      </c>
      <c r="O581" t="str">
        <v/>
      </c>
      <c r="Q581" t="b">
        <f ca="1">AND(IF(metadata!B581="",FALSE,TRUE),COUNTIF(metadata!B:B, metadata!B581) = 1,NOT(ISERROR(SUMPRODUCT(SEARCH(MID(metadata!B581,ROW(INDIRECT("1:"&amp;LEN(metadata!B581))), 1),"0123456789abcdefghijklmnopqrstuvwxyzABCDEFGHIJKLMNOPQRSTUVWXYZ.")))))</f>
        <v>0</v>
      </c>
      <c r="R581" t="b">
        <f>AND(IF(metadata!C581="",FALSE,TRUE),OR(EXACT(metadata!C581,"saline"),EXACT(metadata!C581,"non-saline")))</f>
        <v>0</v>
      </c>
      <c r="S581" t="b">
        <f>AND(IF(metadata!D581="",FALSE,TRUE),OR(EXACT(metadata!D581,"surface (non-saline)"),EXACT(metadata!D581,"aerosol (non-saline)"),EXACT(metadata!D581,"sediment (non-saline)"),EXACT(metadata!D581,"surface (saline)"),EXACT(metadata!D581,"aerosol (saline)"),EXACT(metadata!D581,"sediment (saline)")))</f>
        <v>0</v>
      </c>
      <c r="T581" t="b">
        <f>AND(IF(metadata!E581="",FALSE,TRUE),EXACT(metadata!E581,"built environment"))</f>
        <v>0</v>
      </c>
      <c r="U581" t="b">
        <f>OR(AND(IF(metadata!F581="",FALSE,TRUE),EXACT(metadata!F581,"not applicable")),AND(IF(metadata!F581="",FALSE,TRUE),EXACT(metadata!F581,"anaerobic digester content")))</f>
        <v>0</v>
      </c>
    </row>
    <row r="582" spans="1:21" x14ac:dyDescent="0.2">
      <c r="A582" s="4" t="str">
        <f ca="1">IF(B582=" "," ",HYPERLINK(CONCATENATE("#metadata!",ADDRESS(INDEX($L$2:$L$1001,MATCH(ROWS($J$2:J582),$J$2:$J$1001,0),0),1)),INDEX($O$2:$O$1001,MATCH(ROWS($J$2:J582),$J$2:$J$1001,0),0)))</f>
        <v xml:space="preserve"> </v>
      </c>
      <c r="B582" s="3" t="str">
        <f ca="1">IF(OR(INDEX($K$2:$K$1001,MATCH(ROWS($J$2:J582),$J$2:$J$1001,0),1)&gt;=100000,INDEX($Q$1005:$U$1005,1,MATCH(COLUMNS($Q$1006:Q1006),$Q$1006:$U$1006,0))&gt;=100000), " ",IF(INDEX($Q$2:$U$1001,MATCH(ROWS($J$2:J582),$J$2:$J$1001,0),MATCH(COLUMNS($Q$1006:Q1006),$Q$1006:$U$1006,0)), HYPERLINK("#",""), HYPERLINK(CONCATENATE("#metadata!", ADDRESS(INDEX($L$2:$L$1001,MATCH(ROWS($J$2:J582),$J$2:$J$1001,0),0), INDEX($Q$1004:$U$1004,1,MATCH(COLUMNS($Q$1006:Q1006),$Q$1006:$U$1006,0)))),"Fix")))</f>
        <v xml:space="preserve"> </v>
      </c>
      <c r="C582" s="3" t="str">
        <f ca="1">IF(OR(INDEX($K$2:$K$1001,MATCH(ROWS($J$2:J582),$J$2:$J$1001,0),1)&gt;=100000,INDEX($Q$1005:$U$1005,1,MATCH(COLUMNS($Q$1006:R1006),$Q$1006:$U$1006,0))&gt;=100000), " ",IF(INDEX($Q$2:$U$1001,MATCH(ROWS($J$2:J582),$J$2:$J$1001,0),MATCH(COLUMNS($Q$1006:R1006),$Q$1006:$U$1006,0)), HYPERLINK("#",""), HYPERLINK(CONCATENATE("#metadata!", ADDRESS(INDEX($L$2:$L$1001,MATCH(ROWS($J$2:J582),$J$2:$J$1001,0),0), INDEX($Q$1004:$U$1004,1,MATCH(COLUMNS($Q$1006:R1006),$Q$1006:$U$1006,0)))),"Fix")))</f>
        <v xml:space="preserve"> </v>
      </c>
      <c r="D582" s="3" t="str">
        <f ca="1">IF(OR(INDEX($K$2:$K$1001,MATCH(ROWS($J$2:J582),$J$2:$J$1001,0),1)&gt;=100000,INDEX($Q$1005:$U$1005,1,MATCH(COLUMNS($Q$1006:S1006),$Q$1006:$U$1006,0))&gt;=100000), " ",IF(INDEX($Q$2:$U$1001,MATCH(ROWS($J$2:J582),$J$2:$J$1001,0),MATCH(COLUMNS($Q$1006:S1006),$Q$1006:$U$1006,0)), HYPERLINK("#",""), HYPERLINK(CONCATENATE("#metadata!", ADDRESS(INDEX($L$2:$L$1001,MATCH(ROWS($J$2:J582),$J$2:$J$1001,0),0), INDEX($Q$1004:$U$1004,1,MATCH(COLUMNS($Q$1006:S1006),$Q$1006:$U$1006,0)))),"Fix")))</f>
        <v xml:space="preserve"> </v>
      </c>
      <c r="E582" s="3" t="str">
        <f ca="1">IF(OR(INDEX($K$2:$K$1001,MATCH(ROWS($J$2:J582),$J$2:$J$1001,0),1)&gt;=100000,INDEX($Q$1005:$U$1005,1,MATCH(COLUMNS($Q$1006:T1006),$Q$1006:$U$1006,0))&gt;=100000), " ",IF(INDEX($Q$2:$U$1001,MATCH(ROWS($J$2:J582),$J$2:$J$1001,0),MATCH(COLUMNS($Q$1006:T1006),$Q$1006:$U$1006,0)), HYPERLINK("#",""), HYPERLINK(CONCATENATE("#metadata!", ADDRESS(INDEX($L$2:$L$1001,MATCH(ROWS($J$2:J582),$J$2:$J$1001,0),0), INDEX($Q$1004:$U$1004,1,MATCH(COLUMNS($Q$1006:T1006),$Q$1006:$U$1006,0)))),"Fix")))</f>
        <v xml:space="preserve"> </v>
      </c>
      <c r="F582" s="3" t="str">
        <f ca="1">IF(OR(INDEX($K$2:$K$1001,MATCH(ROWS($J$2:J582),$J$2:$J$1001,0),1)&gt;=100000,INDEX($Q$1005:$U$1005,1,MATCH(COLUMNS($Q$1006:U1006),$Q$1006:$U$1006,0))&gt;=100000), " ",IF(INDEX($Q$2:$U$1001,MATCH(ROWS($J$2:J582),$J$2:$J$1001,0),MATCH(COLUMNS($Q$1006:U1006),$Q$1006:$U$1006,0)), HYPERLINK("#",""), HYPERLINK(CONCATENATE("#metadata!", ADDRESS(INDEX($L$2:$L$1001,MATCH(ROWS($J$2:J582),$J$2:$J$1001,0),0), INDEX($Q$1004:$U$1004,1,MATCH(COLUMNS($Q$1006:U1006),$Q$1006:$U$1006,0)))),"Fix")))</f>
        <v xml:space="preserve"> </v>
      </c>
      <c r="J582">
        <v>581</v>
      </c>
      <c r="K582">
        <v>100582</v>
      </c>
      <c r="L582">
        <v>582</v>
      </c>
      <c r="M582" t="b">
        <f t="shared" si="9"/>
        <v>1</v>
      </c>
      <c r="N582" t="b">
        <f>COUNTBLANK(metadata!B582:F582)=COLUMNS(metadata!B582:F582)</f>
        <v>1</v>
      </c>
      <c r="O582" t="str">
        <v/>
      </c>
      <c r="Q582" t="b">
        <f ca="1">AND(IF(metadata!B582="",FALSE,TRUE),COUNTIF(metadata!B:B, metadata!B582) = 1,NOT(ISERROR(SUMPRODUCT(SEARCH(MID(metadata!B582,ROW(INDIRECT("1:"&amp;LEN(metadata!B582))), 1),"0123456789abcdefghijklmnopqrstuvwxyzABCDEFGHIJKLMNOPQRSTUVWXYZ.")))))</f>
        <v>0</v>
      </c>
      <c r="R582" t="b">
        <f>AND(IF(metadata!C582="",FALSE,TRUE),OR(EXACT(metadata!C582,"saline"),EXACT(metadata!C582,"non-saline")))</f>
        <v>0</v>
      </c>
      <c r="S582" t="b">
        <f>AND(IF(metadata!D582="",FALSE,TRUE),OR(EXACT(metadata!D582,"surface (non-saline)"),EXACT(metadata!D582,"aerosol (non-saline)"),EXACT(metadata!D582,"sediment (non-saline)"),EXACT(metadata!D582,"surface (saline)"),EXACT(metadata!D582,"aerosol (saline)"),EXACT(metadata!D582,"sediment (saline)")))</f>
        <v>0</v>
      </c>
      <c r="T582" t="b">
        <f>AND(IF(metadata!E582="",FALSE,TRUE),EXACT(metadata!E582,"built environment"))</f>
        <v>0</v>
      </c>
      <c r="U582" t="b">
        <f>OR(AND(IF(metadata!F582="",FALSE,TRUE),EXACT(metadata!F582,"not applicable")),AND(IF(metadata!F582="",FALSE,TRUE),EXACT(metadata!F582,"anaerobic digester content")))</f>
        <v>0</v>
      </c>
    </row>
    <row r="583" spans="1:21" x14ac:dyDescent="0.2">
      <c r="A583" s="4" t="str">
        <f ca="1">IF(B583=" "," ",HYPERLINK(CONCATENATE("#metadata!",ADDRESS(INDEX($L$2:$L$1001,MATCH(ROWS($J$2:J583),$J$2:$J$1001,0),0),1)),INDEX($O$2:$O$1001,MATCH(ROWS($J$2:J583),$J$2:$J$1001,0),0)))</f>
        <v xml:space="preserve"> </v>
      </c>
      <c r="B583" s="3" t="str">
        <f ca="1">IF(OR(INDEX($K$2:$K$1001,MATCH(ROWS($J$2:J583),$J$2:$J$1001,0),1)&gt;=100000,INDEX($Q$1005:$U$1005,1,MATCH(COLUMNS($Q$1006:Q1006),$Q$1006:$U$1006,0))&gt;=100000), " ",IF(INDEX($Q$2:$U$1001,MATCH(ROWS($J$2:J583),$J$2:$J$1001,0),MATCH(COLUMNS($Q$1006:Q1006),$Q$1006:$U$1006,0)), HYPERLINK("#",""), HYPERLINK(CONCATENATE("#metadata!", ADDRESS(INDEX($L$2:$L$1001,MATCH(ROWS($J$2:J583),$J$2:$J$1001,0),0), INDEX($Q$1004:$U$1004,1,MATCH(COLUMNS($Q$1006:Q1006),$Q$1006:$U$1006,0)))),"Fix")))</f>
        <v xml:space="preserve"> </v>
      </c>
      <c r="C583" s="3" t="str">
        <f ca="1">IF(OR(INDEX($K$2:$K$1001,MATCH(ROWS($J$2:J583),$J$2:$J$1001,0),1)&gt;=100000,INDEX($Q$1005:$U$1005,1,MATCH(COLUMNS($Q$1006:R1006),$Q$1006:$U$1006,0))&gt;=100000), " ",IF(INDEX($Q$2:$U$1001,MATCH(ROWS($J$2:J583),$J$2:$J$1001,0),MATCH(COLUMNS($Q$1006:R1006),$Q$1006:$U$1006,0)), HYPERLINK("#",""), HYPERLINK(CONCATENATE("#metadata!", ADDRESS(INDEX($L$2:$L$1001,MATCH(ROWS($J$2:J583),$J$2:$J$1001,0),0), INDEX($Q$1004:$U$1004,1,MATCH(COLUMNS($Q$1006:R1006),$Q$1006:$U$1006,0)))),"Fix")))</f>
        <v xml:space="preserve"> </v>
      </c>
      <c r="D583" s="3" t="str">
        <f ca="1">IF(OR(INDEX($K$2:$K$1001,MATCH(ROWS($J$2:J583),$J$2:$J$1001,0),1)&gt;=100000,INDEX($Q$1005:$U$1005,1,MATCH(COLUMNS($Q$1006:S1006),$Q$1006:$U$1006,0))&gt;=100000), " ",IF(INDEX($Q$2:$U$1001,MATCH(ROWS($J$2:J583),$J$2:$J$1001,0),MATCH(COLUMNS($Q$1006:S1006),$Q$1006:$U$1006,0)), HYPERLINK("#",""), HYPERLINK(CONCATENATE("#metadata!", ADDRESS(INDEX($L$2:$L$1001,MATCH(ROWS($J$2:J583),$J$2:$J$1001,0),0), INDEX($Q$1004:$U$1004,1,MATCH(COLUMNS($Q$1006:S1006),$Q$1006:$U$1006,0)))),"Fix")))</f>
        <v xml:space="preserve"> </v>
      </c>
      <c r="E583" s="3" t="str">
        <f ca="1">IF(OR(INDEX($K$2:$K$1001,MATCH(ROWS($J$2:J583),$J$2:$J$1001,0),1)&gt;=100000,INDEX($Q$1005:$U$1005,1,MATCH(COLUMNS($Q$1006:T1006),$Q$1006:$U$1006,0))&gt;=100000), " ",IF(INDEX($Q$2:$U$1001,MATCH(ROWS($J$2:J583),$J$2:$J$1001,0),MATCH(COLUMNS($Q$1006:T1006),$Q$1006:$U$1006,0)), HYPERLINK("#",""), HYPERLINK(CONCATENATE("#metadata!", ADDRESS(INDEX($L$2:$L$1001,MATCH(ROWS($J$2:J583),$J$2:$J$1001,0),0), INDEX($Q$1004:$U$1004,1,MATCH(COLUMNS($Q$1006:T1006),$Q$1006:$U$1006,0)))),"Fix")))</f>
        <v xml:space="preserve"> </v>
      </c>
      <c r="F583" s="3" t="str">
        <f ca="1">IF(OR(INDEX($K$2:$K$1001,MATCH(ROWS($J$2:J583),$J$2:$J$1001,0),1)&gt;=100000,INDEX($Q$1005:$U$1005,1,MATCH(COLUMNS($Q$1006:U1006),$Q$1006:$U$1006,0))&gt;=100000), " ",IF(INDEX($Q$2:$U$1001,MATCH(ROWS($J$2:J583),$J$2:$J$1001,0),MATCH(COLUMNS($Q$1006:U1006),$Q$1006:$U$1006,0)), HYPERLINK("#",""), HYPERLINK(CONCATENATE("#metadata!", ADDRESS(INDEX($L$2:$L$1001,MATCH(ROWS($J$2:J583),$J$2:$J$1001,0),0), INDEX($Q$1004:$U$1004,1,MATCH(COLUMNS($Q$1006:U1006),$Q$1006:$U$1006,0)))),"Fix")))</f>
        <v xml:space="preserve"> </v>
      </c>
      <c r="J583">
        <v>582</v>
      </c>
      <c r="K583">
        <v>100583</v>
      </c>
      <c r="L583">
        <v>583</v>
      </c>
      <c r="M583" t="b">
        <f t="shared" si="9"/>
        <v>1</v>
      </c>
      <c r="N583" t="b">
        <f>COUNTBLANK(metadata!B583:F583)=COLUMNS(metadata!B583:F583)</f>
        <v>1</v>
      </c>
      <c r="O583" t="str">
        <v/>
      </c>
      <c r="Q583" t="b">
        <f ca="1">AND(IF(metadata!B583="",FALSE,TRUE),COUNTIF(metadata!B:B, metadata!B583) = 1,NOT(ISERROR(SUMPRODUCT(SEARCH(MID(metadata!B583,ROW(INDIRECT("1:"&amp;LEN(metadata!B583))), 1),"0123456789abcdefghijklmnopqrstuvwxyzABCDEFGHIJKLMNOPQRSTUVWXYZ.")))))</f>
        <v>0</v>
      </c>
      <c r="R583" t="b">
        <f>AND(IF(metadata!C583="",FALSE,TRUE),OR(EXACT(metadata!C583,"saline"),EXACT(metadata!C583,"non-saline")))</f>
        <v>0</v>
      </c>
      <c r="S583" t="b">
        <f>AND(IF(metadata!D583="",FALSE,TRUE),OR(EXACT(metadata!D583,"surface (non-saline)"),EXACT(metadata!D583,"aerosol (non-saline)"),EXACT(metadata!D583,"sediment (non-saline)"),EXACT(metadata!D583,"surface (saline)"),EXACT(metadata!D583,"aerosol (saline)"),EXACT(metadata!D583,"sediment (saline)")))</f>
        <v>0</v>
      </c>
      <c r="T583" t="b">
        <f>AND(IF(metadata!E583="",FALSE,TRUE),EXACT(metadata!E583,"built environment"))</f>
        <v>0</v>
      </c>
      <c r="U583" t="b">
        <f>OR(AND(IF(metadata!F583="",FALSE,TRUE),EXACT(metadata!F583,"not applicable")),AND(IF(metadata!F583="",FALSE,TRUE),EXACT(metadata!F583,"anaerobic digester content")))</f>
        <v>0</v>
      </c>
    </row>
    <row r="584" spans="1:21" x14ac:dyDescent="0.2">
      <c r="A584" s="4" t="str">
        <f ca="1">IF(B584=" "," ",HYPERLINK(CONCATENATE("#metadata!",ADDRESS(INDEX($L$2:$L$1001,MATCH(ROWS($J$2:J584),$J$2:$J$1001,0),0),1)),INDEX($O$2:$O$1001,MATCH(ROWS($J$2:J584),$J$2:$J$1001,0),0)))</f>
        <v xml:space="preserve"> </v>
      </c>
      <c r="B584" s="3" t="str">
        <f ca="1">IF(OR(INDEX($K$2:$K$1001,MATCH(ROWS($J$2:J584),$J$2:$J$1001,0),1)&gt;=100000,INDEX($Q$1005:$U$1005,1,MATCH(COLUMNS($Q$1006:Q1006),$Q$1006:$U$1006,0))&gt;=100000), " ",IF(INDEX($Q$2:$U$1001,MATCH(ROWS($J$2:J584),$J$2:$J$1001,0),MATCH(COLUMNS($Q$1006:Q1006),$Q$1006:$U$1006,0)), HYPERLINK("#",""), HYPERLINK(CONCATENATE("#metadata!", ADDRESS(INDEX($L$2:$L$1001,MATCH(ROWS($J$2:J584),$J$2:$J$1001,0),0), INDEX($Q$1004:$U$1004,1,MATCH(COLUMNS($Q$1006:Q1006),$Q$1006:$U$1006,0)))),"Fix")))</f>
        <v xml:space="preserve"> </v>
      </c>
      <c r="C584" s="3" t="str">
        <f ca="1">IF(OR(INDEX($K$2:$K$1001,MATCH(ROWS($J$2:J584),$J$2:$J$1001,0),1)&gt;=100000,INDEX($Q$1005:$U$1005,1,MATCH(COLUMNS($Q$1006:R1006),$Q$1006:$U$1006,0))&gt;=100000), " ",IF(INDEX($Q$2:$U$1001,MATCH(ROWS($J$2:J584),$J$2:$J$1001,0),MATCH(COLUMNS($Q$1006:R1006),$Q$1006:$U$1006,0)), HYPERLINK("#",""), HYPERLINK(CONCATENATE("#metadata!", ADDRESS(INDEX($L$2:$L$1001,MATCH(ROWS($J$2:J584),$J$2:$J$1001,0),0), INDEX($Q$1004:$U$1004,1,MATCH(COLUMNS($Q$1006:R1006),$Q$1006:$U$1006,0)))),"Fix")))</f>
        <v xml:space="preserve"> </v>
      </c>
      <c r="D584" s="3" t="str">
        <f ca="1">IF(OR(INDEX($K$2:$K$1001,MATCH(ROWS($J$2:J584),$J$2:$J$1001,0),1)&gt;=100000,INDEX($Q$1005:$U$1005,1,MATCH(COLUMNS($Q$1006:S1006),$Q$1006:$U$1006,0))&gt;=100000), " ",IF(INDEX($Q$2:$U$1001,MATCH(ROWS($J$2:J584),$J$2:$J$1001,0),MATCH(COLUMNS($Q$1006:S1006),$Q$1006:$U$1006,0)), HYPERLINK("#",""), HYPERLINK(CONCATENATE("#metadata!", ADDRESS(INDEX($L$2:$L$1001,MATCH(ROWS($J$2:J584),$J$2:$J$1001,0),0), INDEX($Q$1004:$U$1004,1,MATCH(COLUMNS($Q$1006:S1006),$Q$1006:$U$1006,0)))),"Fix")))</f>
        <v xml:space="preserve"> </v>
      </c>
      <c r="E584" s="3" t="str">
        <f ca="1">IF(OR(INDEX($K$2:$K$1001,MATCH(ROWS($J$2:J584),$J$2:$J$1001,0),1)&gt;=100000,INDEX($Q$1005:$U$1005,1,MATCH(COLUMNS($Q$1006:T1006),$Q$1006:$U$1006,0))&gt;=100000), " ",IF(INDEX($Q$2:$U$1001,MATCH(ROWS($J$2:J584),$J$2:$J$1001,0),MATCH(COLUMNS($Q$1006:T1006),$Q$1006:$U$1006,0)), HYPERLINK("#",""), HYPERLINK(CONCATENATE("#metadata!", ADDRESS(INDEX($L$2:$L$1001,MATCH(ROWS($J$2:J584),$J$2:$J$1001,0),0), INDEX($Q$1004:$U$1004,1,MATCH(COLUMNS($Q$1006:T1006),$Q$1006:$U$1006,0)))),"Fix")))</f>
        <v xml:space="preserve"> </v>
      </c>
      <c r="F584" s="3" t="str">
        <f ca="1">IF(OR(INDEX($K$2:$K$1001,MATCH(ROWS($J$2:J584),$J$2:$J$1001,0),1)&gt;=100000,INDEX($Q$1005:$U$1005,1,MATCH(COLUMNS($Q$1006:U1006),$Q$1006:$U$1006,0))&gt;=100000), " ",IF(INDEX($Q$2:$U$1001,MATCH(ROWS($J$2:J584),$J$2:$J$1001,0),MATCH(COLUMNS($Q$1006:U1006),$Q$1006:$U$1006,0)), HYPERLINK("#",""), HYPERLINK(CONCATENATE("#metadata!", ADDRESS(INDEX($L$2:$L$1001,MATCH(ROWS($J$2:J584),$J$2:$J$1001,0),0), INDEX($Q$1004:$U$1004,1,MATCH(COLUMNS($Q$1006:U1006),$Q$1006:$U$1006,0)))),"Fix")))</f>
        <v xml:space="preserve"> </v>
      </c>
      <c r="J584">
        <v>583</v>
      </c>
      <c r="K584">
        <v>100584</v>
      </c>
      <c r="L584">
        <v>584</v>
      </c>
      <c r="M584" t="b">
        <f t="shared" si="9"/>
        <v>1</v>
      </c>
      <c r="N584" t="b">
        <f>COUNTBLANK(metadata!B584:F584)=COLUMNS(metadata!B584:F584)</f>
        <v>1</v>
      </c>
      <c r="O584" t="str">
        <v/>
      </c>
      <c r="Q584" t="b">
        <f ca="1">AND(IF(metadata!B584="",FALSE,TRUE),COUNTIF(metadata!B:B, metadata!B584) = 1,NOT(ISERROR(SUMPRODUCT(SEARCH(MID(metadata!B584,ROW(INDIRECT("1:"&amp;LEN(metadata!B584))), 1),"0123456789abcdefghijklmnopqrstuvwxyzABCDEFGHIJKLMNOPQRSTUVWXYZ.")))))</f>
        <v>0</v>
      </c>
      <c r="R584" t="b">
        <f>AND(IF(metadata!C584="",FALSE,TRUE),OR(EXACT(metadata!C584,"saline"),EXACT(metadata!C584,"non-saline")))</f>
        <v>0</v>
      </c>
      <c r="S584" t="b">
        <f>AND(IF(metadata!D584="",FALSE,TRUE),OR(EXACT(metadata!D584,"surface (non-saline)"),EXACT(metadata!D584,"aerosol (non-saline)"),EXACT(metadata!D584,"sediment (non-saline)"),EXACT(metadata!D584,"surface (saline)"),EXACT(metadata!D584,"aerosol (saline)"),EXACT(metadata!D584,"sediment (saline)")))</f>
        <v>0</v>
      </c>
      <c r="T584" t="b">
        <f>AND(IF(metadata!E584="",FALSE,TRUE),EXACT(metadata!E584,"built environment"))</f>
        <v>0</v>
      </c>
      <c r="U584" t="b">
        <f>OR(AND(IF(metadata!F584="",FALSE,TRUE),EXACT(metadata!F584,"not applicable")),AND(IF(metadata!F584="",FALSE,TRUE),EXACT(metadata!F584,"anaerobic digester content")))</f>
        <v>0</v>
      </c>
    </row>
    <row r="585" spans="1:21" x14ac:dyDescent="0.2">
      <c r="A585" s="4" t="str">
        <f ca="1">IF(B585=" "," ",HYPERLINK(CONCATENATE("#metadata!",ADDRESS(INDEX($L$2:$L$1001,MATCH(ROWS($J$2:J585),$J$2:$J$1001,0),0),1)),INDEX($O$2:$O$1001,MATCH(ROWS($J$2:J585),$J$2:$J$1001,0),0)))</f>
        <v xml:space="preserve"> </v>
      </c>
      <c r="B585" s="3" t="str">
        <f ca="1">IF(OR(INDEX($K$2:$K$1001,MATCH(ROWS($J$2:J585),$J$2:$J$1001,0),1)&gt;=100000,INDEX($Q$1005:$U$1005,1,MATCH(COLUMNS($Q$1006:Q1006),$Q$1006:$U$1006,0))&gt;=100000), " ",IF(INDEX($Q$2:$U$1001,MATCH(ROWS($J$2:J585),$J$2:$J$1001,0),MATCH(COLUMNS($Q$1006:Q1006),$Q$1006:$U$1006,0)), HYPERLINK("#",""), HYPERLINK(CONCATENATE("#metadata!", ADDRESS(INDEX($L$2:$L$1001,MATCH(ROWS($J$2:J585),$J$2:$J$1001,0),0), INDEX($Q$1004:$U$1004,1,MATCH(COLUMNS($Q$1006:Q1006),$Q$1006:$U$1006,0)))),"Fix")))</f>
        <v xml:space="preserve"> </v>
      </c>
      <c r="C585" s="3" t="str">
        <f ca="1">IF(OR(INDEX($K$2:$K$1001,MATCH(ROWS($J$2:J585),$J$2:$J$1001,0),1)&gt;=100000,INDEX($Q$1005:$U$1005,1,MATCH(COLUMNS($Q$1006:R1006),$Q$1006:$U$1006,0))&gt;=100000), " ",IF(INDEX($Q$2:$U$1001,MATCH(ROWS($J$2:J585),$J$2:$J$1001,0),MATCH(COLUMNS($Q$1006:R1006),$Q$1006:$U$1006,0)), HYPERLINK("#",""), HYPERLINK(CONCATENATE("#metadata!", ADDRESS(INDEX($L$2:$L$1001,MATCH(ROWS($J$2:J585),$J$2:$J$1001,0),0), INDEX($Q$1004:$U$1004,1,MATCH(COLUMNS($Q$1006:R1006),$Q$1006:$U$1006,0)))),"Fix")))</f>
        <v xml:space="preserve"> </v>
      </c>
      <c r="D585" s="3" t="str">
        <f ca="1">IF(OR(INDEX($K$2:$K$1001,MATCH(ROWS($J$2:J585),$J$2:$J$1001,0),1)&gt;=100000,INDEX($Q$1005:$U$1005,1,MATCH(COLUMNS($Q$1006:S1006),$Q$1006:$U$1006,0))&gt;=100000), " ",IF(INDEX($Q$2:$U$1001,MATCH(ROWS($J$2:J585),$J$2:$J$1001,0),MATCH(COLUMNS($Q$1006:S1006),$Q$1006:$U$1006,0)), HYPERLINK("#",""), HYPERLINK(CONCATENATE("#metadata!", ADDRESS(INDEX($L$2:$L$1001,MATCH(ROWS($J$2:J585),$J$2:$J$1001,0),0), INDEX($Q$1004:$U$1004,1,MATCH(COLUMNS($Q$1006:S1006),$Q$1006:$U$1006,0)))),"Fix")))</f>
        <v xml:space="preserve"> </v>
      </c>
      <c r="E585" s="3" t="str">
        <f ca="1">IF(OR(INDEX($K$2:$K$1001,MATCH(ROWS($J$2:J585),$J$2:$J$1001,0),1)&gt;=100000,INDEX($Q$1005:$U$1005,1,MATCH(COLUMNS($Q$1006:T1006),$Q$1006:$U$1006,0))&gt;=100000), " ",IF(INDEX($Q$2:$U$1001,MATCH(ROWS($J$2:J585),$J$2:$J$1001,0),MATCH(COLUMNS($Q$1006:T1006),$Q$1006:$U$1006,0)), HYPERLINK("#",""), HYPERLINK(CONCATENATE("#metadata!", ADDRESS(INDEX($L$2:$L$1001,MATCH(ROWS($J$2:J585),$J$2:$J$1001,0),0), INDEX($Q$1004:$U$1004,1,MATCH(COLUMNS($Q$1006:T1006),$Q$1006:$U$1006,0)))),"Fix")))</f>
        <v xml:space="preserve"> </v>
      </c>
      <c r="F585" s="3" t="str">
        <f ca="1">IF(OR(INDEX($K$2:$K$1001,MATCH(ROWS($J$2:J585),$J$2:$J$1001,0),1)&gt;=100000,INDEX($Q$1005:$U$1005,1,MATCH(COLUMNS($Q$1006:U1006),$Q$1006:$U$1006,0))&gt;=100000), " ",IF(INDEX($Q$2:$U$1001,MATCH(ROWS($J$2:J585),$J$2:$J$1001,0),MATCH(COLUMNS($Q$1006:U1006),$Q$1006:$U$1006,0)), HYPERLINK("#",""), HYPERLINK(CONCATENATE("#metadata!", ADDRESS(INDEX($L$2:$L$1001,MATCH(ROWS($J$2:J585),$J$2:$J$1001,0),0), INDEX($Q$1004:$U$1004,1,MATCH(COLUMNS($Q$1006:U1006),$Q$1006:$U$1006,0)))),"Fix")))</f>
        <v xml:space="preserve"> </v>
      </c>
      <c r="J585">
        <v>584</v>
      </c>
      <c r="K585">
        <v>100585</v>
      </c>
      <c r="L585">
        <v>585</v>
      </c>
      <c r="M585" t="b">
        <f t="shared" si="9"/>
        <v>1</v>
      </c>
      <c r="N585" t="b">
        <f>COUNTBLANK(metadata!B585:F585)=COLUMNS(metadata!B585:F585)</f>
        <v>1</v>
      </c>
      <c r="O585" t="str">
        <v/>
      </c>
      <c r="Q585" t="b">
        <f ca="1">AND(IF(metadata!B585="",FALSE,TRUE),COUNTIF(metadata!B:B, metadata!B585) = 1,NOT(ISERROR(SUMPRODUCT(SEARCH(MID(metadata!B585,ROW(INDIRECT("1:"&amp;LEN(metadata!B585))), 1),"0123456789abcdefghijklmnopqrstuvwxyzABCDEFGHIJKLMNOPQRSTUVWXYZ.")))))</f>
        <v>0</v>
      </c>
      <c r="R585" t="b">
        <f>AND(IF(metadata!C585="",FALSE,TRUE),OR(EXACT(metadata!C585,"saline"),EXACT(metadata!C585,"non-saline")))</f>
        <v>0</v>
      </c>
      <c r="S585" t="b">
        <f>AND(IF(metadata!D585="",FALSE,TRUE),OR(EXACT(metadata!D585,"surface (non-saline)"),EXACT(metadata!D585,"aerosol (non-saline)"),EXACT(metadata!D585,"sediment (non-saline)"),EXACT(metadata!D585,"surface (saline)"),EXACT(metadata!D585,"aerosol (saline)"),EXACT(metadata!D585,"sediment (saline)")))</f>
        <v>0</v>
      </c>
      <c r="T585" t="b">
        <f>AND(IF(metadata!E585="",FALSE,TRUE),EXACT(metadata!E585,"built environment"))</f>
        <v>0</v>
      </c>
      <c r="U585" t="b">
        <f>OR(AND(IF(metadata!F585="",FALSE,TRUE),EXACT(metadata!F585,"not applicable")),AND(IF(metadata!F585="",FALSE,TRUE),EXACT(metadata!F585,"anaerobic digester content")))</f>
        <v>0</v>
      </c>
    </row>
    <row r="586" spans="1:21" x14ac:dyDescent="0.2">
      <c r="A586" s="4" t="str">
        <f ca="1">IF(B586=" "," ",HYPERLINK(CONCATENATE("#metadata!",ADDRESS(INDEX($L$2:$L$1001,MATCH(ROWS($J$2:J586),$J$2:$J$1001,0),0),1)),INDEX($O$2:$O$1001,MATCH(ROWS($J$2:J586),$J$2:$J$1001,0),0)))</f>
        <v xml:space="preserve"> </v>
      </c>
      <c r="B586" s="3" t="str">
        <f ca="1">IF(OR(INDEX($K$2:$K$1001,MATCH(ROWS($J$2:J586),$J$2:$J$1001,0),1)&gt;=100000,INDEX($Q$1005:$U$1005,1,MATCH(COLUMNS($Q$1006:Q1006),$Q$1006:$U$1006,0))&gt;=100000), " ",IF(INDEX($Q$2:$U$1001,MATCH(ROWS($J$2:J586),$J$2:$J$1001,0),MATCH(COLUMNS($Q$1006:Q1006),$Q$1006:$U$1006,0)), HYPERLINK("#",""), HYPERLINK(CONCATENATE("#metadata!", ADDRESS(INDEX($L$2:$L$1001,MATCH(ROWS($J$2:J586),$J$2:$J$1001,0),0), INDEX($Q$1004:$U$1004,1,MATCH(COLUMNS($Q$1006:Q1006),$Q$1006:$U$1006,0)))),"Fix")))</f>
        <v xml:space="preserve"> </v>
      </c>
      <c r="C586" s="3" t="str">
        <f ca="1">IF(OR(INDEX($K$2:$K$1001,MATCH(ROWS($J$2:J586),$J$2:$J$1001,0),1)&gt;=100000,INDEX($Q$1005:$U$1005,1,MATCH(COLUMNS($Q$1006:R1006),$Q$1006:$U$1006,0))&gt;=100000), " ",IF(INDEX($Q$2:$U$1001,MATCH(ROWS($J$2:J586),$J$2:$J$1001,0),MATCH(COLUMNS($Q$1006:R1006),$Q$1006:$U$1006,0)), HYPERLINK("#",""), HYPERLINK(CONCATENATE("#metadata!", ADDRESS(INDEX($L$2:$L$1001,MATCH(ROWS($J$2:J586),$J$2:$J$1001,0),0), INDEX($Q$1004:$U$1004,1,MATCH(COLUMNS($Q$1006:R1006),$Q$1006:$U$1006,0)))),"Fix")))</f>
        <v xml:space="preserve"> </v>
      </c>
      <c r="D586" s="3" t="str">
        <f ca="1">IF(OR(INDEX($K$2:$K$1001,MATCH(ROWS($J$2:J586),$J$2:$J$1001,0),1)&gt;=100000,INDEX($Q$1005:$U$1005,1,MATCH(COLUMNS($Q$1006:S1006),$Q$1006:$U$1006,0))&gt;=100000), " ",IF(INDEX($Q$2:$U$1001,MATCH(ROWS($J$2:J586),$J$2:$J$1001,0),MATCH(COLUMNS($Q$1006:S1006),$Q$1006:$U$1006,0)), HYPERLINK("#",""), HYPERLINK(CONCATENATE("#metadata!", ADDRESS(INDEX($L$2:$L$1001,MATCH(ROWS($J$2:J586),$J$2:$J$1001,0),0), INDEX($Q$1004:$U$1004,1,MATCH(COLUMNS($Q$1006:S1006),$Q$1006:$U$1006,0)))),"Fix")))</f>
        <v xml:space="preserve"> </v>
      </c>
      <c r="E586" s="3" t="str">
        <f ca="1">IF(OR(INDEX($K$2:$K$1001,MATCH(ROWS($J$2:J586),$J$2:$J$1001,0),1)&gt;=100000,INDEX($Q$1005:$U$1005,1,MATCH(COLUMNS($Q$1006:T1006),$Q$1006:$U$1006,0))&gt;=100000), " ",IF(INDEX($Q$2:$U$1001,MATCH(ROWS($J$2:J586),$J$2:$J$1001,0),MATCH(COLUMNS($Q$1006:T1006),$Q$1006:$U$1006,0)), HYPERLINK("#",""), HYPERLINK(CONCATENATE("#metadata!", ADDRESS(INDEX($L$2:$L$1001,MATCH(ROWS($J$2:J586),$J$2:$J$1001,0),0), INDEX($Q$1004:$U$1004,1,MATCH(COLUMNS($Q$1006:T1006),$Q$1006:$U$1006,0)))),"Fix")))</f>
        <v xml:space="preserve"> </v>
      </c>
      <c r="F586" s="3" t="str">
        <f ca="1">IF(OR(INDEX($K$2:$K$1001,MATCH(ROWS($J$2:J586),$J$2:$J$1001,0),1)&gt;=100000,INDEX($Q$1005:$U$1005,1,MATCH(COLUMNS($Q$1006:U1006),$Q$1006:$U$1006,0))&gt;=100000), " ",IF(INDEX($Q$2:$U$1001,MATCH(ROWS($J$2:J586),$J$2:$J$1001,0),MATCH(COLUMNS($Q$1006:U1006),$Q$1006:$U$1006,0)), HYPERLINK("#",""), HYPERLINK(CONCATENATE("#metadata!", ADDRESS(INDEX($L$2:$L$1001,MATCH(ROWS($J$2:J586),$J$2:$J$1001,0),0), INDEX($Q$1004:$U$1004,1,MATCH(COLUMNS($Q$1006:U1006),$Q$1006:$U$1006,0)))),"Fix")))</f>
        <v xml:space="preserve"> </v>
      </c>
      <c r="J586">
        <v>585</v>
      </c>
      <c r="K586">
        <v>100586</v>
      </c>
      <c r="L586">
        <v>586</v>
      </c>
      <c r="M586" t="b">
        <f t="shared" si="9"/>
        <v>1</v>
      </c>
      <c r="N586" t="b">
        <f>COUNTBLANK(metadata!B586:F586)=COLUMNS(metadata!B586:F586)</f>
        <v>1</v>
      </c>
      <c r="O586" t="str">
        <v/>
      </c>
      <c r="Q586" t="b">
        <f ca="1">AND(IF(metadata!B586="",FALSE,TRUE),COUNTIF(metadata!B:B, metadata!B586) = 1,NOT(ISERROR(SUMPRODUCT(SEARCH(MID(metadata!B586,ROW(INDIRECT("1:"&amp;LEN(metadata!B586))), 1),"0123456789abcdefghijklmnopqrstuvwxyzABCDEFGHIJKLMNOPQRSTUVWXYZ.")))))</f>
        <v>0</v>
      </c>
      <c r="R586" t="b">
        <f>AND(IF(metadata!C586="",FALSE,TRUE),OR(EXACT(metadata!C586,"saline"),EXACT(metadata!C586,"non-saline")))</f>
        <v>0</v>
      </c>
      <c r="S586" t="b">
        <f>AND(IF(metadata!D586="",FALSE,TRUE),OR(EXACT(metadata!D586,"surface (non-saline)"),EXACT(metadata!D586,"aerosol (non-saline)"),EXACT(metadata!D586,"sediment (non-saline)"),EXACT(metadata!D586,"surface (saline)"),EXACT(metadata!D586,"aerosol (saline)"),EXACT(metadata!D586,"sediment (saline)")))</f>
        <v>0</v>
      </c>
      <c r="T586" t="b">
        <f>AND(IF(metadata!E586="",FALSE,TRUE),EXACT(metadata!E586,"built environment"))</f>
        <v>0</v>
      </c>
      <c r="U586" t="b">
        <f>OR(AND(IF(metadata!F586="",FALSE,TRUE),EXACT(metadata!F586,"not applicable")),AND(IF(metadata!F586="",FALSE,TRUE),EXACT(metadata!F586,"anaerobic digester content")))</f>
        <v>0</v>
      </c>
    </row>
    <row r="587" spans="1:21" x14ac:dyDescent="0.2">
      <c r="A587" s="4" t="str">
        <f ca="1">IF(B587=" "," ",HYPERLINK(CONCATENATE("#metadata!",ADDRESS(INDEX($L$2:$L$1001,MATCH(ROWS($J$2:J587),$J$2:$J$1001,0),0),1)),INDEX($O$2:$O$1001,MATCH(ROWS($J$2:J587),$J$2:$J$1001,0),0)))</f>
        <v xml:space="preserve"> </v>
      </c>
      <c r="B587" s="3" t="str">
        <f ca="1">IF(OR(INDEX($K$2:$K$1001,MATCH(ROWS($J$2:J587),$J$2:$J$1001,0),1)&gt;=100000,INDEX($Q$1005:$U$1005,1,MATCH(COLUMNS($Q$1006:Q1006),$Q$1006:$U$1006,0))&gt;=100000), " ",IF(INDEX($Q$2:$U$1001,MATCH(ROWS($J$2:J587),$J$2:$J$1001,0),MATCH(COLUMNS($Q$1006:Q1006),$Q$1006:$U$1006,0)), HYPERLINK("#",""), HYPERLINK(CONCATENATE("#metadata!", ADDRESS(INDEX($L$2:$L$1001,MATCH(ROWS($J$2:J587),$J$2:$J$1001,0),0), INDEX($Q$1004:$U$1004,1,MATCH(COLUMNS($Q$1006:Q1006),$Q$1006:$U$1006,0)))),"Fix")))</f>
        <v xml:space="preserve"> </v>
      </c>
      <c r="C587" s="3" t="str">
        <f ca="1">IF(OR(INDEX($K$2:$K$1001,MATCH(ROWS($J$2:J587),$J$2:$J$1001,0),1)&gt;=100000,INDEX($Q$1005:$U$1005,1,MATCH(COLUMNS($Q$1006:R1006),$Q$1006:$U$1006,0))&gt;=100000), " ",IF(INDEX($Q$2:$U$1001,MATCH(ROWS($J$2:J587),$J$2:$J$1001,0),MATCH(COLUMNS($Q$1006:R1006),$Q$1006:$U$1006,0)), HYPERLINK("#",""), HYPERLINK(CONCATENATE("#metadata!", ADDRESS(INDEX($L$2:$L$1001,MATCH(ROWS($J$2:J587),$J$2:$J$1001,0),0), INDEX($Q$1004:$U$1004,1,MATCH(COLUMNS($Q$1006:R1006),$Q$1006:$U$1006,0)))),"Fix")))</f>
        <v xml:space="preserve"> </v>
      </c>
      <c r="D587" s="3" t="str">
        <f ca="1">IF(OR(INDEX($K$2:$K$1001,MATCH(ROWS($J$2:J587),$J$2:$J$1001,0),1)&gt;=100000,INDEX($Q$1005:$U$1005,1,MATCH(COLUMNS($Q$1006:S1006),$Q$1006:$U$1006,0))&gt;=100000), " ",IF(INDEX($Q$2:$U$1001,MATCH(ROWS($J$2:J587),$J$2:$J$1001,0),MATCH(COLUMNS($Q$1006:S1006),$Q$1006:$U$1006,0)), HYPERLINK("#",""), HYPERLINK(CONCATENATE("#metadata!", ADDRESS(INDEX($L$2:$L$1001,MATCH(ROWS($J$2:J587),$J$2:$J$1001,0),0), INDEX($Q$1004:$U$1004,1,MATCH(COLUMNS($Q$1006:S1006),$Q$1006:$U$1006,0)))),"Fix")))</f>
        <v xml:space="preserve"> </v>
      </c>
      <c r="E587" s="3" t="str">
        <f ca="1">IF(OR(INDEX($K$2:$K$1001,MATCH(ROWS($J$2:J587),$J$2:$J$1001,0),1)&gt;=100000,INDEX($Q$1005:$U$1005,1,MATCH(COLUMNS($Q$1006:T1006),$Q$1006:$U$1006,0))&gt;=100000), " ",IF(INDEX($Q$2:$U$1001,MATCH(ROWS($J$2:J587),$J$2:$J$1001,0),MATCH(COLUMNS($Q$1006:T1006),$Q$1006:$U$1006,0)), HYPERLINK("#",""), HYPERLINK(CONCATENATE("#metadata!", ADDRESS(INDEX($L$2:$L$1001,MATCH(ROWS($J$2:J587),$J$2:$J$1001,0),0), INDEX($Q$1004:$U$1004,1,MATCH(COLUMNS($Q$1006:T1006),$Q$1006:$U$1006,0)))),"Fix")))</f>
        <v xml:space="preserve"> </v>
      </c>
      <c r="F587" s="3" t="str">
        <f ca="1">IF(OR(INDEX($K$2:$K$1001,MATCH(ROWS($J$2:J587),$J$2:$J$1001,0),1)&gt;=100000,INDEX($Q$1005:$U$1005,1,MATCH(COLUMNS($Q$1006:U1006),$Q$1006:$U$1006,0))&gt;=100000), " ",IF(INDEX($Q$2:$U$1001,MATCH(ROWS($J$2:J587),$J$2:$J$1001,0),MATCH(COLUMNS($Q$1006:U1006),$Q$1006:$U$1006,0)), HYPERLINK("#",""), HYPERLINK(CONCATENATE("#metadata!", ADDRESS(INDEX($L$2:$L$1001,MATCH(ROWS($J$2:J587),$J$2:$J$1001,0),0), INDEX($Q$1004:$U$1004,1,MATCH(COLUMNS($Q$1006:U1006),$Q$1006:$U$1006,0)))),"Fix")))</f>
        <v xml:space="preserve"> </v>
      </c>
      <c r="J587">
        <v>586</v>
      </c>
      <c r="K587">
        <v>100587</v>
      </c>
      <c r="L587">
        <v>587</v>
      </c>
      <c r="M587" t="b">
        <f t="shared" si="9"/>
        <v>1</v>
      </c>
      <c r="N587" t="b">
        <f>COUNTBLANK(metadata!B587:F587)=COLUMNS(metadata!B587:F587)</f>
        <v>1</v>
      </c>
      <c r="O587" t="str">
        <v/>
      </c>
      <c r="Q587" t="b">
        <f ca="1">AND(IF(metadata!B587="",FALSE,TRUE),COUNTIF(metadata!B:B, metadata!B587) = 1,NOT(ISERROR(SUMPRODUCT(SEARCH(MID(metadata!B587,ROW(INDIRECT("1:"&amp;LEN(metadata!B587))), 1),"0123456789abcdefghijklmnopqrstuvwxyzABCDEFGHIJKLMNOPQRSTUVWXYZ.")))))</f>
        <v>0</v>
      </c>
      <c r="R587" t="b">
        <f>AND(IF(metadata!C587="",FALSE,TRUE),OR(EXACT(metadata!C587,"saline"),EXACT(metadata!C587,"non-saline")))</f>
        <v>0</v>
      </c>
      <c r="S587" t="b">
        <f>AND(IF(metadata!D587="",FALSE,TRUE),OR(EXACT(metadata!D587,"surface (non-saline)"),EXACT(metadata!D587,"aerosol (non-saline)"),EXACT(metadata!D587,"sediment (non-saline)"),EXACT(metadata!D587,"surface (saline)"),EXACT(metadata!D587,"aerosol (saline)"),EXACT(metadata!D587,"sediment (saline)")))</f>
        <v>0</v>
      </c>
      <c r="T587" t="b">
        <f>AND(IF(metadata!E587="",FALSE,TRUE),EXACT(metadata!E587,"built environment"))</f>
        <v>0</v>
      </c>
      <c r="U587" t="b">
        <f>OR(AND(IF(metadata!F587="",FALSE,TRUE),EXACT(metadata!F587,"not applicable")),AND(IF(metadata!F587="",FALSE,TRUE),EXACT(metadata!F587,"anaerobic digester content")))</f>
        <v>0</v>
      </c>
    </row>
    <row r="588" spans="1:21" x14ac:dyDescent="0.2">
      <c r="A588" s="4" t="str">
        <f ca="1">IF(B588=" "," ",HYPERLINK(CONCATENATE("#metadata!",ADDRESS(INDEX($L$2:$L$1001,MATCH(ROWS($J$2:J588),$J$2:$J$1001,0),0),1)),INDEX($O$2:$O$1001,MATCH(ROWS($J$2:J588),$J$2:$J$1001,0),0)))</f>
        <v xml:space="preserve"> </v>
      </c>
      <c r="B588" s="3" t="str">
        <f ca="1">IF(OR(INDEX($K$2:$K$1001,MATCH(ROWS($J$2:J588),$J$2:$J$1001,0),1)&gt;=100000,INDEX($Q$1005:$U$1005,1,MATCH(COLUMNS($Q$1006:Q1006),$Q$1006:$U$1006,0))&gt;=100000), " ",IF(INDEX($Q$2:$U$1001,MATCH(ROWS($J$2:J588),$J$2:$J$1001,0),MATCH(COLUMNS($Q$1006:Q1006),$Q$1006:$U$1006,0)), HYPERLINK("#",""), HYPERLINK(CONCATENATE("#metadata!", ADDRESS(INDEX($L$2:$L$1001,MATCH(ROWS($J$2:J588),$J$2:$J$1001,0),0), INDEX($Q$1004:$U$1004,1,MATCH(COLUMNS($Q$1006:Q1006),$Q$1006:$U$1006,0)))),"Fix")))</f>
        <v xml:space="preserve"> </v>
      </c>
      <c r="C588" s="3" t="str">
        <f ca="1">IF(OR(INDEX($K$2:$K$1001,MATCH(ROWS($J$2:J588),$J$2:$J$1001,0),1)&gt;=100000,INDEX($Q$1005:$U$1005,1,MATCH(COLUMNS($Q$1006:R1006),$Q$1006:$U$1006,0))&gt;=100000), " ",IF(INDEX($Q$2:$U$1001,MATCH(ROWS($J$2:J588),$J$2:$J$1001,0),MATCH(COLUMNS($Q$1006:R1006),$Q$1006:$U$1006,0)), HYPERLINK("#",""), HYPERLINK(CONCATENATE("#metadata!", ADDRESS(INDEX($L$2:$L$1001,MATCH(ROWS($J$2:J588),$J$2:$J$1001,0),0), INDEX($Q$1004:$U$1004,1,MATCH(COLUMNS($Q$1006:R1006),$Q$1006:$U$1006,0)))),"Fix")))</f>
        <v xml:space="preserve"> </v>
      </c>
      <c r="D588" s="3" t="str">
        <f ca="1">IF(OR(INDEX($K$2:$K$1001,MATCH(ROWS($J$2:J588),$J$2:$J$1001,0),1)&gt;=100000,INDEX($Q$1005:$U$1005,1,MATCH(COLUMNS($Q$1006:S1006),$Q$1006:$U$1006,0))&gt;=100000), " ",IF(INDEX($Q$2:$U$1001,MATCH(ROWS($J$2:J588),$J$2:$J$1001,0),MATCH(COLUMNS($Q$1006:S1006),$Q$1006:$U$1006,0)), HYPERLINK("#",""), HYPERLINK(CONCATENATE("#metadata!", ADDRESS(INDEX($L$2:$L$1001,MATCH(ROWS($J$2:J588),$J$2:$J$1001,0),0), INDEX($Q$1004:$U$1004,1,MATCH(COLUMNS($Q$1006:S1006),$Q$1006:$U$1006,0)))),"Fix")))</f>
        <v xml:space="preserve"> </v>
      </c>
      <c r="E588" s="3" t="str">
        <f ca="1">IF(OR(INDEX($K$2:$K$1001,MATCH(ROWS($J$2:J588),$J$2:$J$1001,0),1)&gt;=100000,INDEX($Q$1005:$U$1005,1,MATCH(COLUMNS($Q$1006:T1006),$Q$1006:$U$1006,0))&gt;=100000), " ",IF(INDEX($Q$2:$U$1001,MATCH(ROWS($J$2:J588),$J$2:$J$1001,0),MATCH(COLUMNS($Q$1006:T1006),$Q$1006:$U$1006,0)), HYPERLINK("#",""), HYPERLINK(CONCATENATE("#metadata!", ADDRESS(INDEX($L$2:$L$1001,MATCH(ROWS($J$2:J588),$J$2:$J$1001,0),0), INDEX($Q$1004:$U$1004,1,MATCH(COLUMNS($Q$1006:T1006),$Q$1006:$U$1006,0)))),"Fix")))</f>
        <v xml:space="preserve"> </v>
      </c>
      <c r="F588" s="3" t="str">
        <f ca="1">IF(OR(INDEX($K$2:$K$1001,MATCH(ROWS($J$2:J588),$J$2:$J$1001,0),1)&gt;=100000,INDEX($Q$1005:$U$1005,1,MATCH(COLUMNS($Q$1006:U1006),$Q$1006:$U$1006,0))&gt;=100000), " ",IF(INDEX($Q$2:$U$1001,MATCH(ROWS($J$2:J588),$J$2:$J$1001,0),MATCH(COLUMNS($Q$1006:U1006),$Q$1006:$U$1006,0)), HYPERLINK("#",""), HYPERLINK(CONCATENATE("#metadata!", ADDRESS(INDEX($L$2:$L$1001,MATCH(ROWS($J$2:J588),$J$2:$J$1001,0),0), INDEX($Q$1004:$U$1004,1,MATCH(COLUMNS($Q$1006:U1006),$Q$1006:$U$1006,0)))),"Fix")))</f>
        <v xml:space="preserve"> </v>
      </c>
      <c r="J588">
        <v>587</v>
      </c>
      <c r="K588">
        <v>100588</v>
      </c>
      <c r="L588">
        <v>588</v>
      </c>
      <c r="M588" t="b">
        <f t="shared" si="9"/>
        <v>1</v>
      </c>
      <c r="N588" t="b">
        <f>COUNTBLANK(metadata!B588:F588)=COLUMNS(metadata!B588:F588)</f>
        <v>1</v>
      </c>
      <c r="O588" t="str">
        <v/>
      </c>
      <c r="Q588" t="b">
        <f ca="1">AND(IF(metadata!B588="",FALSE,TRUE),COUNTIF(metadata!B:B, metadata!B588) = 1,NOT(ISERROR(SUMPRODUCT(SEARCH(MID(metadata!B588,ROW(INDIRECT("1:"&amp;LEN(metadata!B588))), 1),"0123456789abcdefghijklmnopqrstuvwxyzABCDEFGHIJKLMNOPQRSTUVWXYZ.")))))</f>
        <v>0</v>
      </c>
      <c r="R588" t="b">
        <f>AND(IF(metadata!C588="",FALSE,TRUE),OR(EXACT(metadata!C588,"saline"),EXACT(metadata!C588,"non-saline")))</f>
        <v>0</v>
      </c>
      <c r="S588" t="b">
        <f>AND(IF(metadata!D588="",FALSE,TRUE),OR(EXACT(metadata!D588,"surface (non-saline)"),EXACT(metadata!D588,"aerosol (non-saline)"),EXACT(metadata!D588,"sediment (non-saline)"),EXACT(metadata!D588,"surface (saline)"),EXACT(metadata!D588,"aerosol (saline)"),EXACT(metadata!D588,"sediment (saline)")))</f>
        <v>0</v>
      </c>
      <c r="T588" t="b">
        <f>AND(IF(metadata!E588="",FALSE,TRUE),EXACT(metadata!E588,"built environment"))</f>
        <v>0</v>
      </c>
      <c r="U588" t="b">
        <f>OR(AND(IF(metadata!F588="",FALSE,TRUE),EXACT(metadata!F588,"not applicable")),AND(IF(metadata!F588="",FALSE,TRUE),EXACT(metadata!F588,"anaerobic digester content")))</f>
        <v>0</v>
      </c>
    </row>
    <row r="589" spans="1:21" x14ac:dyDescent="0.2">
      <c r="A589" s="4" t="str">
        <f ca="1">IF(B589=" "," ",HYPERLINK(CONCATENATE("#metadata!",ADDRESS(INDEX($L$2:$L$1001,MATCH(ROWS($J$2:J589),$J$2:$J$1001,0),0),1)),INDEX($O$2:$O$1001,MATCH(ROWS($J$2:J589),$J$2:$J$1001,0),0)))</f>
        <v xml:space="preserve"> </v>
      </c>
      <c r="B589" s="3" t="str">
        <f ca="1">IF(OR(INDEX($K$2:$K$1001,MATCH(ROWS($J$2:J589),$J$2:$J$1001,0),1)&gt;=100000,INDEX($Q$1005:$U$1005,1,MATCH(COLUMNS($Q$1006:Q1006),$Q$1006:$U$1006,0))&gt;=100000), " ",IF(INDEX($Q$2:$U$1001,MATCH(ROWS($J$2:J589),$J$2:$J$1001,0),MATCH(COLUMNS($Q$1006:Q1006),$Q$1006:$U$1006,0)), HYPERLINK("#",""), HYPERLINK(CONCATENATE("#metadata!", ADDRESS(INDEX($L$2:$L$1001,MATCH(ROWS($J$2:J589),$J$2:$J$1001,0),0), INDEX($Q$1004:$U$1004,1,MATCH(COLUMNS($Q$1006:Q1006),$Q$1006:$U$1006,0)))),"Fix")))</f>
        <v xml:space="preserve"> </v>
      </c>
      <c r="C589" s="3" t="str">
        <f ca="1">IF(OR(INDEX($K$2:$K$1001,MATCH(ROWS($J$2:J589),$J$2:$J$1001,0),1)&gt;=100000,INDEX($Q$1005:$U$1005,1,MATCH(COLUMNS($Q$1006:R1006),$Q$1006:$U$1006,0))&gt;=100000), " ",IF(INDEX($Q$2:$U$1001,MATCH(ROWS($J$2:J589),$J$2:$J$1001,0),MATCH(COLUMNS($Q$1006:R1006),$Q$1006:$U$1006,0)), HYPERLINK("#",""), HYPERLINK(CONCATENATE("#metadata!", ADDRESS(INDEX($L$2:$L$1001,MATCH(ROWS($J$2:J589),$J$2:$J$1001,0),0), INDEX($Q$1004:$U$1004,1,MATCH(COLUMNS($Q$1006:R1006),$Q$1006:$U$1006,0)))),"Fix")))</f>
        <v xml:space="preserve"> </v>
      </c>
      <c r="D589" s="3" t="str">
        <f ca="1">IF(OR(INDEX($K$2:$K$1001,MATCH(ROWS($J$2:J589),$J$2:$J$1001,0),1)&gt;=100000,INDEX($Q$1005:$U$1005,1,MATCH(COLUMNS($Q$1006:S1006),$Q$1006:$U$1006,0))&gt;=100000), " ",IF(INDEX($Q$2:$U$1001,MATCH(ROWS($J$2:J589),$J$2:$J$1001,0),MATCH(COLUMNS($Q$1006:S1006),$Q$1006:$U$1006,0)), HYPERLINK("#",""), HYPERLINK(CONCATENATE("#metadata!", ADDRESS(INDEX($L$2:$L$1001,MATCH(ROWS($J$2:J589),$J$2:$J$1001,0),0), INDEX($Q$1004:$U$1004,1,MATCH(COLUMNS($Q$1006:S1006),$Q$1006:$U$1006,0)))),"Fix")))</f>
        <v xml:space="preserve"> </v>
      </c>
      <c r="E589" s="3" t="str">
        <f ca="1">IF(OR(INDEX($K$2:$K$1001,MATCH(ROWS($J$2:J589),$J$2:$J$1001,0),1)&gt;=100000,INDEX($Q$1005:$U$1005,1,MATCH(COLUMNS($Q$1006:T1006),$Q$1006:$U$1006,0))&gt;=100000), " ",IF(INDEX($Q$2:$U$1001,MATCH(ROWS($J$2:J589),$J$2:$J$1001,0),MATCH(COLUMNS($Q$1006:T1006),$Q$1006:$U$1006,0)), HYPERLINK("#",""), HYPERLINK(CONCATENATE("#metadata!", ADDRESS(INDEX($L$2:$L$1001,MATCH(ROWS($J$2:J589),$J$2:$J$1001,0),0), INDEX($Q$1004:$U$1004,1,MATCH(COLUMNS($Q$1006:T1006),$Q$1006:$U$1006,0)))),"Fix")))</f>
        <v xml:space="preserve"> </v>
      </c>
      <c r="F589" s="3" t="str">
        <f ca="1">IF(OR(INDEX($K$2:$K$1001,MATCH(ROWS($J$2:J589),$J$2:$J$1001,0),1)&gt;=100000,INDEX($Q$1005:$U$1005,1,MATCH(COLUMNS($Q$1006:U1006),$Q$1006:$U$1006,0))&gt;=100000), " ",IF(INDEX($Q$2:$U$1001,MATCH(ROWS($J$2:J589),$J$2:$J$1001,0),MATCH(COLUMNS($Q$1006:U1006),$Q$1006:$U$1006,0)), HYPERLINK("#",""), HYPERLINK(CONCATENATE("#metadata!", ADDRESS(INDEX($L$2:$L$1001,MATCH(ROWS($J$2:J589),$J$2:$J$1001,0),0), INDEX($Q$1004:$U$1004,1,MATCH(COLUMNS($Q$1006:U1006),$Q$1006:$U$1006,0)))),"Fix")))</f>
        <v xml:space="preserve"> </v>
      </c>
      <c r="J589">
        <v>588</v>
      </c>
      <c r="K589">
        <v>100589</v>
      </c>
      <c r="L589">
        <v>589</v>
      </c>
      <c r="M589" t="b">
        <f t="shared" si="9"/>
        <v>1</v>
      </c>
      <c r="N589" t="b">
        <f>COUNTBLANK(metadata!B589:F589)=COLUMNS(metadata!B589:F589)</f>
        <v>1</v>
      </c>
      <c r="O589" t="str">
        <v/>
      </c>
      <c r="Q589" t="b">
        <f ca="1">AND(IF(metadata!B589="",FALSE,TRUE),COUNTIF(metadata!B:B, metadata!B589) = 1,NOT(ISERROR(SUMPRODUCT(SEARCH(MID(metadata!B589,ROW(INDIRECT("1:"&amp;LEN(metadata!B589))), 1),"0123456789abcdefghijklmnopqrstuvwxyzABCDEFGHIJKLMNOPQRSTUVWXYZ.")))))</f>
        <v>0</v>
      </c>
      <c r="R589" t="b">
        <f>AND(IF(metadata!C589="",FALSE,TRUE),OR(EXACT(metadata!C589,"saline"),EXACT(metadata!C589,"non-saline")))</f>
        <v>0</v>
      </c>
      <c r="S589" t="b">
        <f>AND(IF(metadata!D589="",FALSE,TRUE),OR(EXACT(metadata!D589,"surface (non-saline)"),EXACT(metadata!D589,"aerosol (non-saline)"),EXACT(metadata!D589,"sediment (non-saline)"),EXACT(metadata!D589,"surface (saline)"),EXACT(metadata!D589,"aerosol (saline)"),EXACT(metadata!D589,"sediment (saline)")))</f>
        <v>0</v>
      </c>
      <c r="T589" t="b">
        <f>AND(IF(metadata!E589="",FALSE,TRUE),EXACT(metadata!E589,"built environment"))</f>
        <v>0</v>
      </c>
      <c r="U589" t="b">
        <f>OR(AND(IF(metadata!F589="",FALSE,TRUE),EXACT(metadata!F589,"not applicable")),AND(IF(metadata!F589="",FALSE,TRUE),EXACT(metadata!F589,"anaerobic digester content")))</f>
        <v>0</v>
      </c>
    </row>
    <row r="590" spans="1:21" x14ac:dyDescent="0.2">
      <c r="A590" s="4" t="str">
        <f ca="1">IF(B590=" "," ",HYPERLINK(CONCATENATE("#metadata!",ADDRESS(INDEX($L$2:$L$1001,MATCH(ROWS($J$2:J590),$J$2:$J$1001,0),0),1)),INDEX($O$2:$O$1001,MATCH(ROWS($J$2:J590),$J$2:$J$1001,0),0)))</f>
        <v xml:space="preserve"> </v>
      </c>
      <c r="B590" s="3" t="str">
        <f ca="1">IF(OR(INDEX($K$2:$K$1001,MATCH(ROWS($J$2:J590),$J$2:$J$1001,0),1)&gt;=100000,INDEX($Q$1005:$U$1005,1,MATCH(COLUMNS($Q$1006:Q1006),$Q$1006:$U$1006,0))&gt;=100000), " ",IF(INDEX($Q$2:$U$1001,MATCH(ROWS($J$2:J590),$J$2:$J$1001,0),MATCH(COLUMNS($Q$1006:Q1006),$Q$1006:$U$1006,0)), HYPERLINK("#",""), HYPERLINK(CONCATENATE("#metadata!", ADDRESS(INDEX($L$2:$L$1001,MATCH(ROWS($J$2:J590),$J$2:$J$1001,0),0), INDEX($Q$1004:$U$1004,1,MATCH(COLUMNS($Q$1006:Q1006),$Q$1006:$U$1006,0)))),"Fix")))</f>
        <v xml:space="preserve"> </v>
      </c>
      <c r="C590" s="3" t="str">
        <f ca="1">IF(OR(INDEX($K$2:$K$1001,MATCH(ROWS($J$2:J590),$J$2:$J$1001,0),1)&gt;=100000,INDEX($Q$1005:$U$1005,1,MATCH(COLUMNS($Q$1006:R1006),$Q$1006:$U$1006,0))&gt;=100000), " ",IF(INDEX($Q$2:$U$1001,MATCH(ROWS($J$2:J590),$J$2:$J$1001,0),MATCH(COLUMNS($Q$1006:R1006),$Q$1006:$U$1006,0)), HYPERLINK("#",""), HYPERLINK(CONCATENATE("#metadata!", ADDRESS(INDEX($L$2:$L$1001,MATCH(ROWS($J$2:J590),$J$2:$J$1001,0),0), INDEX($Q$1004:$U$1004,1,MATCH(COLUMNS($Q$1006:R1006),$Q$1006:$U$1006,0)))),"Fix")))</f>
        <v xml:space="preserve"> </v>
      </c>
      <c r="D590" s="3" t="str">
        <f ca="1">IF(OR(INDEX($K$2:$K$1001,MATCH(ROWS($J$2:J590),$J$2:$J$1001,0),1)&gt;=100000,INDEX($Q$1005:$U$1005,1,MATCH(COLUMNS($Q$1006:S1006),$Q$1006:$U$1006,0))&gt;=100000), " ",IF(INDEX($Q$2:$U$1001,MATCH(ROWS($J$2:J590),$J$2:$J$1001,0),MATCH(COLUMNS($Q$1006:S1006),$Q$1006:$U$1006,0)), HYPERLINK("#",""), HYPERLINK(CONCATENATE("#metadata!", ADDRESS(INDEX($L$2:$L$1001,MATCH(ROWS($J$2:J590),$J$2:$J$1001,0),0), INDEX($Q$1004:$U$1004,1,MATCH(COLUMNS($Q$1006:S1006),$Q$1006:$U$1006,0)))),"Fix")))</f>
        <v xml:space="preserve"> </v>
      </c>
      <c r="E590" s="3" t="str">
        <f ca="1">IF(OR(INDEX($K$2:$K$1001,MATCH(ROWS($J$2:J590),$J$2:$J$1001,0),1)&gt;=100000,INDEX($Q$1005:$U$1005,1,MATCH(COLUMNS($Q$1006:T1006),$Q$1006:$U$1006,0))&gt;=100000), " ",IF(INDEX($Q$2:$U$1001,MATCH(ROWS($J$2:J590),$J$2:$J$1001,0),MATCH(COLUMNS($Q$1006:T1006),$Q$1006:$U$1006,0)), HYPERLINK("#",""), HYPERLINK(CONCATENATE("#metadata!", ADDRESS(INDEX($L$2:$L$1001,MATCH(ROWS($J$2:J590),$J$2:$J$1001,0),0), INDEX($Q$1004:$U$1004,1,MATCH(COLUMNS($Q$1006:T1006),$Q$1006:$U$1006,0)))),"Fix")))</f>
        <v xml:space="preserve"> </v>
      </c>
      <c r="F590" s="3" t="str">
        <f ca="1">IF(OR(INDEX($K$2:$K$1001,MATCH(ROWS($J$2:J590),$J$2:$J$1001,0),1)&gt;=100000,INDEX($Q$1005:$U$1005,1,MATCH(COLUMNS($Q$1006:U1006),$Q$1006:$U$1006,0))&gt;=100000), " ",IF(INDEX($Q$2:$U$1001,MATCH(ROWS($J$2:J590),$J$2:$J$1001,0),MATCH(COLUMNS($Q$1006:U1006),$Q$1006:$U$1006,0)), HYPERLINK("#",""), HYPERLINK(CONCATENATE("#metadata!", ADDRESS(INDEX($L$2:$L$1001,MATCH(ROWS($J$2:J590),$J$2:$J$1001,0),0), INDEX($Q$1004:$U$1004,1,MATCH(COLUMNS($Q$1006:U1006),$Q$1006:$U$1006,0)))),"Fix")))</f>
        <v xml:space="preserve"> </v>
      </c>
      <c r="J590">
        <v>589</v>
      </c>
      <c r="K590">
        <v>100590</v>
      </c>
      <c r="L590">
        <v>590</v>
      </c>
      <c r="M590" t="b">
        <f t="shared" si="9"/>
        <v>1</v>
      </c>
      <c r="N590" t="b">
        <f>COUNTBLANK(metadata!B590:F590)=COLUMNS(metadata!B590:F590)</f>
        <v>1</v>
      </c>
      <c r="O590" t="str">
        <v/>
      </c>
      <c r="Q590" t="b">
        <f ca="1">AND(IF(metadata!B590="",FALSE,TRUE),COUNTIF(metadata!B:B, metadata!B590) = 1,NOT(ISERROR(SUMPRODUCT(SEARCH(MID(metadata!B590,ROW(INDIRECT("1:"&amp;LEN(metadata!B590))), 1),"0123456789abcdefghijklmnopqrstuvwxyzABCDEFGHIJKLMNOPQRSTUVWXYZ.")))))</f>
        <v>0</v>
      </c>
      <c r="R590" t="b">
        <f>AND(IF(metadata!C590="",FALSE,TRUE),OR(EXACT(metadata!C590,"saline"),EXACT(metadata!C590,"non-saline")))</f>
        <v>0</v>
      </c>
      <c r="S590" t="b">
        <f>AND(IF(metadata!D590="",FALSE,TRUE),OR(EXACT(metadata!D590,"surface (non-saline)"),EXACT(metadata!D590,"aerosol (non-saline)"),EXACT(metadata!D590,"sediment (non-saline)"),EXACT(metadata!D590,"surface (saline)"),EXACT(metadata!D590,"aerosol (saline)"),EXACT(metadata!D590,"sediment (saline)")))</f>
        <v>0</v>
      </c>
      <c r="T590" t="b">
        <f>AND(IF(metadata!E590="",FALSE,TRUE),EXACT(metadata!E590,"built environment"))</f>
        <v>0</v>
      </c>
      <c r="U590" t="b">
        <f>OR(AND(IF(metadata!F590="",FALSE,TRUE),EXACT(metadata!F590,"not applicable")),AND(IF(metadata!F590="",FALSE,TRUE),EXACT(metadata!F590,"anaerobic digester content")))</f>
        <v>0</v>
      </c>
    </row>
    <row r="591" spans="1:21" x14ac:dyDescent="0.2">
      <c r="A591" s="4" t="str">
        <f ca="1">IF(B591=" "," ",HYPERLINK(CONCATENATE("#metadata!",ADDRESS(INDEX($L$2:$L$1001,MATCH(ROWS($J$2:J591),$J$2:$J$1001,0),0),1)),INDEX($O$2:$O$1001,MATCH(ROWS($J$2:J591),$J$2:$J$1001,0),0)))</f>
        <v xml:space="preserve"> </v>
      </c>
      <c r="B591" s="3" t="str">
        <f ca="1">IF(OR(INDEX($K$2:$K$1001,MATCH(ROWS($J$2:J591),$J$2:$J$1001,0),1)&gt;=100000,INDEX($Q$1005:$U$1005,1,MATCH(COLUMNS($Q$1006:Q1006),$Q$1006:$U$1006,0))&gt;=100000), " ",IF(INDEX($Q$2:$U$1001,MATCH(ROWS($J$2:J591),$J$2:$J$1001,0),MATCH(COLUMNS($Q$1006:Q1006),$Q$1006:$U$1006,0)), HYPERLINK("#",""), HYPERLINK(CONCATENATE("#metadata!", ADDRESS(INDEX($L$2:$L$1001,MATCH(ROWS($J$2:J591),$J$2:$J$1001,0),0), INDEX($Q$1004:$U$1004,1,MATCH(COLUMNS($Q$1006:Q1006),$Q$1006:$U$1006,0)))),"Fix")))</f>
        <v xml:space="preserve"> </v>
      </c>
      <c r="C591" s="3" t="str">
        <f ca="1">IF(OR(INDEX($K$2:$K$1001,MATCH(ROWS($J$2:J591),$J$2:$J$1001,0),1)&gt;=100000,INDEX($Q$1005:$U$1005,1,MATCH(COLUMNS($Q$1006:R1006),$Q$1006:$U$1006,0))&gt;=100000), " ",IF(INDEX($Q$2:$U$1001,MATCH(ROWS($J$2:J591),$J$2:$J$1001,0),MATCH(COLUMNS($Q$1006:R1006),$Q$1006:$U$1006,0)), HYPERLINK("#",""), HYPERLINK(CONCATENATE("#metadata!", ADDRESS(INDEX($L$2:$L$1001,MATCH(ROWS($J$2:J591),$J$2:$J$1001,0),0), INDEX($Q$1004:$U$1004,1,MATCH(COLUMNS($Q$1006:R1006),$Q$1006:$U$1006,0)))),"Fix")))</f>
        <v xml:space="preserve"> </v>
      </c>
      <c r="D591" s="3" t="str">
        <f ca="1">IF(OR(INDEX($K$2:$K$1001,MATCH(ROWS($J$2:J591),$J$2:$J$1001,0),1)&gt;=100000,INDEX($Q$1005:$U$1005,1,MATCH(COLUMNS($Q$1006:S1006),$Q$1006:$U$1006,0))&gt;=100000), " ",IF(INDEX($Q$2:$U$1001,MATCH(ROWS($J$2:J591),$J$2:$J$1001,0),MATCH(COLUMNS($Q$1006:S1006),$Q$1006:$U$1006,0)), HYPERLINK("#",""), HYPERLINK(CONCATENATE("#metadata!", ADDRESS(INDEX($L$2:$L$1001,MATCH(ROWS($J$2:J591),$J$2:$J$1001,0),0), INDEX($Q$1004:$U$1004,1,MATCH(COLUMNS($Q$1006:S1006),$Q$1006:$U$1006,0)))),"Fix")))</f>
        <v xml:space="preserve"> </v>
      </c>
      <c r="E591" s="3" t="str">
        <f ca="1">IF(OR(INDEX($K$2:$K$1001,MATCH(ROWS($J$2:J591),$J$2:$J$1001,0),1)&gt;=100000,INDEX($Q$1005:$U$1005,1,MATCH(COLUMNS($Q$1006:T1006),$Q$1006:$U$1006,0))&gt;=100000), " ",IF(INDEX($Q$2:$U$1001,MATCH(ROWS($J$2:J591),$J$2:$J$1001,0),MATCH(COLUMNS($Q$1006:T1006),$Q$1006:$U$1006,0)), HYPERLINK("#",""), HYPERLINK(CONCATENATE("#metadata!", ADDRESS(INDEX($L$2:$L$1001,MATCH(ROWS($J$2:J591),$J$2:$J$1001,0),0), INDEX($Q$1004:$U$1004,1,MATCH(COLUMNS($Q$1006:T1006),$Q$1006:$U$1006,0)))),"Fix")))</f>
        <v xml:space="preserve"> </v>
      </c>
      <c r="F591" s="3" t="str">
        <f ca="1">IF(OR(INDEX($K$2:$K$1001,MATCH(ROWS($J$2:J591),$J$2:$J$1001,0),1)&gt;=100000,INDEX($Q$1005:$U$1005,1,MATCH(COLUMNS($Q$1006:U1006),$Q$1006:$U$1006,0))&gt;=100000), " ",IF(INDEX($Q$2:$U$1001,MATCH(ROWS($J$2:J591),$J$2:$J$1001,0),MATCH(COLUMNS($Q$1006:U1006),$Q$1006:$U$1006,0)), HYPERLINK("#",""), HYPERLINK(CONCATENATE("#metadata!", ADDRESS(INDEX($L$2:$L$1001,MATCH(ROWS($J$2:J591),$J$2:$J$1001,0),0), INDEX($Q$1004:$U$1004,1,MATCH(COLUMNS($Q$1006:U1006),$Q$1006:$U$1006,0)))),"Fix")))</f>
        <v xml:space="preserve"> </v>
      </c>
      <c r="J591">
        <v>590</v>
      </c>
      <c r="K591">
        <v>100591</v>
      </c>
      <c r="L591">
        <v>591</v>
      </c>
      <c r="M591" t="b">
        <f t="shared" si="9"/>
        <v>1</v>
      </c>
      <c r="N591" t="b">
        <f>COUNTBLANK(metadata!B591:F591)=COLUMNS(metadata!B591:F591)</f>
        <v>1</v>
      </c>
      <c r="O591" t="str">
        <v/>
      </c>
      <c r="Q591" t="b">
        <f ca="1">AND(IF(metadata!B591="",FALSE,TRUE),COUNTIF(metadata!B:B, metadata!B591) = 1,NOT(ISERROR(SUMPRODUCT(SEARCH(MID(metadata!B591,ROW(INDIRECT("1:"&amp;LEN(metadata!B591))), 1),"0123456789abcdefghijklmnopqrstuvwxyzABCDEFGHIJKLMNOPQRSTUVWXYZ.")))))</f>
        <v>0</v>
      </c>
      <c r="R591" t="b">
        <f>AND(IF(metadata!C591="",FALSE,TRUE),OR(EXACT(metadata!C591,"saline"),EXACT(metadata!C591,"non-saline")))</f>
        <v>0</v>
      </c>
      <c r="S591" t="b">
        <f>AND(IF(metadata!D591="",FALSE,TRUE),OR(EXACT(metadata!D591,"surface (non-saline)"),EXACT(metadata!D591,"aerosol (non-saline)"),EXACT(metadata!D591,"sediment (non-saline)"),EXACT(metadata!D591,"surface (saline)"),EXACT(metadata!D591,"aerosol (saline)"),EXACT(metadata!D591,"sediment (saline)")))</f>
        <v>0</v>
      </c>
      <c r="T591" t="b">
        <f>AND(IF(metadata!E591="",FALSE,TRUE),EXACT(metadata!E591,"built environment"))</f>
        <v>0</v>
      </c>
      <c r="U591" t="b">
        <f>OR(AND(IF(metadata!F591="",FALSE,TRUE),EXACT(metadata!F591,"not applicable")),AND(IF(metadata!F591="",FALSE,TRUE),EXACT(metadata!F591,"anaerobic digester content")))</f>
        <v>0</v>
      </c>
    </row>
    <row r="592" spans="1:21" x14ac:dyDescent="0.2">
      <c r="A592" s="4" t="str">
        <f ca="1">IF(B592=" "," ",HYPERLINK(CONCATENATE("#metadata!",ADDRESS(INDEX($L$2:$L$1001,MATCH(ROWS($J$2:J592),$J$2:$J$1001,0),0),1)),INDEX($O$2:$O$1001,MATCH(ROWS($J$2:J592),$J$2:$J$1001,0),0)))</f>
        <v xml:space="preserve"> </v>
      </c>
      <c r="B592" s="3" t="str">
        <f ca="1">IF(OR(INDEX($K$2:$K$1001,MATCH(ROWS($J$2:J592),$J$2:$J$1001,0),1)&gt;=100000,INDEX($Q$1005:$U$1005,1,MATCH(COLUMNS($Q$1006:Q1006),$Q$1006:$U$1006,0))&gt;=100000), " ",IF(INDEX($Q$2:$U$1001,MATCH(ROWS($J$2:J592),$J$2:$J$1001,0),MATCH(COLUMNS($Q$1006:Q1006),$Q$1006:$U$1006,0)), HYPERLINK("#",""), HYPERLINK(CONCATENATE("#metadata!", ADDRESS(INDEX($L$2:$L$1001,MATCH(ROWS($J$2:J592),$J$2:$J$1001,0),0), INDEX($Q$1004:$U$1004,1,MATCH(COLUMNS($Q$1006:Q1006),$Q$1006:$U$1006,0)))),"Fix")))</f>
        <v xml:space="preserve"> </v>
      </c>
      <c r="C592" s="3" t="str">
        <f ca="1">IF(OR(INDEX($K$2:$K$1001,MATCH(ROWS($J$2:J592),$J$2:$J$1001,0),1)&gt;=100000,INDEX($Q$1005:$U$1005,1,MATCH(COLUMNS($Q$1006:R1006),$Q$1006:$U$1006,0))&gt;=100000), " ",IF(INDEX($Q$2:$U$1001,MATCH(ROWS($J$2:J592),$J$2:$J$1001,0),MATCH(COLUMNS($Q$1006:R1006),$Q$1006:$U$1006,0)), HYPERLINK("#",""), HYPERLINK(CONCATENATE("#metadata!", ADDRESS(INDEX($L$2:$L$1001,MATCH(ROWS($J$2:J592),$J$2:$J$1001,0),0), INDEX($Q$1004:$U$1004,1,MATCH(COLUMNS($Q$1006:R1006),$Q$1006:$U$1006,0)))),"Fix")))</f>
        <v xml:space="preserve"> </v>
      </c>
      <c r="D592" s="3" t="str">
        <f ca="1">IF(OR(INDEX($K$2:$K$1001,MATCH(ROWS($J$2:J592),$J$2:$J$1001,0),1)&gt;=100000,INDEX($Q$1005:$U$1005,1,MATCH(COLUMNS($Q$1006:S1006),$Q$1006:$U$1006,0))&gt;=100000), " ",IF(INDEX($Q$2:$U$1001,MATCH(ROWS($J$2:J592),$J$2:$J$1001,0),MATCH(COLUMNS($Q$1006:S1006),$Q$1006:$U$1006,0)), HYPERLINK("#",""), HYPERLINK(CONCATENATE("#metadata!", ADDRESS(INDEX($L$2:$L$1001,MATCH(ROWS($J$2:J592),$J$2:$J$1001,0),0), INDEX($Q$1004:$U$1004,1,MATCH(COLUMNS($Q$1006:S1006),$Q$1006:$U$1006,0)))),"Fix")))</f>
        <v xml:space="preserve"> </v>
      </c>
      <c r="E592" s="3" t="str">
        <f ca="1">IF(OR(INDEX($K$2:$K$1001,MATCH(ROWS($J$2:J592),$J$2:$J$1001,0),1)&gt;=100000,INDEX($Q$1005:$U$1005,1,MATCH(COLUMNS($Q$1006:T1006),$Q$1006:$U$1006,0))&gt;=100000), " ",IF(INDEX($Q$2:$U$1001,MATCH(ROWS($J$2:J592),$J$2:$J$1001,0),MATCH(COLUMNS($Q$1006:T1006),$Q$1006:$U$1006,0)), HYPERLINK("#",""), HYPERLINK(CONCATENATE("#metadata!", ADDRESS(INDEX($L$2:$L$1001,MATCH(ROWS($J$2:J592),$J$2:$J$1001,0),0), INDEX($Q$1004:$U$1004,1,MATCH(COLUMNS($Q$1006:T1006),$Q$1006:$U$1006,0)))),"Fix")))</f>
        <v xml:space="preserve"> </v>
      </c>
      <c r="F592" s="3" t="str">
        <f ca="1">IF(OR(INDEX($K$2:$K$1001,MATCH(ROWS($J$2:J592),$J$2:$J$1001,0),1)&gt;=100000,INDEX($Q$1005:$U$1005,1,MATCH(COLUMNS($Q$1006:U1006),$Q$1006:$U$1006,0))&gt;=100000), " ",IF(INDEX($Q$2:$U$1001,MATCH(ROWS($J$2:J592),$J$2:$J$1001,0),MATCH(COLUMNS($Q$1006:U1006),$Q$1006:$U$1006,0)), HYPERLINK("#",""), HYPERLINK(CONCATENATE("#metadata!", ADDRESS(INDEX($L$2:$L$1001,MATCH(ROWS($J$2:J592),$J$2:$J$1001,0),0), INDEX($Q$1004:$U$1004,1,MATCH(COLUMNS($Q$1006:U1006),$Q$1006:$U$1006,0)))),"Fix")))</f>
        <v xml:space="preserve"> </v>
      </c>
      <c r="J592">
        <v>591</v>
      </c>
      <c r="K592">
        <v>100592</v>
      </c>
      <c r="L592">
        <v>592</v>
      </c>
      <c r="M592" t="b">
        <f t="shared" si="9"/>
        <v>1</v>
      </c>
      <c r="N592" t="b">
        <f>COUNTBLANK(metadata!B592:F592)=COLUMNS(metadata!B592:F592)</f>
        <v>1</v>
      </c>
      <c r="O592" t="str">
        <v/>
      </c>
      <c r="Q592" t="b">
        <f ca="1">AND(IF(metadata!B592="",FALSE,TRUE),COUNTIF(metadata!B:B, metadata!B592) = 1,NOT(ISERROR(SUMPRODUCT(SEARCH(MID(metadata!B592,ROW(INDIRECT("1:"&amp;LEN(metadata!B592))), 1),"0123456789abcdefghijklmnopqrstuvwxyzABCDEFGHIJKLMNOPQRSTUVWXYZ.")))))</f>
        <v>0</v>
      </c>
      <c r="R592" t="b">
        <f>AND(IF(metadata!C592="",FALSE,TRUE),OR(EXACT(metadata!C592,"saline"),EXACT(metadata!C592,"non-saline")))</f>
        <v>0</v>
      </c>
      <c r="S592" t="b">
        <f>AND(IF(metadata!D592="",FALSE,TRUE),OR(EXACT(metadata!D592,"surface (non-saline)"),EXACT(metadata!D592,"aerosol (non-saline)"),EXACT(metadata!D592,"sediment (non-saline)"),EXACT(metadata!D592,"surface (saline)"),EXACT(metadata!D592,"aerosol (saline)"),EXACT(metadata!D592,"sediment (saline)")))</f>
        <v>0</v>
      </c>
      <c r="T592" t="b">
        <f>AND(IF(metadata!E592="",FALSE,TRUE),EXACT(metadata!E592,"built environment"))</f>
        <v>0</v>
      </c>
      <c r="U592" t="b">
        <f>OR(AND(IF(metadata!F592="",FALSE,TRUE),EXACT(metadata!F592,"not applicable")),AND(IF(metadata!F592="",FALSE,TRUE),EXACT(metadata!F592,"anaerobic digester content")))</f>
        <v>0</v>
      </c>
    </row>
    <row r="593" spans="1:21" x14ac:dyDescent="0.2">
      <c r="A593" s="4" t="str">
        <f ca="1">IF(B593=" "," ",HYPERLINK(CONCATENATE("#metadata!",ADDRESS(INDEX($L$2:$L$1001,MATCH(ROWS($J$2:J593),$J$2:$J$1001,0),0),1)),INDEX($O$2:$O$1001,MATCH(ROWS($J$2:J593),$J$2:$J$1001,0),0)))</f>
        <v xml:space="preserve"> </v>
      </c>
      <c r="B593" s="3" t="str">
        <f ca="1">IF(OR(INDEX($K$2:$K$1001,MATCH(ROWS($J$2:J593),$J$2:$J$1001,0),1)&gt;=100000,INDEX($Q$1005:$U$1005,1,MATCH(COLUMNS($Q$1006:Q1006),$Q$1006:$U$1006,0))&gt;=100000), " ",IF(INDEX($Q$2:$U$1001,MATCH(ROWS($J$2:J593),$J$2:$J$1001,0),MATCH(COLUMNS($Q$1006:Q1006),$Q$1006:$U$1006,0)), HYPERLINK("#",""), HYPERLINK(CONCATENATE("#metadata!", ADDRESS(INDEX($L$2:$L$1001,MATCH(ROWS($J$2:J593),$J$2:$J$1001,0),0), INDEX($Q$1004:$U$1004,1,MATCH(COLUMNS($Q$1006:Q1006),$Q$1006:$U$1006,0)))),"Fix")))</f>
        <v xml:space="preserve"> </v>
      </c>
      <c r="C593" s="3" t="str">
        <f ca="1">IF(OR(INDEX($K$2:$K$1001,MATCH(ROWS($J$2:J593),$J$2:$J$1001,0),1)&gt;=100000,INDEX($Q$1005:$U$1005,1,MATCH(COLUMNS($Q$1006:R1006),$Q$1006:$U$1006,0))&gt;=100000), " ",IF(INDEX($Q$2:$U$1001,MATCH(ROWS($J$2:J593),$J$2:$J$1001,0),MATCH(COLUMNS($Q$1006:R1006),$Q$1006:$U$1006,0)), HYPERLINK("#",""), HYPERLINK(CONCATENATE("#metadata!", ADDRESS(INDEX($L$2:$L$1001,MATCH(ROWS($J$2:J593),$J$2:$J$1001,0),0), INDEX($Q$1004:$U$1004,1,MATCH(COLUMNS($Q$1006:R1006),$Q$1006:$U$1006,0)))),"Fix")))</f>
        <v xml:space="preserve"> </v>
      </c>
      <c r="D593" s="3" t="str">
        <f ca="1">IF(OR(INDEX($K$2:$K$1001,MATCH(ROWS($J$2:J593),$J$2:$J$1001,0),1)&gt;=100000,INDEX($Q$1005:$U$1005,1,MATCH(COLUMNS($Q$1006:S1006),$Q$1006:$U$1006,0))&gt;=100000), " ",IF(INDEX($Q$2:$U$1001,MATCH(ROWS($J$2:J593),$J$2:$J$1001,0),MATCH(COLUMNS($Q$1006:S1006),$Q$1006:$U$1006,0)), HYPERLINK("#",""), HYPERLINK(CONCATENATE("#metadata!", ADDRESS(INDEX($L$2:$L$1001,MATCH(ROWS($J$2:J593),$J$2:$J$1001,0),0), INDEX($Q$1004:$U$1004,1,MATCH(COLUMNS($Q$1006:S1006),$Q$1006:$U$1006,0)))),"Fix")))</f>
        <v xml:space="preserve"> </v>
      </c>
      <c r="E593" s="3" t="str">
        <f ca="1">IF(OR(INDEX($K$2:$K$1001,MATCH(ROWS($J$2:J593),$J$2:$J$1001,0),1)&gt;=100000,INDEX($Q$1005:$U$1005,1,MATCH(COLUMNS($Q$1006:T1006),$Q$1006:$U$1006,0))&gt;=100000), " ",IF(INDEX($Q$2:$U$1001,MATCH(ROWS($J$2:J593),$J$2:$J$1001,0),MATCH(COLUMNS($Q$1006:T1006),$Q$1006:$U$1006,0)), HYPERLINK("#",""), HYPERLINK(CONCATENATE("#metadata!", ADDRESS(INDEX($L$2:$L$1001,MATCH(ROWS($J$2:J593),$J$2:$J$1001,0),0), INDEX($Q$1004:$U$1004,1,MATCH(COLUMNS($Q$1006:T1006),$Q$1006:$U$1006,0)))),"Fix")))</f>
        <v xml:space="preserve"> </v>
      </c>
      <c r="F593" s="3" t="str">
        <f ca="1">IF(OR(INDEX($K$2:$K$1001,MATCH(ROWS($J$2:J593),$J$2:$J$1001,0),1)&gt;=100000,INDEX($Q$1005:$U$1005,1,MATCH(COLUMNS($Q$1006:U1006),$Q$1006:$U$1006,0))&gt;=100000), " ",IF(INDEX($Q$2:$U$1001,MATCH(ROWS($J$2:J593),$J$2:$J$1001,0),MATCH(COLUMNS($Q$1006:U1006),$Q$1006:$U$1006,0)), HYPERLINK("#",""), HYPERLINK(CONCATENATE("#metadata!", ADDRESS(INDEX($L$2:$L$1001,MATCH(ROWS($J$2:J593),$J$2:$J$1001,0),0), INDEX($Q$1004:$U$1004,1,MATCH(COLUMNS($Q$1006:U1006),$Q$1006:$U$1006,0)))),"Fix")))</f>
        <v xml:space="preserve"> </v>
      </c>
      <c r="J593">
        <v>592</v>
      </c>
      <c r="K593">
        <v>100593</v>
      </c>
      <c r="L593">
        <v>593</v>
      </c>
      <c r="M593" t="b">
        <f t="shared" si="9"/>
        <v>1</v>
      </c>
      <c r="N593" t="b">
        <f>COUNTBLANK(metadata!B593:F593)=COLUMNS(metadata!B593:F593)</f>
        <v>1</v>
      </c>
      <c r="O593" t="str">
        <v/>
      </c>
      <c r="Q593" t="b">
        <f ca="1">AND(IF(metadata!B593="",FALSE,TRUE),COUNTIF(metadata!B:B, metadata!B593) = 1,NOT(ISERROR(SUMPRODUCT(SEARCH(MID(metadata!B593,ROW(INDIRECT("1:"&amp;LEN(metadata!B593))), 1),"0123456789abcdefghijklmnopqrstuvwxyzABCDEFGHIJKLMNOPQRSTUVWXYZ.")))))</f>
        <v>0</v>
      </c>
      <c r="R593" t="b">
        <f>AND(IF(metadata!C593="",FALSE,TRUE),OR(EXACT(metadata!C593,"saline"),EXACT(metadata!C593,"non-saline")))</f>
        <v>0</v>
      </c>
      <c r="S593" t="b">
        <f>AND(IF(metadata!D593="",FALSE,TRUE),OR(EXACT(metadata!D593,"surface (non-saline)"),EXACT(metadata!D593,"aerosol (non-saline)"),EXACT(metadata!D593,"sediment (non-saline)"),EXACT(metadata!D593,"surface (saline)"),EXACT(metadata!D593,"aerosol (saline)"),EXACT(metadata!D593,"sediment (saline)")))</f>
        <v>0</v>
      </c>
      <c r="T593" t="b">
        <f>AND(IF(metadata!E593="",FALSE,TRUE),EXACT(metadata!E593,"built environment"))</f>
        <v>0</v>
      </c>
      <c r="U593" t="b">
        <f>OR(AND(IF(metadata!F593="",FALSE,TRUE),EXACT(metadata!F593,"not applicable")),AND(IF(metadata!F593="",FALSE,TRUE),EXACT(metadata!F593,"anaerobic digester content")))</f>
        <v>0</v>
      </c>
    </row>
    <row r="594" spans="1:21" x14ac:dyDescent="0.2">
      <c r="A594" s="4" t="str">
        <f ca="1">IF(B594=" "," ",HYPERLINK(CONCATENATE("#metadata!",ADDRESS(INDEX($L$2:$L$1001,MATCH(ROWS($J$2:J594),$J$2:$J$1001,0),0),1)),INDEX($O$2:$O$1001,MATCH(ROWS($J$2:J594),$J$2:$J$1001,0),0)))</f>
        <v xml:space="preserve"> </v>
      </c>
      <c r="B594" s="3" t="str">
        <f ca="1">IF(OR(INDEX($K$2:$K$1001,MATCH(ROWS($J$2:J594),$J$2:$J$1001,0),1)&gt;=100000,INDEX($Q$1005:$U$1005,1,MATCH(COLUMNS($Q$1006:Q1006),$Q$1006:$U$1006,0))&gt;=100000), " ",IF(INDEX($Q$2:$U$1001,MATCH(ROWS($J$2:J594),$J$2:$J$1001,0),MATCH(COLUMNS($Q$1006:Q1006),$Q$1006:$U$1006,0)), HYPERLINK("#",""), HYPERLINK(CONCATENATE("#metadata!", ADDRESS(INDEX($L$2:$L$1001,MATCH(ROWS($J$2:J594),$J$2:$J$1001,0),0), INDEX($Q$1004:$U$1004,1,MATCH(COLUMNS($Q$1006:Q1006),$Q$1006:$U$1006,0)))),"Fix")))</f>
        <v xml:space="preserve"> </v>
      </c>
      <c r="C594" s="3" t="str">
        <f ca="1">IF(OR(INDEX($K$2:$K$1001,MATCH(ROWS($J$2:J594),$J$2:$J$1001,0),1)&gt;=100000,INDEX($Q$1005:$U$1005,1,MATCH(COLUMNS($Q$1006:R1006),$Q$1006:$U$1006,0))&gt;=100000), " ",IF(INDEX($Q$2:$U$1001,MATCH(ROWS($J$2:J594),$J$2:$J$1001,0),MATCH(COLUMNS($Q$1006:R1006),$Q$1006:$U$1006,0)), HYPERLINK("#",""), HYPERLINK(CONCATENATE("#metadata!", ADDRESS(INDEX($L$2:$L$1001,MATCH(ROWS($J$2:J594),$J$2:$J$1001,0),0), INDEX($Q$1004:$U$1004,1,MATCH(COLUMNS($Q$1006:R1006),$Q$1006:$U$1006,0)))),"Fix")))</f>
        <v xml:space="preserve"> </v>
      </c>
      <c r="D594" s="3" t="str">
        <f ca="1">IF(OR(INDEX($K$2:$K$1001,MATCH(ROWS($J$2:J594),$J$2:$J$1001,0),1)&gt;=100000,INDEX($Q$1005:$U$1005,1,MATCH(COLUMNS($Q$1006:S1006),$Q$1006:$U$1006,0))&gt;=100000), " ",IF(INDEX($Q$2:$U$1001,MATCH(ROWS($J$2:J594),$J$2:$J$1001,0),MATCH(COLUMNS($Q$1006:S1006),$Q$1006:$U$1006,0)), HYPERLINK("#",""), HYPERLINK(CONCATENATE("#metadata!", ADDRESS(INDEX($L$2:$L$1001,MATCH(ROWS($J$2:J594),$J$2:$J$1001,0),0), INDEX($Q$1004:$U$1004,1,MATCH(COLUMNS($Q$1006:S1006),$Q$1006:$U$1006,0)))),"Fix")))</f>
        <v xml:space="preserve"> </v>
      </c>
      <c r="E594" s="3" t="str">
        <f ca="1">IF(OR(INDEX($K$2:$K$1001,MATCH(ROWS($J$2:J594),$J$2:$J$1001,0),1)&gt;=100000,INDEX($Q$1005:$U$1005,1,MATCH(COLUMNS($Q$1006:T1006),$Q$1006:$U$1006,0))&gt;=100000), " ",IF(INDEX($Q$2:$U$1001,MATCH(ROWS($J$2:J594),$J$2:$J$1001,0),MATCH(COLUMNS($Q$1006:T1006),$Q$1006:$U$1006,0)), HYPERLINK("#",""), HYPERLINK(CONCATENATE("#metadata!", ADDRESS(INDEX($L$2:$L$1001,MATCH(ROWS($J$2:J594),$J$2:$J$1001,0),0), INDEX($Q$1004:$U$1004,1,MATCH(COLUMNS($Q$1006:T1006),$Q$1006:$U$1006,0)))),"Fix")))</f>
        <v xml:space="preserve"> </v>
      </c>
      <c r="F594" s="3" t="str">
        <f ca="1">IF(OR(INDEX($K$2:$K$1001,MATCH(ROWS($J$2:J594),$J$2:$J$1001,0),1)&gt;=100000,INDEX($Q$1005:$U$1005,1,MATCH(COLUMNS($Q$1006:U1006),$Q$1006:$U$1006,0))&gt;=100000), " ",IF(INDEX($Q$2:$U$1001,MATCH(ROWS($J$2:J594),$J$2:$J$1001,0),MATCH(COLUMNS($Q$1006:U1006),$Q$1006:$U$1006,0)), HYPERLINK("#",""), HYPERLINK(CONCATENATE("#metadata!", ADDRESS(INDEX($L$2:$L$1001,MATCH(ROWS($J$2:J594),$J$2:$J$1001,0),0), INDEX($Q$1004:$U$1004,1,MATCH(COLUMNS($Q$1006:U1006),$Q$1006:$U$1006,0)))),"Fix")))</f>
        <v xml:space="preserve"> </v>
      </c>
      <c r="J594">
        <v>593</v>
      </c>
      <c r="K594">
        <v>100594</v>
      </c>
      <c r="L594">
        <v>594</v>
      </c>
      <c r="M594" t="b">
        <f t="shared" si="9"/>
        <v>1</v>
      </c>
      <c r="N594" t="b">
        <f>COUNTBLANK(metadata!B594:F594)=COLUMNS(metadata!B594:F594)</f>
        <v>1</v>
      </c>
      <c r="O594" t="str">
        <v/>
      </c>
      <c r="Q594" t="b">
        <f ca="1">AND(IF(metadata!B594="",FALSE,TRUE),COUNTIF(metadata!B:B, metadata!B594) = 1,NOT(ISERROR(SUMPRODUCT(SEARCH(MID(metadata!B594,ROW(INDIRECT("1:"&amp;LEN(metadata!B594))), 1),"0123456789abcdefghijklmnopqrstuvwxyzABCDEFGHIJKLMNOPQRSTUVWXYZ.")))))</f>
        <v>0</v>
      </c>
      <c r="R594" t="b">
        <f>AND(IF(metadata!C594="",FALSE,TRUE),OR(EXACT(metadata!C594,"saline"),EXACT(metadata!C594,"non-saline")))</f>
        <v>0</v>
      </c>
      <c r="S594" t="b">
        <f>AND(IF(metadata!D594="",FALSE,TRUE),OR(EXACT(metadata!D594,"surface (non-saline)"),EXACT(metadata!D594,"aerosol (non-saline)"),EXACT(metadata!D594,"sediment (non-saline)"),EXACT(metadata!D594,"surface (saline)"),EXACT(metadata!D594,"aerosol (saline)"),EXACT(metadata!D594,"sediment (saline)")))</f>
        <v>0</v>
      </c>
      <c r="T594" t="b">
        <f>AND(IF(metadata!E594="",FALSE,TRUE),EXACT(metadata!E594,"built environment"))</f>
        <v>0</v>
      </c>
      <c r="U594" t="b">
        <f>OR(AND(IF(metadata!F594="",FALSE,TRUE),EXACT(metadata!F594,"not applicable")),AND(IF(metadata!F594="",FALSE,TRUE),EXACT(metadata!F594,"anaerobic digester content")))</f>
        <v>0</v>
      </c>
    </row>
    <row r="595" spans="1:21" x14ac:dyDescent="0.2">
      <c r="A595" s="4" t="str">
        <f ca="1">IF(B595=" "," ",HYPERLINK(CONCATENATE("#metadata!",ADDRESS(INDEX($L$2:$L$1001,MATCH(ROWS($J$2:J595),$J$2:$J$1001,0),0),1)),INDEX($O$2:$O$1001,MATCH(ROWS($J$2:J595),$J$2:$J$1001,0),0)))</f>
        <v xml:space="preserve"> </v>
      </c>
      <c r="B595" s="3" t="str">
        <f ca="1">IF(OR(INDEX($K$2:$K$1001,MATCH(ROWS($J$2:J595),$J$2:$J$1001,0),1)&gt;=100000,INDEX($Q$1005:$U$1005,1,MATCH(COLUMNS($Q$1006:Q1006),$Q$1006:$U$1006,0))&gt;=100000), " ",IF(INDEX($Q$2:$U$1001,MATCH(ROWS($J$2:J595),$J$2:$J$1001,0),MATCH(COLUMNS($Q$1006:Q1006),$Q$1006:$U$1006,0)), HYPERLINK("#",""), HYPERLINK(CONCATENATE("#metadata!", ADDRESS(INDEX($L$2:$L$1001,MATCH(ROWS($J$2:J595),$J$2:$J$1001,0),0), INDEX($Q$1004:$U$1004,1,MATCH(COLUMNS($Q$1006:Q1006),$Q$1006:$U$1006,0)))),"Fix")))</f>
        <v xml:space="preserve"> </v>
      </c>
      <c r="C595" s="3" t="str">
        <f ca="1">IF(OR(INDEX($K$2:$K$1001,MATCH(ROWS($J$2:J595),$J$2:$J$1001,0),1)&gt;=100000,INDEX($Q$1005:$U$1005,1,MATCH(COLUMNS($Q$1006:R1006),$Q$1006:$U$1006,0))&gt;=100000), " ",IF(INDEX($Q$2:$U$1001,MATCH(ROWS($J$2:J595),$J$2:$J$1001,0),MATCH(COLUMNS($Q$1006:R1006),$Q$1006:$U$1006,0)), HYPERLINK("#",""), HYPERLINK(CONCATENATE("#metadata!", ADDRESS(INDEX($L$2:$L$1001,MATCH(ROWS($J$2:J595),$J$2:$J$1001,0),0), INDEX($Q$1004:$U$1004,1,MATCH(COLUMNS($Q$1006:R1006),$Q$1006:$U$1006,0)))),"Fix")))</f>
        <v xml:space="preserve"> </v>
      </c>
      <c r="D595" s="3" t="str">
        <f ca="1">IF(OR(INDEX($K$2:$K$1001,MATCH(ROWS($J$2:J595),$J$2:$J$1001,0),1)&gt;=100000,INDEX($Q$1005:$U$1005,1,MATCH(COLUMNS($Q$1006:S1006),$Q$1006:$U$1006,0))&gt;=100000), " ",IF(INDEX($Q$2:$U$1001,MATCH(ROWS($J$2:J595),$J$2:$J$1001,0),MATCH(COLUMNS($Q$1006:S1006),$Q$1006:$U$1006,0)), HYPERLINK("#",""), HYPERLINK(CONCATENATE("#metadata!", ADDRESS(INDEX($L$2:$L$1001,MATCH(ROWS($J$2:J595),$J$2:$J$1001,0),0), INDEX($Q$1004:$U$1004,1,MATCH(COLUMNS($Q$1006:S1006),$Q$1006:$U$1006,0)))),"Fix")))</f>
        <v xml:space="preserve"> </v>
      </c>
      <c r="E595" s="3" t="str">
        <f ca="1">IF(OR(INDEX($K$2:$K$1001,MATCH(ROWS($J$2:J595),$J$2:$J$1001,0),1)&gt;=100000,INDEX($Q$1005:$U$1005,1,MATCH(COLUMNS($Q$1006:T1006),$Q$1006:$U$1006,0))&gt;=100000), " ",IF(INDEX($Q$2:$U$1001,MATCH(ROWS($J$2:J595),$J$2:$J$1001,0),MATCH(COLUMNS($Q$1006:T1006),$Q$1006:$U$1006,0)), HYPERLINK("#",""), HYPERLINK(CONCATENATE("#metadata!", ADDRESS(INDEX($L$2:$L$1001,MATCH(ROWS($J$2:J595),$J$2:$J$1001,0),0), INDEX($Q$1004:$U$1004,1,MATCH(COLUMNS($Q$1006:T1006),$Q$1006:$U$1006,0)))),"Fix")))</f>
        <v xml:space="preserve"> </v>
      </c>
      <c r="F595" s="3" t="str">
        <f ca="1">IF(OR(INDEX($K$2:$K$1001,MATCH(ROWS($J$2:J595),$J$2:$J$1001,0),1)&gt;=100000,INDEX($Q$1005:$U$1005,1,MATCH(COLUMNS($Q$1006:U1006),$Q$1006:$U$1006,0))&gt;=100000), " ",IF(INDEX($Q$2:$U$1001,MATCH(ROWS($J$2:J595),$J$2:$J$1001,0),MATCH(COLUMNS($Q$1006:U1006),$Q$1006:$U$1006,0)), HYPERLINK("#",""), HYPERLINK(CONCATENATE("#metadata!", ADDRESS(INDEX($L$2:$L$1001,MATCH(ROWS($J$2:J595),$J$2:$J$1001,0),0), INDEX($Q$1004:$U$1004,1,MATCH(COLUMNS($Q$1006:U1006),$Q$1006:$U$1006,0)))),"Fix")))</f>
        <v xml:space="preserve"> </v>
      </c>
      <c r="J595">
        <v>594</v>
      </c>
      <c r="K595">
        <v>100595</v>
      </c>
      <c r="L595">
        <v>595</v>
      </c>
      <c r="M595" t="b">
        <f t="shared" si="9"/>
        <v>1</v>
      </c>
      <c r="N595" t="b">
        <f>COUNTBLANK(metadata!B595:F595)=COLUMNS(metadata!B595:F595)</f>
        <v>1</v>
      </c>
      <c r="O595" t="str">
        <v/>
      </c>
      <c r="Q595" t="b">
        <f ca="1">AND(IF(metadata!B595="",FALSE,TRUE),COUNTIF(metadata!B:B, metadata!B595) = 1,NOT(ISERROR(SUMPRODUCT(SEARCH(MID(metadata!B595,ROW(INDIRECT("1:"&amp;LEN(metadata!B595))), 1),"0123456789abcdefghijklmnopqrstuvwxyzABCDEFGHIJKLMNOPQRSTUVWXYZ.")))))</f>
        <v>0</v>
      </c>
      <c r="R595" t="b">
        <f>AND(IF(metadata!C595="",FALSE,TRUE),OR(EXACT(metadata!C595,"saline"),EXACT(metadata!C595,"non-saline")))</f>
        <v>0</v>
      </c>
      <c r="S595" t="b">
        <f>AND(IF(metadata!D595="",FALSE,TRUE),OR(EXACT(metadata!D595,"surface (non-saline)"),EXACT(metadata!D595,"aerosol (non-saline)"),EXACT(metadata!D595,"sediment (non-saline)"),EXACT(metadata!D595,"surface (saline)"),EXACT(metadata!D595,"aerosol (saline)"),EXACT(metadata!D595,"sediment (saline)")))</f>
        <v>0</v>
      </c>
      <c r="T595" t="b">
        <f>AND(IF(metadata!E595="",FALSE,TRUE),EXACT(metadata!E595,"built environment"))</f>
        <v>0</v>
      </c>
      <c r="U595" t="b">
        <f>OR(AND(IF(metadata!F595="",FALSE,TRUE),EXACT(metadata!F595,"not applicable")),AND(IF(metadata!F595="",FALSE,TRUE),EXACT(metadata!F595,"anaerobic digester content")))</f>
        <v>0</v>
      </c>
    </row>
    <row r="596" spans="1:21" x14ac:dyDescent="0.2">
      <c r="A596" s="4" t="str">
        <f ca="1">IF(B596=" "," ",HYPERLINK(CONCATENATE("#metadata!",ADDRESS(INDEX($L$2:$L$1001,MATCH(ROWS($J$2:J596),$J$2:$J$1001,0),0),1)),INDEX($O$2:$O$1001,MATCH(ROWS($J$2:J596),$J$2:$J$1001,0),0)))</f>
        <v xml:space="preserve"> </v>
      </c>
      <c r="B596" s="3" t="str">
        <f ca="1">IF(OR(INDEX($K$2:$K$1001,MATCH(ROWS($J$2:J596),$J$2:$J$1001,0),1)&gt;=100000,INDEX($Q$1005:$U$1005,1,MATCH(COLUMNS($Q$1006:Q1006),$Q$1006:$U$1006,0))&gt;=100000), " ",IF(INDEX($Q$2:$U$1001,MATCH(ROWS($J$2:J596),$J$2:$J$1001,0),MATCH(COLUMNS($Q$1006:Q1006),$Q$1006:$U$1006,0)), HYPERLINK("#",""), HYPERLINK(CONCATENATE("#metadata!", ADDRESS(INDEX($L$2:$L$1001,MATCH(ROWS($J$2:J596),$J$2:$J$1001,0),0), INDEX($Q$1004:$U$1004,1,MATCH(COLUMNS($Q$1006:Q1006),$Q$1006:$U$1006,0)))),"Fix")))</f>
        <v xml:space="preserve"> </v>
      </c>
      <c r="C596" s="3" t="str">
        <f ca="1">IF(OR(INDEX($K$2:$K$1001,MATCH(ROWS($J$2:J596),$J$2:$J$1001,0),1)&gt;=100000,INDEX($Q$1005:$U$1005,1,MATCH(COLUMNS($Q$1006:R1006),$Q$1006:$U$1006,0))&gt;=100000), " ",IF(INDEX($Q$2:$U$1001,MATCH(ROWS($J$2:J596),$J$2:$J$1001,0),MATCH(COLUMNS($Q$1006:R1006),$Q$1006:$U$1006,0)), HYPERLINK("#",""), HYPERLINK(CONCATENATE("#metadata!", ADDRESS(INDEX($L$2:$L$1001,MATCH(ROWS($J$2:J596),$J$2:$J$1001,0),0), INDEX($Q$1004:$U$1004,1,MATCH(COLUMNS($Q$1006:R1006),$Q$1006:$U$1006,0)))),"Fix")))</f>
        <v xml:space="preserve"> </v>
      </c>
      <c r="D596" s="3" t="str">
        <f ca="1">IF(OR(INDEX($K$2:$K$1001,MATCH(ROWS($J$2:J596),$J$2:$J$1001,0),1)&gt;=100000,INDEX($Q$1005:$U$1005,1,MATCH(COLUMNS($Q$1006:S1006),$Q$1006:$U$1006,0))&gt;=100000), " ",IF(INDEX($Q$2:$U$1001,MATCH(ROWS($J$2:J596),$J$2:$J$1001,0),MATCH(COLUMNS($Q$1006:S1006),$Q$1006:$U$1006,0)), HYPERLINK("#",""), HYPERLINK(CONCATENATE("#metadata!", ADDRESS(INDEX($L$2:$L$1001,MATCH(ROWS($J$2:J596),$J$2:$J$1001,0),0), INDEX($Q$1004:$U$1004,1,MATCH(COLUMNS($Q$1006:S1006),$Q$1006:$U$1006,0)))),"Fix")))</f>
        <v xml:space="preserve"> </v>
      </c>
      <c r="E596" s="3" t="str">
        <f ca="1">IF(OR(INDEX($K$2:$K$1001,MATCH(ROWS($J$2:J596),$J$2:$J$1001,0),1)&gt;=100000,INDEX($Q$1005:$U$1005,1,MATCH(COLUMNS($Q$1006:T1006),$Q$1006:$U$1006,0))&gt;=100000), " ",IF(INDEX($Q$2:$U$1001,MATCH(ROWS($J$2:J596),$J$2:$J$1001,0),MATCH(COLUMNS($Q$1006:T1006),$Q$1006:$U$1006,0)), HYPERLINK("#",""), HYPERLINK(CONCATENATE("#metadata!", ADDRESS(INDEX($L$2:$L$1001,MATCH(ROWS($J$2:J596),$J$2:$J$1001,0),0), INDEX($Q$1004:$U$1004,1,MATCH(COLUMNS($Q$1006:T1006),$Q$1006:$U$1006,0)))),"Fix")))</f>
        <v xml:space="preserve"> </v>
      </c>
      <c r="F596" s="3" t="str">
        <f ca="1">IF(OR(INDEX($K$2:$K$1001,MATCH(ROWS($J$2:J596),$J$2:$J$1001,0),1)&gt;=100000,INDEX($Q$1005:$U$1005,1,MATCH(COLUMNS($Q$1006:U1006),$Q$1006:$U$1006,0))&gt;=100000), " ",IF(INDEX($Q$2:$U$1001,MATCH(ROWS($J$2:J596),$J$2:$J$1001,0),MATCH(COLUMNS($Q$1006:U1006),$Q$1006:$U$1006,0)), HYPERLINK("#",""), HYPERLINK(CONCATENATE("#metadata!", ADDRESS(INDEX($L$2:$L$1001,MATCH(ROWS($J$2:J596),$J$2:$J$1001,0),0), INDEX($Q$1004:$U$1004,1,MATCH(COLUMNS($Q$1006:U1006),$Q$1006:$U$1006,0)))),"Fix")))</f>
        <v xml:space="preserve"> </v>
      </c>
      <c r="J596">
        <v>595</v>
      </c>
      <c r="K596">
        <v>100596</v>
      </c>
      <c r="L596">
        <v>596</v>
      </c>
      <c r="M596" t="b">
        <f t="shared" si="9"/>
        <v>1</v>
      </c>
      <c r="N596" t="b">
        <f>COUNTBLANK(metadata!B596:F596)=COLUMNS(metadata!B596:F596)</f>
        <v>1</v>
      </c>
      <c r="O596" t="str">
        <v/>
      </c>
      <c r="Q596" t="b">
        <f ca="1">AND(IF(metadata!B596="",FALSE,TRUE),COUNTIF(metadata!B:B, metadata!B596) = 1,NOT(ISERROR(SUMPRODUCT(SEARCH(MID(metadata!B596,ROW(INDIRECT("1:"&amp;LEN(metadata!B596))), 1),"0123456789abcdefghijklmnopqrstuvwxyzABCDEFGHIJKLMNOPQRSTUVWXYZ.")))))</f>
        <v>0</v>
      </c>
      <c r="R596" t="b">
        <f>AND(IF(metadata!C596="",FALSE,TRUE),OR(EXACT(metadata!C596,"saline"),EXACT(metadata!C596,"non-saline")))</f>
        <v>0</v>
      </c>
      <c r="S596" t="b">
        <f>AND(IF(metadata!D596="",FALSE,TRUE),OR(EXACT(metadata!D596,"surface (non-saline)"),EXACT(metadata!D596,"aerosol (non-saline)"),EXACT(metadata!D596,"sediment (non-saline)"),EXACT(metadata!D596,"surface (saline)"),EXACT(metadata!D596,"aerosol (saline)"),EXACT(metadata!D596,"sediment (saline)")))</f>
        <v>0</v>
      </c>
      <c r="T596" t="b">
        <f>AND(IF(metadata!E596="",FALSE,TRUE),EXACT(metadata!E596,"built environment"))</f>
        <v>0</v>
      </c>
      <c r="U596" t="b">
        <f>OR(AND(IF(metadata!F596="",FALSE,TRUE),EXACT(metadata!F596,"not applicable")),AND(IF(metadata!F596="",FALSE,TRUE),EXACT(metadata!F596,"anaerobic digester content")))</f>
        <v>0</v>
      </c>
    </row>
    <row r="597" spans="1:21" x14ac:dyDescent="0.2">
      <c r="A597" s="4" t="str">
        <f ca="1">IF(B597=" "," ",HYPERLINK(CONCATENATE("#metadata!",ADDRESS(INDEX($L$2:$L$1001,MATCH(ROWS($J$2:J597),$J$2:$J$1001,0),0),1)),INDEX($O$2:$O$1001,MATCH(ROWS($J$2:J597),$J$2:$J$1001,0),0)))</f>
        <v xml:space="preserve"> </v>
      </c>
      <c r="B597" s="3" t="str">
        <f ca="1">IF(OR(INDEX($K$2:$K$1001,MATCH(ROWS($J$2:J597),$J$2:$J$1001,0),1)&gt;=100000,INDEX($Q$1005:$U$1005,1,MATCH(COLUMNS($Q$1006:Q1006),$Q$1006:$U$1006,0))&gt;=100000), " ",IF(INDEX($Q$2:$U$1001,MATCH(ROWS($J$2:J597),$J$2:$J$1001,0),MATCH(COLUMNS($Q$1006:Q1006),$Q$1006:$U$1006,0)), HYPERLINK("#",""), HYPERLINK(CONCATENATE("#metadata!", ADDRESS(INDEX($L$2:$L$1001,MATCH(ROWS($J$2:J597),$J$2:$J$1001,0),0), INDEX($Q$1004:$U$1004,1,MATCH(COLUMNS($Q$1006:Q1006),$Q$1006:$U$1006,0)))),"Fix")))</f>
        <v xml:space="preserve"> </v>
      </c>
      <c r="C597" s="3" t="str">
        <f ca="1">IF(OR(INDEX($K$2:$K$1001,MATCH(ROWS($J$2:J597),$J$2:$J$1001,0),1)&gt;=100000,INDEX($Q$1005:$U$1005,1,MATCH(COLUMNS($Q$1006:R1006),$Q$1006:$U$1006,0))&gt;=100000), " ",IF(INDEX($Q$2:$U$1001,MATCH(ROWS($J$2:J597),$J$2:$J$1001,0),MATCH(COLUMNS($Q$1006:R1006),$Q$1006:$U$1006,0)), HYPERLINK("#",""), HYPERLINK(CONCATENATE("#metadata!", ADDRESS(INDEX($L$2:$L$1001,MATCH(ROWS($J$2:J597),$J$2:$J$1001,0),0), INDEX($Q$1004:$U$1004,1,MATCH(COLUMNS($Q$1006:R1006),$Q$1006:$U$1006,0)))),"Fix")))</f>
        <v xml:space="preserve"> </v>
      </c>
      <c r="D597" s="3" t="str">
        <f ca="1">IF(OR(INDEX($K$2:$K$1001,MATCH(ROWS($J$2:J597),$J$2:$J$1001,0),1)&gt;=100000,INDEX($Q$1005:$U$1005,1,MATCH(COLUMNS($Q$1006:S1006),$Q$1006:$U$1006,0))&gt;=100000), " ",IF(INDEX($Q$2:$U$1001,MATCH(ROWS($J$2:J597),$J$2:$J$1001,0),MATCH(COLUMNS($Q$1006:S1006),$Q$1006:$U$1006,0)), HYPERLINK("#",""), HYPERLINK(CONCATENATE("#metadata!", ADDRESS(INDEX($L$2:$L$1001,MATCH(ROWS($J$2:J597),$J$2:$J$1001,0),0), INDEX($Q$1004:$U$1004,1,MATCH(COLUMNS($Q$1006:S1006),$Q$1006:$U$1006,0)))),"Fix")))</f>
        <v xml:space="preserve"> </v>
      </c>
      <c r="E597" s="3" t="str">
        <f ca="1">IF(OR(INDEX($K$2:$K$1001,MATCH(ROWS($J$2:J597),$J$2:$J$1001,0),1)&gt;=100000,INDEX($Q$1005:$U$1005,1,MATCH(COLUMNS($Q$1006:T1006),$Q$1006:$U$1006,0))&gt;=100000), " ",IF(INDEX($Q$2:$U$1001,MATCH(ROWS($J$2:J597),$J$2:$J$1001,0),MATCH(COLUMNS($Q$1006:T1006),$Q$1006:$U$1006,0)), HYPERLINK("#",""), HYPERLINK(CONCATENATE("#metadata!", ADDRESS(INDEX($L$2:$L$1001,MATCH(ROWS($J$2:J597),$J$2:$J$1001,0),0), INDEX($Q$1004:$U$1004,1,MATCH(COLUMNS($Q$1006:T1006),$Q$1006:$U$1006,0)))),"Fix")))</f>
        <v xml:space="preserve"> </v>
      </c>
      <c r="F597" s="3" t="str">
        <f ca="1">IF(OR(INDEX($K$2:$K$1001,MATCH(ROWS($J$2:J597),$J$2:$J$1001,0),1)&gt;=100000,INDEX($Q$1005:$U$1005,1,MATCH(COLUMNS($Q$1006:U1006),$Q$1006:$U$1006,0))&gt;=100000), " ",IF(INDEX($Q$2:$U$1001,MATCH(ROWS($J$2:J597),$J$2:$J$1001,0),MATCH(COLUMNS($Q$1006:U1006),$Q$1006:$U$1006,0)), HYPERLINK("#",""), HYPERLINK(CONCATENATE("#metadata!", ADDRESS(INDEX($L$2:$L$1001,MATCH(ROWS($J$2:J597),$J$2:$J$1001,0),0), INDEX($Q$1004:$U$1004,1,MATCH(COLUMNS($Q$1006:U1006),$Q$1006:$U$1006,0)))),"Fix")))</f>
        <v xml:space="preserve"> </v>
      </c>
      <c r="J597">
        <v>596</v>
      </c>
      <c r="K597">
        <v>100597</v>
      </c>
      <c r="L597">
        <v>597</v>
      </c>
      <c r="M597" t="b">
        <f t="shared" si="9"/>
        <v>1</v>
      </c>
      <c r="N597" t="b">
        <f>COUNTBLANK(metadata!B597:F597)=COLUMNS(metadata!B597:F597)</f>
        <v>1</v>
      </c>
      <c r="O597" t="str">
        <v/>
      </c>
      <c r="Q597" t="b">
        <f ca="1">AND(IF(metadata!B597="",FALSE,TRUE),COUNTIF(metadata!B:B, metadata!B597) = 1,NOT(ISERROR(SUMPRODUCT(SEARCH(MID(metadata!B597,ROW(INDIRECT("1:"&amp;LEN(metadata!B597))), 1),"0123456789abcdefghijklmnopqrstuvwxyzABCDEFGHIJKLMNOPQRSTUVWXYZ.")))))</f>
        <v>0</v>
      </c>
      <c r="R597" t="b">
        <f>AND(IF(metadata!C597="",FALSE,TRUE),OR(EXACT(metadata!C597,"saline"),EXACT(metadata!C597,"non-saline")))</f>
        <v>0</v>
      </c>
      <c r="S597" t="b">
        <f>AND(IF(metadata!D597="",FALSE,TRUE),OR(EXACT(metadata!D597,"surface (non-saline)"),EXACT(metadata!D597,"aerosol (non-saline)"),EXACT(metadata!D597,"sediment (non-saline)"),EXACT(metadata!D597,"surface (saline)"),EXACT(metadata!D597,"aerosol (saline)"),EXACT(metadata!D597,"sediment (saline)")))</f>
        <v>0</v>
      </c>
      <c r="T597" t="b">
        <f>AND(IF(metadata!E597="",FALSE,TRUE),EXACT(metadata!E597,"built environment"))</f>
        <v>0</v>
      </c>
      <c r="U597" t="b">
        <f>OR(AND(IF(metadata!F597="",FALSE,TRUE),EXACT(metadata!F597,"not applicable")),AND(IF(metadata!F597="",FALSE,TRUE),EXACT(metadata!F597,"anaerobic digester content")))</f>
        <v>0</v>
      </c>
    </row>
    <row r="598" spans="1:21" x14ac:dyDescent="0.2">
      <c r="A598" s="4" t="str">
        <f ca="1">IF(B598=" "," ",HYPERLINK(CONCATENATE("#metadata!",ADDRESS(INDEX($L$2:$L$1001,MATCH(ROWS($J$2:J598),$J$2:$J$1001,0),0),1)),INDEX($O$2:$O$1001,MATCH(ROWS($J$2:J598),$J$2:$J$1001,0),0)))</f>
        <v xml:space="preserve"> </v>
      </c>
      <c r="B598" s="3" t="str">
        <f ca="1">IF(OR(INDEX($K$2:$K$1001,MATCH(ROWS($J$2:J598),$J$2:$J$1001,0),1)&gt;=100000,INDEX($Q$1005:$U$1005,1,MATCH(COLUMNS($Q$1006:Q1006),$Q$1006:$U$1006,0))&gt;=100000), " ",IF(INDEX($Q$2:$U$1001,MATCH(ROWS($J$2:J598),$J$2:$J$1001,0),MATCH(COLUMNS($Q$1006:Q1006),$Q$1006:$U$1006,0)), HYPERLINK("#",""), HYPERLINK(CONCATENATE("#metadata!", ADDRESS(INDEX($L$2:$L$1001,MATCH(ROWS($J$2:J598),$J$2:$J$1001,0),0), INDEX($Q$1004:$U$1004,1,MATCH(COLUMNS($Q$1006:Q1006),$Q$1006:$U$1006,0)))),"Fix")))</f>
        <v xml:space="preserve"> </v>
      </c>
      <c r="C598" s="3" t="str">
        <f ca="1">IF(OR(INDEX($K$2:$K$1001,MATCH(ROWS($J$2:J598),$J$2:$J$1001,0),1)&gt;=100000,INDEX($Q$1005:$U$1005,1,MATCH(COLUMNS($Q$1006:R1006),$Q$1006:$U$1006,0))&gt;=100000), " ",IF(INDEX($Q$2:$U$1001,MATCH(ROWS($J$2:J598),$J$2:$J$1001,0),MATCH(COLUMNS($Q$1006:R1006),$Q$1006:$U$1006,0)), HYPERLINK("#",""), HYPERLINK(CONCATENATE("#metadata!", ADDRESS(INDEX($L$2:$L$1001,MATCH(ROWS($J$2:J598),$J$2:$J$1001,0),0), INDEX($Q$1004:$U$1004,1,MATCH(COLUMNS($Q$1006:R1006),$Q$1006:$U$1006,0)))),"Fix")))</f>
        <v xml:space="preserve"> </v>
      </c>
      <c r="D598" s="3" t="str">
        <f ca="1">IF(OR(INDEX($K$2:$K$1001,MATCH(ROWS($J$2:J598),$J$2:$J$1001,0),1)&gt;=100000,INDEX($Q$1005:$U$1005,1,MATCH(COLUMNS($Q$1006:S1006),$Q$1006:$U$1006,0))&gt;=100000), " ",IF(INDEX($Q$2:$U$1001,MATCH(ROWS($J$2:J598),$J$2:$J$1001,0),MATCH(COLUMNS($Q$1006:S1006),$Q$1006:$U$1006,0)), HYPERLINK("#",""), HYPERLINK(CONCATENATE("#metadata!", ADDRESS(INDEX($L$2:$L$1001,MATCH(ROWS($J$2:J598),$J$2:$J$1001,0),0), INDEX($Q$1004:$U$1004,1,MATCH(COLUMNS($Q$1006:S1006),$Q$1006:$U$1006,0)))),"Fix")))</f>
        <v xml:space="preserve"> </v>
      </c>
      <c r="E598" s="3" t="str">
        <f ca="1">IF(OR(INDEX($K$2:$K$1001,MATCH(ROWS($J$2:J598),$J$2:$J$1001,0),1)&gt;=100000,INDEX($Q$1005:$U$1005,1,MATCH(COLUMNS($Q$1006:T1006),$Q$1006:$U$1006,0))&gt;=100000), " ",IF(INDEX($Q$2:$U$1001,MATCH(ROWS($J$2:J598),$J$2:$J$1001,0),MATCH(COLUMNS($Q$1006:T1006),$Q$1006:$U$1006,0)), HYPERLINK("#",""), HYPERLINK(CONCATENATE("#metadata!", ADDRESS(INDEX($L$2:$L$1001,MATCH(ROWS($J$2:J598),$J$2:$J$1001,0),0), INDEX($Q$1004:$U$1004,1,MATCH(COLUMNS($Q$1006:T1006),$Q$1006:$U$1006,0)))),"Fix")))</f>
        <v xml:space="preserve"> </v>
      </c>
      <c r="F598" s="3" t="str">
        <f ca="1">IF(OR(INDEX($K$2:$K$1001,MATCH(ROWS($J$2:J598),$J$2:$J$1001,0),1)&gt;=100000,INDEX($Q$1005:$U$1005,1,MATCH(COLUMNS($Q$1006:U1006),$Q$1006:$U$1006,0))&gt;=100000), " ",IF(INDEX($Q$2:$U$1001,MATCH(ROWS($J$2:J598),$J$2:$J$1001,0),MATCH(COLUMNS($Q$1006:U1006),$Q$1006:$U$1006,0)), HYPERLINK("#",""), HYPERLINK(CONCATENATE("#metadata!", ADDRESS(INDEX($L$2:$L$1001,MATCH(ROWS($J$2:J598),$J$2:$J$1001,0),0), INDEX($Q$1004:$U$1004,1,MATCH(COLUMNS($Q$1006:U1006),$Q$1006:$U$1006,0)))),"Fix")))</f>
        <v xml:space="preserve"> </v>
      </c>
      <c r="J598">
        <v>597</v>
      </c>
      <c r="K598">
        <v>100598</v>
      </c>
      <c r="L598">
        <v>598</v>
      </c>
      <c r="M598" t="b">
        <f t="shared" si="9"/>
        <v>1</v>
      </c>
      <c r="N598" t="b">
        <f>COUNTBLANK(metadata!B598:F598)=COLUMNS(metadata!B598:F598)</f>
        <v>1</v>
      </c>
      <c r="O598" t="str">
        <v/>
      </c>
      <c r="Q598" t="b">
        <f ca="1">AND(IF(metadata!B598="",FALSE,TRUE),COUNTIF(metadata!B:B, metadata!B598) = 1,NOT(ISERROR(SUMPRODUCT(SEARCH(MID(metadata!B598,ROW(INDIRECT("1:"&amp;LEN(metadata!B598))), 1),"0123456789abcdefghijklmnopqrstuvwxyzABCDEFGHIJKLMNOPQRSTUVWXYZ.")))))</f>
        <v>0</v>
      </c>
      <c r="R598" t="b">
        <f>AND(IF(metadata!C598="",FALSE,TRUE),OR(EXACT(metadata!C598,"saline"),EXACT(metadata!C598,"non-saline")))</f>
        <v>0</v>
      </c>
      <c r="S598" t="b">
        <f>AND(IF(metadata!D598="",FALSE,TRUE),OR(EXACT(metadata!D598,"surface (non-saline)"),EXACT(metadata!D598,"aerosol (non-saline)"),EXACT(metadata!D598,"sediment (non-saline)"),EXACT(metadata!D598,"surface (saline)"),EXACT(metadata!D598,"aerosol (saline)"),EXACT(metadata!D598,"sediment (saline)")))</f>
        <v>0</v>
      </c>
      <c r="T598" t="b">
        <f>AND(IF(metadata!E598="",FALSE,TRUE),EXACT(metadata!E598,"built environment"))</f>
        <v>0</v>
      </c>
      <c r="U598" t="b">
        <f>OR(AND(IF(metadata!F598="",FALSE,TRUE),EXACT(metadata!F598,"not applicable")),AND(IF(metadata!F598="",FALSE,TRUE),EXACT(metadata!F598,"anaerobic digester content")))</f>
        <v>0</v>
      </c>
    </row>
    <row r="599" spans="1:21" x14ac:dyDescent="0.2">
      <c r="A599" s="4" t="str">
        <f ca="1">IF(B599=" "," ",HYPERLINK(CONCATENATE("#metadata!",ADDRESS(INDEX($L$2:$L$1001,MATCH(ROWS($J$2:J599),$J$2:$J$1001,0),0),1)),INDEX($O$2:$O$1001,MATCH(ROWS($J$2:J599),$J$2:$J$1001,0),0)))</f>
        <v xml:space="preserve"> </v>
      </c>
      <c r="B599" s="3" t="str">
        <f ca="1">IF(OR(INDEX($K$2:$K$1001,MATCH(ROWS($J$2:J599),$J$2:$J$1001,0),1)&gt;=100000,INDEX($Q$1005:$U$1005,1,MATCH(COLUMNS($Q$1006:Q1006),$Q$1006:$U$1006,0))&gt;=100000), " ",IF(INDEX($Q$2:$U$1001,MATCH(ROWS($J$2:J599),$J$2:$J$1001,0),MATCH(COLUMNS($Q$1006:Q1006),$Q$1006:$U$1006,0)), HYPERLINK("#",""), HYPERLINK(CONCATENATE("#metadata!", ADDRESS(INDEX($L$2:$L$1001,MATCH(ROWS($J$2:J599),$J$2:$J$1001,0),0), INDEX($Q$1004:$U$1004,1,MATCH(COLUMNS($Q$1006:Q1006),$Q$1006:$U$1006,0)))),"Fix")))</f>
        <v xml:space="preserve"> </v>
      </c>
      <c r="C599" s="3" t="str">
        <f ca="1">IF(OR(INDEX($K$2:$K$1001,MATCH(ROWS($J$2:J599),$J$2:$J$1001,0),1)&gt;=100000,INDEX($Q$1005:$U$1005,1,MATCH(COLUMNS($Q$1006:R1006),$Q$1006:$U$1006,0))&gt;=100000), " ",IF(INDEX($Q$2:$U$1001,MATCH(ROWS($J$2:J599),$J$2:$J$1001,0),MATCH(COLUMNS($Q$1006:R1006),$Q$1006:$U$1006,0)), HYPERLINK("#",""), HYPERLINK(CONCATENATE("#metadata!", ADDRESS(INDEX($L$2:$L$1001,MATCH(ROWS($J$2:J599),$J$2:$J$1001,0),0), INDEX($Q$1004:$U$1004,1,MATCH(COLUMNS($Q$1006:R1006),$Q$1006:$U$1006,0)))),"Fix")))</f>
        <v xml:space="preserve"> </v>
      </c>
      <c r="D599" s="3" t="str">
        <f ca="1">IF(OR(INDEX($K$2:$K$1001,MATCH(ROWS($J$2:J599),$J$2:$J$1001,0),1)&gt;=100000,INDEX($Q$1005:$U$1005,1,MATCH(COLUMNS($Q$1006:S1006),$Q$1006:$U$1006,0))&gt;=100000), " ",IF(INDEX($Q$2:$U$1001,MATCH(ROWS($J$2:J599),$J$2:$J$1001,0),MATCH(COLUMNS($Q$1006:S1006),$Q$1006:$U$1006,0)), HYPERLINK("#",""), HYPERLINK(CONCATENATE("#metadata!", ADDRESS(INDEX($L$2:$L$1001,MATCH(ROWS($J$2:J599),$J$2:$J$1001,0),0), INDEX($Q$1004:$U$1004,1,MATCH(COLUMNS($Q$1006:S1006),$Q$1006:$U$1006,0)))),"Fix")))</f>
        <v xml:space="preserve"> </v>
      </c>
      <c r="E599" s="3" t="str">
        <f ca="1">IF(OR(INDEX($K$2:$K$1001,MATCH(ROWS($J$2:J599),$J$2:$J$1001,0),1)&gt;=100000,INDEX($Q$1005:$U$1005,1,MATCH(COLUMNS($Q$1006:T1006),$Q$1006:$U$1006,0))&gt;=100000), " ",IF(INDEX($Q$2:$U$1001,MATCH(ROWS($J$2:J599),$J$2:$J$1001,0),MATCH(COLUMNS($Q$1006:T1006),$Q$1006:$U$1006,0)), HYPERLINK("#",""), HYPERLINK(CONCATENATE("#metadata!", ADDRESS(INDEX($L$2:$L$1001,MATCH(ROWS($J$2:J599),$J$2:$J$1001,0),0), INDEX($Q$1004:$U$1004,1,MATCH(COLUMNS($Q$1006:T1006),$Q$1006:$U$1006,0)))),"Fix")))</f>
        <v xml:space="preserve"> </v>
      </c>
      <c r="F599" s="3" t="str">
        <f ca="1">IF(OR(INDEX($K$2:$K$1001,MATCH(ROWS($J$2:J599),$J$2:$J$1001,0),1)&gt;=100000,INDEX($Q$1005:$U$1005,1,MATCH(COLUMNS($Q$1006:U1006),$Q$1006:$U$1006,0))&gt;=100000), " ",IF(INDEX($Q$2:$U$1001,MATCH(ROWS($J$2:J599),$J$2:$J$1001,0),MATCH(COLUMNS($Q$1006:U1006),$Q$1006:$U$1006,0)), HYPERLINK("#",""), HYPERLINK(CONCATENATE("#metadata!", ADDRESS(INDEX($L$2:$L$1001,MATCH(ROWS($J$2:J599),$J$2:$J$1001,0),0), INDEX($Q$1004:$U$1004,1,MATCH(COLUMNS($Q$1006:U1006),$Q$1006:$U$1006,0)))),"Fix")))</f>
        <v xml:space="preserve"> </v>
      </c>
      <c r="J599">
        <v>598</v>
      </c>
      <c r="K599">
        <v>100599</v>
      </c>
      <c r="L599">
        <v>599</v>
      </c>
      <c r="M599" t="b">
        <f t="shared" si="9"/>
        <v>1</v>
      </c>
      <c r="N599" t="b">
        <f>COUNTBLANK(metadata!B599:F599)=COLUMNS(metadata!B599:F599)</f>
        <v>1</v>
      </c>
      <c r="O599" t="str">
        <v/>
      </c>
      <c r="Q599" t="b">
        <f ca="1">AND(IF(metadata!B599="",FALSE,TRUE),COUNTIF(metadata!B:B, metadata!B599) = 1,NOT(ISERROR(SUMPRODUCT(SEARCH(MID(metadata!B599,ROW(INDIRECT("1:"&amp;LEN(metadata!B599))), 1),"0123456789abcdefghijklmnopqrstuvwxyzABCDEFGHIJKLMNOPQRSTUVWXYZ.")))))</f>
        <v>0</v>
      </c>
      <c r="R599" t="b">
        <f>AND(IF(metadata!C599="",FALSE,TRUE),OR(EXACT(metadata!C599,"saline"),EXACT(metadata!C599,"non-saline")))</f>
        <v>0</v>
      </c>
      <c r="S599" t="b">
        <f>AND(IF(metadata!D599="",FALSE,TRUE),OR(EXACT(metadata!D599,"surface (non-saline)"),EXACT(metadata!D599,"aerosol (non-saline)"),EXACT(metadata!D599,"sediment (non-saline)"),EXACT(metadata!D599,"surface (saline)"),EXACT(metadata!D599,"aerosol (saline)"),EXACT(metadata!D599,"sediment (saline)")))</f>
        <v>0</v>
      </c>
      <c r="T599" t="b">
        <f>AND(IF(metadata!E599="",FALSE,TRUE),EXACT(metadata!E599,"built environment"))</f>
        <v>0</v>
      </c>
      <c r="U599" t="b">
        <f>OR(AND(IF(metadata!F599="",FALSE,TRUE),EXACT(metadata!F599,"not applicable")),AND(IF(metadata!F599="",FALSE,TRUE),EXACT(metadata!F599,"anaerobic digester content")))</f>
        <v>0</v>
      </c>
    </row>
    <row r="600" spans="1:21" x14ac:dyDescent="0.2">
      <c r="A600" s="4" t="str">
        <f ca="1">IF(B600=" "," ",HYPERLINK(CONCATENATE("#metadata!",ADDRESS(INDEX($L$2:$L$1001,MATCH(ROWS($J$2:J600),$J$2:$J$1001,0),0),1)),INDEX($O$2:$O$1001,MATCH(ROWS($J$2:J600),$J$2:$J$1001,0),0)))</f>
        <v xml:space="preserve"> </v>
      </c>
      <c r="B600" s="3" t="str">
        <f ca="1">IF(OR(INDEX($K$2:$K$1001,MATCH(ROWS($J$2:J600),$J$2:$J$1001,0),1)&gt;=100000,INDEX($Q$1005:$U$1005,1,MATCH(COLUMNS($Q$1006:Q1006),$Q$1006:$U$1006,0))&gt;=100000), " ",IF(INDEX($Q$2:$U$1001,MATCH(ROWS($J$2:J600),$J$2:$J$1001,0),MATCH(COLUMNS($Q$1006:Q1006),$Q$1006:$U$1006,0)), HYPERLINK("#",""), HYPERLINK(CONCATENATE("#metadata!", ADDRESS(INDEX($L$2:$L$1001,MATCH(ROWS($J$2:J600),$J$2:$J$1001,0),0), INDEX($Q$1004:$U$1004,1,MATCH(COLUMNS($Q$1006:Q1006),$Q$1006:$U$1006,0)))),"Fix")))</f>
        <v xml:space="preserve"> </v>
      </c>
      <c r="C600" s="3" t="str">
        <f ca="1">IF(OR(INDEX($K$2:$K$1001,MATCH(ROWS($J$2:J600),$J$2:$J$1001,0),1)&gt;=100000,INDEX($Q$1005:$U$1005,1,MATCH(COLUMNS($Q$1006:R1006),$Q$1006:$U$1006,0))&gt;=100000), " ",IF(INDEX($Q$2:$U$1001,MATCH(ROWS($J$2:J600),$J$2:$J$1001,0),MATCH(COLUMNS($Q$1006:R1006),$Q$1006:$U$1006,0)), HYPERLINK("#",""), HYPERLINK(CONCATENATE("#metadata!", ADDRESS(INDEX($L$2:$L$1001,MATCH(ROWS($J$2:J600),$J$2:$J$1001,0),0), INDEX($Q$1004:$U$1004,1,MATCH(COLUMNS($Q$1006:R1006),$Q$1006:$U$1006,0)))),"Fix")))</f>
        <v xml:space="preserve"> </v>
      </c>
      <c r="D600" s="3" t="str">
        <f ca="1">IF(OR(INDEX($K$2:$K$1001,MATCH(ROWS($J$2:J600),$J$2:$J$1001,0),1)&gt;=100000,INDEX($Q$1005:$U$1005,1,MATCH(COLUMNS($Q$1006:S1006),$Q$1006:$U$1006,0))&gt;=100000), " ",IF(INDEX($Q$2:$U$1001,MATCH(ROWS($J$2:J600),$J$2:$J$1001,0),MATCH(COLUMNS($Q$1006:S1006),$Q$1006:$U$1006,0)), HYPERLINK("#",""), HYPERLINK(CONCATENATE("#metadata!", ADDRESS(INDEX($L$2:$L$1001,MATCH(ROWS($J$2:J600),$J$2:$J$1001,0),0), INDEX($Q$1004:$U$1004,1,MATCH(COLUMNS($Q$1006:S1006),$Q$1006:$U$1006,0)))),"Fix")))</f>
        <v xml:space="preserve"> </v>
      </c>
      <c r="E600" s="3" t="str">
        <f ca="1">IF(OR(INDEX($K$2:$K$1001,MATCH(ROWS($J$2:J600),$J$2:$J$1001,0),1)&gt;=100000,INDEX($Q$1005:$U$1005,1,MATCH(COLUMNS($Q$1006:T1006),$Q$1006:$U$1006,0))&gt;=100000), " ",IF(INDEX($Q$2:$U$1001,MATCH(ROWS($J$2:J600),$J$2:$J$1001,0),MATCH(COLUMNS($Q$1006:T1006),$Q$1006:$U$1006,0)), HYPERLINK("#",""), HYPERLINK(CONCATENATE("#metadata!", ADDRESS(INDEX($L$2:$L$1001,MATCH(ROWS($J$2:J600),$J$2:$J$1001,0),0), INDEX($Q$1004:$U$1004,1,MATCH(COLUMNS($Q$1006:T1006),$Q$1006:$U$1006,0)))),"Fix")))</f>
        <v xml:space="preserve"> </v>
      </c>
      <c r="F600" s="3" t="str">
        <f ca="1">IF(OR(INDEX($K$2:$K$1001,MATCH(ROWS($J$2:J600),$J$2:$J$1001,0),1)&gt;=100000,INDEX($Q$1005:$U$1005,1,MATCH(COLUMNS($Q$1006:U1006),$Q$1006:$U$1006,0))&gt;=100000), " ",IF(INDEX($Q$2:$U$1001,MATCH(ROWS($J$2:J600),$J$2:$J$1001,0),MATCH(COLUMNS($Q$1006:U1006),$Q$1006:$U$1006,0)), HYPERLINK("#",""), HYPERLINK(CONCATENATE("#metadata!", ADDRESS(INDEX($L$2:$L$1001,MATCH(ROWS($J$2:J600),$J$2:$J$1001,0),0), INDEX($Q$1004:$U$1004,1,MATCH(COLUMNS($Q$1006:U1006),$Q$1006:$U$1006,0)))),"Fix")))</f>
        <v xml:space="preserve"> </v>
      </c>
      <c r="J600">
        <v>599</v>
      </c>
      <c r="K600">
        <v>100600</v>
      </c>
      <c r="L600">
        <v>600</v>
      </c>
      <c r="M600" t="b">
        <f t="shared" si="9"/>
        <v>1</v>
      </c>
      <c r="N600" t="b">
        <f>COUNTBLANK(metadata!B600:F600)=COLUMNS(metadata!B600:F600)</f>
        <v>1</v>
      </c>
      <c r="O600" t="str">
        <v/>
      </c>
      <c r="Q600" t="b">
        <f ca="1">AND(IF(metadata!B600="",FALSE,TRUE),COUNTIF(metadata!B:B, metadata!B600) = 1,NOT(ISERROR(SUMPRODUCT(SEARCH(MID(metadata!B600,ROW(INDIRECT("1:"&amp;LEN(metadata!B600))), 1),"0123456789abcdefghijklmnopqrstuvwxyzABCDEFGHIJKLMNOPQRSTUVWXYZ.")))))</f>
        <v>0</v>
      </c>
      <c r="R600" t="b">
        <f>AND(IF(metadata!C600="",FALSE,TRUE),OR(EXACT(metadata!C600,"saline"),EXACT(metadata!C600,"non-saline")))</f>
        <v>0</v>
      </c>
      <c r="S600" t="b">
        <f>AND(IF(metadata!D600="",FALSE,TRUE),OR(EXACT(metadata!D600,"surface (non-saline)"),EXACT(metadata!D600,"aerosol (non-saline)"),EXACT(metadata!D600,"sediment (non-saline)"),EXACT(metadata!D600,"surface (saline)"),EXACT(metadata!D600,"aerosol (saline)"),EXACT(metadata!D600,"sediment (saline)")))</f>
        <v>0</v>
      </c>
      <c r="T600" t="b">
        <f>AND(IF(metadata!E600="",FALSE,TRUE),EXACT(metadata!E600,"built environment"))</f>
        <v>0</v>
      </c>
      <c r="U600" t="b">
        <f>OR(AND(IF(metadata!F600="",FALSE,TRUE),EXACT(metadata!F600,"not applicable")),AND(IF(metadata!F600="",FALSE,TRUE),EXACT(metadata!F600,"anaerobic digester content")))</f>
        <v>0</v>
      </c>
    </row>
    <row r="601" spans="1:21" x14ac:dyDescent="0.2">
      <c r="A601" s="4" t="str">
        <f ca="1">IF(B601=" "," ",HYPERLINK(CONCATENATE("#metadata!",ADDRESS(INDEX($L$2:$L$1001,MATCH(ROWS($J$2:J601),$J$2:$J$1001,0),0),1)),INDEX($O$2:$O$1001,MATCH(ROWS($J$2:J601),$J$2:$J$1001,0),0)))</f>
        <v xml:space="preserve"> </v>
      </c>
      <c r="B601" s="3" t="str">
        <f ca="1">IF(OR(INDEX($K$2:$K$1001,MATCH(ROWS($J$2:J601),$J$2:$J$1001,0),1)&gt;=100000,INDEX($Q$1005:$U$1005,1,MATCH(COLUMNS($Q$1006:Q1006),$Q$1006:$U$1006,0))&gt;=100000), " ",IF(INDEX($Q$2:$U$1001,MATCH(ROWS($J$2:J601),$J$2:$J$1001,0),MATCH(COLUMNS($Q$1006:Q1006),$Q$1006:$U$1006,0)), HYPERLINK("#",""), HYPERLINK(CONCATENATE("#metadata!", ADDRESS(INDEX($L$2:$L$1001,MATCH(ROWS($J$2:J601),$J$2:$J$1001,0),0), INDEX($Q$1004:$U$1004,1,MATCH(COLUMNS($Q$1006:Q1006),$Q$1006:$U$1006,0)))),"Fix")))</f>
        <v xml:space="preserve"> </v>
      </c>
      <c r="C601" s="3" t="str">
        <f ca="1">IF(OR(INDEX($K$2:$K$1001,MATCH(ROWS($J$2:J601),$J$2:$J$1001,0),1)&gt;=100000,INDEX($Q$1005:$U$1005,1,MATCH(COLUMNS($Q$1006:R1006),$Q$1006:$U$1006,0))&gt;=100000), " ",IF(INDEX($Q$2:$U$1001,MATCH(ROWS($J$2:J601),$J$2:$J$1001,0),MATCH(COLUMNS($Q$1006:R1006),$Q$1006:$U$1006,0)), HYPERLINK("#",""), HYPERLINK(CONCATENATE("#metadata!", ADDRESS(INDEX($L$2:$L$1001,MATCH(ROWS($J$2:J601),$J$2:$J$1001,0),0), INDEX($Q$1004:$U$1004,1,MATCH(COLUMNS($Q$1006:R1006),$Q$1006:$U$1006,0)))),"Fix")))</f>
        <v xml:space="preserve"> </v>
      </c>
      <c r="D601" s="3" t="str">
        <f ca="1">IF(OR(INDEX($K$2:$K$1001,MATCH(ROWS($J$2:J601),$J$2:$J$1001,0),1)&gt;=100000,INDEX($Q$1005:$U$1005,1,MATCH(COLUMNS($Q$1006:S1006),$Q$1006:$U$1006,0))&gt;=100000), " ",IF(INDEX($Q$2:$U$1001,MATCH(ROWS($J$2:J601),$J$2:$J$1001,0),MATCH(COLUMNS($Q$1006:S1006),$Q$1006:$U$1006,0)), HYPERLINK("#",""), HYPERLINK(CONCATENATE("#metadata!", ADDRESS(INDEX($L$2:$L$1001,MATCH(ROWS($J$2:J601),$J$2:$J$1001,0),0), INDEX($Q$1004:$U$1004,1,MATCH(COLUMNS($Q$1006:S1006),$Q$1006:$U$1006,0)))),"Fix")))</f>
        <v xml:space="preserve"> </v>
      </c>
      <c r="E601" s="3" t="str">
        <f ca="1">IF(OR(INDEX($K$2:$K$1001,MATCH(ROWS($J$2:J601),$J$2:$J$1001,0),1)&gt;=100000,INDEX($Q$1005:$U$1005,1,MATCH(COLUMNS($Q$1006:T1006),$Q$1006:$U$1006,0))&gt;=100000), " ",IF(INDEX($Q$2:$U$1001,MATCH(ROWS($J$2:J601),$J$2:$J$1001,0),MATCH(COLUMNS($Q$1006:T1006),$Q$1006:$U$1006,0)), HYPERLINK("#",""), HYPERLINK(CONCATENATE("#metadata!", ADDRESS(INDEX($L$2:$L$1001,MATCH(ROWS($J$2:J601),$J$2:$J$1001,0),0), INDEX($Q$1004:$U$1004,1,MATCH(COLUMNS($Q$1006:T1006),$Q$1006:$U$1006,0)))),"Fix")))</f>
        <v xml:space="preserve"> </v>
      </c>
      <c r="F601" s="3" t="str">
        <f ca="1">IF(OR(INDEX($K$2:$K$1001,MATCH(ROWS($J$2:J601),$J$2:$J$1001,0),1)&gt;=100000,INDEX($Q$1005:$U$1005,1,MATCH(COLUMNS($Q$1006:U1006),$Q$1006:$U$1006,0))&gt;=100000), " ",IF(INDEX($Q$2:$U$1001,MATCH(ROWS($J$2:J601),$J$2:$J$1001,0),MATCH(COLUMNS($Q$1006:U1006),$Q$1006:$U$1006,0)), HYPERLINK("#",""), HYPERLINK(CONCATENATE("#metadata!", ADDRESS(INDEX($L$2:$L$1001,MATCH(ROWS($J$2:J601),$J$2:$J$1001,0),0), INDEX($Q$1004:$U$1004,1,MATCH(COLUMNS($Q$1006:U1006),$Q$1006:$U$1006,0)))),"Fix")))</f>
        <v xml:space="preserve"> </v>
      </c>
      <c r="J601">
        <v>600</v>
      </c>
      <c r="K601">
        <v>100601</v>
      </c>
      <c r="L601">
        <v>601</v>
      </c>
      <c r="M601" t="b">
        <f t="shared" si="9"/>
        <v>1</v>
      </c>
      <c r="N601" t="b">
        <f>COUNTBLANK(metadata!B601:F601)=COLUMNS(metadata!B601:F601)</f>
        <v>1</v>
      </c>
      <c r="O601" t="str">
        <v/>
      </c>
      <c r="Q601" t="b">
        <f ca="1">AND(IF(metadata!B601="",FALSE,TRUE),COUNTIF(metadata!B:B, metadata!B601) = 1,NOT(ISERROR(SUMPRODUCT(SEARCH(MID(metadata!B601,ROW(INDIRECT("1:"&amp;LEN(metadata!B601))), 1),"0123456789abcdefghijklmnopqrstuvwxyzABCDEFGHIJKLMNOPQRSTUVWXYZ.")))))</f>
        <v>0</v>
      </c>
      <c r="R601" t="b">
        <f>AND(IF(metadata!C601="",FALSE,TRUE),OR(EXACT(metadata!C601,"saline"),EXACT(metadata!C601,"non-saline")))</f>
        <v>0</v>
      </c>
      <c r="S601" t="b">
        <f>AND(IF(metadata!D601="",FALSE,TRUE),OR(EXACT(metadata!D601,"surface (non-saline)"),EXACT(metadata!D601,"aerosol (non-saline)"),EXACT(metadata!D601,"sediment (non-saline)"),EXACT(metadata!D601,"surface (saline)"),EXACT(metadata!D601,"aerosol (saline)"),EXACT(metadata!D601,"sediment (saline)")))</f>
        <v>0</v>
      </c>
      <c r="T601" t="b">
        <f>AND(IF(metadata!E601="",FALSE,TRUE),EXACT(metadata!E601,"built environment"))</f>
        <v>0</v>
      </c>
      <c r="U601" t="b">
        <f>OR(AND(IF(metadata!F601="",FALSE,TRUE),EXACT(metadata!F601,"not applicable")),AND(IF(metadata!F601="",FALSE,TRUE),EXACT(metadata!F601,"anaerobic digester content")))</f>
        <v>0</v>
      </c>
    </row>
    <row r="602" spans="1:21" x14ac:dyDescent="0.2">
      <c r="A602" s="4" t="str">
        <f ca="1">IF(B602=" "," ",HYPERLINK(CONCATENATE("#metadata!",ADDRESS(INDEX($L$2:$L$1001,MATCH(ROWS($J$2:J602),$J$2:$J$1001,0),0),1)),INDEX($O$2:$O$1001,MATCH(ROWS($J$2:J602),$J$2:$J$1001,0),0)))</f>
        <v xml:space="preserve"> </v>
      </c>
      <c r="B602" s="3" t="str">
        <f ca="1">IF(OR(INDEX($K$2:$K$1001,MATCH(ROWS($J$2:J602),$J$2:$J$1001,0),1)&gt;=100000,INDEX($Q$1005:$U$1005,1,MATCH(COLUMNS($Q$1006:Q1006),$Q$1006:$U$1006,0))&gt;=100000), " ",IF(INDEX($Q$2:$U$1001,MATCH(ROWS($J$2:J602),$J$2:$J$1001,0),MATCH(COLUMNS($Q$1006:Q1006),$Q$1006:$U$1006,0)), HYPERLINK("#",""), HYPERLINK(CONCATENATE("#metadata!", ADDRESS(INDEX($L$2:$L$1001,MATCH(ROWS($J$2:J602),$J$2:$J$1001,0),0), INDEX($Q$1004:$U$1004,1,MATCH(COLUMNS($Q$1006:Q1006),$Q$1006:$U$1006,0)))),"Fix")))</f>
        <v xml:space="preserve"> </v>
      </c>
      <c r="C602" s="3" t="str">
        <f ca="1">IF(OR(INDEX($K$2:$K$1001,MATCH(ROWS($J$2:J602),$J$2:$J$1001,0),1)&gt;=100000,INDEX($Q$1005:$U$1005,1,MATCH(COLUMNS($Q$1006:R1006),$Q$1006:$U$1006,0))&gt;=100000), " ",IF(INDEX($Q$2:$U$1001,MATCH(ROWS($J$2:J602),$J$2:$J$1001,0),MATCH(COLUMNS($Q$1006:R1006),$Q$1006:$U$1006,0)), HYPERLINK("#",""), HYPERLINK(CONCATENATE("#metadata!", ADDRESS(INDEX($L$2:$L$1001,MATCH(ROWS($J$2:J602),$J$2:$J$1001,0),0), INDEX($Q$1004:$U$1004,1,MATCH(COLUMNS($Q$1006:R1006),$Q$1006:$U$1006,0)))),"Fix")))</f>
        <v xml:space="preserve"> </v>
      </c>
      <c r="D602" s="3" t="str">
        <f ca="1">IF(OR(INDEX($K$2:$K$1001,MATCH(ROWS($J$2:J602),$J$2:$J$1001,0),1)&gt;=100000,INDEX($Q$1005:$U$1005,1,MATCH(COLUMNS($Q$1006:S1006),$Q$1006:$U$1006,0))&gt;=100000), " ",IF(INDEX($Q$2:$U$1001,MATCH(ROWS($J$2:J602),$J$2:$J$1001,0),MATCH(COLUMNS($Q$1006:S1006),$Q$1006:$U$1006,0)), HYPERLINK("#",""), HYPERLINK(CONCATENATE("#metadata!", ADDRESS(INDEX($L$2:$L$1001,MATCH(ROWS($J$2:J602),$J$2:$J$1001,0),0), INDEX($Q$1004:$U$1004,1,MATCH(COLUMNS($Q$1006:S1006),$Q$1006:$U$1006,0)))),"Fix")))</f>
        <v xml:space="preserve"> </v>
      </c>
      <c r="E602" s="3" t="str">
        <f ca="1">IF(OR(INDEX($K$2:$K$1001,MATCH(ROWS($J$2:J602),$J$2:$J$1001,0),1)&gt;=100000,INDEX($Q$1005:$U$1005,1,MATCH(COLUMNS($Q$1006:T1006),$Q$1006:$U$1006,0))&gt;=100000), " ",IF(INDEX($Q$2:$U$1001,MATCH(ROWS($J$2:J602),$J$2:$J$1001,0),MATCH(COLUMNS($Q$1006:T1006),$Q$1006:$U$1006,0)), HYPERLINK("#",""), HYPERLINK(CONCATENATE("#metadata!", ADDRESS(INDEX($L$2:$L$1001,MATCH(ROWS($J$2:J602),$J$2:$J$1001,0),0), INDEX($Q$1004:$U$1004,1,MATCH(COLUMNS($Q$1006:T1006),$Q$1006:$U$1006,0)))),"Fix")))</f>
        <v xml:space="preserve"> </v>
      </c>
      <c r="F602" s="3" t="str">
        <f ca="1">IF(OR(INDEX($K$2:$K$1001,MATCH(ROWS($J$2:J602),$J$2:$J$1001,0),1)&gt;=100000,INDEX($Q$1005:$U$1005,1,MATCH(COLUMNS($Q$1006:U1006),$Q$1006:$U$1006,0))&gt;=100000), " ",IF(INDEX($Q$2:$U$1001,MATCH(ROWS($J$2:J602),$J$2:$J$1001,0),MATCH(COLUMNS($Q$1006:U1006),$Q$1006:$U$1006,0)), HYPERLINK("#",""), HYPERLINK(CONCATENATE("#metadata!", ADDRESS(INDEX($L$2:$L$1001,MATCH(ROWS($J$2:J602),$J$2:$J$1001,0),0), INDEX($Q$1004:$U$1004,1,MATCH(COLUMNS($Q$1006:U1006),$Q$1006:$U$1006,0)))),"Fix")))</f>
        <v xml:space="preserve"> </v>
      </c>
      <c r="J602">
        <v>601</v>
      </c>
      <c r="K602">
        <v>100602</v>
      </c>
      <c r="L602">
        <v>602</v>
      </c>
      <c r="M602" t="b">
        <f t="shared" si="9"/>
        <v>1</v>
      </c>
      <c r="N602" t="b">
        <f>COUNTBLANK(metadata!B602:F602)=COLUMNS(metadata!B602:F602)</f>
        <v>1</v>
      </c>
      <c r="O602" t="str">
        <v/>
      </c>
      <c r="Q602" t="b">
        <f ca="1">AND(IF(metadata!B602="",FALSE,TRUE),COUNTIF(metadata!B:B, metadata!B602) = 1,NOT(ISERROR(SUMPRODUCT(SEARCH(MID(metadata!B602,ROW(INDIRECT("1:"&amp;LEN(metadata!B602))), 1),"0123456789abcdefghijklmnopqrstuvwxyzABCDEFGHIJKLMNOPQRSTUVWXYZ.")))))</f>
        <v>0</v>
      </c>
      <c r="R602" t="b">
        <f>AND(IF(metadata!C602="",FALSE,TRUE),OR(EXACT(metadata!C602,"saline"),EXACT(metadata!C602,"non-saline")))</f>
        <v>0</v>
      </c>
      <c r="S602" t="b">
        <f>AND(IF(metadata!D602="",FALSE,TRUE),OR(EXACT(metadata!D602,"surface (non-saline)"),EXACT(metadata!D602,"aerosol (non-saline)"),EXACT(metadata!D602,"sediment (non-saline)"),EXACT(metadata!D602,"surface (saline)"),EXACT(metadata!D602,"aerosol (saline)"),EXACT(metadata!D602,"sediment (saline)")))</f>
        <v>0</v>
      </c>
      <c r="T602" t="b">
        <f>AND(IF(metadata!E602="",FALSE,TRUE),EXACT(metadata!E602,"built environment"))</f>
        <v>0</v>
      </c>
      <c r="U602" t="b">
        <f>OR(AND(IF(metadata!F602="",FALSE,TRUE),EXACT(metadata!F602,"not applicable")),AND(IF(metadata!F602="",FALSE,TRUE),EXACT(metadata!F602,"anaerobic digester content")))</f>
        <v>0</v>
      </c>
    </row>
    <row r="603" spans="1:21" x14ac:dyDescent="0.2">
      <c r="A603" s="4" t="str">
        <f ca="1">IF(B603=" "," ",HYPERLINK(CONCATENATE("#metadata!",ADDRESS(INDEX($L$2:$L$1001,MATCH(ROWS($J$2:J603),$J$2:$J$1001,0),0),1)),INDEX($O$2:$O$1001,MATCH(ROWS($J$2:J603),$J$2:$J$1001,0),0)))</f>
        <v xml:space="preserve"> </v>
      </c>
      <c r="B603" s="3" t="str">
        <f ca="1">IF(OR(INDEX($K$2:$K$1001,MATCH(ROWS($J$2:J603),$J$2:$J$1001,0),1)&gt;=100000,INDEX($Q$1005:$U$1005,1,MATCH(COLUMNS($Q$1006:Q1006),$Q$1006:$U$1006,0))&gt;=100000), " ",IF(INDEX($Q$2:$U$1001,MATCH(ROWS($J$2:J603),$J$2:$J$1001,0),MATCH(COLUMNS($Q$1006:Q1006),$Q$1006:$U$1006,0)), HYPERLINK("#",""), HYPERLINK(CONCATENATE("#metadata!", ADDRESS(INDEX($L$2:$L$1001,MATCH(ROWS($J$2:J603),$J$2:$J$1001,0),0), INDEX($Q$1004:$U$1004,1,MATCH(COLUMNS($Q$1006:Q1006),$Q$1006:$U$1006,0)))),"Fix")))</f>
        <v xml:space="preserve"> </v>
      </c>
      <c r="C603" s="3" t="str">
        <f ca="1">IF(OR(INDEX($K$2:$K$1001,MATCH(ROWS($J$2:J603),$J$2:$J$1001,0),1)&gt;=100000,INDEX($Q$1005:$U$1005,1,MATCH(COLUMNS($Q$1006:R1006),$Q$1006:$U$1006,0))&gt;=100000), " ",IF(INDEX($Q$2:$U$1001,MATCH(ROWS($J$2:J603),$J$2:$J$1001,0),MATCH(COLUMNS($Q$1006:R1006),$Q$1006:$U$1006,0)), HYPERLINK("#",""), HYPERLINK(CONCATENATE("#metadata!", ADDRESS(INDEX($L$2:$L$1001,MATCH(ROWS($J$2:J603),$J$2:$J$1001,0),0), INDEX($Q$1004:$U$1004,1,MATCH(COLUMNS($Q$1006:R1006),$Q$1006:$U$1006,0)))),"Fix")))</f>
        <v xml:space="preserve"> </v>
      </c>
      <c r="D603" s="3" t="str">
        <f ca="1">IF(OR(INDEX($K$2:$K$1001,MATCH(ROWS($J$2:J603),$J$2:$J$1001,0),1)&gt;=100000,INDEX($Q$1005:$U$1005,1,MATCH(COLUMNS($Q$1006:S1006),$Q$1006:$U$1006,0))&gt;=100000), " ",IF(INDEX($Q$2:$U$1001,MATCH(ROWS($J$2:J603),$J$2:$J$1001,0),MATCH(COLUMNS($Q$1006:S1006),$Q$1006:$U$1006,0)), HYPERLINK("#",""), HYPERLINK(CONCATENATE("#metadata!", ADDRESS(INDEX($L$2:$L$1001,MATCH(ROWS($J$2:J603),$J$2:$J$1001,0),0), INDEX($Q$1004:$U$1004,1,MATCH(COLUMNS($Q$1006:S1006),$Q$1006:$U$1006,0)))),"Fix")))</f>
        <v xml:space="preserve"> </v>
      </c>
      <c r="E603" s="3" t="str">
        <f ca="1">IF(OR(INDEX($K$2:$K$1001,MATCH(ROWS($J$2:J603),$J$2:$J$1001,0),1)&gt;=100000,INDEX($Q$1005:$U$1005,1,MATCH(COLUMNS($Q$1006:T1006),$Q$1006:$U$1006,0))&gt;=100000), " ",IF(INDEX($Q$2:$U$1001,MATCH(ROWS($J$2:J603),$J$2:$J$1001,0),MATCH(COLUMNS($Q$1006:T1006),$Q$1006:$U$1006,0)), HYPERLINK("#",""), HYPERLINK(CONCATENATE("#metadata!", ADDRESS(INDEX($L$2:$L$1001,MATCH(ROWS($J$2:J603),$J$2:$J$1001,0),0), INDEX($Q$1004:$U$1004,1,MATCH(COLUMNS($Q$1006:T1006),$Q$1006:$U$1006,0)))),"Fix")))</f>
        <v xml:space="preserve"> </v>
      </c>
      <c r="F603" s="3" t="str">
        <f ca="1">IF(OR(INDEX($K$2:$K$1001,MATCH(ROWS($J$2:J603),$J$2:$J$1001,0),1)&gt;=100000,INDEX($Q$1005:$U$1005,1,MATCH(COLUMNS($Q$1006:U1006),$Q$1006:$U$1006,0))&gt;=100000), " ",IF(INDEX($Q$2:$U$1001,MATCH(ROWS($J$2:J603),$J$2:$J$1001,0),MATCH(COLUMNS($Q$1006:U1006),$Q$1006:$U$1006,0)), HYPERLINK("#",""), HYPERLINK(CONCATENATE("#metadata!", ADDRESS(INDEX($L$2:$L$1001,MATCH(ROWS($J$2:J603),$J$2:$J$1001,0),0), INDEX($Q$1004:$U$1004,1,MATCH(COLUMNS($Q$1006:U1006),$Q$1006:$U$1006,0)))),"Fix")))</f>
        <v xml:space="preserve"> </v>
      </c>
      <c r="J603">
        <v>602</v>
      </c>
      <c r="K603">
        <v>100603</v>
      </c>
      <c r="L603">
        <v>603</v>
      </c>
      <c r="M603" t="b">
        <f t="shared" si="9"/>
        <v>1</v>
      </c>
      <c r="N603" t="b">
        <f>COUNTBLANK(metadata!B603:F603)=COLUMNS(metadata!B603:F603)</f>
        <v>1</v>
      </c>
      <c r="O603" t="str">
        <v/>
      </c>
      <c r="Q603" t="b">
        <f ca="1">AND(IF(metadata!B603="",FALSE,TRUE),COUNTIF(metadata!B:B, metadata!B603) = 1,NOT(ISERROR(SUMPRODUCT(SEARCH(MID(metadata!B603,ROW(INDIRECT("1:"&amp;LEN(metadata!B603))), 1),"0123456789abcdefghijklmnopqrstuvwxyzABCDEFGHIJKLMNOPQRSTUVWXYZ.")))))</f>
        <v>0</v>
      </c>
      <c r="R603" t="b">
        <f>AND(IF(metadata!C603="",FALSE,TRUE),OR(EXACT(metadata!C603,"saline"),EXACT(metadata!C603,"non-saline")))</f>
        <v>0</v>
      </c>
      <c r="S603" t="b">
        <f>AND(IF(metadata!D603="",FALSE,TRUE),OR(EXACT(metadata!D603,"surface (non-saline)"),EXACT(metadata!D603,"aerosol (non-saline)"),EXACT(metadata!D603,"sediment (non-saline)"),EXACT(metadata!D603,"surface (saline)"),EXACT(metadata!D603,"aerosol (saline)"),EXACT(metadata!D603,"sediment (saline)")))</f>
        <v>0</v>
      </c>
      <c r="T603" t="b">
        <f>AND(IF(metadata!E603="",FALSE,TRUE),EXACT(metadata!E603,"built environment"))</f>
        <v>0</v>
      </c>
      <c r="U603" t="b">
        <f>OR(AND(IF(metadata!F603="",FALSE,TRUE),EXACT(metadata!F603,"not applicable")),AND(IF(metadata!F603="",FALSE,TRUE),EXACT(metadata!F603,"anaerobic digester content")))</f>
        <v>0</v>
      </c>
    </row>
    <row r="604" spans="1:21" x14ac:dyDescent="0.2">
      <c r="A604" s="4" t="str">
        <f ca="1">IF(B604=" "," ",HYPERLINK(CONCATENATE("#metadata!",ADDRESS(INDEX($L$2:$L$1001,MATCH(ROWS($J$2:J604),$J$2:$J$1001,0),0),1)),INDEX($O$2:$O$1001,MATCH(ROWS($J$2:J604),$J$2:$J$1001,0),0)))</f>
        <v xml:space="preserve"> </v>
      </c>
      <c r="B604" s="3" t="str">
        <f ca="1">IF(OR(INDEX($K$2:$K$1001,MATCH(ROWS($J$2:J604),$J$2:$J$1001,0),1)&gt;=100000,INDEX($Q$1005:$U$1005,1,MATCH(COLUMNS($Q$1006:Q1006),$Q$1006:$U$1006,0))&gt;=100000), " ",IF(INDEX($Q$2:$U$1001,MATCH(ROWS($J$2:J604),$J$2:$J$1001,0),MATCH(COLUMNS($Q$1006:Q1006),$Q$1006:$U$1006,0)), HYPERLINK("#",""), HYPERLINK(CONCATENATE("#metadata!", ADDRESS(INDEX($L$2:$L$1001,MATCH(ROWS($J$2:J604),$J$2:$J$1001,0),0), INDEX($Q$1004:$U$1004,1,MATCH(COLUMNS($Q$1006:Q1006),$Q$1006:$U$1006,0)))),"Fix")))</f>
        <v xml:space="preserve"> </v>
      </c>
      <c r="C604" s="3" t="str">
        <f ca="1">IF(OR(INDEX($K$2:$K$1001,MATCH(ROWS($J$2:J604),$J$2:$J$1001,0),1)&gt;=100000,INDEX($Q$1005:$U$1005,1,MATCH(COLUMNS($Q$1006:R1006),$Q$1006:$U$1006,0))&gt;=100000), " ",IF(INDEX($Q$2:$U$1001,MATCH(ROWS($J$2:J604),$J$2:$J$1001,0),MATCH(COLUMNS($Q$1006:R1006),$Q$1006:$U$1006,0)), HYPERLINK("#",""), HYPERLINK(CONCATENATE("#metadata!", ADDRESS(INDEX($L$2:$L$1001,MATCH(ROWS($J$2:J604),$J$2:$J$1001,0),0), INDEX($Q$1004:$U$1004,1,MATCH(COLUMNS($Q$1006:R1006),$Q$1006:$U$1006,0)))),"Fix")))</f>
        <v xml:space="preserve"> </v>
      </c>
      <c r="D604" s="3" t="str">
        <f ca="1">IF(OR(INDEX($K$2:$K$1001,MATCH(ROWS($J$2:J604),$J$2:$J$1001,0),1)&gt;=100000,INDEX($Q$1005:$U$1005,1,MATCH(COLUMNS($Q$1006:S1006),$Q$1006:$U$1006,0))&gt;=100000), " ",IF(INDEX($Q$2:$U$1001,MATCH(ROWS($J$2:J604),$J$2:$J$1001,0),MATCH(COLUMNS($Q$1006:S1006),$Q$1006:$U$1006,0)), HYPERLINK("#",""), HYPERLINK(CONCATENATE("#metadata!", ADDRESS(INDEX($L$2:$L$1001,MATCH(ROWS($J$2:J604),$J$2:$J$1001,0),0), INDEX($Q$1004:$U$1004,1,MATCH(COLUMNS($Q$1006:S1006),$Q$1006:$U$1006,0)))),"Fix")))</f>
        <v xml:space="preserve"> </v>
      </c>
      <c r="E604" s="3" t="str">
        <f ca="1">IF(OR(INDEX($K$2:$K$1001,MATCH(ROWS($J$2:J604),$J$2:$J$1001,0),1)&gt;=100000,INDEX($Q$1005:$U$1005,1,MATCH(COLUMNS($Q$1006:T1006),$Q$1006:$U$1006,0))&gt;=100000), " ",IF(INDEX($Q$2:$U$1001,MATCH(ROWS($J$2:J604),$J$2:$J$1001,0),MATCH(COLUMNS($Q$1006:T1006),$Q$1006:$U$1006,0)), HYPERLINK("#",""), HYPERLINK(CONCATENATE("#metadata!", ADDRESS(INDEX($L$2:$L$1001,MATCH(ROWS($J$2:J604),$J$2:$J$1001,0),0), INDEX($Q$1004:$U$1004,1,MATCH(COLUMNS($Q$1006:T1006),$Q$1006:$U$1006,0)))),"Fix")))</f>
        <v xml:space="preserve"> </v>
      </c>
      <c r="F604" s="3" t="str">
        <f ca="1">IF(OR(INDEX($K$2:$K$1001,MATCH(ROWS($J$2:J604),$J$2:$J$1001,0),1)&gt;=100000,INDEX($Q$1005:$U$1005,1,MATCH(COLUMNS($Q$1006:U1006),$Q$1006:$U$1006,0))&gt;=100000), " ",IF(INDEX($Q$2:$U$1001,MATCH(ROWS($J$2:J604),$J$2:$J$1001,0),MATCH(COLUMNS($Q$1006:U1006),$Q$1006:$U$1006,0)), HYPERLINK("#",""), HYPERLINK(CONCATENATE("#metadata!", ADDRESS(INDEX($L$2:$L$1001,MATCH(ROWS($J$2:J604),$J$2:$J$1001,0),0), INDEX($Q$1004:$U$1004,1,MATCH(COLUMNS($Q$1006:U1006),$Q$1006:$U$1006,0)))),"Fix")))</f>
        <v xml:space="preserve"> </v>
      </c>
      <c r="J604">
        <v>603</v>
      </c>
      <c r="K604">
        <v>100604</v>
      </c>
      <c r="L604">
        <v>604</v>
      </c>
      <c r="M604" t="b">
        <f t="shared" si="9"/>
        <v>1</v>
      </c>
      <c r="N604" t="b">
        <f>COUNTBLANK(metadata!B604:F604)=COLUMNS(metadata!B604:F604)</f>
        <v>1</v>
      </c>
      <c r="O604" t="str">
        <v/>
      </c>
      <c r="Q604" t="b">
        <f ca="1">AND(IF(metadata!B604="",FALSE,TRUE),COUNTIF(metadata!B:B, metadata!B604) = 1,NOT(ISERROR(SUMPRODUCT(SEARCH(MID(metadata!B604,ROW(INDIRECT("1:"&amp;LEN(metadata!B604))), 1),"0123456789abcdefghijklmnopqrstuvwxyzABCDEFGHIJKLMNOPQRSTUVWXYZ.")))))</f>
        <v>0</v>
      </c>
      <c r="R604" t="b">
        <f>AND(IF(metadata!C604="",FALSE,TRUE),OR(EXACT(metadata!C604,"saline"),EXACT(metadata!C604,"non-saline")))</f>
        <v>0</v>
      </c>
      <c r="S604" t="b">
        <f>AND(IF(metadata!D604="",FALSE,TRUE),OR(EXACT(metadata!D604,"surface (non-saline)"),EXACT(metadata!D604,"aerosol (non-saline)"),EXACT(metadata!D604,"sediment (non-saline)"),EXACT(metadata!D604,"surface (saline)"),EXACT(metadata!D604,"aerosol (saline)"),EXACT(metadata!D604,"sediment (saline)")))</f>
        <v>0</v>
      </c>
      <c r="T604" t="b">
        <f>AND(IF(metadata!E604="",FALSE,TRUE),EXACT(metadata!E604,"built environment"))</f>
        <v>0</v>
      </c>
      <c r="U604" t="b">
        <f>OR(AND(IF(metadata!F604="",FALSE,TRUE),EXACT(metadata!F604,"not applicable")),AND(IF(metadata!F604="",FALSE,TRUE),EXACT(metadata!F604,"anaerobic digester content")))</f>
        <v>0</v>
      </c>
    </row>
    <row r="605" spans="1:21" x14ac:dyDescent="0.2">
      <c r="A605" s="4" t="str">
        <f ca="1">IF(B605=" "," ",HYPERLINK(CONCATENATE("#metadata!",ADDRESS(INDEX($L$2:$L$1001,MATCH(ROWS($J$2:J605),$J$2:$J$1001,0),0),1)),INDEX($O$2:$O$1001,MATCH(ROWS($J$2:J605),$J$2:$J$1001,0),0)))</f>
        <v xml:space="preserve"> </v>
      </c>
      <c r="B605" s="3" t="str">
        <f ca="1">IF(OR(INDEX($K$2:$K$1001,MATCH(ROWS($J$2:J605),$J$2:$J$1001,0),1)&gt;=100000,INDEX($Q$1005:$U$1005,1,MATCH(COLUMNS($Q$1006:Q1006),$Q$1006:$U$1006,0))&gt;=100000), " ",IF(INDEX($Q$2:$U$1001,MATCH(ROWS($J$2:J605),$J$2:$J$1001,0),MATCH(COLUMNS($Q$1006:Q1006),$Q$1006:$U$1006,0)), HYPERLINK("#",""), HYPERLINK(CONCATENATE("#metadata!", ADDRESS(INDEX($L$2:$L$1001,MATCH(ROWS($J$2:J605),$J$2:$J$1001,0),0), INDEX($Q$1004:$U$1004,1,MATCH(COLUMNS($Q$1006:Q1006),$Q$1006:$U$1006,0)))),"Fix")))</f>
        <v xml:space="preserve"> </v>
      </c>
      <c r="C605" s="3" t="str">
        <f ca="1">IF(OR(INDEX($K$2:$K$1001,MATCH(ROWS($J$2:J605),$J$2:$J$1001,0),1)&gt;=100000,INDEX($Q$1005:$U$1005,1,MATCH(COLUMNS($Q$1006:R1006),$Q$1006:$U$1006,0))&gt;=100000), " ",IF(INDEX($Q$2:$U$1001,MATCH(ROWS($J$2:J605),$J$2:$J$1001,0),MATCH(COLUMNS($Q$1006:R1006),$Q$1006:$U$1006,0)), HYPERLINK("#",""), HYPERLINK(CONCATENATE("#metadata!", ADDRESS(INDEX($L$2:$L$1001,MATCH(ROWS($J$2:J605),$J$2:$J$1001,0),0), INDEX($Q$1004:$U$1004,1,MATCH(COLUMNS($Q$1006:R1006),$Q$1006:$U$1006,0)))),"Fix")))</f>
        <v xml:space="preserve"> </v>
      </c>
      <c r="D605" s="3" t="str">
        <f ca="1">IF(OR(INDEX($K$2:$K$1001,MATCH(ROWS($J$2:J605),$J$2:$J$1001,0),1)&gt;=100000,INDEX($Q$1005:$U$1005,1,MATCH(COLUMNS($Q$1006:S1006),$Q$1006:$U$1006,0))&gt;=100000), " ",IF(INDEX($Q$2:$U$1001,MATCH(ROWS($J$2:J605),$J$2:$J$1001,0),MATCH(COLUMNS($Q$1006:S1006),$Q$1006:$U$1006,0)), HYPERLINK("#",""), HYPERLINK(CONCATENATE("#metadata!", ADDRESS(INDEX($L$2:$L$1001,MATCH(ROWS($J$2:J605),$J$2:$J$1001,0),0), INDEX($Q$1004:$U$1004,1,MATCH(COLUMNS($Q$1006:S1006),$Q$1006:$U$1006,0)))),"Fix")))</f>
        <v xml:space="preserve"> </v>
      </c>
      <c r="E605" s="3" t="str">
        <f ca="1">IF(OR(INDEX($K$2:$K$1001,MATCH(ROWS($J$2:J605),$J$2:$J$1001,0),1)&gt;=100000,INDEX($Q$1005:$U$1005,1,MATCH(COLUMNS($Q$1006:T1006),$Q$1006:$U$1006,0))&gt;=100000), " ",IF(INDEX($Q$2:$U$1001,MATCH(ROWS($J$2:J605),$J$2:$J$1001,0),MATCH(COLUMNS($Q$1006:T1006),$Q$1006:$U$1006,0)), HYPERLINK("#",""), HYPERLINK(CONCATENATE("#metadata!", ADDRESS(INDEX($L$2:$L$1001,MATCH(ROWS($J$2:J605),$J$2:$J$1001,0),0), INDEX($Q$1004:$U$1004,1,MATCH(COLUMNS($Q$1006:T1006),$Q$1006:$U$1006,0)))),"Fix")))</f>
        <v xml:space="preserve"> </v>
      </c>
      <c r="F605" s="3" t="str">
        <f ca="1">IF(OR(INDEX($K$2:$K$1001,MATCH(ROWS($J$2:J605),$J$2:$J$1001,0),1)&gt;=100000,INDEX($Q$1005:$U$1005,1,MATCH(COLUMNS($Q$1006:U1006),$Q$1006:$U$1006,0))&gt;=100000), " ",IF(INDEX($Q$2:$U$1001,MATCH(ROWS($J$2:J605),$J$2:$J$1001,0),MATCH(COLUMNS($Q$1006:U1006),$Q$1006:$U$1006,0)), HYPERLINK("#",""), HYPERLINK(CONCATENATE("#metadata!", ADDRESS(INDEX($L$2:$L$1001,MATCH(ROWS($J$2:J605),$J$2:$J$1001,0),0), INDEX($Q$1004:$U$1004,1,MATCH(COLUMNS($Q$1006:U1006),$Q$1006:$U$1006,0)))),"Fix")))</f>
        <v xml:space="preserve"> </v>
      </c>
      <c r="J605">
        <v>604</v>
      </c>
      <c r="K605">
        <v>100605</v>
      </c>
      <c r="L605">
        <v>605</v>
      </c>
      <c r="M605" t="b">
        <f t="shared" si="9"/>
        <v>1</v>
      </c>
      <c r="N605" t="b">
        <f>COUNTBLANK(metadata!B605:F605)=COLUMNS(metadata!B605:F605)</f>
        <v>1</v>
      </c>
      <c r="O605" t="str">
        <v/>
      </c>
      <c r="Q605" t="b">
        <f ca="1">AND(IF(metadata!B605="",FALSE,TRUE),COUNTIF(metadata!B:B, metadata!B605) = 1,NOT(ISERROR(SUMPRODUCT(SEARCH(MID(metadata!B605,ROW(INDIRECT("1:"&amp;LEN(metadata!B605))), 1),"0123456789abcdefghijklmnopqrstuvwxyzABCDEFGHIJKLMNOPQRSTUVWXYZ.")))))</f>
        <v>0</v>
      </c>
      <c r="R605" t="b">
        <f>AND(IF(metadata!C605="",FALSE,TRUE),OR(EXACT(metadata!C605,"saline"),EXACT(metadata!C605,"non-saline")))</f>
        <v>0</v>
      </c>
      <c r="S605" t="b">
        <f>AND(IF(metadata!D605="",FALSE,TRUE),OR(EXACT(metadata!D605,"surface (non-saline)"),EXACT(metadata!D605,"aerosol (non-saline)"),EXACT(metadata!D605,"sediment (non-saline)"),EXACT(metadata!D605,"surface (saline)"),EXACT(metadata!D605,"aerosol (saline)"),EXACT(metadata!D605,"sediment (saline)")))</f>
        <v>0</v>
      </c>
      <c r="T605" t="b">
        <f>AND(IF(metadata!E605="",FALSE,TRUE),EXACT(metadata!E605,"built environment"))</f>
        <v>0</v>
      </c>
      <c r="U605" t="b">
        <f>OR(AND(IF(metadata!F605="",FALSE,TRUE),EXACT(metadata!F605,"not applicable")),AND(IF(metadata!F605="",FALSE,TRUE),EXACT(metadata!F605,"anaerobic digester content")))</f>
        <v>0</v>
      </c>
    </row>
    <row r="606" spans="1:21" x14ac:dyDescent="0.2">
      <c r="A606" s="4" t="str">
        <f ca="1">IF(B606=" "," ",HYPERLINK(CONCATENATE("#metadata!",ADDRESS(INDEX($L$2:$L$1001,MATCH(ROWS($J$2:J606),$J$2:$J$1001,0),0),1)),INDEX($O$2:$O$1001,MATCH(ROWS($J$2:J606),$J$2:$J$1001,0),0)))</f>
        <v xml:space="preserve"> </v>
      </c>
      <c r="B606" s="3" t="str">
        <f ca="1">IF(OR(INDEX($K$2:$K$1001,MATCH(ROWS($J$2:J606),$J$2:$J$1001,0),1)&gt;=100000,INDEX($Q$1005:$U$1005,1,MATCH(COLUMNS($Q$1006:Q1006),$Q$1006:$U$1006,0))&gt;=100000), " ",IF(INDEX($Q$2:$U$1001,MATCH(ROWS($J$2:J606),$J$2:$J$1001,0),MATCH(COLUMNS($Q$1006:Q1006),$Q$1006:$U$1006,0)), HYPERLINK("#",""), HYPERLINK(CONCATENATE("#metadata!", ADDRESS(INDEX($L$2:$L$1001,MATCH(ROWS($J$2:J606),$J$2:$J$1001,0),0), INDEX($Q$1004:$U$1004,1,MATCH(COLUMNS($Q$1006:Q1006),$Q$1006:$U$1006,0)))),"Fix")))</f>
        <v xml:space="preserve"> </v>
      </c>
      <c r="C606" s="3" t="str">
        <f ca="1">IF(OR(INDEX($K$2:$K$1001,MATCH(ROWS($J$2:J606),$J$2:$J$1001,0),1)&gt;=100000,INDEX($Q$1005:$U$1005,1,MATCH(COLUMNS($Q$1006:R1006),$Q$1006:$U$1006,0))&gt;=100000), " ",IF(INDEX($Q$2:$U$1001,MATCH(ROWS($J$2:J606),$J$2:$J$1001,0),MATCH(COLUMNS($Q$1006:R1006),$Q$1006:$U$1006,0)), HYPERLINK("#",""), HYPERLINK(CONCATENATE("#metadata!", ADDRESS(INDEX($L$2:$L$1001,MATCH(ROWS($J$2:J606),$J$2:$J$1001,0),0), INDEX($Q$1004:$U$1004,1,MATCH(COLUMNS($Q$1006:R1006),$Q$1006:$U$1006,0)))),"Fix")))</f>
        <v xml:space="preserve"> </v>
      </c>
      <c r="D606" s="3" t="str">
        <f ca="1">IF(OR(INDEX($K$2:$K$1001,MATCH(ROWS($J$2:J606),$J$2:$J$1001,0),1)&gt;=100000,INDEX($Q$1005:$U$1005,1,MATCH(COLUMNS($Q$1006:S1006),$Q$1006:$U$1006,0))&gt;=100000), " ",IF(INDEX($Q$2:$U$1001,MATCH(ROWS($J$2:J606),$J$2:$J$1001,0),MATCH(COLUMNS($Q$1006:S1006),$Q$1006:$U$1006,0)), HYPERLINK("#",""), HYPERLINK(CONCATENATE("#metadata!", ADDRESS(INDEX($L$2:$L$1001,MATCH(ROWS($J$2:J606),$J$2:$J$1001,0),0), INDEX($Q$1004:$U$1004,1,MATCH(COLUMNS($Q$1006:S1006),$Q$1006:$U$1006,0)))),"Fix")))</f>
        <v xml:space="preserve"> </v>
      </c>
      <c r="E606" s="3" t="str">
        <f ca="1">IF(OR(INDEX($K$2:$K$1001,MATCH(ROWS($J$2:J606),$J$2:$J$1001,0),1)&gt;=100000,INDEX($Q$1005:$U$1005,1,MATCH(COLUMNS($Q$1006:T1006),$Q$1006:$U$1006,0))&gt;=100000), " ",IF(INDEX($Q$2:$U$1001,MATCH(ROWS($J$2:J606),$J$2:$J$1001,0),MATCH(COLUMNS($Q$1006:T1006),$Q$1006:$U$1006,0)), HYPERLINK("#",""), HYPERLINK(CONCATENATE("#metadata!", ADDRESS(INDEX($L$2:$L$1001,MATCH(ROWS($J$2:J606),$J$2:$J$1001,0),0), INDEX($Q$1004:$U$1004,1,MATCH(COLUMNS($Q$1006:T1006),$Q$1006:$U$1006,0)))),"Fix")))</f>
        <v xml:space="preserve"> </v>
      </c>
      <c r="F606" s="3" t="str">
        <f ca="1">IF(OR(INDEX($K$2:$K$1001,MATCH(ROWS($J$2:J606),$J$2:$J$1001,0),1)&gt;=100000,INDEX($Q$1005:$U$1005,1,MATCH(COLUMNS($Q$1006:U1006),$Q$1006:$U$1006,0))&gt;=100000), " ",IF(INDEX($Q$2:$U$1001,MATCH(ROWS($J$2:J606),$J$2:$J$1001,0),MATCH(COLUMNS($Q$1006:U1006),$Q$1006:$U$1006,0)), HYPERLINK("#",""), HYPERLINK(CONCATENATE("#metadata!", ADDRESS(INDEX($L$2:$L$1001,MATCH(ROWS($J$2:J606),$J$2:$J$1001,0),0), INDEX($Q$1004:$U$1004,1,MATCH(COLUMNS($Q$1006:U1006),$Q$1006:$U$1006,0)))),"Fix")))</f>
        <v xml:space="preserve"> </v>
      </c>
      <c r="J606">
        <v>605</v>
      </c>
      <c r="K606">
        <v>100606</v>
      </c>
      <c r="L606">
        <v>606</v>
      </c>
      <c r="M606" t="b">
        <f t="shared" si="9"/>
        <v>1</v>
      </c>
      <c r="N606" t="b">
        <f>COUNTBLANK(metadata!B606:F606)=COLUMNS(metadata!B606:F606)</f>
        <v>1</v>
      </c>
      <c r="O606" t="str">
        <v/>
      </c>
      <c r="Q606" t="b">
        <f ca="1">AND(IF(metadata!B606="",FALSE,TRUE),COUNTIF(metadata!B:B, metadata!B606) = 1,NOT(ISERROR(SUMPRODUCT(SEARCH(MID(metadata!B606,ROW(INDIRECT("1:"&amp;LEN(metadata!B606))), 1),"0123456789abcdefghijklmnopqrstuvwxyzABCDEFGHIJKLMNOPQRSTUVWXYZ.")))))</f>
        <v>0</v>
      </c>
      <c r="R606" t="b">
        <f>AND(IF(metadata!C606="",FALSE,TRUE),OR(EXACT(metadata!C606,"saline"),EXACT(metadata!C606,"non-saline")))</f>
        <v>0</v>
      </c>
      <c r="S606" t="b">
        <f>AND(IF(metadata!D606="",FALSE,TRUE),OR(EXACT(metadata!D606,"surface (non-saline)"),EXACT(metadata!D606,"aerosol (non-saline)"),EXACT(metadata!D606,"sediment (non-saline)"),EXACT(metadata!D606,"surface (saline)"),EXACT(metadata!D606,"aerosol (saline)"),EXACT(metadata!D606,"sediment (saline)")))</f>
        <v>0</v>
      </c>
      <c r="T606" t="b">
        <f>AND(IF(metadata!E606="",FALSE,TRUE),EXACT(metadata!E606,"built environment"))</f>
        <v>0</v>
      </c>
      <c r="U606" t="b">
        <f>OR(AND(IF(metadata!F606="",FALSE,TRUE),EXACT(metadata!F606,"not applicable")),AND(IF(metadata!F606="",FALSE,TRUE),EXACT(metadata!F606,"anaerobic digester content")))</f>
        <v>0</v>
      </c>
    </row>
    <row r="607" spans="1:21" x14ac:dyDescent="0.2">
      <c r="A607" s="4" t="str">
        <f ca="1">IF(B607=" "," ",HYPERLINK(CONCATENATE("#metadata!",ADDRESS(INDEX($L$2:$L$1001,MATCH(ROWS($J$2:J607),$J$2:$J$1001,0),0),1)),INDEX($O$2:$O$1001,MATCH(ROWS($J$2:J607),$J$2:$J$1001,0),0)))</f>
        <v xml:space="preserve"> </v>
      </c>
      <c r="B607" s="3" t="str">
        <f ca="1">IF(OR(INDEX($K$2:$K$1001,MATCH(ROWS($J$2:J607),$J$2:$J$1001,0),1)&gt;=100000,INDEX($Q$1005:$U$1005,1,MATCH(COLUMNS($Q$1006:Q1006),$Q$1006:$U$1006,0))&gt;=100000), " ",IF(INDEX($Q$2:$U$1001,MATCH(ROWS($J$2:J607),$J$2:$J$1001,0),MATCH(COLUMNS($Q$1006:Q1006),$Q$1006:$U$1006,0)), HYPERLINK("#",""), HYPERLINK(CONCATENATE("#metadata!", ADDRESS(INDEX($L$2:$L$1001,MATCH(ROWS($J$2:J607),$J$2:$J$1001,0),0), INDEX($Q$1004:$U$1004,1,MATCH(COLUMNS($Q$1006:Q1006),$Q$1006:$U$1006,0)))),"Fix")))</f>
        <v xml:space="preserve"> </v>
      </c>
      <c r="C607" s="3" t="str">
        <f ca="1">IF(OR(INDEX($K$2:$K$1001,MATCH(ROWS($J$2:J607),$J$2:$J$1001,0),1)&gt;=100000,INDEX($Q$1005:$U$1005,1,MATCH(COLUMNS($Q$1006:R1006),$Q$1006:$U$1006,0))&gt;=100000), " ",IF(INDEX($Q$2:$U$1001,MATCH(ROWS($J$2:J607),$J$2:$J$1001,0),MATCH(COLUMNS($Q$1006:R1006),$Q$1006:$U$1006,0)), HYPERLINK("#",""), HYPERLINK(CONCATENATE("#metadata!", ADDRESS(INDEX($L$2:$L$1001,MATCH(ROWS($J$2:J607),$J$2:$J$1001,0),0), INDEX($Q$1004:$U$1004,1,MATCH(COLUMNS($Q$1006:R1006),$Q$1006:$U$1006,0)))),"Fix")))</f>
        <v xml:space="preserve"> </v>
      </c>
      <c r="D607" s="3" t="str">
        <f ca="1">IF(OR(INDEX($K$2:$K$1001,MATCH(ROWS($J$2:J607),$J$2:$J$1001,0),1)&gt;=100000,INDEX($Q$1005:$U$1005,1,MATCH(COLUMNS($Q$1006:S1006),$Q$1006:$U$1006,0))&gt;=100000), " ",IF(INDEX($Q$2:$U$1001,MATCH(ROWS($J$2:J607),$J$2:$J$1001,0),MATCH(COLUMNS($Q$1006:S1006),$Q$1006:$U$1006,0)), HYPERLINK("#",""), HYPERLINK(CONCATENATE("#metadata!", ADDRESS(INDEX($L$2:$L$1001,MATCH(ROWS($J$2:J607),$J$2:$J$1001,0),0), INDEX($Q$1004:$U$1004,1,MATCH(COLUMNS($Q$1006:S1006),$Q$1006:$U$1006,0)))),"Fix")))</f>
        <v xml:space="preserve"> </v>
      </c>
      <c r="E607" s="3" t="str">
        <f ca="1">IF(OR(INDEX($K$2:$K$1001,MATCH(ROWS($J$2:J607),$J$2:$J$1001,0),1)&gt;=100000,INDEX($Q$1005:$U$1005,1,MATCH(COLUMNS($Q$1006:T1006),$Q$1006:$U$1006,0))&gt;=100000), " ",IF(INDEX($Q$2:$U$1001,MATCH(ROWS($J$2:J607),$J$2:$J$1001,0),MATCH(COLUMNS($Q$1006:T1006),$Q$1006:$U$1006,0)), HYPERLINK("#",""), HYPERLINK(CONCATENATE("#metadata!", ADDRESS(INDEX($L$2:$L$1001,MATCH(ROWS($J$2:J607),$J$2:$J$1001,0),0), INDEX($Q$1004:$U$1004,1,MATCH(COLUMNS($Q$1006:T1006),$Q$1006:$U$1006,0)))),"Fix")))</f>
        <v xml:space="preserve"> </v>
      </c>
      <c r="F607" s="3" t="str">
        <f ca="1">IF(OR(INDEX($K$2:$K$1001,MATCH(ROWS($J$2:J607),$J$2:$J$1001,0),1)&gt;=100000,INDEX($Q$1005:$U$1005,1,MATCH(COLUMNS($Q$1006:U1006),$Q$1006:$U$1006,0))&gt;=100000), " ",IF(INDEX($Q$2:$U$1001,MATCH(ROWS($J$2:J607),$J$2:$J$1001,0),MATCH(COLUMNS($Q$1006:U1006),$Q$1006:$U$1006,0)), HYPERLINK("#",""), HYPERLINK(CONCATENATE("#metadata!", ADDRESS(INDEX($L$2:$L$1001,MATCH(ROWS($J$2:J607),$J$2:$J$1001,0),0), INDEX($Q$1004:$U$1004,1,MATCH(COLUMNS($Q$1006:U1006),$Q$1006:$U$1006,0)))),"Fix")))</f>
        <v xml:space="preserve"> </v>
      </c>
      <c r="J607">
        <v>606</v>
      </c>
      <c r="K607">
        <v>100607</v>
      </c>
      <c r="L607">
        <v>607</v>
      </c>
      <c r="M607" t="b">
        <f t="shared" si="9"/>
        <v>1</v>
      </c>
      <c r="N607" t="b">
        <f>COUNTBLANK(metadata!B607:F607)=COLUMNS(metadata!B607:F607)</f>
        <v>1</v>
      </c>
      <c r="O607" t="str">
        <v/>
      </c>
      <c r="Q607" t="b">
        <f ca="1">AND(IF(metadata!B607="",FALSE,TRUE),COUNTIF(metadata!B:B, metadata!B607) = 1,NOT(ISERROR(SUMPRODUCT(SEARCH(MID(metadata!B607,ROW(INDIRECT("1:"&amp;LEN(metadata!B607))), 1),"0123456789abcdefghijklmnopqrstuvwxyzABCDEFGHIJKLMNOPQRSTUVWXYZ.")))))</f>
        <v>0</v>
      </c>
      <c r="R607" t="b">
        <f>AND(IF(metadata!C607="",FALSE,TRUE),OR(EXACT(metadata!C607,"saline"),EXACT(metadata!C607,"non-saline")))</f>
        <v>0</v>
      </c>
      <c r="S607" t="b">
        <f>AND(IF(metadata!D607="",FALSE,TRUE),OR(EXACT(metadata!D607,"surface (non-saline)"),EXACT(metadata!D607,"aerosol (non-saline)"),EXACT(metadata!D607,"sediment (non-saline)"),EXACT(metadata!D607,"surface (saline)"),EXACT(metadata!D607,"aerosol (saline)"),EXACT(metadata!D607,"sediment (saline)")))</f>
        <v>0</v>
      </c>
      <c r="T607" t="b">
        <f>AND(IF(metadata!E607="",FALSE,TRUE),EXACT(metadata!E607,"built environment"))</f>
        <v>0</v>
      </c>
      <c r="U607" t="b">
        <f>OR(AND(IF(metadata!F607="",FALSE,TRUE),EXACT(metadata!F607,"not applicable")),AND(IF(metadata!F607="",FALSE,TRUE),EXACT(metadata!F607,"anaerobic digester content")))</f>
        <v>0</v>
      </c>
    </row>
    <row r="608" spans="1:21" x14ac:dyDescent="0.2">
      <c r="A608" s="4" t="str">
        <f ca="1">IF(B608=" "," ",HYPERLINK(CONCATENATE("#metadata!",ADDRESS(INDEX($L$2:$L$1001,MATCH(ROWS($J$2:J608),$J$2:$J$1001,0),0),1)),INDEX($O$2:$O$1001,MATCH(ROWS($J$2:J608),$J$2:$J$1001,0),0)))</f>
        <v xml:space="preserve"> </v>
      </c>
      <c r="B608" s="3" t="str">
        <f ca="1">IF(OR(INDEX($K$2:$K$1001,MATCH(ROWS($J$2:J608),$J$2:$J$1001,0),1)&gt;=100000,INDEX($Q$1005:$U$1005,1,MATCH(COLUMNS($Q$1006:Q1006),$Q$1006:$U$1006,0))&gt;=100000), " ",IF(INDEX($Q$2:$U$1001,MATCH(ROWS($J$2:J608),$J$2:$J$1001,0),MATCH(COLUMNS($Q$1006:Q1006),$Q$1006:$U$1006,0)), HYPERLINK("#",""), HYPERLINK(CONCATENATE("#metadata!", ADDRESS(INDEX($L$2:$L$1001,MATCH(ROWS($J$2:J608),$J$2:$J$1001,0),0), INDEX($Q$1004:$U$1004,1,MATCH(COLUMNS($Q$1006:Q1006),$Q$1006:$U$1006,0)))),"Fix")))</f>
        <v xml:space="preserve"> </v>
      </c>
      <c r="C608" s="3" t="str">
        <f ca="1">IF(OR(INDEX($K$2:$K$1001,MATCH(ROWS($J$2:J608),$J$2:$J$1001,0),1)&gt;=100000,INDEX($Q$1005:$U$1005,1,MATCH(COLUMNS($Q$1006:R1006),$Q$1006:$U$1006,0))&gt;=100000), " ",IF(INDEX($Q$2:$U$1001,MATCH(ROWS($J$2:J608),$J$2:$J$1001,0),MATCH(COLUMNS($Q$1006:R1006),$Q$1006:$U$1006,0)), HYPERLINK("#",""), HYPERLINK(CONCATENATE("#metadata!", ADDRESS(INDEX($L$2:$L$1001,MATCH(ROWS($J$2:J608),$J$2:$J$1001,0),0), INDEX($Q$1004:$U$1004,1,MATCH(COLUMNS($Q$1006:R1006),$Q$1006:$U$1006,0)))),"Fix")))</f>
        <v xml:space="preserve"> </v>
      </c>
      <c r="D608" s="3" t="str">
        <f ca="1">IF(OR(INDEX($K$2:$K$1001,MATCH(ROWS($J$2:J608),$J$2:$J$1001,0),1)&gt;=100000,INDEX($Q$1005:$U$1005,1,MATCH(COLUMNS($Q$1006:S1006),$Q$1006:$U$1006,0))&gt;=100000), " ",IF(INDEX($Q$2:$U$1001,MATCH(ROWS($J$2:J608),$J$2:$J$1001,0),MATCH(COLUMNS($Q$1006:S1006),$Q$1006:$U$1006,0)), HYPERLINK("#",""), HYPERLINK(CONCATENATE("#metadata!", ADDRESS(INDEX($L$2:$L$1001,MATCH(ROWS($J$2:J608),$J$2:$J$1001,0),0), INDEX($Q$1004:$U$1004,1,MATCH(COLUMNS($Q$1006:S1006),$Q$1006:$U$1006,0)))),"Fix")))</f>
        <v xml:space="preserve"> </v>
      </c>
      <c r="E608" s="3" t="str">
        <f ca="1">IF(OR(INDEX($K$2:$K$1001,MATCH(ROWS($J$2:J608),$J$2:$J$1001,0),1)&gt;=100000,INDEX($Q$1005:$U$1005,1,MATCH(COLUMNS($Q$1006:T1006),$Q$1006:$U$1006,0))&gt;=100000), " ",IF(INDEX($Q$2:$U$1001,MATCH(ROWS($J$2:J608),$J$2:$J$1001,0),MATCH(COLUMNS($Q$1006:T1006),$Q$1006:$U$1006,0)), HYPERLINK("#",""), HYPERLINK(CONCATENATE("#metadata!", ADDRESS(INDEX($L$2:$L$1001,MATCH(ROWS($J$2:J608),$J$2:$J$1001,0),0), INDEX($Q$1004:$U$1004,1,MATCH(COLUMNS($Q$1006:T1006),$Q$1006:$U$1006,0)))),"Fix")))</f>
        <v xml:space="preserve"> </v>
      </c>
      <c r="F608" s="3" t="str">
        <f ca="1">IF(OR(INDEX($K$2:$K$1001,MATCH(ROWS($J$2:J608),$J$2:$J$1001,0),1)&gt;=100000,INDEX($Q$1005:$U$1005,1,MATCH(COLUMNS($Q$1006:U1006),$Q$1006:$U$1006,0))&gt;=100000), " ",IF(INDEX($Q$2:$U$1001,MATCH(ROWS($J$2:J608),$J$2:$J$1001,0),MATCH(COLUMNS($Q$1006:U1006),$Q$1006:$U$1006,0)), HYPERLINK("#",""), HYPERLINK(CONCATENATE("#metadata!", ADDRESS(INDEX($L$2:$L$1001,MATCH(ROWS($J$2:J608),$J$2:$J$1001,0),0), INDEX($Q$1004:$U$1004,1,MATCH(COLUMNS($Q$1006:U1006),$Q$1006:$U$1006,0)))),"Fix")))</f>
        <v xml:space="preserve"> </v>
      </c>
      <c r="J608">
        <v>607</v>
      </c>
      <c r="K608">
        <v>100608</v>
      </c>
      <c r="L608">
        <v>608</v>
      </c>
      <c r="M608" t="b">
        <f t="shared" si="9"/>
        <v>1</v>
      </c>
      <c r="N608" t="b">
        <f>COUNTBLANK(metadata!B608:F608)=COLUMNS(metadata!B608:F608)</f>
        <v>1</v>
      </c>
      <c r="O608" t="str">
        <v/>
      </c>
      <c r="Q608" t="b">
        <f ca="1">AND(IF(metadata!B608="",FALSE,TRUE),COUNTIF(metadata!B:B, metadata!B608) = 1,NOT(ISERROR(SUMPRODUCT(SEARCH(MID(metadata!B608,ROW(INDIRECT("1:"&amp;LEN(metadata!B608))), 1),"0123456789abcdefghijklmnopqrstuvwxyzABCDEFGHIJKLMNOPQRSTUVWXYZ.")))))</f>
        <v>0</v>
      </c>
      <c r="R608" t="b">
        <f>AND(IF(metadata!C608="",FALSE,TRUE),OR(EXACT(metadata!C608,"saline"),EXACT(metadata!C608,"non-saline")))</f>
        <v>0</v>
      </c>
      <c r="S608" t="b">
        <f>AND(IF(metadata!D608="",FALSE,TRUE),OR(EXACT(metadata!D608,"surface (non-saline)"),EXACT(metadata!D608,"aerosol (non-saline)"),EXACT(metadata!D608,"sediment (non-saline)"),EXACT(metadata!D608,"surface (saline)"),EXACT(metadata!D608,"aerosol (saline)"),EXACT(metadata!D608,"sediment (saline)")))</f>
        <v>0</v>
      </c>
      <c r="T608" t="b">
        <f>AND(IF(metadata!E608="",FALSE,TRUE),EXACT(metadata!E608,"built environment"))</f>
        <v>0</v>
      </c>
      <c r="U608" t="b">
        <f>OR(AND(IF(metadata!F608="",FALSE,TRUE),EXACT(metadata!F608,"not applicable")),AND(IF(metadata!F608="",FALSE,TRUE),EXACT(metadata!F608,"anaerobic digester content")))</f>
        <v>0</v>
      </c>
    </row>
    <row r="609" spans="1:21" x14ac:dyDescent="0.2">
      <c r="A609" s="4" t="str">
        <f ca="1">IF(B609=" "," ",HYPERLINK(CONCATENATE("#metadata!",ADDRESS(INDEX($L$2:$L$1001,MATCH(ROWS($J$2:J609),$J$2:$J$1001,0),0),1)),INDEX($O$2:$O$1001,MATCH(ROWS($J$2:J609),$J$2:$J$1001,0),0)))</f>
        <v xml:space="preserve"> </v>
      </c>
      <c r="B609" s="3" t="str">
        <f ca="1">IF(OR(INDEX($K$2:$K$1001,MATCH(ROWS($J$2:J609),$J$2:$J$1001,0),1)&gt;=100000,INDEX($Q$1005:$U$1005,1,MATCH(COLUMNS($Q$1006:Q1006),$Q$1006:$U$1006,0))&gt;=100000), " ",IF(INDEX($Q$2:$U$1001,MATCH(ROWS($J$2:J609),$J$2:$J$1001,0),MATCH(COLUMNS($Q$1006:Q1006),$Q$1006:$U$1006,0)), HYPERLINK("#",""), HYPERLINK(CONCATENATE("#metadata!", ADDRESS(INDEX($L$2:$L$1001,MATCH(ROWS($J$2:J609),$J$2:$J$1001,0),0), INDEX($Q$1004:$U$1004,1,MATCH(COLUMNS($Q$1006:Q1006),$Q$1006:$U$1006,0)))),"Fix")))</f>
        <v xml:space="preserve"> </v>
      </c>
      <c r="C609" s="3" t="str">
        <f ca="1">IF(OR(INDEX($K$2:$K$1001,MATCH(ROWS($J$2:J609),$J$2:$J$1001,0),1)&gt;=100000,INDEX($Q$1005:$U$1005,1,MATCH(COLUMNS($Q$1006:R1006),$Q$1006:$U$1006,0))&gt;=100000), " ",IF(INDEX($Q$2:$U$1001,MATCH(ROWS($J$2:J609),$J$2:$J$1001,0),MATCH(COLUMNS($Q$1006:R1006),$Q$1006:$U$1006,0)), HYPERLINK("#",""), HYPERLINK(CONCATENATE("#metadata!", ADDRESS(INDEX($L$2:$L$1001,MATCH(ROWS($J$2:J609),$J$2:$J$1001,0),0), INDEX($Q$1004:$U$1004,1,MATCH(COLUMNS($Q$1006:R1006),$Q$1006:$U$1006,0)))),"Fix")))</f>
        <v xml:space="preserve"> </v>
      </c>
      <c r="D609" s="3" t="str">
        <f ca="1">IF(OR(INDEX($K$2:$K$1001,MATCH(ROWS($J$2:J609),$J$2:$J$1001,0),1)&gt;=100000,INDEX($Q$1005:$U$1005,1,MATCH(COLUMNS($Q$1006:S1006),$Q$1006:$U$1006,0))&gt;=100000), " ",IF(INDEX($Q$2:$U$1001,MATCH(ROWS($J$2:J609),$J$2:$J$1001,0),MATCH(COLUMNS($Q$1006:S1006),$Q$1006:$U$1006,0)), HYPERLINK("#",""), HYPERLINK(CONCATENATE("#metadata!", ADDRESS(INDEX($L$2:$L$1001,MATCH(ROWS($J$2:J609),$J$2:$J$1001,0),0), INDEX($Q$1004:$U$1004,1,MATCH(COLUMNS($Q$1006:S1006),$Q$1006:$U$1006,0)))),"Fix")))</f>
        <v xml:space="preserve"> </v>
      </c>
      <c r="E609" s="3" t="str">
        <f ca="1">IF(OR(INDEX($K$2:$K$1001,MATCH(ROWS($J$2:J609),$J$2:$J$1001,0),1)&gt;=100000,INDEX($Q$1005:$U$1005,1,MATCH(COLUMNS($Q$1006:T1006),$Q$1006:$U$1006,0))&gt;=100000), " ",IF(INDEX($Q$2:$U$1001,MATCH(ROWS($J$2:J609),$J$2:$J$1001,0),MATCH(COLUMNS($Q$1006:T1006),$Q$1006:$U$1006,0)), HYPERLINK("#",""), HYPERLINK(CONCATENATE("#metadata!", ADDRESS(INDEX($L$2:$L$1001,MATCH(ROWS($J$2:J609),$J$2:$J$1001,0),0), INDEX($Q$1004:$U$1004,1,MATCH(COLUMNS($Q$1006:T1006),$Q$1006:$U$1006,0)))),"Fix")))</f>
        <v xml:space="preserve"> </v>
      </c>
      <c r="F609" s="3" t="str">
        <f ca="1">IF(OR(INDEX($K$2:$K$1001,MATCH(ROWS($J$2:J609),$J$2:$J$1001,0),1)&gt;=100000,INDEX($Q$1005:$U$1005,1,MATCH(COLUMNS($Q$1006:U1006),$Q$1006:$U$1006,0))&gt;=100000), " ",IF(INDEX($Q$2:$U$1001,MATCH(ROWS($J$2:J609),$J$2:$J$1001,0),MATCH(COLUMNS($Q$1006:U1006),$Q$1006:$U$1006,0)), HYPERLINK("#",""), HYPERLINK(CONCATENATE("#metadata!", ADDRESS(INDEX($L$2:$L$1001,MATCH(ROWS($J$2:J609),$J$2:$J$1001,0),0), INDEX($Q$1004:$U$1004,1,MATCH(COLUMNS($Q$1006:U1006),$Q$1006:$U$1006,0)))),"Fix")))</f>
        <v xml:space="preserve"> </v>
      </c>
      <c r="J609">
        <v>608</v>
      </c>
      <c r="K609">
        <v>100609</v>
      </c>
      <c r="L609">
        <v>609</v>
      </c>
      <c r="M609" t="b">
        <f t="shared" si="9"/>
        <v>1</v>
      </c>
      <c r="N609" t="b">
        <f>COUNTBLANK(metadata!B609:F609)=COLUMNS(metadata!B609:F609)</f>
        <v>1</v>
      </c>
      <c r="O609" t="str">
        <v/>
      </c>
      <c r="Q609" t="b">
        <f ca="1">AND(IF(metadata!B609="",FALSE,TRUE),COUNTIF(metadata!B:B, metadata!B609) = 1,NOT(ISERROR(SUMPRODUCT(SEARCH(MID(metadata!B609,ROW(INDIRECT("1:"&amp;LEN(metadata!B609))), 1),"0123456789abcdefghijklmnopqrstuvwxyzABCDEFGHIJKLMNOPQRSTUVWXYZ.")))))</f>
        <v>0</v>
      </c>
      <c r="R609" t="b">
        <f>AND(IF(metadata!C609="",FALSE,TRUE),OR(EXACT(metadata!C609,"saline"),EXACT(metadata!C609,"non-saline")))</f>
        <v>0</v>
      </c>
      <c r="S609" t="b">
        <f>AND(IF(metadata!D609="",FALSE,TRUE),OR(EXACT(metadata!D609,"surface (non-saline)"),EXACT(metadata!D609,"aerosol (non-saline)"),EXACT(metadata!D609,"sediment (non-saline)"),EXACT(metadata!D609,"surface (saline)"),EXACT(metadata!D609,"aerosol (saline)"),EXACT(metadata!D609,"sediment (saline)")))</f>
        <v>0</v>
      </c>
      <c r="T609" t="b">
        <f>AND(IF(metadata!E609="",FALSE,TRUE),EXACT(metadata!E609,"built environment"))</f>
        <v>0</v>
      </c>
      <c r="U609" t="b">
        <f>OR(AND(IF(metadata!F609="",FALSE,TRUE),EXACT(metadata!F609,"not applicable")),AND(IF(metadata!F609="",FALSE,TRUE),EXACT(metadata!F609,"anaerobic digester content")))</f>
        <v>0</v>
      </c>
    </row>
    <row r="610" spans="1:21" x14ac:dyDescent="0.2">
      <c r="A610" s="4" t="str">
        <f ca="1">IF(B610=" "," ",HYPERLINK(CONCATENATE("#metadata!",ADDRESS(INDEX($L$2:$L$1001,MATCH(ROWS($J$2:J610),$J$2:$J$1001,0),0),1)),INDEX($O$2:$O$1001,MATCH(ROWS($J$2:J610),$J$2:$J$1001,0),0)))</f>
        <v xml:space="preserve"> </v>
      </c>
      <c r="B610" s="3" t="str">
        <f ca="1">IF(OR(INDEX($K$2:$K$1001,MATCH(ROWS($J$2:J610),$J$2:$J$1001,0),1)&gt;=100000,INDEX($Q$1005:$U$1005,1,MATCH(COLUMNS($Q$1006:Q1006),$Q$1006:$U$1006,0))&gt;=100000), " ",IF(INDEX($Q$2:$U$1001,MATCH(ROWS($J$2:J610),$J$2:$J$1001,0),MATCH(COLUMNS($Q$1006:Q1006),$Q$1006:$U$1006,0)), HYPERLINK("#",""), HYPERLINK(CONCATENATE("#metadata!", ADDRESS(INDEX($L$2:$L$1001,MATCH(ROWS($J$2:J610),$J$2:$J$1001,0),0), INDEX($Q$1004:$U$1004,1,MATCH(COLUMNS($Q$1006:Q1006),$Q$1006:$U$1006,0)))),"Fix")))</f>
        <v xml:space="preserve"> </v>
      </c>
      <c r="C610" s="3" t="str">
        <f ca="1">IF(OR(INDEX($K$2:$K$1001,MATCH(ROWS($J$2:J610),$J$2:$J$1001,0),1)&gt;=100000,INDEX($Q$1005:$U$1005,1,MATCH(COLUMNS($Q$1006:R1006),$Q$1006:$U$1006,0))&gt;=100000), " ",IF(INDEX($Q$2:$U$1001,MATCH(ROWS($J$2:J610),$J$2:$J$1001,0),MATCH(COLUMNS($Q$1006:R1006),$Q$1006:$U$1006,0)), HYPERLINK("#",""), HYPERLINK(CONCATENATE("#metadata!", ADDRESS(INDEX($L$2:$L$1001,MATCH(ROWS($J$2:J610),$J$2:$J$1001,0),0), INDEX($Q$1004:$U$1004,1,MATCH(COLUMNS($Q$1006:R1006),$Q$1006:$U$1006,0)))),"Fix")))</f>
        <v xml:space="preserve"> </v>
      </c>
      <c r="D610" s="3" t="str">
        <f ca="1">IF(OR(INDEX($K$2:$K$1001,MATCH(ROWS($J$2:J610),$J$2:$J$1001,0),1)&gt;=100000,INDEX($Q$1005:$U$1005,1,MATCH(COLUMNS($Q$1006:S1006),$Q$1006:$U$1006,0))&gt;=100000), " ",IF(INDEX($Q$2:$U$1001,MATCH(ROWS($J$2:J610),$J$2:$J$1001,0),MATCH(COLUMNS($Q$1006:S1006),$Q$1006:$U$1006,0)), HYPERLINK("#",""), HYPERLINK(CONCATENATE("#metadata!", ADDRESS(INDEX($L$2:$L$1001,MATCH(ROWS($J$2:J610),$J$2:$J$1001,0),0), INDEX($Q$1004:$U$1004,1,MATCH(COLUMNS($Q$1006:S1006),$Q$1006:$U$1006,0)))),"Fix")))</f>
        <v xml:space="preserve"> </v>
      </c>
      <c r="E610" s="3" t="str">
        <f ca="1">IF(OR(INDEX($K$2:$K$1001,MATCH(ROWS($J$2:J610),$J$2:$J$1001,0),1)&gt;=100000,INDEX($Q$1005:$U$1005,1,MATCH(COLUMNS($Q$1006:T1006),$Q$1006:$U$1006,0))&gt;=100000), " ",IF(INDEX($Q$2:$U$1001,MATCH(ROWS($J$2:J610),$J$2:$J$1001,0),MATCH(COLUMNS($Q$1006:T1006),$Q$1006:$U$1006,0)), HYPERLINK("#",""), HYPERLINK(CONCATENATE("#metadata!", ADDRESS(INDEX($L$2:$L$1001,MATCH(ROWS($J$2:J610),$J$2:$J$1001,0),0), INDEX($Q$1004:$U$1004,1,MATCH(COLUMNS($Q$1006:T1006),$Q$1006:$U$1006,0)))),"Fix")))</f>
        <v xml:space="preserve"> </v>
      </c>
      <c r="F610" s="3" t="str">
        <f ca="1">IF(OR(INDEX($K$2:$K$1001,MATCH(ROWS($J$2:J610),$J$2:$J$1001,0),1)&gt;=100000,INDEX($Q$1005:$U$1005,1,MATCH(COLUMNS($Q$1006:U1006),$Q$1006:$U$1006,0))&gt;=100000), " ",IF(INDEX($Q$2:$U$1001,MATCH(ROWS($J$2:J610),$J$2:$J$1001,0),MATCH(COLUMNS($Q$1006:U1006),$Q$1006:$U$1006,0)), HYPERLINK("#",""), HYPERLINK(CONCATENATE("#metadata!", ADDRESS(INDEX($L$2:$L$1001,MATCH(ROWS($J$2:J610),$J$2:$J$1001,0),0), INDEX($Q$1004:$U$1004,1,MATCH(COLUMNS($Q$1006:U1006),$Q$1006:$U$1006,0)))),"Fix")))</f>
        <v xml:space="preserve"> </v>
      </c>
      <c r="J610">
        <v>609</v>
      </c>
      <c r="K610">
        <v>100610</v>
      </c>
      <c r="L610">
        <v>610</v>
      </c>
      <c r="M610" t="b">
        <f t="shared" si="9"/>
        <v>1</v>
      </c>
      <c r="N610" t="b">
        <f>COUNTBLANK(metadata!B610:F610)=COLUMNS(metadata!B610:F610)</f>
        <v>1</v>
      </c>
      <c r="O610" t="str">
        <v/>
      </c>
      <c r="Q610" t="b">
        <f ca="1">AND(IF(metadata!B610="",FALSE,TRUE),COUNTIF(metadata!B:B, metadata!B610) = 1,NOT(ISERROR(SUMPRODUCT(SEARCH(MID(metadata!B610,ROW(INDIRECT("1:"&amp;LEN(metadata!B610))), 1),"0123456789abcdefghijklmnopqrstuvwxyzABCDEFGHIJKLMNOPQRSTUVWXYZ.")))))</f>
        <v>0</v>
      </c>
      <c r="R610" t="b">
        <f>AND(IF(metadata!C610="",FALSE,TRUE),OR(EXACT(metadata!C610,"saline"),EXACT(metadata!C610,"non-saline")))</f>
        <v>0</v>
      </c>
      <c r="S610" t="b">
        <f>AND(IF(metadata!D610="",FALSE,TRUE),OR(EXACT(metadata!D610,"surface (non-saline)"),EXACT(metadata!D610,"aerosol (non-saline)"),EXACT(metadata!D610,"sediment (non-saline)"),EXACT(metadata!D610,"surface (saline)"),EXACT(metadata!D610,"aerosol (saline)"),EXACT(metadata!D610,"sediment (saline)")))</f>
        <v>0</v>
      </c>
      <c r="T610" t="b">
        <f>AND(IF(metadata!E610="",FALSE,TRUE),EXACT(metadata!E610,"built environment"))</f>
        <v>0</v>
      </c>
      <c r="U610" t="b">
        <f>OR(AND(IF(metadata!F610="",FALSE,TRUE),EXACT(metadata!F610,"not applicable")),AND(IF(metadata!F610="",FALSE,TRUE),EXACT(metadata!F610,"anaerobic digester content")))</f>
        <v>0</v>
      </c>
    </row>
    <row r="611" spans="1:21" x14ac:dyDescent="0.2">
      <c r="A611" s="4" t="str">
        <f ca="1">IF(B611=" "," ",HYPERLINK(CONCATENATE("#metadata!",ADDRESS(INDEX($L$2:$L$1001,MATCH(ROWS($J$2:J611),$J$2:$J$1001,0),0),1)),INDEX($O$2:$O$1001,MATCH(ROWS($J$2:J611),$J$2:$J$1001,0),0)))</f>
        <v xml:space="preserve"> </v>
      </c>
      <c r="B611" s="3" t="str">
        <f ca="1">IF(OR(INDEX($K$2:$K$1001,MATCH(ROWS($J$2:J611),$J$2:$J$1001,0),1)&gt;=100000,INDEX($Q$1005:$U$1005,1,MATCH(COLUMNS($Q$1006:Q1006),$Q$1006:$U$1006,0))&gt;=100000), " ",IF(INDEX($Q$2:$U$1001,MATCH(ROWS($J$2:J611),$J$2:$J$1001,0),MATCH(COLUMNS($Q$1006:Q1006),$Q$1006:$U$1006,0)), HYPERLINK("#",""), HYPERLINK(CONCATENATE("#metadata!", ADDRESS(INDEX($L$2:$L$1001,MATCH(ROWS($J$2:J611),$J$2:$J$1001,0),0), INDEX($Q$1004:$U$1004,1,MATCH(COLUMNS($Q$1006:Q1006),$Q$1006:$U$1006,0)))),"Fix")))</f>
        <v xml:space="preserve"> </v>
      </c>
      <c r="C611" s="3" t="str">
        <f ca="1">IF(OR(INDEX($K$2:$K$1001,MATCH(ROWS($J$2:J611),$J$2:$J$1001,0),1)&gt;=100000,INDEX($Q$1005:$U$1005,1,MATCH(COLUMNS($Q$1006:R1006),$Q$1006:$U$1006,0))&gt;=100000), " ",IF(INDEX($Q$2:$U$1001,MATCH(ROWS($J$2:J611),$J$2:$J$1001,0),MATCH(COLUMNS($Q$1006:R1006),$Q$1006:$U$1006,0)), HYPERLINK("#",""), HYPERLINK(CONCATENATE("#metadata!", ADDRESS(INDEX($L$2:$L$1001,MATCH(ROWS($J$2:J611),$J$2:$J$1001,0),0), INDEX($Q$1004:$U$1004,1,MATCH(COLUMNS($Q$1006:R1006),$Q$1006:$U$1006,0)))),"Fix")))</f>
        <v xml:space="preserve"> </v>
      </c>
      <c r="D611" s="3" t="str">
        <f ca="1">IF(OR(INDEX($K$2:$K$1001,MATCH(ROWS($J$2:J611),$J$2:$J$1001,0),1)&gt;=100000,INDEX($Q$1005:$U$1005,1,MATCH(COLUMNS($Q$1006:S1006),$Q$1006:$U$1006,0))&gt;=100000), " ",IF(INDEX($Q$2:$U$1001,MATCH(ROWS($J$2:J611),$J$2:$J$1001,0),MATCH(COLUMNS($Q$1006:S1006),$Q$1006:$U$1006,0)), HYPERLINK("#",""), HYPERLINK(CONCATENATE("#metadata!", ADDRESS(INDEX($L$2:$L$1001,MATCH(ROWS($J$2:J611),$J$2:$J$1001,0),0), INDEX($Q$1004:$U$1004,1,MATCH(COLUMNS($Q$1006:S1006),$Q$1006:$U$1006,0)))),"Fix")))</f>
        <v xml:space="preserve"> </v>
      </c>
      <c r="E611" s="3" t="str">
        <f ca="1">IF(OR(INDEX($K$2:$K$1001,MATCH(ROWS($J$2:J611),$J$2:$J$1001,0),1)&gt;=100000,INDEX($Q$1005:$U$1005,1,MATCH(COLUMNS($Q$1006:T1006),$Q$1006:$U$1006,0))&gt;=100000), " ",IF(INDEX($Q$2:$U$1001,MATCH(ROWS($J$2:J611),$J$2:$J$1001,0),MATCH(COLUMNS($Q$1006:T1006),$Q$1006:$U$1006,0)), HYPERLINK("#",""), HYPERLINK(CONCATENATE("#metadata!", ADDRESS(INDEX($L$2:$L$1001,MATCH(ROWS($J$2:J611),$J$2:$J$1001,0),0), INDEX($Q$1004:$U$1004,1,MATCH(COLUMNS($Q$1006:T1006),$Q$1006:$U$1006,0)))),"Fix")))</f>
        <v xml:space="preserve"> </v>
      </c>
      <c r="F611" s="3" t="str">
        <f ca="1">IF(OR(INDEX($K$2:$K$1001,MATCH(ROWS($J$2:J611),$J$2:$J$1001,0),1)&gt;=100000,INDEX($Q$1005:$U$1005,1,MATCH(COLUMNS($Q$1006:U1006),$Q$1006:$U$1006,0))&gt;=100000), " ",IF(INDEX($Q$2:$U$1001,MATCH(ROWS($J$2:J611),$J$2:$J$1001,0),MATCH(COLUMNS($Q$1006:U1006),$Q$1006:$U$1006,0)), HYPERLINK("#",""), HYPERLINK(CONCATENATE("#metadata!", ADDRESS(INDEX($L$2:$L$1001,MATCH(ROWS($J$2:J611),$J$2:$J$1001,0),0), INDEX($Q$1004:$U$1004,1,MATCH(COLUMNS($Q$1006:U1006),$Q$1006:$U$1006,0)))),"Fix")))</f>
        <v xml:space="preserve"> </v>
      </c>
      <c r="J611">
        <v>610</v>
      </c>
      <c r="K611">
        <v>100611</v>
      </c>
      <c r="L611">
        <v>611</v>
      </c>
      <c r="M611" t="b">
        <f t="shared" si="9"/>
        <v>1</v>
      </c>
      <c r="N611" t="b">
        <f>COUNTBLANK(metadata!B611:F611)=COLUMNS(metadata!B611:F611)</f>
        <v>1</v>
      </c>
      <c r="O611" t="str">
        <v/>
      </c>
      <c r="Q611" t="b">
        <f ca="1">AND(IF(metadata!B611="",FALSE,TRUE),COUNTIF(metadata!B:B, metadata!B611) = 1,NOT(ISERROR(SUMPRODUCT(SEARCH(MID(metadata!B611,ROW(INDIRECT("1:"&amp;LEN(metadata!B611))), 1),"0123456789abcdefghijklmnopqrstuvwxyzABCDEFGHIJKLMNOPQRSTUVWXYZ.")))))</f>
        <v>0</v>
      </c>
      <c r="R611" t="b">
        <f>AND(IF(metadata!C611="",FALSE,TRUE),OR(EXACT(metadata!C611,"saline"),EXACT(metadata!C611,"non-saline")))</f>
        <v>0</v>
      </c>
      <c r="S611" t="b">
        <f>AND(IF(metadata!D611="",FALSE,TRUE),OR(EXACT(metadata!D611,"surface (non-saline)"),EXACT(metadata!D611,"aerosol (non-saline)"),EXACT(metadata!D611,"sediment (non-saline)"),EXACT(metadata!D611,"surface (saline)"),EXACT(metadata!D611,"aerosol (saline)"),EXACT(metadata!D611,"sediment (saline)")))</f>
        <v>0</v>
      </c>
      <c r="T611" t="b">
        <f>AND(IF(metadata!E611="",FALSE,TRUE),EXACT(metadata!E611,"built environment"))</f>
        <v>0</v>
      </c>
      <c r="U611" t="b">
        <f>OR(AND(IF(metadata!F611="",FALSE,TRUE),EXACT(metadata!F611,"not applicable")),AND(IF(metadata!F611="",FALSE,TRUE),EXACT(metadata!F611,"anaerobic digester content")))</f>
        <v>0</v>
      </c>
    </row>
    <row r="612" spans="1:21" x14ac:dyDescent="0.2">
      <c r="A612" s="4" t="str">
        <f ca="1">IF(B612=" "," ",HYPERLINK(CONCATENATE("#metadata!",ADDRESS(INDEX($L$2:$L$1001,MATCH(ROWS($J$2:J612),$J$2:$J$1001,0),0),1)),INDEX($O$2:$O$1001,MATCH(ROWS($J$2:J612),$J$2:$J$1001,0),0)))</f>
        <v xml:space="preserve"> </v>
      </c>
      <c r="B612" s="3" t="str">
        <f ca="1">IF(OR(INDEX($K$2:$K$1001,MATCH(ROWS($J$2:J612),$J$2:$J$1001,0),1)&gt;=100000,INDEX($Q$1005:$U$1005,1,MATCH(COLUMNS($Q$1006:Q1006),$Q$1006:$U$1006,0))&gt;=100000), " ",IF(INDEX($Q$2:$U$1001,MATCH(ROWS($J$2:J612),$J$2:$J$1001,0),MATCH(COLUMNS($Q$1006:Q1006),$Q$1006:$U$1006,0)), HYPERLINK("#",""), HYPERLINK(CONCATENATE("#metadata!", ADDRESS(INDEX($L$2:$L$1001,MATCH(ROWS($J$2:J612),$J$2:$J$1001,0),0), INDEX($Q$1004:$U$1004,1,MATCH(COLUMNS($Q$1006:Q1006),$Q$1006:$U$1006,0)))),"Fix")))</f>
        <v xml:space="preserve"> </v>
      </c>
      <c r="C612" s="3" t="str">
        <f ca="1">IF(OR(INDEX($K$2:$K$1001,MATCH(ROWS($J$2:J612),$J$2:$J$1001,0),1)&gt;=100000,INDEX($Q$1005:$U$1005,1,MATCH(COLUMNS($Q$1006:R1006),$Q$1006:$U$1006,0))&gt;=100000), " ",IF(INDEX($Q$2:$U$1001,MATCH(ROWS($J$2:J612),$J$2:$J$1001,0),MATCH(COLUMNS($Q$1006:R1006),$Q$1006:$U$1006,0)), HYPERLINK("#",""), HYPERLINK(CONCATENATE("#metadata!", ADDRESS(INDEX($L$2:$L$1001,MATCH(ROWS($J$2:J612),$J$2:$J$1001,0),0), INDEX($Q$1004:$U$1004,1,MATCH(COLUMNS($Q$1006:R1006),$Q$1006:$U$1006,0)))),"Fix")))</f>
        <v xml:space="preserve"> </v>
      </c>
      <c r="D612" s="3" t="str">
        <f ca="1">IF(OR(INDEX($K$2:$K$1001,MATCH(ROWS($J$2:J612),$J$2:$J$1001,0),1)&gt;=100000,INDEX($Q$1005:$U$1005,1,MATCH(COLUMNS($Q$1006:S1006),$Q$1006:$U$1006,0))&gt;=100000), " ",IF(INDEX($Q$2:$U$1001,MATCH(ROWS($J$2:J612),$J$2:$J$1001,0),MATCH(COLUMNS($Q$1006:S1006),$Q$1006:$U$1006,0)), HYPERLINK("#",""), HYPERLINK(CONCATENATE("#metadata!", ADDRESS(INDEX($L$2:$L$1001,MATCH(ROWS($J$2:J612),$J$2:$J$1001,0),0), INDEX($Q$1004:$U$1004,1,MATCH(COLUMNS($Q$1006:S1006),$Q$1006:$U$1006,0)))),"Fix")))</f>
        <v xml:space="preserve"> </v>
      </c>
      <c r="E612" s="3" t="str">
        <f ca="1">IF(OR(INDEX($K$2:$K$1001,MATCH(ROWS($J$2:J612),$J$2:$J$1001,0),1)&gt;=100000,INDEX($Q$1005:$U$1005,1,MATCH(COLUMNS($Q$1006:T1006),$Q$1006:$U$1006,0))&gt;=100000), " ",IF(INDEX($Q$2:$U$1001,MATCH(ROWS($J$2:J612),$J$2:$J$1001,0),MATCH(COLUMNS($Q$1006:T1006),$Q$1006:$U$1006,0)), HYPERLINK("#",""), HYPERLINK(CONCATENATE("#metadata!", ADDRESS(INDEX($L$2:$L$1001,MATCH(ROWS($J$2:J612),$J$2:$J$1001,0),0), INDEX($Q$1004:$U$1004,1,MATCH(COLUMNS($Q$1006:T1006),$Q$1006:$U$1006,0)))),"Fix")))</f>
        <v xml:space="preserve"> </v>
      </c>
      <c r="F612" s="3" t="str">
        <f ca="1">IF(OR(INDEX($K$2:$K$1001,MATCH(ROWS($J$2:J612),$J$2:$J$1001,0),1)&gt;=100000,INDEX($Q$1005:$U$1005,1,MATCH(COLUMNS($Q$1006:U1006),$Q$1006:$U$1006,0))&gt;=100000), " ",IF(INDEX($Q$2:$U$1001,MATCH(ROWS($J$2:J612),$J$2:$J$1001,0),MATCH(COLUMNS($Q$1006:U1006),$Q$1006:$U$1006,0)), HYPERLINK("#",""), HYPERLINK(CONCATENATE("#metadata!", ADDRESS(INDEX($L$2:$L$1001,MATCH(ROWS($J$2:J612),$J$2:$J$1001,0),0), INDEX($Q$1004:$U$1004,1,MATCH(COLUMNS($Q$1006:U1006),$Q$1006:$U$1006,0)))),"Fix")))</f>
        <v xml:space="preserve"> </v>
      </c>
      <c r="J612">
        <v>611</v>
      </c>
      <c r="K612">
        <v>100612</v>
      </c>
      <c r="L612">
        <v>612</v>
      </c>
      <c r="M612" t="b">
        <f t="shared" si="9"/>
        <v>1</v>
      </c>
      <c r="N612" t="b">
        <f>COUNTBLANK(metadata!B612:F612)=COLUMNS(metadata!B612:F612)</f>
        <v>1</v>
      </c>
      <c r="O612" t="str">
        <v/>
      </c>
      <c r="Q612" t="b">
        <f ca="1">AND(IF(metadata!B612="",FALSE,TRUE),COUNTIF(metadata!B:B, metadata!B612) = 1,NOT(ISERROR(SUMPRODUCT(SEARCH(MID(metadata!B612,ROW(INDIRECT("1:"&amp;LEN(metadata!B612))), 1),"0123456789abcdefghijklmnopqrstuvwxyzABCDEFGHIJKLMNOPQRSTUVWXYZ.")))))</f>
        <v>0</v>
      </c>
      <c r="R612" t="b">
        <f>AND(IF(metadata!C612="",FALSE,TRUE),OR(EXACT(metadata!C612,"saline"),EXACT(metadata!C612,"non-saline")))</f>
        <v>0</v>
      </c>
      <c r="S612" t="b">
        <f>AND(IF(metadata!D612="",FALSE,TRUE),OR(EXACT(metadata!D612,"surface (non-saline)"),EXACT(metadata!D612,"aerosol (non-saline)"),EXACT(metadata!D612,"sediment (non-saline)"),EXACT(metadata!D612,"surface (saline)"),EXACT(metadata!D612,"aerosol (saline)"),EXACT(metadata!D612,"sediment (saline)")))</f>
        <v>0</v>
      </c>
      <c r="T612" t="b">
        <f>AND(IF(metadata!E612="",FALSE,TRUE),EXACT(metadata!E612,"built environment"))</f>
        <v>0</v>
      </c>
      <c r="U612" t="b">
        <f>OR(AND(IF(metadata!F612="",FALSE,TRUE),EXACT(metadata!F612,"not applicable")),AND(IF(metadata!F612="",FALSE,TRUE),EXACT(metadata!F612,"anaerobic digester content")))</f>
        <v>0</v>
      </c>
    </row>
    <row r="613" spans="1:21" x14ac:dyDescent="0.2">
      <c r="A613" s="4" t="str">
        <f ca="1">IF(B613=" "," ",HYPERLINK(CONCATENATE("#metadata!",ADDRESS(INDEX($L$2:$L$1001,MATCH(ROWS($J$2:J613),$J$2:$J$1001,0),0),1)),INDEX($O$2:$O$1001,MATCH(ROWS($J$2:J613),$J$2:$J$1001,0),0)))</f>
        <v xml:space="preserve"> </v>
      </c>
      <c r="B613" s="3" t="str">
        <f ca="1">IF(OR(INDEX($K$2:$K$1001,MATCH(ROWS($J$2:J613),$J$2:$J$1001,0),1)&gt;=100000,INDEX($Q$1005:$U$1005,1,MATCH(COLUMNS($Q$1006:Q1006),$Q$1006:$U$1006,0))&gt;=100000), " ",IF(INDEX($Q$2:$U$1001,MATCH(ROWS($J$2:J613),$J$2:$J$1001,0),MATCH(COLUMNS($Q$1006:Q1006),$Q$1006:$U$1006,0)), HYPERLINK("#",""), HYPERLINK(CONCATENATE("#metadata!", ADDRESS(INDEX($L$2:$L$1001,MATCH(ROWS($J$2:J613),$J$2:$J$1001,0),0), INDEX($Q$1004:$U$1004,1,MATCH(COLUMNS($Q$1006:Q1006),$Q$1006:$U$1006,0)))),"Fix")))</f>
        <v xml:space="preserve"> </v>
      </c>
      <c r="C613" s="3" t="str">
        <f ca="1">IF(OR(INDEX($K$2:$K$1001,MATCH(ROWS($J$2:J613),$J$2:$J$1001,0),1)&gt;=100000,INDEX($Q$1005:$U$1005,1,MATCH(COLUMNS($Q$1006:R1006),$Q$1006:$U$1006,0))&gt;=100000), " ",IF(INDEX($Q$2:$U$1001,MATCH(ROWS($J$2:J613),$J$2:$J$1001,0),MATCH(COLUMNS($Q$1006:R1006),$Q$1006:$U$1006,0)), HYPERLINK("#",""), HYPERLINK(CONCATENATE("#metadata!", ADDRESS(INDEX($L$2:$L$1001,MATCH(ROWS($J$2:J613),$J$2:$J$1001,0),0), INDEX($Q$1004:$U$1004,1,MATCH(COLUMNS($Q$1006:R1006),$Q$1006:$U$1006,0)))),"Fix")))</f>
        <v xml:space="preserve"> </v>
      </c>
      <c r="D613" s="3" t="str">
        <f ca="1">IF(OR(INDEX($K$2:$K$1001,MATCH(ROWS($J$2:J613),$J$2:$J$1001,0),1)&gt;=100000,INDEX($Q$1005:$U$1005,1,MATCH(COLUMNS($Q$1006:S1006),$Q$1006:$U$1006,0))&gt;=100000), " ",IF(INDEX($Q$2:$U$1001,MATCH(ROWS($J$2:J613),$J$2:$J$1001,0),MATCH(COLUMNS($Q$1006:S1006),$Q$1006:$U$1006,0)), HYPERLINK("#",""), HYPERLINK(CONCATENATE("#metadata!", ADDRESS(INDEX($L$2:$L$1001,MATCH(ROWS($J$2:J613),$J$2:$J$1001,0),0), INDEX($Q$1004:$U$1004,1,MATCH(COLUMNS($Q$1006:S1006),$Q$1006:$U$1006,0)))),"Fix")))</f>
        <v xml:space="preserve"> </v>
      </c>
      <c r="E613" s="3" t="str">
        <f ca="1">IF(OR(INDEX($K$2:$K$1001,MATCH(ROWS($J$2:J613),$J$2:$J$1001,0),1)&gt;=100000,INDEX($Q$1005:$U$1005,1,MATCH(COLUMNS($Q$1006:T1006),$Q$1006:$U$1006,0))&gt;=100000), " ",IF(INDEX($Q$2:$U$1001,MATCH(ROWS($J$2:J613),$J$2:$J$1001,0),MATCH(COLUMNS($Q$1006:T1006),$Q$1006:$U$1006,0)), HYPERLINK("#",""), HYPERLINK(CONCATENATE("#metadata!", ADDRESS(INDEX($L$2:$L$1001,MATCH(ROWS($J$2:J613),$J$2:$J$1001,0),0), INDEX($Q$1004:$U$1004,1,MATCH(COLUMNS($Q$1006:T1006),$Q$1006:$U$1006,0)))),"Fix")))</f>
        <v xml:space="preserve"> </v>
      </c>
      <c r="F613" s="3" t="str">
        <f ca="1">IF(OR(INDEX($K$2:$K$1001,MATCH(ROWS($J$2:J613),$J$2:$J$1001,0),1)&gt;=100000,INDEX($Q$1005:$U$1005,1,MATCH(COLUMNS($Q$1006:U1006),$Q$1006:$U$1006,0))&gt;=100000), " ",IF(INDEX($Q$2:$U$1001,MATCH(ROWS($J$2:J613),$J$2:$J$1001,0),MATCH(COLUMNS($Q$1006:U1006),$Q$1006:$U$1006,0)), HYPERLINK("#",""), HYPERLINK(CONCATENATE("#metadata!", ADDRESS(INDEX($L$2:$L$1001,MATCH(ROWS($J$2:J613),$J$2:$J$1001,0),0), INDEX($Q$1004:$U$1004,1,MATCH(COLUMNS($Q$1006:U1006),$Q$1006:$U$1006,0)))),"Fix")))</f>
        <v xml:space="preserve"> </v>
      </c>
      <c r="J613">
        <v>612</v>
      </c>
      <c r="K613">
        <v>100613</v>
      </c>
      <c r="L613">
        <v>613</v>
      </c>
      <c r="M613" t="b">
        <f t="shared" si="9"/>
        <v>1</v>
      </c>
      <c r="N613" t="b">
        <f>COUNTBLANK(metadata!B613:F613)=COLUMNS(metadata!B613:F613)</f>
        <v>1</v>
      </c>
      <c r="O613" t="str">
        <v/>
      </c>
      <c r="Q613" t="b">
        <f ca="1">AND(IF(metadata!B613="",FALSE,TRUE),COUNTIF(metadata!B:B, metadata!B613) = 1,NOT(ISERROR(SUMPRODUCT(SEARCH(MID(metadata!B613,ROW(INDIRECT("1:"&amp;LEN(metadata!B613))), 1),"0123456789abcdefghijklmnopqrstuvwxyzABCDEFGHIJKLMNOPQRSTUVWXYZ.")))))</f>
        <v>0</v>
      </c>
      <c r="R613" t="b">
        <f>AND(IF(metadata!C613="",FALSE,TRUE),OR(EXACT(metadata!C613,"saline"),EXACT(metadata!C613,"non-saline")))</f>
        <v>0</v>
      </c>
      <c r="S613" t="b">
        <f>AND(IF(metadata!D613="",FALSE,TRUE),OR(EXACT(metadata!D613,"surface (non-saline)"),EXACT(metadata!D613,"aerosol (non-saline)"),EXACT(metadata!D613,"sediment (non-saline)"),EXACT(metadata!D613,"surface (saline)"),EXACT(metadata!D613,"aerosol (saline)"),EXACT(metadata!D613,"sediment (saline)")))</f>
        <v>0</v>
      </c>
      <c r="T613" t="b">
        <f>AND(IF(metadata!E613="",FALSE,TRUE),EXACT(metadata!E613,"built environment"))</f>
        <v>0</v>
      </c>
      <c r="U613" t="b">
        <f>OR(AND(IF(metadata!F613="",FALSE,TRUE),EXACT(metadata!F613,"not applicable")),AND(IF(metadata!F613="",FALSE,TRUE),EXACT(metadata!F613,"anaerobic digester content")))</f>
        <v>0</v>
      </c>
    </row>
    <row r="614" spans="1:21" x14ac:dyDescent="0.2">
      <c r="A614" s="4" t="str">
        <f ca="1">IF(B614=" "," ",HYPERLINK(CONCATENATE("#metadata!",ADDRESS(INDEX($L$2:$L$1001,MATCH(ROWS($J$2:J614),$J$2:$J$1001,0),0),1)),INDEX($O$2:$O$1001,MATCH(ROWS($J$2:J614),$J$2:$J$1001,0),0)))</f>
        <v xml:space="preserve"> </v>
      </c>
      <c r="B614" s="3" t="str">
        <f ca="1">IF(OR(INDEX($K$2:$K$1001,MATCH(ROWS($J$2:J614),$J$2:$J$1001,0),1)&gt;=100000,INDEX($Q$1005:$U$1005,1,MATCH(COLUMNS($Q$1006:Q1006),$Q$1006:$U$1006,0))&gt;=100000), " ",IF(INDEX($Q$2:$U$1001,MATCH(ROWS($J$2:J614),$J$2:$J$1001,0),MATCH(COLUMNS($Q$1006:Q1006),$Q$1006:$U$1006,0)), HYPERLINK("#",""), HYPERLINK(CONCATENATE("#metadata!", ADDRESS(INDEX($L$2:$L$1001,MATCH(ROWS($J$2:J614),$J$2:$J$1001,0),0), INDEX($Q$1004:$U$1004,1,MATCH(COLUMNS($Q$1006:Q1006),$Q$1006:$U$1006,0)))),"Fix")))</f>
        <v xml:space="preserve"> </v>
      </c>
      <c r="C614" s="3" t="str">
        <f ca="1">IF(OR(INDEX($K$2:$K$1001,MATCH(ROWS($J$2:J614),$J$2:$J$1001,0),1)&gt;=100000,INDEX($Q$1005:$U$1005,1,MATCH(COLUMNS($Q$1006:R1006),$Q$1006:$U$1006,0))&gt;=100000), " ",IF(INDEX($Q$2:$U$1001,MATCH(ROWS($J$2:J614),$J$2:$J$1001,0),MATCH(COLUMNS($Q$1006:R1006),$Q$1006:$U$1006,0)), HYPERLINK("#",""), HYPERLINK(CONCATENATE("#metadata!", ADDRESS(INDEX($L$2:$L$1001,MATCH(ROWS($J$2:J614),$J$2:$J$1001,0),0), INDEX($Q$1004:$U$1004,1,MATCH(COLUMNS($Q$1006:R1006),$Q$1006:$U$1006,0)))),"Fix")))</f>
        <v xml:space="preserve"> </v>
      </c>
      <c r="D614" s="3" t="str">
        <f ca="1">IF(OR(INDEX($K$2:$K$1001,MATCH(ROWS($J$2:J614),$J$2:$J$1001,0),1)&gt;=100000,INDEX($Q$1005:$U$1005,1,MATCH(COLUMNS($Q$1006:S1006),$Q$1006:$U$1006,0))&gt;=100000), " ",IF(INDEX($Q$2:$U$1001,MATCH(ROWS($J$2:J614),$J$2:$J$1001,0),MATCH(COLUMNS($Q$1006:S1006),$Q$1006:$U$1006,0)), HYPERLINK("#",""), HYPERLINK(CONCATENATE("#metadata!", ADDRESS(INDEX($L$2:$L$1001,MATCH(ROWS($J$2:J614),$J$2:$J$1001,0),0), INDEX($Q$1004:$U$1004,1,MATCH(COLUMNS($Q$1006:S1006),$Q$1006:$U$1006,0)))),"Fix")))</f>
        <v xml:space="preserve"> </v>
      </c>
      <c r="E614" s="3" t="str">
        <f ca="1">IF(OR(INDEX($K$2:$K$1001,MATCH(ROWS($J$2:J614),$J$2:$J$1001,0),1)&gt;=100000,INDEX($Q$1005:$U$1005,1,MATCH(COLUMNS($Q$1006:T1006),$Q$1006:$U$1006,0))&gt;=100000), " ",IF(INDEX($Q$2:$U$1001,MATCH(ROWS($J$2:J614),$J$2:$J$1001,0),MATCH(COLUMNS($Q$1006:T1006),$Q$1006:$U$1006,0)), HYPERLINK("#",""), HYPERLINK(CONCATENATE("#metadata!", ADDRESS(INDEX($L$2:$L$1001,MATCH(ROWS($J$2:J614),$J$2:$J$1001,0),0), INDEX($Q$1004:$U$1004,1,MATCH(COLUMNS($Q$1006:T1006),$Q$1006:$U$1006,0)))),"Fix")))</f>
        <v xml:space="preserve"> </v>
      </c>
      <c r="F614" s="3" t="str">
        <f ca="1">IF(OR(INDEX($K$2:$K$1001,MATCH(ROWS($J$2:J614),$J$2:$J$1001,0),1)&gt;=100000,INDEX($Q$1005:$U$1005,1,MATCH(COLUMNS($Q$1006:U1006),$Q$1006:$U$1006,0))&gt;=100000), " ",IF(INDEX($Q$2:$U$1001,MATCH(ROWS($J$2:J614),$J$2:$J$1001,0),MATCH(COLUMNS($Q$1006:U1006),$Q$1006:$U$1006,0)), HYPERLINK("#",""), HYPERLINK(CONCATENATE("#metadata!", ADDRESS(INDEX($L$2:$L$1001,MATCH(ROWS($J$2:J614),$J$2:$J$1001,0),0), INDEX($Q$1004:$U$1004,1,MATCH(COLUMNS($Q$1006:U1006),$Q$1006:$U$1006,0)))),"Fix")))</f>
        <v xml:space="preserve"> </v>
      </c>
      <c r="J614">
        <v>613</v>
      </c>
      <c r="K614">
        <v>100614</v>
      </c>
      <c r="L614">
        <v>614</v>
      </c>
      <c r="M614" t="b">
        <f t="shared" si="9"/>
        <v>1</v>
      </c>
      <c r="N614" t="b">
        <f>COUNTBLANK(metadata!B614:F614)=COLUMNS(metadata!B614:F614)</f>
        <v>1</v>
      </c>
      <c r="O614" t="str">
        <v/>
      </c>
      <c r="Q614" t="b">
        <f ca="1">AND(IF(metadata!B614="",FALSE,TRUE),COUNTIF(metadata!B:B, metadata!B614) = 1,NOT(ISERROR(SUMPRODUCT(SEARCH(MID(metadata!B614,ROW(INDIRECT("1:"&amp;LEN(metadata!B614))), 1),"0123456789abcdefghijklmnopqrstuvwxyzABCDEFGHIJKLMNOPQRSTUVWXYZ.")))))</f>
        <v>0</v>
      </c>
      <c r="R614" t="b">
        <f>AND(IF(metadata!C614="",FALSE,TRUE),OR(EXACT(metadata!C614,"saline"),EXACT(metadata!C614,"non-saline")))</f>
        <v>0</v>
      </c>
      <c r="S614" t="b">
        <f>AND(IF(metadata!D614="",FALSE,TRUE),OR(EXACT(metadata!D614,"surface (non-saline)"),EXACT(metadata!D614,"aerosol (non-saline)"),EXACT(metadata!D614,"sediment (non-saline)"),EXACT(metadata!D614,"surface (saline)"),EXACT(metadata!D614,"aerosol (saline)"),EXACT(metadata!D614,"sediment (saline)")))</f>
        <v>0</v>
      </c>
      <c r="T614" t="b">
        <f>AND(IF(metadata!E614="",FALSE,TRUE),EXACT(metadata!E614,"built environment"))</f>
        <v>0</v>
      </c>
      <c r="U614" t="b">
        <f>OR(AND(IF(metadata!F614="",FALSE,TRUE),EXACT(metadata!F614,"not applicable")),AND(IF(metadata!F614="",FALSE,TRUE),EXACT(metadata!F614,"anaerobic digester content")))</f>
        <v>0</v>
      </c>
    </row>
    <row r="615" spans="1:21" x14ac:dyDescent="0.2">
      <c r="A615" s="4" t="str">
        <f ca="1">IF(B615=" "," ",HYPERLINK(CONCATENATE("#metadata!",ADDRESS(INDEX($L$2:$L$1001,MATCH(ROWS($J$2:J615),$J$2:$J$1001,0),0),1)),INDEX($O$2:$O$1001,MATCH(ROWS($J$2:J615),$J$2:$J$1001,0),0)))</f>
        <v xml:space="preserve"> </v>
      </c>
      <c r="B615" s="3" t="str">
        <f ca="1">IF(OR(INDEX($K$2:$K$1001,MATCH(ROWS($J$2:J615),$J$2:$J$1001,0),1)&gt;=100000,INDEX($Q$1005:$U$1005,1,MATCH(COLUMNS($Q$1006:Q1006),$Q$1006:$U$1006,0))&gt;=100000), " ",IF(INDEX($Q$2:$U$1001,MATCH(ROWS($J$2:J615),$J$2:$J$1001,0),MATCH(COLUMNS($Q$1006:Q1006),$Q$1006:$U$1006,0)), HYPERLINK("#",""), HYPERLINK(CONCATENATE("#metadata!", ADDRESS(INDEX($L$2:$L$1001,MATCH(ROWS($J$2:J615),$J$2:$J$1001,0),0), INDEX($Q$1004:$U$1004,1,MATCH(COLUMNS($Q$1006:Q1006),$Q$1006:$U$1006,0)))),"Fix")))</f>
        <v xml:space="preserve"> </v>
      </c>
      <c r="C615" s="3" t="str">
        <f ca="1">IF(OR(INDEX($K$2:$K$1001,MATCH(ROWS($J$2:J615),$J$2:$J$1001,0),1)&gt;=100000,INDEX($Q$1005:$U$1005,1,MATCH(COLUMNS($Q$1006:R1006),$Q$1006:$U$1006,0))&gt;=100000), " ",IF(INDEX($Q$2:$U$1001,MATCH(ROWS($J$2:J615),$J$2:$J$1001,0),MATCH(COLUMNS($Q$1006:R1006),$Q$1006:$U$1006,0)), HYPERLINK("#",""), HYPERLINK(CONCATENATE("#metadata!", ADDRESS(INDEX($L$2:$L$1001,MATCH(ROWS($J$2:J615),$J$2:$J$1001,0),0), INDEX($Q$1004:$U$1004,1,MATCH(COLUMNS($Q$1006:R1006),$Q$1006:$U$1006,0)))),"Fix")))</f>
        <v xml:space="preserve"> </v>
      </c>
      <c r="D615" s="3" t="str">
        <f ca="1">IF(OR(INDEX($K$2:$K$1001,MATCH(ROWS($J$2:J615),$J$2:$J$1001,0),1)&gt;=100000,INDEX($Q$1005:$U$1005,1,MATCH(COLUMNS($Q$1006:S1006),$Q$1006:$U$1006,0))&gt;=100000), " ",IF(INDEX($Q$2:$U$1001,MATCH(ROWS($J$2:J615),$J$2:$J$1001,0),MATCH(COLUMNS($Q$1006:S1006),$Q$1006:$U$1006,0)), HYPERLINK("#",""), HYPERLINK(CONCATENATE("#metadata!", ADDRESS(INDEX($L$2:$L$1001,MATCH(ROWS($J$2:J615),$J$2:$J$1001,0),0), INDEX($Q$1004:$U$1004,1,MATCH(COLUMNS($Q$1006:S1006),$Q$1006:$U$1006,0)))),"Fix")))</f>
        <v xml:space="preserve"> </v>
      </c>
      <c r="E615" s="3" t="str">
        <f ca="1">IF(OR(INDEX($K$2:$K$1001,MATCH(ROWS($J$2:J615),$J$2:$J$1001,0),1)&gt;=100000,INDEX($Q$1005:$U$1005,1,MATCH(COLUMNS($Q$1006:T1006),$Q$1006:$U$1006,0))&gt;=100000), " ",IF(INDEX($Q$2:$U$1001,MATCH(ROWS($J$2:J615),$J$2:$J$1001,0),MATCH(COLUMNS($Q$1006:T1006),$Q$1006:$U$1006,0)), HYPERLINK("#",""), HYPERLINK(CONCATENATE("#metadata!", ADDRESS(INDEX($L$2:$L$1001,MATCH(ROWS($J$2:J615),$J$2:$J$1001,0),0), INDEX($Q$1004:$U$1004,1,MATCH(COLUMNS($Q$1006:T1006),$Q$1006:$U$1006,0)))),"Fix")))</f>
        <v xml:space="preserve"> </v>
      </c>
      <c r="F615" s="3" t="str">
        <f ca="1">IF(OR(INDEX($K$2:$K$1001,MATCH(ROWS($J$2:J615),$J$2:$J$1001,0),1)&gt;=100000,INDEX($Q$1005:$U$1005,1,MATCH(COLUMNS($Q$1006:U1006),$Q$1006:$U$1006,0))&gt;=100000), " ",IF(INDEX($Q$2:$U$1001,MATCH(ROWS($J$2:J615),$J$2:$J$1001,0),MATCH(COLUMNS($Q$1006:U1006),$Q$1006:$U$1006,0)), HYPERLINK("#",""), HYPERLINK(CONCATENATE("#metadata!", ADDRESS(INDEX($L$2:$L$1001,MATCH(ROWS($J$2:J615),$J$2:$J$1001,0),0), INDEX($Q$1004:$U$1004,1,MATCH(COLUMNS($Q$1006:U1006),$Q$1006:$U$1006,0)))),"Fix")))</f>
        <v xml:space="preserve"> </v>
      </c>
      <c r="J615">
        <v>614</v>
      </c>
      <c r="K615">
        <v>100615</v>
      </c>
      <c r="L615">
        <v>615</v>
      </c>
      <c r="M615" t="b">
        <f t="shared" si="9"/>
        <v>1</v>
      </c>
      <c r="N615" t="b">
        <f>COUNTBLANK(metadata!B615:F615)=COLUMNS(metadata!B615:F615)</f>
        <v>1</v>
      </c>
      <c r="O615" t="str">
        <v/>
      </c>
      <c r="Q615" t="b">
        <f ca="1">AND(IF(metadata!B615="",FALSE,TRUE),COUNTIF(metadata!B:B, metadata!B615) = 1,NOT(ISERROR(SUMPRODUCT(SEARCH(MID(metadata!B615,ROW(INDIRECT("1:"&amp;LEN(metadata!B615))), 1),"0123456789abcdefghijklmnopqrstuvwxyzABCDEFGHIJKLMNOPQRSTUVWXYZ.")))))</f>
        <v>0</v>
      </c>
      <c r="R615" t="b">
        <f>AND(IF(metadata!C615="",FALSE,TRUE),OR(EXACT(metadata!C615,"saline"),EXACT(metadata!C615,"non-saline")))</f>
        <v>0</v>
      </c>
      <c r="S615" t="b">
        <f>AND(IF(metadata!D615="",FALSE,TRUE),OR(EXACT(metadata!D615,"surface (non-saline)"),EXACT(metadata!D615,"aerosol (non-saline)"),EXACT(metadata!D615,"sediment (non-saline)"),EXACT(metadata!D615,"surface (saline)"),EXACT(metadata!D615,"aerosol (saline)"),EXACT(metadata!D615,"sediment (saline)")))</f>
        <v>0</v>
      </c>
      <c r="T615" t="b">
        <f>AND(IF(metadata!E615="",FALSE,TRUE),EXACT(metadata!E615,"built environment"))</f>
        <v>0</v>
      </c>
      <c r="U615" t="b">
        <f>OR(AND(IF(metadata!F615="",FALSE,TRUE),EXACT(metadata!F615,"not applicable")),AND(IF(metadata!F615="",FALSE,TRUE),EXACT(metadata!F615,"anaerobic digester content")))</f>
        <v>0</v>
      </c>
    </row>
    <row r="616" spans="1:21" x14ac:dyDescent="0.2">
      <c r="A616" s="4" t="str">
        <f ca="1">IF(B616=" "," ",HYPERLINK(CONCATENATE("#metadata!",ADDRESS(INDEX($L$2:$L$1001,MATCH(ROWS($J$2:J616),$J$2:$J$1001,0),0),1)),INDEX($O$2:$O$1001,MATCH(ROWS($J$2:J616),$J$2:$J$1001,0),0)))</f>
        <v xml:space="preserve"> </v>
      </c>
      <c r="B616" s="3" t="str">
        <f ca="1">IF(OR(INDEX($K$2:$K$1001,MATCH(ROWS($J$2:J616),$J$2:$J$1001,0),1)&gt;=100000,INDEX($Q$1005:$U$1005,1,MATCH(COLUMNS($Q$1006:Q1006),$Q$1006:$U$1006,0))&gt;=100000), " ",IF(INDEX($Q$2:$U$1001,MATCH(ROWS($J$2:J616),$J$2:$J$1001,0),MATCH(COLUMNS($Q$1006:Q1006),$Q$1006:$U$1006,0)), HYPERLINK("#",""), HYPERLINK(CONCATENATE("#metadata!", ADDRESS(INDEX($L$2:$L$1001,MATCH(ROWS($J$2:J616),$J$2:$J$1001,0),0), INDEX($Q$1004:$U$1004,1,MATCH(COLUMNS($Q$1006:Q1006),$Q$1006:$U$1006,0)))),"Fix")))</f>
        <v xml:space="preserve"> </v>
      </c>
      <c r="C616" s="3" t="str">
        <f ca="1">IF(OR(INDEX($K$2:$K$1001,MATCH(ROWS($J$2:J616),$J$2:$J$1001,0),1)&gt;=100000,INDEX($Q$1005:$U$1005,1,MATCH(COLUMNS($Q$1006:R1006),$Q$1006:$U$1006,0))&gt;=100000), " ",IF(INDEX($Q$2:$U$1001,MATCH(ROWS($J$2:J616),$J$2:$J$1001,0),MATCH(COLUMNS($Q$1006:R1006),$Q$1006:$U$1006,0)), HYPERLINK("#",""), HYPERLINK(CONCATENATE("#metadata!", ADDRESS(INDEX($L$2:$L$1001,MATCH(ROWS($J$2:J616),$J$2:$J$1001,0),0), INDEX($Q$1004:$U$1004,1,MATCH(COLUMNS($Q$1006:R1006),$Q$1006:$U$1006,0)))),"Fix")))</f>
        <v xml:space="preserve"> </v>
      </c>
      <c r="D616" s="3" t="str">
        <f ca="1">IF(OR(INDEX($K$2:$K$1001,MATCH(ROWS($J$2:J616),$J$2:$J$1001,0),1)&gt;=100000,INDEX($Q$1005:$U$1005,1,MATCH(COLUMNS($Q$1006:S1006),$Q$1006:$U$1006,0))&gt;=100000), " ",IF(INDEX($Q$2:$U$1001,MATCH(ROWS($J$2:J616),$J$2:$J$1001,0),MATCH(COLUMNS($Q$1006:S1006),$Q$1006:$U$1006,0)), HYPERLINK("#",""), HYPERLINK(CONCATENATE("#metadata!", ADDRESS(INDEX($L$2:$L$1001,MATCH(ROWS($J$2:J616),$J$2:$J$1001,0),0), INDEX($Q$1004:$U$1004,1,MATCH(COLUMNS($Q$1006:S1006),$Q$1006:$U$1006,0)))),"Fix")))</f>
        <v xml:space="preserve"> </v>
      </c>
      <c r="E616" s="3" t="str">
        <f ca="1">IF(OR(INDEX($K$2:$K$1001,MATCH(ROWS($J$2:J616),$J$2:$J$1001,0),1)&gt;=100000,INDEX($Q$1005:$U$1005,1,MATCH(COLUMNS($Q$1006:T1006),$Q$1006:$U$1006,0))&gt;=100000), " ",IF(INDEX($Q$2:$U$1001,MATCH(ROWS($J$2:J616),$J$2:$J$1001,0),MATCH(COLUMNS($Q$1006:T1006),$Q$1006:$U$1006,0)), HYPERLINK("#",""), HYPERLINK(CONCATENATE("#metadata!", ADDRESS(INDEX($L$2:$L$1001,MATCH(ROWS($J$2:J616),$J$2:$J$1001,0),0), INDEX($Q$1004:$U$1004,1,MATCH(COLUMNS($Q$1006:T1006),$Q$1006:$U$1006,0)))),"Fix")))</f>
        <v xml:space="preserve"> </v>
      </c>
      <c r="F616" s="3" t="str">
        <f ca="1">IF(OR(INDEX($K$2:$K$1001,MATCH(ROWS($J$2:J616),$J$2:$J$1001,0),1)&gt;=100000,INDEX($Q$1005:$U$1005,1,MATCH(COLUMNS($Q$1006:U1006),$Q$1006:$U$1006,0))&gt;=100000), " ",IF(INDEX($Q$2:$U$1001,MATCH(ROWS($J$2:J616),$J$2:$J$1001,0),MATCH(COLUMNS($Q$1006:U1006),$Q$1006:$U$1006,0)), HYPERLINK("#",""), HYPERLINK(CONCATENATE("#metadata!", ADDRESS(INDEX($L$2:$L$1001,MATCH(ROWS($J$2:J616),$J$2:$J$1001,0),0), INDEX($Q$1004:$U$1004,1,MATCH(COLUMNS($Q$1006:U1006),$Q$1006:$U$1006,0)))),"Fix")))</f>
        <v xml:space="preserve"> </v>
      </c>
      <c r="J616">
        <v>615</v>
      </c>
      <c r="K616">
        <v>100616</v>
      </c>
      <c r="L616">
        <v>616</v>
      </c>
      <c r="M616" t="b">
        <f t="shared" si="9"/>
        <v>1</v>
      </c>
      <c r="N616" t="b">
        <f>COUNTBLANK(metadata!B616:F616)=COLUMNS(metadata!B616:F616)</f>
        <v>1</v>
      </c>
      <c r="O616" t="str">
        <v/>
      </c>
      <c r="Q616" t="b">
        <f ca="1">AND(IF(metadata!B616="",FALSE,TRUE),COUNTIF(metadata!B:B, metadata!B616) = 1,NOT(ISERROR(SUMPRODUCT(SEARCH(MID(metadata!B616,ROW(INDIRECT("1:"&amp;LEN(metadata!B616))), 1),"0123456789abcdefghijklmnopqrstuvwxyzABCDEFGHIJKLMNOPQRSTUVWXYZ.")))))</f>
        <v>0</v>
      </c>
      <c r="R616" t="b">
        <f>AND(IF(metadata!C616="",FALSE,TRUE),OR(EXACT(metadata!C616,"saline"),EXACT(metadata!C616,"non-saline")))</f>
        <v>0</v>
      </c>
      <c r="S616" t="b">
        <f>AND(IF(metadata!D616="",FALSE,TRUE),OR(EXACT(metadata!D616,"surface (non-saline)"),EXACT(metadata!D616,"aerosol (non-saline)"),EXACT(metadata!D616,"sediment (non-saline)"),EXACT(metadata!D616,"surface (saline)"),EXACT(metadata!D616,"aerosol (saline)"),EXACT(metadata!D616,"sediment (saline)")))</f>
        <v>0</v>
      </c>
      <c r="T616" t="b">
        <f>AND(IF(metadata!E616="",FALSE,TRUE),EXACT(metadata!E616,"built environment"))</f>
        <v>0</v>
      </c>
      <c r="U616" t="b">
        <f>OR(AND(IF(metadata!F616="",FALSE,TRUE),EXACT(metadata!F616,"not applicable")),AND(IF(metadata!F616="",FALSE,TRUE),EXACT(metadata!F616,"anaerobic digester content")))</f>
        <v>0</v>
      </c>
    </row>
    <row r="617" spans="1:21" x14ac:dyDescent="0.2">
      <c r="A617" s="4" t="str">
        <f ca="1">IF(B617=" "," ",HYPERLINK(CONCATENATE("#metadata!",ADDRESS(INDEX($L$2:$L$1001,MATCH(ROWS($J$2:J617),$J$2:$J$1001,0),0),1)),INDEX($O$2:$O$1001,MATCH(ROWS($J$2:J617),$J$2:$J$1001,0),0)))</f>
        <v xml:space="preserve"> </v>
      </c>
      <c r="B617" s="3" t="str">
        <f ca="1">IF(OR(INDEX($K$2:$K$1001,MATCH(ROWS($J$2:J617),$J$2:$J$1001,0),1)&gt;=100000,INDEX($Q$1005:$U$1005,1,MATCH(COLUMNS($Q$1006:Q1006),$Q$1006:$U$1006,0))&gt;=100000), " ",IF(INDEX($Q$2:$U$1001,MATCH(ROWS($J$2:J617),$J$2:$J$1001,0),MATCH(COLUMNS($Q$1006:Q1006),$Q$1006:$U$1006,0)), HYPERLINK("#",""), HYPERLINK(CONCATENATE("#metadata!", ADDRESS(INDEX($L$2:$L$1001,MATCH(ROWS($J$2:J617),$J$2:$J$1001,0),0), INDEX($Q$1004:$U$1004,1,MATCH(COLUMNS($Q$1006:Q1006),$Q$1006:$U$1006,0)))),"Fix")))</f>
        <v xml:space="preserve"> </v>
      </c>
      <c r="C617" s="3" t="str">
        <f ca="1">IF(OR(INDEX($K$2:$K$1001,MATCH(ROWS($J$2:J617),$J$2:$J$1001,0),1)&gt;=100000,INDEX($Q$1005:$U$1005,1,MATCH(COLUMNS($Q$1006:R1006),$Q$1006:$U$1006,0))&gt;=100000), " ",IF(INDEX($Q$2:$U$1001,MATCH(ROWS($J$2:J617),$J$2:$J$1001,0),MATCH(COLUMNS($Q$1006:R1006),$Q$1006:$U$1006,0)), HYPERLINK("#",""), HYPERLINK(CONCATENATE("#metadata!", ADDRESS(INDEX($L$2:$L$1001,MATCH(ROWS($J$2:J617),$J$2:$J$1001,0),0), INDEX($Q$1004:$U$1004,1,MATCH(COLUMNS($Q$1006:R1006),$Q$1006:$U$1006,0)))),"Fix")))</f>
        <v xml:space="preserve"> </v>
      </c>
      <c r="D617" s="3" t="str">
        <f ca="1">IF(OR(INDEX($K$2:$K$1001,MATCH(ROWS($J$2:J617),$J$2:$J$1001,0),1)&gt;=100000,INDEX($Q$1005:$U$1005,1,MATCH(COLUMNS($Q$1006:S1006),$Q$1006:$U$1006,0))&gt;=100000), " ",IF(INDEX($Q$2:$U$1001,MATCH(ROWS($J$2:J617),$J$2:$J$1001,0),MATCH(COLUMNS($Q$1006:S1006),$Q$1006:$U$1006,0)), HYPERLINK("#",""), HYPERLINK(CONCATENATE("#metadata!", ADDRESS(INDEX($L$2:$L$1001,MATCH(ROWS($J$2:J617),$J$2:$J$1001,0),0), INDEX($Q$1004:$U$1004,1,MATCH(COLUMNS($Q$1006:S1006),$Q$1006:$U$1006,0)))),"Fix")))</f>
        <v xml:space="preserve"> </v>
      </c>
      <c r="E617" s="3" t="str">
        <f ca="1">IF(OR(INDEX($K$2:$K$1001,MATCH(ROWS($J$2:J617),$J$2:$J$1001,0),1)&gt;=100000,INDEX($Q$1005:$U$1005,1,MATCH(COLUMNS($Q$1006:T1006),$Q$1006:$U$1006,0))&gt;=100000), " ",IF(INDEX($Q$2:$U$1001,MATCH(ROWS($J$2:J617),$J$2:$J$1001,0),MATCH(COLUMNS($Q$1006:T1006),$Q$1006:$U$1006,0)), HYPERLINK("#",""), HYPERLINK(CONCATENATE("#metadata!", ADDRESS(INDEX($L$2:$L$1001,MATCH(ROWS($J$2:J617),$J$2:$J$1001,0),0), INDEX($Q$1004:$U$1004,1,MATCH(COLUMNS($Q$1006:T1006),$Q$1006:$U$1006,0)))),"Fix")))</f>
        <v xml:space="preserve"> </v>
      </c>
      <c r="F617" s="3" t="str">
        <f ca="1">IF(OR(INDEX($K$2:$K$1001,MATCH(ROWS($J$2:J617),$J$2:$J$1001,0),1)&gt;=100000,INDEX($Q$1005:$U$1005,1,MATCH(COLUMNS($Q$1006:U1006),$Q$1006:$U$1006,0))&gt;=100000), " ",IF(INDEX($Q$2:$U$1001,MATCH(ROWS($J$2:J617),$J$2:$J$1001,0),MATCH(COLUMNS($Q$1006:U1006),$Q$1006:$U$1006,0)), HYPERLINK("#",""), HYPERLINK(CONCATENATE("#metadata!", ADDRESS(INDEX($L$2:$L$1001,MATCH(ROWS($J$2:J617),$J$2:$J$1001,0),0), INDEX($Q$1004:$U$1004,1,MATCH(COLUMNS($Q$1006:U1006),$Q$1006:$U$1006,0)))),"Fix")))</f>
        <v xml:space="preserve"> </v>
      </c>
      <c r="J617">
        <v>616</v>
      </c>
      <c r="K617">
        <v>100617</v>
      </c>
      <c r="L617">
        <v>617</v>
      </c>
      <c r="M617" t="b">
        <f t="shared" si="9"/>
        <v>1</v>
      </c>
      <c r="N617" t="b">
        <f>COUNTBLANK(metadata!B617:F617)=COLUMNS(metadata!B617:F617)</f>
        <v>1</v>
      </c>
      <c r="O617" t="str">
        <v/>
      </c>
      <c r="Q617" t="b">
        <f ca="1">AND(IF(metadata!B617="",FALSE,TRUE),COUNTIF(metadata!B:B, metadata!B617) = 1,NOT(ISERROR(SUMPRODUCT(SEARCH(MID(metadata!B617,ROW(INDIRECT("1:"&amp;LEN(metadata!B617))), 1),"0123456789abcdefghijklmnopqrstuvwxyzABCDEFGHIJKLMNOPQRSTUVWXYZ.")))))</f>
        <v>0</v>
      </c>
      <c r="R617" t="b">
        <f>AND(IF(metadata!C617="",FALSE,TRUE),OR(EXACT(metadata!C617,"saline"),EXACT(metadata!C617,"non-saline")))</f>
        <v>0</v>
      </c>
      <c r="S617" t="b">
        <f>AND(IF(metadata!D617="",FALSE,TRUE),OR(EXACT(metadata!D617,"surface (non-saline)"),EXACT(metadata!D617,"aerosol (non-saline)"),EXACT(metadata!D617,"sediment (non-saline)"),EXACT(metadata!D617,"surface (saline)"),EXACT(metadata!D617,"aerosol (saline)"),EXACT(metadata!D617,"sediment (saline)")))</f>
        <v>0</v>
      </c>
      <c r="T617" t="b">
        <f>AND(IF(metadata!E617="",FALSE,TRUE),EXACT(metadata!E617,"built environment"))</f>
        <v>0</v>
      </c>
      <c r="U617" t="b">
        <f>OR(AND(IF(metadata!F617="",FALSE,TRUE),EXACT(metadata!F617,"not applicable")),AND(IF(metadata!F617="",FALSE,TRUE),EXACT(metadata!F617,"anaerobic digester content")))</f>
        <v>0</v>
      </c>
    </row>
    <row r="618" spans="1:21" x14ac:dyDescent="0.2">
      <c r="A618" s="4" t="str">
        <f ca="1">IF(B618=" "," ",HYPERLINK(CONCATENATE("#metadata!",ADDRESS(INDEX($L$2:$L$1001,MATCH(ROWS($J$2:J618),$J$2:$J$1001,0),0),1)),INDEX($O$2:$O$1001,MATCH(ROWS($J$2:J618),$J$2:$J$1001,0),0)))</f>
        <v xml:space="preserve"> </v>
      </c>
      <c r="B618" s="3" t="str">
        <f ca="1">IF(OR(INDEX($K$2:$K$1001,MATCH(ROWS($J$2:J618),$J$2:$J$1001,0),1)&gt;=100000,INDEX($Q$1005:$U$1005,1,MATCH(COLUMNS($Q$1006:Q1006),$Q$1006:$U$1006,0))&gt;=100000), " ",IF(INDEX($Q$2:$U$1001,MATCH(ROWS($J$2:J618),$J$2:$J$1001,0),MATCH(COLUMNS($Q$1006:Q1006),$Q$1006:$U$1006,0)), HYPERLINK("#",""), HYPERLINK(CONCATENATE("#metadata!", ADDRESS(INDEX($L$2:$L$1001,MATCH(ROWS($J$2:J618),$J$2:$J$1001,0),0), INDEX($Q$1004:$U$1004,1,MATCH(COLUMNS($Q$1006:Q1006),$Q$1006:$U$1006,0)))),"Fix")))</f>
        <v xml:space="preserve"> </v>
      </c>
      <c r="C618" s="3" t="str">
        <f ca="1">IF(OR(INDEX($K$2:$K$1001,MATCH(ROWS($J$2:J618),$J$2:$J$1001,0),1)&gt;=100000,INDEX($Q$1005:$U$1005,1,MATCH(COLUMNS($Q$1006:R1006),$Q$1006:$U$1006,0))&gt;=100000), " ",IF(INDEX($Q$2:$U$1001,MATCH(ROWS($J$2:J618),$J$2:$J$1001,0),MATCH(COLUMNS($Q$1006:R1006),$Q$1006:$U$1006,0)), HYPERLINK("#",""), HYPERLINK(CONCATENATE("#metadata!", ADDRESS(INDEX($L$2:$L$1001,MATCH(ROWS($J$2:J618),$J$2:$J$1001,0),0), INDEX($Q$1004:$U$1004,1,MATCH(COLUMNS($Q$1006:R1006),$Q$1006:$U$1006,0)))),"Fix")))</f>
        <v xml:space="preserve"> </v>
      </c>
      <c r="D618" s="3" t="str">
        <f ca="1">IF(OR(INDEX($K$2:$K$1001,MATCH(ROWS($J$2:J618),$J$2:$J$1001,0),1)&gt;=100000,INDEX($Q$1005:$U$1005,1,MATCH(COLUMNS($Q$1006:S1006),$Q$1006:$U$1006,0))&gt;=100000), " ",IF(INDEX($Q$2:$U$1001,MATCH(ROWS($J$2:J618),$J$2:$J$1001,0),MATCH(COLUMNS($Q$1006:S1006),$Q$1006:$U$1006,0)), HYPERLINK("#",""), HYPERLINK(CONCATENATE("#metadata!", ADDRESS(INDEX($L$2:$L$1001,MATCH(ROWS($J$2:J618),$J$2:$J$1001,0),0), INDEX($Q$1004:$U$1004,1,MATCH(COLUMNS($Q$1006:S1006),$Q$1006:$U$1006,0)))),"Fix")))</f>
        <v xml:space="preserve"> </v>
      </c>
      <c r="E618" s="3" t="str">
        <f ca="1">IF(OR(INDEX($K$2:$K$1001,MATCH(ROWS($J$2:J618),$J$2:$J$1001,0),1)&gt;=100000,INDEX($Q$1005:$U$1005,1,MATCH(COLUMNS($Q$1006:T1006),$Q$1006:$U$1006,0))&gt;=100000), " ",IF(INDEX($Q$2:$U$1001,MATCH(ROWS($J$2:J618),$J$2:$J$1001,0),MATCH(COLUMNS($Q$1006:T1006),$Q$1006:$U$1006,0)), HYPERLINK("#",""), HYPERLINK(CONCATENATE("#metadata!", ADDRESS(INDEX($L$2:$L$1001,MATCH(ROWS($J$2:J618),$J$2:$J$1001,0),0), INDEX($Q$1004:$U$1004,1,MATCH(COLUMNS($Q$1006:T1006),$Q$1006:$U$1006,0)))),"Fix")))</f>
        <v xml:space="preserve"> </v>
      </c>
      <c r="F618" s="3" t="str">
        <f ca="1">IF(OR(INDEX($K$2:$K$1001,MATCH(ROWS($J$2:J618),$J$2:$J$1001,0),1)&gt;=100000,INDEX($Q$1005:$U$1005,1,MATCH(COLUMNS($Q$1006:U1006),$Q$1006:$U$1006,0))&gt;=100000), " ",IF(INDEX($Q$2:$U$1001,MATCH(ROWS($J$2:J618),$J$2:$J$1001,0),MATCH(COLUMNS($Q$1006:U1006),$Q$1006:$U$1006,0)), HYPERLINK("#",""), HYPERLINK(CONCATENATE("#metadata!", ADDRESS(INDEX($L$2:$L$1001,MATCH(ROWS($J$2:J618),$J$2:$J$1001,0),0), INDEX($Q$1004:$U$1004,1,MATCH(COLUMNS($Q$1006:U1006),$Q$1006:$U$1006,0)))),"Fix")))</f>
        <v xml:space="preserve"> </v>
      </c>
      <c r="J618">
        <v>617</v>
      </c>
      <c r="K618">
        <v>100618</v>
      </c>
      <c r="L618">
        <v>618</v>
      </c>
      <c r="M618" t="b">
        <f t="shared" si="9"/>
        <v>1</v>
      </c>
      <c r="N618" t="b">
        <f>COUNTBLANK(metadata!B618:F618)=COLUMNS(metadata!B618:F618)</f>
        <v>1</v>
      </c>
      <c r="O618" t="str">
        <v/>
      </c>
      <c r="Q618" t="b">
        <f ca="1">AND(IF(metadata!B618="",FALSE,TRUE),COUNTIF(metadata!B:B, metadata!B618) = 1,NOT(ISERROR(SUMPRODUCT(SEARCH(MID(metadata!B618,ROW(INDIRECT("1:"&amp;LEN(metadata!B618))), 1),"0123456789abcdefghijklmnopqrstuvwxyzABCDEFGHIJKLMNOPQRSTUVWXYZ.")))))</f>
        <v>0</v>
      </c>
      <c r="R618" t="b">
        <f>AND(IF(metadata!C618="",FALSE,TRUE),OR(EXACT(metadata!C618,"saline"),EXACT(metadata!C618,"non-saline")))</f>
        <v>0</v>
      </c>
      <c r="S618" t="b">
        <f>AND(IF(metadata!D618="",FALSE,TRUE),OR(EXACT(metadata!D618,"surface (non-saline)"),EXACT(metadata!D618,"aerosol (non-saline)"),EXACT(metadata!D618,"sediment (non-saline)"),EXACT(metadata!D618,"surface (saline)"),EXACT(metadata!D618,"aerosol (saline)"),EXACT(metadata!D618,"sediment (saline)")))</f>
        <v>0</v>
      </c>
      <c r="T618" t="b">
        <f>AND(IF(metadata!E618="",FALSE,TRUE),EXACT(metadata!E618,"built environment"))</f>
        <v>0</v>
      </c>
      <c r="U618" t="b">
        <f>OR(AND(IF(metadata!F618="",FALSE,TRUE),EXACT(metadata!F618,"not applicable")),AND(IF(metadata!F618="",FALSE,TRUE),EXACT(metadata!F618,"anaerobic digester content")))</f>
        <v>0</v>
      </c>
    </row>
    <row r="619" spans="1:21" x14ac:dyDescent="0.2">
      <c r="A619" s="4" t="str">
        <f ca="1">IF(B619=" "," ",HYPERLINK(CONCATENATE("#metadata!",ADDRESS(INDEX($L$2:$L$1001,MATCH(ROWS($J$2:J619),$J$2:$J$1001,0),0),1)),INDEX($O$2:$O$1001,MATCH(ROWS($J$2:J619),$J$2:$J$1001,0),0)))</f>
        <v xml:space="preserve"> </v>
      </c>
      <c r="B619" s="3" t="str">
        <f ca="1">IF(OR(INDEX($K$2:$K$1001,MATCH(ROWS($J$2:J619),$J$2:$J$1001,0),1)&gt;=100000,INDEX($Q$1005:$U$1005,1,MATCH(COLUMNS($Q$1006:Q1006),$Q$1006:$U$1006,0))&gt;=100000), " ",IF(INDEX($Q$2:$U$1001,MATCH(ROWS($J$2:J619),$J$2:$J$1001,0),MATCH(COLUMNS($Q$1006:Q1006),$Q$1006:$U$1006,0)), HYPERLINK("#",""), HYPERLINK(CONCATENATE("#metadata!", ADDRESS(INDEX($L$2:$L$1001,MATCH(ROWS($J$2:J619),$J$2:$J$1001,0),0), INDEX($Q$1004:$U$1004,1,MATCH(COLUMNS($Q$1006:Q1006),$Q$1006:$U$1006,0)))),"Fix")))</f>
        <v xml:space="preserve"> </v>
      </c>
      <c r="C619" s="3" t="str">
        <f ca="1">IF(OR(INDEX($K$2:$K$1001,MATCH(ROWS($J$2:J619),$J$2:$J$1001,0),1)&gt;=100000,INDEX($Q$1005:$U$1005,1,MATCH(COLUMNS($Q$1006:R1006),$Q$1006:$U$1006,0))&gt;=100000), " ",IF(INDEX($Q$2:$U$1001,MATCH(ROWS($J$2:J619),$J$2:$J$1001,0),MATCH(COLUMNS($Q$1006:R1006),$Q$1006:$U$1006,0)), HYPERLINK("#",""), HYPERLINK(CONCATENATE("#metadata!", ADDRESS(INDEX($L$2:$L$1001,MATCH(ROWS($J$2:J619),$J$2:$J$1001,0),0), INDEX($Q$1004:$U$1004,1,MATCH(COLUMNS($Q$1006:R1006),$Q$1006:$U$1006,0)))),"Fix")))</f>
        <v xml:space="preserve"> </v>
      </c>
      <c r="D619" s="3" t="str">
        <f ca="1">IF(OR(INDEX($K$2:$K$1001,MATCH(ROWS($J$2:J619),$J$2:$J$1001,0),1)&gt;=100000,INDEX($Q$1005:$U$1005,1,MATCH(COLUMNS($Q$1006:S1006),$Q$1006:$U$1006,0))&gt;=100000), " ",IF(INDEX($Q$2:$U$1001,MATCH(ROWS($J$2:J619),$J$2:$J$1001,0),MATCH(COLUMNS($Q$1006:S1006),$Q$1006:$U$1006,0)), HYPERLINK("#",""), HYPERLINK(CONCATENATE("#metadata!", ADDRESS(INDEX($L$2:$L$1001,MATCH(ROWS($J$2:J619),$J$2:$J$1001,0),0), INDEX($Q$1004:$U$1004,1,MATCH(COLUMNS($Q$1006:S1006),$Q$1006:$U$1006,0)))),"Fix")))</f>
        <v xml:space="preserve"> </v>
      </c>
      <c r="E619" s="3" t="str">
        <f ca="1">IF(OR(INDEX($K$2:$K$1001,MATCH(ROWS($J$2:J619),$J$2:$J$1001,0),1)&gt;=100000,INDEX($Q$1005:$U$1005,1,MATCH(COLUMNS($Q$1006:T1006),$Q$1006:$U$1006,0))&gt;=100000), " ",IF(INDEX($Q$2:$U$1001,MATCH(ROWS($J$2:J619),$J$2:$J$1001,0),MATCH(COLUMNS($Q$1006:T1006),$Q$1006:$U$1006,0)), HYPERLINK("#",""), HYPERLINK(CONCATENATE("#metadata!", ADDRESS(INDEX($L$2:$L$1001,MATCH(ROWS($J$2:J619),$J$2:$J$1001,0),0), INDEX($Q$1004:$U$1004,1,MATCH(COLUMNS($Q$1006:T1006),$Q$1006:$U$1006,0)))),"Fix")))</f>
        <v xml:space="preserve"> </v>
      </c>
      <c r="F619" s="3" t="str">
        <f ca="1">IF(OR(INDEX($K$2:$K$1001,MATCH(ROWS($J$2:J619),$J$2:$J$1001,0),1)&gt;=100000,INDEX($Q$1005:$U$1005,1,MATCH(COLUMNS($Q$1006:U1006),$Q$1006:$U$1006,0))&gt;=100000), " ",IF(INDEX($Q$2:$U$1001,MATCH(ROWS($J$2:J619),$J$2:$J$1001,0),MATCH(COLUMNS($Q$1006:U1006),$Q$1006:$U$1006,0)), HYPERLINK("#",""), HYPERLINK(CONCATENATE("#metadata!", ADDRESS(INDEX($L$2:$L$1001,MATCH(ROWS($J$2:J619),$J$2:$J$1001,0),0), INDEX($Q$1004:$U$1004,1,MATCH(COLUMNS($Q$1006:U1006),$Q$1006:$U$1006,0)))),"Fix")))</f>
        <v xml:space="preserve"> </v>
      </c>
      <c r="J619">
        <v>618</v>
      </c>
      <c r="K619">
        <v>100619</v>
      </c>
      <c r="L619">
        <v>619</v>
      </c>
      <c r="M619" t="b">
        <f t="shared" si="9"/>
        <v>1</v>
      </c>
      <c r="N619" t="b">
        <f>COUNTBLANK(metadata!B619:F619)=COLUMNS(metadata!B619:F619)</f>
        <v>1</v>
      </c>
      <c r="O619" t="str">
        <v/>
      </c>
      <c r="Q619" t="b">
        <f ca="1">AND(IF(metadata!B619="",FALSE,TRUE),COUNTIF(metadata!B:B, metadata!B619) = 1,NOT(ISERROR(SUMPRODUCT(SEARCH(MID(metadata!B619,ROW(INDIRECT("1:"&amp;LEN(metadata!B619))), 1),"0123456789abcdefghijklmnopqrstuvwxyzABCDEFGHIJKLMNOPQRSTUVWXYZ.")))))</f>
        <v>0</v>
      </c>
      <c r="R619" t="b">
        <f>AND(IF(metadata!C619="",FALSE,TRUE),OR(EXACT(metadata!C619,"saline"),EXACT(metadata!C619,"non-saline")))</f>
        <v>0</v>
      </c>
      <c r="S619" t="b">
        <f>AND(IF(metadata!D619="",FALSE,TRUE),OR(EXACT(metadata!D619,"surface (non-saline)"),EXACT(metadata!D619,"aerosol (non-saline)"),EXACT(metadata!D619,"sediment (non-saline)"),EXACT(metadata!D619,"surface (saline)"),EXACT(metadata!D619,"aerosol (saline)"),EXACT(metadata!D619,"sediment (saline)")))</f>
        <v>0</v>
      </c>
      <c r="T619" t="b">
        <f>AND(IF(metadata!E619="",FALSE,TRUE),EXACT(metadata!E619,"built environment"))</f>
        <v>0</v>
      </c>
      <c r="U619" t="b">
        <f>OR(AND(IF(metadata!F619="",FALSE,TRUE),EXACT(metadata!F619,"not applicable")),AND(IF(metadata!F619="",FALSE,TRUE),EXACT(metadata!F619,"anaerobic digester content")))</f>
        <v>0</v>
      </c>
    </row>
    <row r="620" spans="1:21" x14ac:dyDescent="0.2">
      <c r="A620" s="4" t="str">
        <f ca="1">IF(B620=" "," ",HYPERLINK(CONCATENATE("#metadata!",ADDRESS(INDEX($L$2:$L$1001,MATCH(ROWS($J$2:J620),$J$2:$J$1001,0),0),1)),INDEX($O$2:$O$1001,MATCH(ROWS($J$2:J620),$J$2:$J$1001,0),0)))</f>
        <v xml:space="preserve"> </v>
      </c>
      <c r="B620" s="3" t="str">
        <f ca="1">IF(OR(INDEX($K$2:$K$1001,MATCH(ROWS($J$2:J620),$J$2:$J$1001,0),1)&gt;=100000,INDEX($Q$1005:$U$1005,1,MATCH(COLUMNS($Q$1006:Q1006),$Q$1006:$U$1006,0))&gt;=100000), " ",IF(INDEX($Q$2:$U$1001,MATCH(ROWS($J$2:J620),$J$2:$J$1001,0),MATCH(COLUMNS($Q$1006:Q1006),$Q$1006:$U$1006,0)), HYPERLINK("#",""), HYPERLINK(CONCATENATE("#metadata!", ADDRESS(INDEX($L$2:$L$1001,MATCH(ROWS($J$2:J620),$J$2:$J$1001,0),0), INDEX($Q$1004:$U$1004,1,MATCH(COLUMNS($Q$1006:Q1006),$Q$1006:$U$1006,0)))),"Fix")))</f>
        <v xml:space="preserve"> </v>
      </c>
      <c r="C620" s="3" t="str">
        <f ca="1">IF(OR(INDEX($K$2:$K$1001,MATCH(ROWS($J$2:J620),$J$2:$J$1001,0),1)&gt;=100000,INDEX($Q$1005:$U$1005,1,MATCH(COLUMNS($Q$1006:R1006),$Q$1006:$U$1006,0))&gt;=100000), " ",IF(INDEX($Q$2:$U$1001,MATCH(ROWS($J$2:J620),$J$2:$J$1001,0),MATCH(COLUMNS($Q$1006:R1006),$Q$1006:$U$1006,0)), HYPERLINK("#",""), HYPERLINK(CONCATENATE("#metadata!", ADDRESS(INDEX($L$2:$L$1001,MATCH(ROWS($J$2:J620),$J$2:$J$1001,0),0), INDEX($Q$1004:$U$1004,1,MATCH(COLUMNS($Q$1006:R1006),$Q$1006:$U$1006,0)))),"Fix")))</f>
        <v xml:space="preserve"> </v>
      </c>
      <c r="D620" s="3" t="str">
        <f ca="1">IF(OR(INDEX($K$2:$K$1001,MATCH(ROWS($J$2:J620),$J$2:$J$1001,0),1)&gt;=100000,INDEX($Q$1005:$U$1005,1,MATCH(COLUMNS($Q$1006:S1006),$Q$1006:$U$1006,0))&gt;=100000), " ",IF(INDEX($Q$2:$U$1001,MATCH(ROWS($J$2:J620),$J$2:$J$1001,0),MATCH(COLUMNS($Q$1006:S1006),$Q$1006:$U$1006,0)), HYPERLINK("#",""), HYPERLINK(CONCATENATE("#metadata!", ADDRESS(INDEX($L$2:$L$1001,MATCH(ROWS($J$2:J620),$J$2:$J$1001,0),0), INDEX($Q$1004:$U$1004,1,MATCH(COLUMNS($Q$1006:S1006),$Q$1006:$U$1006,0)))),"Fix")))</f>
        <v xml:space="preserve"> </v>
      </c>
      <c r="E620" s="3" t="str">
        <f ca="1">IF(OR(INDEX($K$2:$K$1001,MATCH(ROWS($J$2:J620),$J$2:$J$1001,0),1)&gt;=100000,INDEX($Q$1005:$U$1005,1,MATCH(COLUMNS($Q$1006:T1006),$Q$1006:$U$1006,0))&gt;=100000), " ",IF(INDEX($Q$2:$U$1001,MATCH(ROWS($J$2:J620),$J$2:$J$1001,0),MATCH(COLUMNS($Q$1006:T1006),$Q$1006:$U$1006,0)), HYPERLINK("#",""), HYPERLINK(CONCATENATE("#metadata!", ADDRESS(INDEX($L$2:$L$1001,MATCH(ROWS($J$2:J620),$J$2:$J$1001,0),0), INDEX($Q$1004:$U$1004,1,MATCH(COLUMNS($Q$1006:T1006),$Q$1006:$U$1006,0)))),"Fix")))</f>
        <v xml:space="preserve"> </v>
      </c>
      <c r="F620" s="3" t="str">
        <f ca="1">IF(OR(INDEX($K$2:$K$1001,MATCH(ROWS($J$2:J620),$J$2:$J$1001,0),1)&gt;=100000,INDEX($Q$1005:$U$1005,1,MATCH(COLUMNS($Q$1006:U1006),$Q$1006:$U$1006,0))&gt;=100000), " ",IF(INDEX($Q$2:$U$1001,MATCH(ROWS($J$2:J620),$J$2:$J$1001,0),MATCH(COLUMNS($Q$1006:U1006),$Q$1006:$U$1006,0)), HYPERLINK("#",""), HYPERLINK(CONCATENATE("#metadata!", ADDRESS(INDEX($L$2:$L$1001,MATCH(ROWS($J$2:J620),$J$2:$J$1001,0),0), INDEX($Q$1004:$U$1004,1,MATCH(COLUMNS($Q$1006:U1006),$Q$1006:$U$1006,0)))),"Fix")))</f>
        <v xml:space="preserve"> </v>
      </c>
      <c r="J620">
        <v>619</v>
      </c>
      <c r="K620">
        <v>100620</v>
      </c>
      <c r="L620">
        <v>620</v>
      </c>
      <c r="M620" t="b">
        <f t="shared" si="9"/>
        <v>1</v>
      </c>
      <c r="N620" t="b">
        <f>COUNTBLANK(metadata!B620:F620)=COLUMNS(metadata!B620:F620)</f>
        <v>1</v>
      </c>
      <c r="O620" t="str">
        <v/>
      </c>
      <c r="Q620" t="b">
        <f ca="1">AND(IF(metadata!B620="",FALSE,TRUE),COUNTIF(metadata!B:B, metadata!B620) = 1,NOT(ISERROR(SUMPRODUCT(SEARCH(MID(metadata!B620,ROW(INDIRECT("1:"&amp;LEN(metadata!B620))), 1),"0123456789abcdefghijklmnopqrstuvwxyzABCDEFGHIJKLMNOPQRSTUVWXYZ.")))))</f>
        <v>0</v>
      </c>
      <c r="R620" t="b">
        <f>AND(IF(metadata!C620="",FALSE,TRUE),OR(EXACT(metadata!C620,"saline"),EXACT(metadata!C620,"non-saline")))</f>
        <v>0</v>
      </c>
      <c r="S620" t="b">
        <f>AND(IF(metadata!D620="",FALSE,TRUE),OR(EXACT(metadata!D620,"surface (non-saline)"),EXACT(metadata!D620,"aerosol (non-saline)"),EXACT(metadata!D620,"sediment (non-saline)"),EXACT(metadata!D620,"surface (saline)"),EXACT(metadata!D620,"aerosol (saline)"),EXACT(metadata!D620,"sediment (saline)")))</f>
        <v>0</v>
      </c>
      <c r="T620" t="b">
        <f>AND(IF(metadata!E620="",FALSE,TRUE),EXACT(metadata!E620,"built environment"))</f>
        <v>0</v>
      </c>
      <c r="U620" t="b">
        <f>OR(AND(IF(metadata!F620="",FALSE,TRUE),EXACT(metadata!F620,"not applicable")),AND(IF(metadata!F620="",FALSE,TRUE),EXACT(metadata!F620,"anaerobic digester content")))</f>
        <v>0</v>
      </c>
    </row>
    <row r="621" spans="1:21" x14ac:dyDescent="0.2">
      <c r="A621" s="4" t="str">
        <f ca="1">IF(B621=" "," ",HYPERLINK(CONCATENATE("#metadata!",ADDRESS(INDEX($L$2:$L$1001,MATCH(ROWS($J$2:J621),$J$2:$J$1001,0),0),1)),INDEX($O$2:$O$1001,MATCH(ROWS($J$2:J621),$J$2:$J$1001,0),0)))</f>
        <v xml:space="preserve"> </v>
      </c>
      <c r="B621" s="3" t="str">
        <f ca="1">IF(OR(INDEX($K$2:$K$1001,MATCH(ROWS($J$2:J621),$J$2:$J$1001,0),1)&gt;=100000,INDEX($Q$1005:$U$1005,1,MATCH(COLUMNS($Q$1006:Q1006),$Q$1006:$U$1006,0))&gt;=100000), " ",IF(INDEX($Q$2:$U$1001,MATCH(ROWS($J$2:J621),$J$2:$J$1001,0),MATCH(COLUMNS($Q$1006:Q1006),$Q$1006:$U$1006,0)), HYPERLINK("#",""), HYPERLINK(CONCATENATE("#metadata!", ADDRESS(INDEX($L$2:$L$1001,MATCH(ROWS($J$2:J621),$J$2:$J$1001,0),0), INDEX($Q$1004:$U$1004,1,MATCH(COLUMNS($Q$1006:Q1006),$Q$1006:$U$1006,0)))),"Fix")))</f>
        <v xml:space="preserve"> </v>
      </c>
      <c r="C621" s="3" t="str">
        <f ca="1">IF(OR(INDEX($K$2:$K$1001,MATCH(ROWS($J$2:J621),$J$2:$J$1001,0),1)&gt;=100000,INDEX($Q$1005:$U$1005,1,MATCH(COLUMNS($Q$1006:R1006),$Q$1006:$U$1006,0))&gt;=100000), " ",IF(INDEX($Q$2:$U$1001,MATCH(ROWS($J$2:J621),$J$2:$J$1001,0),MATCH(COLUMNS($Q$1006:R1006),$Q$1006:$U$1006,0)), HYPERLINK("#",""), HYPERLINK(CONCATENATE("#metadata!", ADDRESS(INDEX($L$2:$L$1001,MATCH(ROWS($J$2:J621),$J$2:$J$1001,0),0), INDEX($Q$1004:$U$1004,1,MATCH(COLUMNS($Q$1006:R1006),$Q$1006:$U$1006,0)))),"Fix")))</f>
        <v xml:space="preserve"> </v>
      </c>
      <c r="D621" s="3" t="str">
        <f ca="1">IF(OR(INDEX($K$2:$K$1001,MATCH(ROWS($J$2:J621),$J$2:$J$1001,0),1)&gt;=100000,INDEX($Q$1005:$U$1005,1,MATCH(COLUMNS($Q$1006:S1006),$Q$1006:$U$1006,0))&gt;=100000), " ",IF(INDEX($Q$2:$U$1001,MATCH(ROWS($J$2:J621),$J$2:$J$1001,0),MATCH(COLUMNS($Q$1006:S1006),$Q$1006:$U$1006,0)), HYPERLINK("#",""), HYPERLINK(CONCATENATE("#metadata!", ADDRESS(INDEX($L$2:$L$1001,MATCH(ROWS($J$2:J621),$J$2:$J$1001,0),0), INDEX($Q$1004:$U$1004,1,MATCH(COLUMNS($Q$1006:S1006),$Q$1006:$U$1006,0)))),"Fix")))</f>
        <v xml:space="preserve"> </v>
      </c>
      <c r="E621" s="3" t="str">
        <f ca="1">IF(OR(INDEX($K$2:$K$1001,MATCH(ROWS($J$2:J621),$J$2:$J$1001,0),1)&gt;=100000,INDEX($Q$1005:$U$1005,1,MATCH(COLUMNS($Q$1006:T1006),$Q$1006:$U$1006,0))&gt;=100000), " ",IF(INDEX($Q$2:$U$1001,MATCH(ROWS($J$2:J621),$J$2:$J$1001,0),MATCH(COLUMNS($Q$1006:T1006),$Q$1006:$U$1006,0)), HYPERLINK("#",""), HYPERLINK(CONCATENATE("#metadata!", ADDRESS(INDEX($L$2:$L$1001,MATCH(ROWS($J$2:J621),$J$2:$J$1001,0),0), INDEX($Q$1004:$U$1004,1,MATCH(COLUMNS($Q$1006:T1006),$Q$1006:$U$1006,0)))),"Fix")))</f>
        <v xml:space="preserve"> </v>
      </c>
      <c r="F621" s="3" t="str">
        <f ca="1">IF(OR(INDEX($K$2:$K$1001,MATCH(ROWS($J$2:J621),$J$2:$J$1001,0),1)&gt;=100000,INDEX($Q$1005:$U$1005,1,MATCH(COLUMNS($Q$1006:U1006),$Q$1006:$U$1006,0))&gt;=100000), " ",IF(INDEX($Q$2:$U$1001,MATCH(ROWS($J$2:J621),$J$2:$J$1001,0),MATCH(COLUMNS($Q$1006:U1006),$Q$1006:$U$1006,0)), HYPERLINK("#",""), HYPERLINK(CONCATENATE("#metadata!", ADDRESS(INDEX($L$2:$L$1001,MATCH(ROWS($J$2:J621),$J$2:$J$1001,0),0), INDEX($Q$1004:$U$1004,1,MATCH(COLUMNS($Q$1006:U1006),$Q$1006:$U$1006,0)))),"Fix")))</f>
        <v xml:space="preserve"> </v>
      </c>
      <c r="J621">
        <v>620</v>
      </c>
      <c r="K621">
        <v>100621</v>
      </c>
      <c r="L621">
        <v>621</v>
      </c>
      <c r="M621" t="b">
        <f t="shared" si="9"/>
        <v>1</v>
      </c>
      <c r="N621" t="b">
        <f>COUNTBLANK(metadata!B621:F621)=COLUMNS(metadata!B621:F621)</f>
        <v>1</v>
      </c>
      <c r="O621" t="str">
        <v/>
      </c>
      <c r="Q621" t="b">
        <f ca="1">AND(IF(metadata!B621="",FALSE,TRUE),COUNTIF(metadata!B:B, metadata!B621) = 1,NOT(ISERROR(SUMPRODUCT(SEARCH(MID(metadata!B621,ROW(INDIRECT("1:"&amp;LEN(metadata!B621))), 1),"0123456789abcdefghijklmnopqrstuvwxyzABCDEFGHIJKLMNOPQRSTUVWXYZ.")))))</f>
        <v>0</v>
      </c>
      <c r="R621" t="b">
        <f>AND(IF(metadata!C621="",FALSE,TRUE),OR(EXACT(metadata!C621,"saline"),EXACT(metadata!C621,"non-saline")))</f>
        <v>0</v>
      </c>
      <c r="S621" t="b">
        <f>AND(IF(metadata!D621="",FALSE,TRUE),OR(EXACT(metadata!D621,"surface (non-saline)"),EXACT(metadata!D621,"aerosol (non-saline)"),EXACT(metadata!D621,"sediment (non-saline)"),EXACT(metadata!D621,"surface (saline)"),EXACT(metadata!D621,"aerosol (saline)"),EXACT(metadata!D621,"sediment (saline)")))</f>
        <v>0</v>
      </c>
      <c r="T621" t="b">
        <f>AND(IF(metadata!E621="",FALSE,TRUE),EXACT(metadata!E621,"built environment"))</f>
        <v>0</v>
      </c>
      <c r="U621" t="b">
        <f>OR(AND(IF(metadata!F621="",FALSE,TRUE),EXACT(metadata!F621,"not applicable")),AND(IF(metadata!F621="",FALSE,TRUE),EXACT(metadata!F621,"anaerobic digester content")))</f>
        <v>0</v>
      </c>
    </row>
    <row r="622" spans="1:21" x14ac:dyDescent="0.2">
      <c r="A622" s="4" t="str">
        <f ca="1">IF(B622=" "," ",HYPERLINK(CONCATENATE("#metadata!",ADDRESS(INDEX($L$2:$L$1001,MATCH(ROWS($J$2:J622),$J$2:$J$1001,0),0),1)),INDEX($O$2:$O$1001,MATCH(ROWS($J$2:J622),$J$2:$J$1001,0),0)))</f>
        <v xml:space="preserve"> </v>
      </c>
      <c r="B622" s="3" t="str">
        <f ca="1">IF(OR(INDEX($K$2:$K$1001,MATCH(ROWS($J$2:J622),$J$2:$J$1001,0),1)&gt;=100000,INDEX($Q$1005:$U$1005,1,MATCH(COLUMNS($Q$1006:Q1006),$Q$1006:$U$1006,0))&gt;=100000), " ",IF(INDEX($Q$2:$U$1001,MATCH(ROWS($J$2:J622),$J$2:$J$1001,0),MATCH(COLUMNS($Q$1006:Q1006),$Q$1006:$U$1006,0)), HYPERLINK("#",""), HYPERLINK(CONCATENATE("#metadata!", ADDRESS(INDEX($L$2:$L$1001,MATCH(ROWS($J$2:J622),$J$2:$J$1001,0),0), INDEX($Q$1004:$U$1004,1,MATCH(COLUMNS($Q$1006:Q1006),$Q$1006:$U$1006,0)))),"Fix")))</f>
        <v xml:space="preserve"> </v>
      </c>
      <c r="C622" s="3" t="str">
        <f ca="1">IF(OR(INDEX($K$2:$K$1001,MATCH(ROWS($J$2:J622),$J$2:$J$1001,0),1)&gt;=100000,INDEX($Q$1005:$U$1005,1,MATCH(COLUMNS($Q$1006:R1006),$Q$1006:$U$1006,0))&gt;=100000), " ",IF(INDEX($Q$2:$U$1001,MATCH(ROWS($J$2:J622),$J$2:$J$1001,0),MATCH(COLUMNS($Q$1006:R1006),$Q$1006:$U$1006,0)), HYPERLINK("#",""), HYPERLINK(CONCATENATE("#metadata!", ADDRESS(INDEX($L$2:$L$1001,MATCH(ROWS($J$2:J622),$J$2:$J$1001,0),0), INDEX($Q$1004:$U$1004,1,MATCH(COLUMNS($Q$1006:R1006),$Q$1006:$U$1006,0)))),"Fix")))</f>
        <v xml:space="preserve"> </v>
      </c>
      <c r="D622" s="3" t="str">
        <f ca="1">IF(OR(INDEX($K$2:$K$1001,MATCH(ROWS($J$2:J622),$J$2:$J$1001,0),1)&gt;=100000,INDEX($Q$1005:$U$1005,1,MATCH(COLUMNS($Q$1006:S1006),$Q$1006:$U$1006,0))&gt;=100000), " ",IF(INDEX($Q$2:$U$1001,MATCH(ROWS($J$2:J622),$J$2:$J$1001,0),MATCH(COLUMNS($Q$1006:S1006),$Q$1006:$U$1006,0)), HYPERLINK("#",""), HYPERLINK(CONCATENATE("#metadata!", ADDRESS(INDEX($L$2:$L$1001,MATCH(ROWS($J$2:J622),$J$2:$J$1001,0),0), INDEX($Q$1004:$U$1004,1,MATCH(COLUMNS($Q$1006:S1006),$Q$1006:$U$1006,0)))),"Fix")))</f>
        <v xml:space="preserve"> </v>
      </c>
      <c r="E622" s="3" t="str">
        <f ca="1">IF(OR(INDEX($K$2:$K$1001,MATCH(ROWS($J$2:J622),$J$2:$J$1001,0),1)&gt;=100000,INDEX($Q$1005:$U$1005,1,MATCH(COLUMNS($Q$1006:T1006),$Q$1006:$U$1006,0))&gt;=100000), " ",IF(INDEX($Q$2:$U$1001,MATCH(ROWS($J$2:J622),$J$2:$J$1001,0),MATCH(COLUMNS($Q$1006:T1006),$Q$1006:$U$1006,0)), HYPERLINK("#",""), HYPERLINK(CONCATENATE("#metadata!", ADDRESS(INDEX($L$2:$L$1001,MATCH(ROWS($J$2:J622),$J$2:$J$1001,0),0), INDEX($Q$1004:$U$1004,1,MATCH(COLUMNS($Q$1006:T1006),$Q$1006:$U$1006,0)))),"Fix")))</f>
        <v xml:space="preserve"> </v>
      </c>
      <c r="F622" s="3" t="str">
        <f ca="1">IF(OR(INDEX($K$2:$K$1001,MATCH(ROWS($J$2:J622),$J$2:$J$1001,0),1)&gt;=100000,INDEX($Q$1005:$U$1005,1,MATCH(COLUMNS($Q$1006:U1006),$Q$1006:$U$1006,0))&gt;=100000), " ",IF(INDEX($Q$2:$U$1001,MATCH(ROWS($J$2:J622),$J$2:$J$1001,0),MATCH(COLUMNS($Q$1006:U1006),$Q$1006:$U$1006,0)), HYPERLINK("#",""), HYPERLINK(CONCATENATE("#metadata!", ADDRESS(INDEX($L$2:$L$1001,MATCH(ROWS($J$2:J622),$J$2:$J$1001,0),0), INDEX($Q$1004:$U$1004,1,MATCH(COLUMNS($Q$1006:U1006),$Q$1006:$U$1006,0)))),"Fix")))</f>
        <v xml:space="preserve"> </v>
      </c>
      <c r="J622">
        <v>621</v>
      </c>
      <c r="K622">
        <v>100622</v>
      </c>
      <c r="L622">
        <v>622</v>
      </c>
      <c r="M622" t="b">
        <f t="shared" si="9"/>
        <v>1</v>
      </c>
      <c r="N622" t="b">
        <f>COUNTBLANK(metadata!B622:F622)=COLUMNS(metadata!B622:F622)</f>
        <v>1</v>
      </c>
      <c r="O622" t="str">
        <v/>
      </c>
      <c r="Q622" t="b">
        <f ca="1">AND(IF(metadata!B622="",FALSE,TRUE),COUNTIF(metadata!B:B, metadata!B622) = 1,NOT(ISERROR(SUMPRODUCT(SEARCH(MID(metadata!B622,ROW(INDIRECT("1:"&amp;LEN(metadata!B622))), 1),"0123456789abcdefghijklmnopqrstuvwxyzABCDEFGHIJKLMNOPQRSTUVWXYZ.")))))</f>
        <v>0</v>
      </c>
      <c r="R622" t="b">
        <f>AND(IF(metadata!C622="",FALSE,TRUE),OR(EXACT(metadata!C622,"saline"),EXACT(metadata!C622,"non-saline")))</f>
        <v>0</v>
      </c>
      <c r="S622" t="b">
        <f>AND(IF(metadata!D622="",FALSE,TRUE),OR(EXACT(metadata!D622,"surface (non-saline)"),EXACT(metadata!D622,"aerosol (non-saline)"),EXACT(metadata!D622,"sediment (non-saline)"),EXACT(metadata!D622,"surface (saline)"),EXACT(metadata!D622,"aerosol (saline)"),EXACT(metadata!D622,"sediment (saline)")))</f>
        <v>0</v>
      </c>
      <c r="T622" t="b">
        <f>AND(IF(metadata!E622="",FALSE,TRUE),EXACT(metadata!E622,"built environment"))</f>
        <v>0</v>
      </c>
      <c r="U622" t="b">
        <f>OR(AND(IF(metadata!F622="",FALSE,TRUE),EXACT(metadata!F622,"not applicable")),AND(IF(metadata!F622="",FALSE,TRUE),EXACT(metadata!F622,"anaerobic digester content")))</f>
        <v>0</v>
      </c>
    </row>
    <row r="623" spans="1:21" x14ac:dyDescent="0.2">
      <c r="A623" s="4" t="str">
        <f ca="1">IF(B623=" "," ",HYPERLINK(CONCATENATE("#metadata!",ADDRESS(INDEX($L$2:$L$1001,MATCH(ROWS($J$2:J623),$J$2:$J$1001,0),0),1)),INDEX($O$2:$O$1001,MATCH(ROWS($J$2:J623),$J$2:$J$1001,0),0)))</f>
        <v xml:space="preserve"> </v>
      </c>
      <c r="B623" s="3" t="str">
        <f ca="1">IF(OR(INDEX($K$2:$K$1001,MATCH(ROWS($J$2:J623),$J$2:$J$1001,0),1)&gt;=100000,INDEX($Q$1005:$U$1005,1,MATCH(COLUMNS($Q$1006:Q1006),$Q$1006:$U$1006,0))&gt;=100000), " ",IF(INDEX($Q$2:$U$1001,MATCH(ROWS($J$2:J623),$J$2:$J$1001,0),MATCH(COLUMNS($Q$1006:Q1006),$Q$1006:$U$1006,0)), HYPERLINK("#",""), HYPERLINK(CONCATENATE("#metadata!", ADDRESS(INDEX($L$2:$L$1001,MATCH(ROWS($J$2:J623),$J$2:$J$1001,0),0), INDEX($Q$1004:$U$1004,1,MATCH(COLUMNS($Q$1006:Q1006),$Q$1006:$U$1006,0)))),"Fix")))</f>
        <v xml:space="preserve"> </v>
      </c>
      <c r="C623" s="3" t="str">
        <f ca="1">IF(OR(INDEX($K$2:$K$1001,MATCH(ROWS($J$2:J623),$J$2:$J$1001,0),1)&gt;=100000,INDEX($Q$1005:$U$1005,1,MATCH(COLUMNS($Q$1006:R1006),$Q$1006:$U$1006,0))&gt;=100000), " ",IF(INDEX($Q$2:$U$1001,MATCH(ROWS($J$2:J623),$J$2:$J$1001,0),MATCH(COLUMNS($Q$1006:R1006),$Q$1006:$U$1006,0)), HYPERLINK("#",""), HYPERLINK(CONCATENATE("#metadata!", ADDRESS(INDEX($L$2:$L$1001,MATCH(ROWS($J$2:J623),$J$2:$J$1001,0),0), INDEX($Q$1004:$U$1004,1,MATCH(COLUMNS($Q$1006:R1006),$Q$1006:$U$1006,0)))),"Fix")))</f>
        <v xml:space="preserve"> </v>
      </c>
      <c r="D623" s="3" t="str">
        <f ca="1">IF(OR(INDEX($K$2:$K$1001,MATCH(ROWS($J$2:J623),$J$2:$J$1001,0),1)&gt;=100000,INDEX($Q$1005:$U$1005,1,MATCH(COLUMNS($Q$1006:S1006),$Q$1006:$U$1006,0))&gt;=100000), " ",IF(INDEX($Q$2:$U$1001,MATCH(ROWS($J$2:J623),$J$2:$J$1001,0),MATCH(COLUMNS($Q$1006:S1006),$Q$1006:$U$1006,0)), HYPERLINK("#",""), HYPERLINK(CONCATENATE("#metadata!", ADDRESS(INDEX($L$2:$L$1001,MATCH(ROWS($J$2:J623),$J$2:$J$1001,0),0), INDEX($Q$1004:$U$1004,1,MATCH(COLUMNS($Q$1006:S1006),$Q$1006:$U$1006,0)))),"Fix")))</f>
        <v xml:space="preserve"> </v>
      </c>
      <c r="E623" s="3" t="str">
        <f ca="1">IF(OR(INDEX($K$2:$K$1001,MATCH(ROWS($J$2:J623),$J$2:$J$1001,0),1)&gt;=100000,INDEX($Q$1005:$U$1005,1,MATCH(COLUMNS($Q$1006:T1006),$Q$1006:$U$1006,0))&gt;=100000), " ",IF(INDEX($Q$2:$U$1001,MATCH(ROWS($J$2:J623),$J$2:$J$1001,0),MATCH(COLUMNS($Q$1006:T1006),$Q$1006:$U$1006,0)), HYPERLINK("#",""), HYPERLINK(CONCATENATE("#metadata!", ADDRESS(INDEX($L$2:$L$1001,MATCH(ROWS($J$2:J623),$J$2:$J$1001,0),0), INDEX($Q$1004:$U$1004,1,MATCH(COLUMNS($Q$1006:T1006),$Q$1006:$U$1006,0)))),"Fix")))</f>
        <v xml:space="preserve"> </v>
      </c>
      <c r="F623" s="3" t="str">
        <f ca="1">IF(OR(INDEX($K$2:$K$1001,MATCH(ROWS($J$2:J623),$J$2:$J$1001,0),1)&gt;=100000,INDEX($Q$1005:$U$1005,1,MATCH(COLUMNS($Q$1006:U1006),$Q$1006:$U$1006,0))&gt;=100000), " ",IF(INDEX($Q$2:$U$1001,MATCH(ROWS($J$2:J623),$J$2:$J$1001,0),MATCH(COLUMNS($Q$1006:U1006),$Q$1006:$U$1006,0)), HYPERLINK("#",""), HYPERLINK(CONCATENATE("#metadata!", ADDRESS(INDEX($L$2:$L$1001,MATCH(ROWS($J$2:J623),$J$2:$J$1001,0),0), INDEX($Q$1004:$U$1004,1,MATCH(COLUMNS($Q$1006:U1006),$Q$1006:$U$1006,0)))),"Fix")))</f>
        <v xml:space="preserve"> </v>
      </c>
      <c r="J623">
        <v>622</v>
      </c>
      <c r="K623">
        <v>100623</v>
      </c>
      <c r="L623">
        <v>623</v>
      </c>
      <c r="M623" t="b">
        <f t="shared" si="9"/>
        <v>1</v>
      </c>
      <c r="N623" t="b">
        <f>COUNTBLANK(metadata!B623:F623)=COLUMNS(metadata!B623:F623)</f>
        <v>1</v>
      </c>
      <c r="O623" t="str">
        <v/>
      </c>
      <c r="Q623" t="b">
        <f ca="1">AND(IF(metadata!B623="",FALSE,TRUE),COUNTIF(metadata!B:B, metadata!B623) = 1,NOT(ISERROR(SUMPRODUCT(SEARCH(MID(metadata!B623,ROW(INDIRECT("1:"&amp;LEN(metadata!B623))), 1),"0123456789abcdefghijklmnopqrstuvwxyzABCDEFGHIJKLMNOPQRSTUVWXYZ.")))))</f>
        <v>0</v>
      </c>
      <c r="R623" t="b">
        <f>AND(IF(metadata!C623="",FALSE,TRUE),OR(EXACT(metadata!C623,"saline"),EXACT(metadata!C623,"non-saline")))</f>
        <v>0</v>
      </c>
      <c r="S623" t="b">
        <f>AND(IF(metadata!D623="",FALSE,TRUE),OR(EXACT(metadata!D623,"surface (non-saline)"),EXACT(metadata!D623,"aerosol (non-saline)"),EXACT(metadata!D623,"sediment (non-saline)"),EXACT(metadata!D623,"surface (saline)"),EXACT(metadata!D623,"aerosol (saline)"),EXACT(metadata!D623,"sediment (saline)")))</f>
        <v>0</v>
      </c>
      <c r="T623" t="b">
        <f>AND(IF(metadata!E623="",FALSE,TRUE),EXACT(metadata!E623,"built environment"))</f>
        <v>0</v>
      </c>
      <c r="U623" t="b">
        <f>OR(AND(IF(metadata!F623="",FALSE,TRUE),EXACT(metadata!F623,"not applicable")),AND(IF(metadata!F623="",FALSE,TRUE),EXACT(metadata!F623,"anaerobic digester content")))</f>
        <v>0</v>
      </c>
    </row>
    <row r="624" spans="1:21" x14ac:dyDescent="0.2">
      <c r="A624" s="4" t="str">
        <f ca="1">IF(B624=" "," ",HYPERLINK(CONCATENATE("#metadata!",ADDRESS(INDEX($L$2:$L$1001,MATCH(ROWS($J$2:J624),$J$2:$J$1001,0),0),1)),INDEX($O$2:$O$1001,MATCH(ROWS($J$2:J624),$J$2:$J$1001,0),0)))</f>
        <v xml:space="preserve"> </v>
      </c>
      <c r="B624" s="3" t="str">
        <f ca="1">IF(OR(INDEX($K$2:$K$1001,MATCH(ROWS($J$2:J624),$J$2:$J$1001,0),1)&gt;=100000,INDEX($Q$1005:$U$1005,1,MATCH(COLUMNS($Q$1006:Q1006),$Q$1006:$U$1006,0))&gt;=100000), " ",IF(INDEX($Q$2:$U$1001,MATCH(ROWS($J$2:J624),$J$2:$J$1001,0),MATCH(COLUMNS($Q$1006:Q1006),$Q$1006:$U$1006,0)), HYPERLINK("#",""), HYPERLINK(CONCATENATE("#metadata!", ADDRESS(INDEX($L$2:$L$1001,MATCH(ROWS($J$2:J624),$J$2:$J$1001,0),0), INDEX($Q$1004:$U$1004,1,MATCH(COLUMNS($Q$1006:Q1006),$Q$1006:$U$1006,0)))),"Fix")))</f>
        <v xml:space="preserve"> </v>
      </c>
      <c r="C624" s="3" t="str">
        <f ca="1">IF(OR(INDEX($K$2:$K$1001,MATCH(ROWS($J$2:J624),$J$2:$J$1001,0),1)&gt;=100000,INDEX($Q$1005:$U$1005,1,MATCH(COLUMNS($Q$1006:R1006),$Q$1006:$U$1006,0))&gt;=100000), " ",IF(INDEX($Q$2:$U$1001,MATCH(ROWS($J$2:J624),$J$2:$J$1001,0),MATCH(COLUMNS($Q$1006:R1006),$Q$1006:$U$1006,0)), HYPERLINK("#",""), HYPERLINK(CONCATENATE("#metadata!", ADDRESS(INDEX($L$2:$L$1001,MATCH(ROWS($J$2:J624),$J$2:$J$1001,0),0), INDEX($Q$1004:$U$1004,1,MATCH(COLUMNS($Q$1006:R1006),$Q$1006:$U$1006,0)))),"Fix")))</f>
        <v xml:space="preserve"> </v>
      </c>
      <c r="D624" s="3" t="str">
        <f ca="1">IF(OR(INDEX($K$2:$K$1001,MATCH(ROWS($J$2:J624),$J$2:$J$1001,0),1)&gt;=100000,INDEX($Q$1005:$U$1005,1,MATCH(COLUMNS($Q$1006:S1006),$Q$1006:$U$1006,0))&gt;=100000), " ",IF(INDEX($Q$2:$U$1001,MATCH(ROWS($J$2:J624),$J$2:$J$1001,0),MATCH(COLUMNS($Q$1006:S1006),$Q$1006:$U$1006,0)), HYPERLINK("#",""), HYPERLINK(CONCATENATE("#metadata!", ADDRESS(INDEX($L$2:$L$1001,MATCH(ROWS($J$2:J624),$J$2:$J$1001,0),0), INDEX($Q$1004:$U$1004,1,MATCH(COLUMNS($Q$1006:S1006),$Q$1006:$U$1006,0)))),"Fix")))</f>
        <v xml:space="preserve"> </v>
      </c>
      <c r="E624" s="3" t="str">
        <f ca="1">IF(OR(INDEX($K$2:$K$1001,MATCH(ROWS($J$2:J624),$J$2:$J$1001,0),1)&gt;=100000,INDEX($Q$1005:$U$1005,1,MATCH(COLUMNS($Q$1006:T1006),$Q$1006:$U$1006,0))&gt;=100000), " ",IF(INDEX($Q$2:$U$1001,MATCH(ROWS($J$2:J624),$J$2:$J$1001,0),MATCH(COLUMNS($Q$1006:T1006),$Q$1006:$U$1006,0)), HYPERLINK("#",""), HYPERLINK(CONCATENATE("#metadata!", ADDRESS(INDEX($L$2:$L$1001,MATCH(ROWS($J$2:J624),$J$2:$J$1001,0),0), INDEX($Q$1004:$U$1004,1,MATCH(COLUMNS($Q$1006:T1006),$Q$1006:$U$1006,0)))),"Fix")))</f>
        <v xml:space="preserve"> </v>
      </c>
      <c r="F624" s="3" t="str">
        <f ca="1">IF(OR(INDEX($K$2:$K$1001,MATCH(ROWS($J$2:J624),$J$2:$J$1001,0),1)&gt;=100000,INDEX($Q$1005:$U$1005,1,MATCH(COLUMNS($Q$1006:U1006),$Q$1006:$U$1006,0))&gt;=100000), " ",IF(INDEX($Q$2:$U$1001,MATCH(ROWS($J$2:J624),$J$2:$J$1001,0),MATCH(COLUMNS($Q$1006:U1006),$Q$1006:$U$1006,0)), HYPERLINK("#",""), HYPERLINK(CONCATENATE("#metadata!", ADDRESS(INDEX($L$2:$L$1001,MATCH(ROWS($J$2:J624),$J$2:$J$1001,0),0), INDEX($Q$1004:$U$1004,1,MATCH(COLUMNS($Q$1006:U1006),$Q$1006:$U$1006,0)))),"Fix")))</f>
        <v xml:space="preserve"> </v>
      </c>
      <c r="J624">
        <v>623</v>
      </c>
      <c r="K624">
        <v>100624</v>
      </c>
      <c r="L624">
        <v>624</v>
      </c>
      <c r="M624" t="b">
        <f t="shared" si="9"/>
        <v>1</v>
      </c>
      <c r="N624" t="b">
        <f>COUNTBLANK(metadata!B624:F624)=COLUMNS(metadata!B624:F624)</f>
        <v>1</v>
      </c>
      <c r="O624" t="str">
        <v/>
      </c>
      <c r="Q624" t="b">
        <f ca="1">AND(IF(metadata!B624="",FALSE,TRUE),COUNTIF(metadata!B:B, metadata!B624) = 1,NOT(ISERROR(SUMPRODUCT(SEARCH(MID(metadata!B624,ROW(INDIRECT("1:"&amp;LEN(metadata!B624))), 1),"0123456789abcdefghijklmnopqrstuvwxyzABCDEFGHIJKLMNOPQRSTUVWXYZ.")))))</f>
        <v>0</v>
      </c>
      <c r="R624" t="b">
        <f>AND(IF(metadata!C624="",FALSE,TRUE),OR(EXACT(metadata!C624,"saline"),EXACT(metadata!C624,"non-saline")))</f>
        <v>0</v>
      </c>
      <c r="S624" t="b">
        <f>AND(IF(metadata!D624="",FALSE,TRUE),OR(EXACT(metadata!D624,"surface (non-saline)"),EXACT(metadata!D624,"aerosol (non-saline)"),EXACT(metadata!D624,"sediment (non-saline)"),EXACT(metadata!D624,"surface (saline)"),EXACT(metadata!D624,"aerosol (saline)"),EXACT(metadata!D624,"sediment (saline)")))</f>
        <v>0</v>
      </c>
      <c r="T624" t="b">
        <f>AND(IF(metadata!E624="",FALSE,TRUE),EXACT(metadata!E624,"built environment"))</f>
        <v>0</v>
      </c>
      <c r="U624" t="b">
        <f>OR(AND(IF(metadata!F624="",FALSE,TRUE),EXACT(metadata!F624,"not applicable")),AND(IF(metadata!F624="",FALSE,TRUE),EXACT(metadata!F624,"anaerobic digester content")))</f>
        <v>0</v>
      </c>
    </row>
    <row r="625" spans="1:21" x14ac:dyDescent="0.2">
      <c r="A625" s="4" t="str">
        <f ca="1">IF(B625=" "," ",HYPERLINK(CONCATENATE("#metadata!",ADDRESS(INDEX($L$2:$L$1001,MATCH(ROWS($J$2:J625),$J$2:$J$1001,0),0),1)),INDEX($O$2:$O$1001,MATCH(ROWS($J$2:J625),$J$2:$J$1001,0),0)))</f>
        <v xml:space="preserve"> </v>
      </c>
      <c r="B625" s="3" t="str">
        <f ca="1">IF(OR(INDEX($K$2:$K$1001,MATCH(ROWS($J$2:J625),$J$2:$J$1001,0),1)&gt;=100000,INDEX($Q$1005:$U$1005,1,MATCH(COLUMNS($Q$1006:Q1006),$Q$1006:$U$1006,0))&gt;=100000), " ",IF(INDEX($Q$2:$U$1001,MATCH(ROWS($J$2:J625),$J$2:$J$1001,0),MATCH(COLUMNS($Q$1006:Q1006),$Q$1006:$U$1006,0)), HYPERLINK("#",""), HYPERLINK(CONCATENATE("#metadata!", ADDRESS(INDEX($L$2:$L$1001,MATCH(ROWS($J$2:J625),$J$2:$J$1001,0),0), INDEX($Q$1004:$U$1004,1,MATCH(COLUMNS($Q$1006:Q1006),$Q$1006:$U$1006,0)))),"Fix")))</f>
        <v xml:space="preserve"> </v>
      </c>
      <c r="C625" s="3" t="str">
        <f ca="1">IF(OR(INDEX($K$2:$K$1001,MATCH(ROWS($J$2:J625),$J$2:$J$1001,0),1)&gt;=100000,INDEX($Q$1005:$U$1005,1,MATCH(COLUMNS($Q$1006:R1006),$Q$1006:$U$1006,0))&gt;=100000), " ",IF(INDEX($Q$2:$U$1001,MATCH(ROWS($J$2:J625),$J$2:$J$1001,0),MATCH(COLUMNS($Q$1006:R1006),$Q$1006:$U$1006,0)), HYPERLINK("#",""), HYPERLINK(CONCATENATE("#metadata!", ADDRESS(INDEX($L$2:$L$1001,MATCH(ROWS($J$2:J625),$J$2:$J$1001,0),0), INDEX($Q$1004:$U$1004,1,MATCH(COLUMNS($Q$1006:R1006),$Q$1006:$U$1006,0)))),"Fix")))</f>
        <v xml:space="preserve"> </v>
      </c>
      <c r="D625" s="3" t="str">
        <f ca="1">IF(OR(INDEX($K$2:$K$1001,MATCH(ROWS($J$2:J625),$J$2:$J$1001,0),1)&gt;=100000,INDEX($Q$1005:$U$1005,1,MATCH(COLUMNS($Q$1006:S1006),$Q$1006:$U$1006,0))&gt;=100000), " ",IF(INDEX($Q$2:$U$1001,MATCH(ROWS($J$2:J625),$J$2:$J$1001,0),MATCH(COLUMNS($Q$1006:S1006),$Q$1006:$U$1006,0)), HYPERLINK("#",""), HYPERLINK(CONCATENATE("#metadata!", ADDRESS(INDEX($L$2:$L$1001,MATCH(ROWS($J$2:J625),$J$2:$J$1001,0),0), INDEX($Q$1004:$U$1004,1,MATCH(COLUMNS($Q$1006:S1006),$Q$1006:$U$1006,0)))),"Fix")))</f>
        <v xml:space="preserve"> </v>
      </c>
      <c r="E625" s="3" t="str">
        <f ca="1">IF(OR(INDEX($K$2:$K$1001,MATCH(ROWS($J$2:J625),$J$2:$J$1001,0),1)&gt;=100000,INDEX($Q$1005:$U$1005,1,MATCH(COLUMNS($Q$1006:T1006),$Q$1006:$U$1006,0))&gt;=100000), " ",IF(INDEX($Q$2:$U$1001,MATCH(ROWS($J$2:J625),$J$2:$J$1001,0),MATCH(COLUMNS($Q$1006:T1006),$Q$1006:$U$1006,0)), HYPERLINK("#",""), HYPERLINK(CONCATENATE("#metadata!", ADDRESS(INDEX($L$2:$L$1001,MATCH(ROWS($J$2:J625),$J$2:$J$1001,0),0), INDEX($Q$1004:$U$1004,1,MATCH(COLUMNS($Q$1006:T1006),$Q$1006:$U$1006,0)))),"Fix")))</f>
        <v xml:space="preserve"> </v>
      </c>
      <c r="F625" s="3" t="str">
        <f ca="1">IF(OR(INDEX($K$2:$K$1001,MATCH(ROWS($J$2:J625),$J$2:$J$1001,0),1)&gt;=100000,INDEX($Q$1005:$U$1005,1,MATCH(COLUMNS($Q$1006:U1006),$Q$1006:$U$1006,0))&gt;=100000), " ",IF(INDEX($Q$2:$U$1001,MATCH(ROWS($J$2:J625),$J$2:$J$1001,0),MATCH(COLUMNS($Q$1006:U1006),$Q$1006:$U$1006,0)), HYPERLINK("#",""), HYPERLINK(CONCATENATE("#metadata!", ADDRESS(INDEX($L$2:$L$1001,MATCH(ROWS($J$2:J625),$J$2:$J$1001,0),0), INDEX($Q$1004:$U$1004,1,MATCH(COLUMNS($Q$1006:U1006),$Q$1006:$U$1006,0)))),"Fix")))</f>
        <v xml:space="preserve"> </v>
      </c>
      <c r="J625">
        <v>624</v>
      </c>
      <c r="K625">
        <v>100625</v>
      </c>
      <c r="L625">
        <v>625</v>
      </c>
      <c r="M625" t="b">
        <f t="shared" si="9"/>
        <v>1</v>
      </c>
      <c r="N625" t="b">
        <f>COUNTBLANK(metadata!B625:F625)=COLUMNS(metadata!B625:F625)</f>
        <v>1</v>
      </c>
      <c r="O625" t="str">
        <v/>
      </c>
      <c r="Q625" t="b">
        <f ca="1">AND(IF(metadata!B625="",FALSE,TRUE),COUNTIF(metadata!B:B, metadata!B625) = 1,NOT(ISERROR(SUMPRODUCT(SEARCH(MID(metadata!B625,ROW(INDIRECT("1:"&amp;LEN(metadata!B625))), 1),"0123456789abcdefghijklmnopqrstuvwxyzABCDEFGHIJKLMNOPQRSTUVWXYZ.")))))</f>
        <v>0</v>
      </c>
      <c r="R625" t="b">
        <f>AND(IF(metadata!C625="",FALSE,TRUE),OR(EXACT(metadata!C625,"saline"),EXACT(metadata!C625,"non-saline")))</f>
        <v>0</v>
      </c>
      <c r="S625" t="b">
        <f>AND(IF(metadata!D625="",FALSE,TRUE),OR(EXACT(metadata!D625,"surface (non-saline)"),EXACT(metadata!D625,"aerosol (non-saline)"),EXACT(metadata!D625,"sediment (non-saline)"),EXACT(metadata!D625,"surface (saline)"),EXACT(metadata!D625,"aerosol (saline)"),EXACT(metadata!D625,"sediment (saline)")))</f>
        <v>0</v>
      </c>
      <c r="T625" t="b">
        <f>AND(IF(metadata!E625="",FALSE,TRUE),EXACT(metadata!E625,"built environment"))</f>
        <v>0</v>
      </c>
      <c r="U625" t="b">
        <f>OR(AND(IF(metadata!F625="",FALSE,TRUE),EXACT(metadata!F625,"not applicable")),AND(IF(metadata!F625="",FALSE,TRUE),EXACT(metadata!F625,"anaerobic digester content")))</f>
        <v>0</v>
      </c>
    </row>
    <row r="626" spans="1:21" x14ac:dyDescent="0.2">
      <c r="A626" s="4" t="str">
        <f ca="1">IF(B626=" "," ",HYPERLINK(CONCATENATE("#metadata!",ADDRESS(INDEX($L$2:$L$1001,MATCH(ROWS($J$2:J626),$J$2:$J$1001,0),0),1)),INDEX($O$2:$O$1001,MATCH(ROWS($J$2:J626),$J$2:$J$1001,0),0)))</f>
        <v xml:space="preserve"> </v>
      </c>
      <c r="B626" s="3" t="str">
        <f ca="1">IF(OR(INDEX($K$2:$K$1001,MATCH(ROWS($J$2:J626),$J$2:$J$1001,0),1)&gt;=100000,INDEX($Q$1005:$U$1005,1,MATCH(COLUMNS($Q$1006:Q1006),$Q$1006:$U$1006,0))&gt;=100000), " ",IF(INDEX($Q$2:$U$1001,MATCH(ROWS($J$2:J626),$J$2:$J$1001,0),MATCH(COLUMNS($Q$1006:Q1006),$Q$1006:$U$1006,0)), HYPERLINK("#",""), HYPERLINK(CONCATENATE("#metadata!", ADDRESS(INDEX($L$2:$L$1001,MATCH(ROWS($J$2:J626),$J$2:$J$1001,0),0), INDEX($Q$1004:$U$1004,1,MATCH(COLUMNS($Q$1006:Q1006),$Q$1006:$U$1006,0)))),"Fix")))</f>
        <v xml:space="preserve"> </v>
      </c>
      <c r="C626" s="3" t="str">
        <f ca="1">IF(OR(INDEX($K$2:$K$1001,MATCH(ROWS($J$2:J626),$J$2:$J$1001,0),1)&gt;=100000,INDEX($Q$1005:$U$1005,1,MATCH(COLUMNS($Q$1006:R1006),$Q$1006:$U$1006,0))&gt;=100000), " ",IF(INDEX($Q$2:$U$1001,MATCH(ROWS($J$2:J626),$J$2:$J$1001,0),MATCH(COLUMNS($Q$1006:R1006),$Q$1006:$U$1006,0)), HYPERLINK("#",""), HYPERLINK(CONCATENATE("#metadata!", ADDRESS(INDEX($L$2:$L$1001,MATCH(ROWS($J$2:J626),$J$2:$J$1001,0),0), INDEX($Q$1004:$U$1004,1,MATCH(COLUMNS($Q$1006:R1006),$Q$1006:$U$1006,0)))),"Fix")))</f>
        <v xml:space="preserve"> </v>
      </c>
      <c r="D626" s="3" t="str">
        <f ca="1">IF(OR(INDEX($K$2:$K$1001,MATCH(ROWS($J$2:J626),$J$2:$J$1001,0),1)&gt;=100000,INDEX($Q$1005:$U$1005,1,MATCH(COLUMNS($Q$1006:S1006),$Q$1006:$U$1006,0))&gt;=100000), " ",IF(INDEX($Q$2:$U$1001,MATCH(ROWS($J$2:J626),$J$2:$J$1001,0),MATCH(COLUMNS($Q$1006:S1006),$Q$1006:$U$1006,0)), HYPERLINK("#",""), HYPERLINK(CONCATENATE("#metadata!", ADDRESS(INDEX($L$2:$L$1001,MATCH(ROWS($J$2:J626),$J$2:$J$1001,0),0), INDEX($Q$1004:$U$1004,1,MATCH(COLUMNS($Q$1006:S1006),$Q$1006:$U$1006,0)))),"Fix")))</f>
        <v xml:space="preserve"> </v>
      </c>
      <c r="E626" s="3" t="str">
        <f ca="1">IF(OR(INDEX($K$2:$K$1001,MATCH(ROWS($J$2:J626),$J$2:$J$1001,0),1)&gt;=100000,INDEX($Q$1005:$U$1005,1,MATCH(COLUMNS($Q$1006:T1006),$Q$1006:$U$1006,0))&gt;=100000), " ",IF(INDEX($Q$2:$U$1001,MATCH(ROWS($J$2:J626),$J$2:$J$1001,0),MATCH(COLUMNS($Q$1006:T1006),$Q$1006:$U$1006,0)), HYPERLINK("#",""), HYPERLINK(CONCATENATE("#metadata!", ADDRESS(INDEX($L$2:$L$1001,MATCH(ROWS($J$2:J626),$J$2:$J$1001,0),0), INDEX($Q$1004:$U$1004,1,MATCH(COLUMNS($Q$1006:T1006),$Q$1006:$U$1006,0)))),"Fix")))</f>
        <v xml:space="preserve"> </v>
      </c>
      <c r="F626" s="3" t="str">
        <f ca="1">IF(OR(INDEX($K$2:$K$1001,MATCH(ROWS($J$2:J626),$J$2:$J$1001,0),1)&gt;=100000,INDEX($Q$1005:$U$1005,1,MATCH(COLUMNS($Q$1006:U1006),$Q$1006:$U$1006,0))&gt;=100000), " ",IF(INDEX($Q$2:$U$1001,MATCH(ROWS($J$2:J626),$J$2:$J$1001,0),MATCH(COLUMNS($Q$1006:U1006),$Q$1006:$U$1006,0)), HYPERLINK("#",""), HYPERLINK(CONCATENATE("#metadata!", ADDRESS(INDEX($L$2:$L$1001,MATCH(ROWS($J$2:J626),$J$2:$J$1001,0),0), INDEX($Q$1004:$U$1004,1,MATCH(COLUMNS($Q$1006:U1006),$Q$1006:$U$1006,0)))),"Fix")))</f>
        <v xml:space="preserve"> </v>
      </c>
      <c r="J626">
        <v>625</v>
      </c>
      <c r="K626">
        <v>100626</v>
      </c>
      <c r="L626">
        <v>626</v>
      </c>
      <c r="M626" t="b">
        <f t="shared" si="9"/>
        <v>1</v>
      </c>
      <c r="N626" t="b">
        <f>COUNTBLANK(metadata!B626:F626)=COLUMNS(metadata!B626:F626)</f>
        <v>1</v>
      </c>
      <c r="O626" t="str">
        <v/>
      </c>
      <c r="Q626" t="b">
        <f ca="1">AND(IF(metadata!B626="",FALSE,TRUE),COUNTIF(metadata!B:B, metadata!B626) = 1,NOT(ISERROR(SUMPRODUCT(SEARCH(MID(metadata!B626,ROW(INDIRECT("1:"&amp;LEN(metadata!B626))), 1),"0123456789abcdefghijklmnopqrstuvwxyzABCDEFGHIJKLMNOPQRSTUVWXYZ.")))))</f>
        <v>0</v>
      </c>
      <c r="R626" t="b">
        <f>AND(IF(metadata!C626="",FALSE,TRUE),OR(EXACT(metadata!C626,"saline"),EXACT(metadata!C626,"non-saline")))</f>
        <v>0</v>
      </c>
      <c r="S626" t="b">
        <f>AND(IF(metadata!D626="",FALSE,TRUE),OR(EXACT(metadata!D626,"surface (non-saline)"),EXACT(metadata!D626,"aerosol (non-saline)"),EXACT(metadata!D626,"sediment (non-saline)"),EXACT(metadata!D626,"surface (saline)"),EXACT(metadata!D626,"aerosol (saline)"),EXACT(metadata!D626,"sediment (saline)")))</f>
        <v>0</v>
      </c>
      <c r="T626" t="b">
        <f>AND(IF(metadata!E626="",FALSE,TRUE),EXACT(metadata!E626,"built environment"))</f>
        <v>0</v>
      </c>
      <c r="U626" t="b">
        <f>OR(AND(IF(metadata!F626="",FALSE,TRUE),EXACT(metadata!F626,"not applicable")),AND(IF(metadata!F626="",FALSE,TRUE),EXACT(metadata!F626,"anaerobic digester content")))</f>
        <v>0</v>
      </c>
    </row>
    <row r="627" spans="1:21" x14ac:dyDescent="0.2">
      <c r="A627" s="4" t="str">
        <f ca="1">IF(B627=" "," ",HYPERLINK(CONCATENATE("#metadata!",ADDRESS(INDEX($L$2:$L$1001,MATCH(ROWS($J$2:J627),$J$2:$J$1001,0),0),1)),INDEX($O$2:$O$1001,MATCH(ROWS($J$2:J627),$J$2:$J$1001,0),0)))</f>
        <v xml:space="preserve"> </v>
      </c>
      <c r="B627" s="3" t="str">
        <f ca="1">IF(OR(INDEX($K$2:$K$1001,MATCH(ROWS($J$2:J627),$J$2:$J$1001,0),1)&gt;=100000,INDEX($Q$1005:$U$1005,1,MATCH(COLUMNS($Q$1006:Q1006),$Q$1006:$U$1006,0))&gt;=100000), " ",IF(INDEX($Q$2:$U$1001,MATCH(ROWS($J$2:J627),$J$2:$J$1001,0),MATCH(COLUMNS($Q$1006:Q1006),$Q$1006:$U$1006,0)), HYPERLINK("#",""), HYPERLINK(CONCATENATE("#metadata!", ADDRESS(INDEX($L$2:$L$1001,MATCH(ROWS($J$2:J627),$J$2:$J$1001,0),0), INDEX($Q$1004:$U$1004,1,MATCH(COLUMNS($Q$1006:Q1006),$Q$1006:$U$1006,0)))),"Fix")))</f>
        <v xml:space="preserve"> </v>
      </c>
      <c r="C627" s="3" t="str">
        <f ca="1">IF(OR(INDEX($K$2:$K$1001,MATCH(ROWS($J$2:J627),$J$2:$J$1001,0),1)&gt;=100000,INDEX($Q$1005:$U$1005,1,MATCH(COLUMNS($Q$1006:R1006),$Q$1006:$U$1006,0))&gt;=100000), " ",IF(INDEX($Q$2:$U$1001,MATCH(ROWS($J$2:J627),$J$2:$J$1001,0),MATCH(COLUMNS($Q$1006:R1006),$Q$1006:$U$1006,0)), HYPERLINK("#",""), HYPERLINK(CONCATENATE("#metadata!", ADDRESS(INDEX($L$2:$L$1001,MATCH(ROWS($J$2:J627),$J$2:$J$1001,0),0), INDEX($Q$1004:$U$1004,1,MATCH(COLUMNS($Q$1006:R1006),$Q$1006:$U$1006,0)))),"Fix")))</f>
        <v xml:space="preserve"> </v>
      </c>
      <c r="D627" s="3" t="str">
        <f ca="1">IF(OR(INDEX($K$2:$K$1001,MATCH(ROWS($J$2:J627),$J$2:$J$1001,0),1)&gt;=100000,INDEX($Q$1005:$U$1005,1,MATCH(COLUMNS($Q$1006:S1006),$Q$1006:$U$1006,0))&gt;=100000), " ",IF(INDEX($Q$2:$U$1001,MATCH(ROWS($J$2:J627),$J$2:$J$1001,0),MATCH(COLUMNS($Q$1006:S1006),$Q$1006:$U$1006,0)), HYPERLINK("#",""), HYPERLINK(CONCATENATE("#metadata!", ADDRESS(INDEX($L$2:$L$1001,MATCH(ROWS($J$2:J627),$J$2:$J$1001,0),0), INDEX($Q$1004:$U$1004,1,MATCH(COLUMNS($Q$1006:S1006),$Q$1006:$U$1006,0)))),"Fix")))</f>
        <v xml:space="preserve"> </v>
      </c>
      <c r="E627" s="3" t="str">
        <f ca="1">IF(OR(INDEX($K$2:$K$1001,MATCH(ROWS($J$2:J627),$J$2:$J$1001,0),1)&gt;=100000,INDEX($Q$1005:$U$1005,1,MATCH(COLUMNS($Q$1006:T1006),$Q$1006:$U$1006,0))&gt;=100000), " ",IF(INDEX($Q$2:$U$1001,MATCH(ROWS($J$2:J627),$J$2:$J$1001,0),MATCH(COLUMNS($Q$1006:T1006),$Q$1006:$U$1006,0)), HYPERLINK("#",""), HYPERLINK(CONCATENATE("#metadata!", ADDRESS(INDEX($L$2:$L$1001,MATCH(ROWS($J$2:J627),$J$2:$J$1001,0),0), INDEX($Q$1004:$U$1004,1,MATCH(COLUMNS($Q$1006:T1006),$Q$1006:$U$1006,0)))),"Fix")))</f>
        <v xml:space="preserve"> </v>
      </c>
      <c r="F627" s="3" t="str">
        <f ca="1">IF(OR(INDEX($K$2:$K$1001,MATCH(ROWS($J$2:J627),$J$2:$J$1001,0),1)&gt;=100000,INDEX($Q$1005:$U$1005,1,MATCH(COLUMNS($Q$1006:U1006),$Q$1006:$U$1006,0))&gt;=100000), " ",IF(INDEX($Q$2:$U$1001,MATCH(ROWS($J$2:J627),$J$2:$J$1001,0),MATCH(COLUMNS($Q$1006:U1006),$Q$1006:$U$1006,0)), HYPERLINK("#",""), HYPERLINK(CONCATENATE("#metadata!", ADDRESS(INDEX($L$2:$L$1001,MATCH(ROWS($J$2:J627),$J$2:$J$1001,0),0), INDEX($Q$1004:$U$1004,1,MATCH(COLUMNS($Q$1006:U1006),$Q$1006:$U$1006,0)))),"Fix")))</f>
        <v xml:space="preserve"> </v>
      </c>
      <c r="J627">
        <v>626</v>
      </c>
      <c r="K627">
        <v>100627</v>
      </c>
      <c r="L627">
        <v>627</v>
      </c>
      <c r="M627" t="b">
        <f t="shared" si="9"/>
        <v>1</v>
      </c>
      <c r="N627" t="b">
        <f>COUNTBLANK(metadata!B627:F627)=COLUMNS(metadata!B627:F627)</f>
        <v>1</v>
      </c>
      <c r="O627" t="str">
        <v/>
      </c>
      <c r="Q627" t="b">
        <f ca="1">AND(IF(metadata!B627="",FALSE,TRUE),COUNTIF(metadata!B:B, metadata!B627) = 1,NOT(ISERROR(SUMPRODUCT(SEARCH(MID(metadata!B627,ROW(INDIRECT("1:"&amp;LEN(metadata!B627))), 1),"0123456789abcdefghijklmnopqrstuvwxyzABCDEFGHIJKLMNOPQRSTUVWXYZ.")))))</f>
        <v>0</v>
      </c>
      <c r="R627" t="b">
        <f>AND(IF(metadata!C627="",FALSE,TRUE),OR(EXACT(metadata!C627,"saline"),EXACT(metadata!C627,"non-saline")))</f>
        <v>0</v>
      </c>
      <c r="S627" t="b">
        <f>AND(IF(metadata!D627="",FALSE,TRUE),OR(EXACT(metadata!D627,"surface (non-saline)"),EXACT(metadata!D627,"aerosol (non-saline)"),EXACT(metadata!D627,"sediment (non-saline)"),EXACT(metadata!D627,"surface (saline)"),EXACT(metadata!D627,"aerosol (saline)"),EXACT(metadata!D627,"sediment (saline)")))</f>
        <v>0</v>
      </c>
      <c r="T627" t="b">
        <f>AND(IF(metadata!E627="",FALSE,TRUE),EXACT(metadata!E627,"built environment"))</f>
        <v>0</v>
      </c>
      <c r="U627" t="b">
        <f>OR(AND(IF(metadata!F627="",FALSE,TRUE),EXACT(metadata!F627,"not applicable")),AND(IF(metadata!F627="",FALSE,TRUE),EXACT(metadata!F627,"anaerobic digester content")))</f>
        <v>0</v>
      </c>
    </row>
    <row r="628" spans="1:21" x14ac:dyDescent="0.2">
      <c r="A628" s="4" t="str">
        <f ca="1">IF(B628=" "," ",HYPERLINK(CONCATENATE("#metadata!",ADDRESS(INDEX($L$2:$L$1001,MATCH(ROWS($J$2:J628),$J$2:$J$1001,0),0),1)),INDEX($O$2:$O$1001,MATCH(ROWS($J$2:J628),$J$2:$J$1001,0),0)))</f>
        <v xml:space="preserve"> </v>
      </c>
      <c r="B628" s="3" t="str">
        <f ca="1">IF(OR(INDEX($K$2:$K$1001,MATCH(ROWS($J$2:J628),$J$2:$J$1001,0),1)&gt;=100000,INDEX($Q$1005:$U$1005,1,MATCH(COLUMNS($Q$1006:Q1006),$Q$1006:$U$1006,0))&gt;=100000), " ",IF(INDEX($Q$2:$U$1001,MATCH(ROWS($J$2:J628),$J$2:$J$1001,0),MATCH(COLUMNS($Q$1006:Q1006),$Q$1006:$U$1006,0)), HYPERLINK("#",""), HYPERLINK(CONCATENATE("#metadata!", ADDRESS(INDEX($L$2:$L$1001,MATCH(ROWS($J$2:J628),$J$2:$J$1001,0),0), INDEX($Q$1004:$U$1004,1,MATCH(COLUMNS($Q$1006:Q1006),$Q$1006:$U$1006,0)))),"Fix")))</f>
        <v xml:space="preserve"> </v>
      </c>
      <c r="C628" s="3" t="str">
        <f ca="1">IF(OR(INDEX($K$2:$K$1001,MATCH(ROWS($J$2:J628),$J$2:$J$1001,0),1)&gt;=100000,INDEX($Q$1005:$U$1005,1,MATCH(COLUMNS($Q$1006:R1006),$Q$1006:$U$1006,0))&gt;=100000), " ",IF(INDEX($Q$2:$U$1001,MATCH(ROWS($J$2:J628),$J$2:$J$1001,0),MATCH(COLUMNS($Q$1006:R1006),$Q$1006:$U$1006,0)), HYPERLINK("#",""), HYPERLINK(CONCATENATE("#metadata!", ADDRESS(INDEX($L$2:$L$1001,MATCH(ROWS($J$2:J628),$J$2:$J$1001,0),0), INDEX($Q$1004:$U$1004,1,MATCH(COLUMNS($Q$1006:R1006),$Q$1006:$U$1006,0)))),"Fix")))</f>
        <v xml:space="preserve"> </v>
      </c>
      <c r="D628" s="3" t="str">
        <f ca="1">IF(OR(INDEX($K$2:$K$1001,MATCH(ROWS($J$2:J628),$J$2:$J$1001,0),1)&gt;=100000,INDEX($Q$1005:$U$1005,1,MATCH(COLUMNS($Q$1006:S1006),$Q$1006:$U$1006,0))&gt;=100000), " ",IF(INDEX($Q$2:$U$1001,MATCH(ROWS($J$2:J628),$J$2:$J$1001,0),MATCH(COLUMNS($Q$1006:S1006),$Q$1006:$U$1006,0)), HYPERLINK("#",""), HYPERLINK(CONCATENATE("#metadata!", ADDRESS(INDEX($L$2:$L$1001,MATCH(ROWS($J$2:J628),$J$2:$J$1001,0),0), INDEX($Q$1004:$U$1004,1,MATCH(COLUMNS($Q$1006:S1006),$Q$1006:$U$1006,0)))),"Fix")))</f>
        <v xml:space="preserve"> </v>
      </c>
      <c r="E628" s="3" t="str">
        <f ca="1">IF(OR(INDEX($K$2:$K$1001,MATCH(ROWS($J$2:J628),$J$2:$J$1001,0),1)&gt;=100000,INDEX($Q$1005:$U$1005,1,MATCH(COLUMNS($Q$1006:T1006),$Q$1006:$U$1006,0))&gt;=100000), " ",IF(INDEX($Q$2:$U$1001,MATCH(ROWS($J$2:J628),$J$2:$J$1001,0),MATCH(COLUMNS($Q$1006:T1006),$Q$1006:$U$1006,0)), HYPERLINK("#",""), HYPERLINK(CONCATENATE("#metadata!", ADDRESS(INDEX($L$2:$L$1001,MATCH(ROWS($J$2:J628),$J$2:$J$1001,0),0), INDEX($Q$1004:$U$1004,1,MATCH(COLUMNS($Q$1006:T1006),$Q$1006:$U$1006,0)))),"Fix")))</f>
        <v xml:space="preserve"> </v>
      </c>
      <c r="F628" s="3" t="str">
        <f ca="1">IF(OR(INDEX($K$2:$K$1001,MATCH(ROWS($J$2:J628),$J$2:$J$1001,0),1)&gt;=100000,INDEX($Q$1005:$U$1005,1,MATCH(COLUMNS($Q$1006:U1006),$Q$1006:$U$1006,0))&gt;=100000), " ",IF(INDEX($Q$2:$U$1001,MATCH(ROWS($J$2:J628),$J$2:$J$1001,0),MATCH(COLUMNS($Q$1006:U1006),$Q$1006:$U$1006,0)), HYPERLINK("#",""), HYPERLINK(CONCATENATE("#metadata!", ADDRESS(INDEX($L$2:$L$1001,MATCH(ROWS($J$2:J628),$J$2:$J$1001,0),0), INDEX($Q$1004:$U$1004,1,MATCH(COLUMNS($Q$1006:U1006),$Q$1006:$U$1006,0)))),"Fix")))</f>
        <v xml:space="preserve"> </v>
      </c>
      <c r="J628">
        <v>627</v>
      </c>
      <c r="K628">
        <v>100628</v>
      </c>
      <c r="L628">
        <v>628</v>
      </c>
      <c r="M628" t="b">
        <f t="shared" si="9"/>
        <v>1</v>
      </c>
      <c r="N628" t="b">
        <f>COUNTBLANK(metadata!B628:F628)=COLUMNS(metadata!B628:F628)</f>
        <v>1</v>
      </c>
      <c r="O628" t="str">
        <v/>
      </c>
      <c r="Q628" t="b">
        <f ca="1">AND(IF(metadata!B628="",FALSE,TRUE),COUNTIF(metadata!B:B, metadata!B628) = 1,NOT(ISERROR(SUMPRODUCT(SEARCH(MID(metadata!B628,ROW(INDIRECT("1:"&amp;LEN(metadata!B628))), 1),"0123456789abcdefghijklmnopqrstuvwxyzABCDEFGHIJKLMNOPQRSTUVWXYZ.")))))</f>
        <v>0</v>
      </c>
      <c r="R628" t="b">
        <f>AND(IF(metadata!C628="",FALSE,TRUE),OR(EXACT(metadata!C628,"saline"),EXACT(metadata!C628,"non-saline")))</f>
        <v>0</v>
      </c>
      <c r="S628" t="b">
        <f>AND(IF(metadata!D628="",FALSE,TRUE),OR(EXACT(metadata!D628,"surface (non-saline)"),EXACT(metadata!D628,"aerosol (non-saline)"),EXACT(metadata!D628,"sediment (non-saline)"),EXACT(metadata!D628,"surface (saline)"),EXACT(metadata!D628,"aerosol (saline)"),EXACT(metadata!D628,"sediment (saline)")))</f>
        <v>0</v>
      </c>
      <c r="T628" t="b">
        <f>AND(IF(metadata!E628="",FALSE,TRUE),EXACT(metadata!E628,"built environment"))</f>
        <v>0</v>
      </c>
      <c r="U628" t="b">
        <f>OR(AND(IF(metadata!F628="",FALSE,TRUE),EXACT(metadata!F628,"not applicable")),AND(IF(metadata!F628="",FALSE,TRUE),EXACT(metadata!F628,"anaerobic digester content")))</f>
        <v>0</v>
      </c>
    </row>
    <row r="629" spans="1:21" x14ac:dyDescent="0.2">
      <c r="A629" s="4" t="str">
        <f ca="1">IF(B629=" "," ",HYPERLINK(CONCATENATE("#metadata!",ADDRESS(INDEX($L$2:$L$1001,MATCH(ROWS($J$2:J629),$J$2:$J$1001,0),0),1)),INDEX($O$2:$O$1001,MATCH(ROWS($J$2:J629),$J$2:$J$1001,0),0)))</f>
        <v xml:space="preserve"> </v>
      </c>
      <c r="B629" s="3" t="str">
        <f ca="1">IF(OR(INDEX($K$2:$K$1001,MATCH(ROWS($J$2:J629),$J$2:$J$1001,0),1)&gt;=100000,INDEX($Q$1005:$U$1005,1,MATCH(COLUMNS($Q$1006:Q1006),$Q$1006:$U$1006,0))&gt;=100000), " ",IF(INDEX($Q$2:$U$1001,MATCH(ROWS($J$2:J629),$J$2:$J$1001,0),MATCH(COLUMNS($Q$1006:Q1006),$Q$1006:$U$1006,0)), HYPERLINK("#",""), HYPERLINK(CONCATENATE("#metadata!", ADDRESS(INDEX($L$2:$L$1001,MATCH(ROWS($J$2:J629),$J$2:$J$1001,0),0), INDEX($Q$1004:$U$1004,1,MATCH(COLUMNS($Q$1006:Q1006),$Q$1006:$U$1006,0)))),"Fix")))</f>
        <v xml:space="preserve"> </v>
      </c>
      <c r="C629" s="3" t="str">
        <f ca="1">IF(OR(INDEX($K$2:$K$1001,MATCH(ROWS($J$2:J629),$J$2:$J$1001,0),1)&gt;=100000,INDEX($Q$1005:$U$1005,1,MATCH(COLUMNS($Q$1006:R1006),$Q$1006:$U$1006,0))&gt;=100000), " ",IF(INDEX($Q$2:$U$1001,MATCH(ROWS($J$2:J629),$J$2:$J$1001,0),MATCH(COLUMNS($Q$1006:R1006),$Q$1006:$U$1006,0)), HYPERLINK("#",""), HYPERLINK(CONCATENATE("#metadata!", ADDRESS(INDEX($L$2:$L$1001,MATCH(ROWS($J$2:J629),$J$2:$J$1001,0),0), INDEX($Q$1004:$U$1004,1,MATCH(COLUMNS($Q$1006:R1006),$Q$1006:$U$1006,0)))),"Fix")))</f>
        <v xml:space="preserve"> </v>
      </c>
      <c r="D629" s="3" t="str">
        <f ca="1">IF(OR(INDEX($K$2:$K$1001,MATCH(ROWS($J$2:J629),$J$2:$J$1001,0),1)&gt;=100000,INDEX($Q$1005:$U$1005,1,MATCH(COLUMNS($Q$1006:S1006),$Q$1006:$U$1006,0))&gt;=100000), " ",IF(INDEX($Q$2:$U$1001,MATCH(ROWS($J$2:J629),$J$2:$J$1001,0),MATCH(COLUMNS($Q$1006:S1006),$Q$1006:$U$1006,0)), HYPERLINK("#",""), HYPERLINK(CONCATENATE("#metadata!", ADDRESS(INDEX($L$2:$L$1001,MATCH(ROWS($J$2:J629),$J$2:$J$1001,0),0), INDEX($Q$1004:$U$1004,1,MATCH(COLUMNS($Q$1006:S1006),$Q$1006:$U$1006,0)))),"Fix")))</f>
        <v xml:space="preserve"> </v>
      </c>
      <c r="E629" s="3" t="str">
        <f ca="1">IF(OR(INDEX($K$2:$K$1001,MATCH(ROWS($J$2:J629),$J$2:$J$1001,0),1)&gt;=100000,INDEX($Q$1005:$U$1005,1,MATCH(COLUMNS($Q$1006:T1006),$Q$1006:$U$1006,0))&gt;=100000), " ",IF(INDEX($Q$2:$U$1001,MATCH(ROWS($J$2:J629),$J$2:$J$1001,0),MATCH(COLUMNS($Q$1006:T1006),$Q$1006:$U$1006,0)), HYPERLINK("#",""), HYPERLINK(CONCATENATE("#metadata!", ADDRESS(INDEX($L$2:$L$1001,MATCH(ROWS($J$2:J629),$J$2:$J$1001,0),0), INDEX($Q$1004:$U$1004,1,MATCH(COLUMNS($Q$1006:T1006),$Q$1006:$U$1006,0)))),"Fix")))</f>
        <v xml:space="preserve"> </v>
      </c>
      <c r="F629" s="3" t="str">
        <f ca="1">IF(OR(INDEX($K$2:$K$1001,MATCH(ROWS($J$2:J629),$J$2:$J$1001,0),1)&gt;=100000,INDEX($Q$1005:$U$1005,1,MATCH(COLUMNS($Q$1006:U1006),$Q$1006:$U$1006,0))&gt;=100000), " ",IF(INDEX($Q$2:$U$1001,MATCH(ROWS($J$2:J629),$J$2:$J$1001,0),MATCH(COLUMNS($Q$1006:U1006),$Q$1006:$U$1006,0)), HYPERLINK("#",""), HYPERLINK(CONCATENATE("#metadata!", ADDRESS(INDEX($L$2:$L$1001,MATCH(ROWS($J$2:J629),$J$2:$J$1001,0),0), INDEX($Q$1004:$U$1004,1,MATCH(COLUMNS($Q$1006:U1006),$Q$1006:$U$1006,0)))),"Fix")))</f>
        <v xml:space="preserve"> </v>
      </c>
      <c r="J629">
        <v>628</v>
      </c>
      <c r="K629">
        <v>100629</v>
      </c>
      <c r="L629">
        <v>629</v>
      </c>
      <c r="M629" t="b">
        <f t="shared" si="9"/>
        <v>1</v>
      </c>
      <c r="N629" t="b">
        <f>COUNTBLANK(metadata!B629:F629)=COLUMNS(metadata!B629:F629)</f>
        <v>1</v>
      </c>
      <c r="O629" t="str">
        <v/>
      </c>
      <c r="Q629" t="b">
        <f ca="1">AND(IF(metadata!B629="",FALSE,TRUE),COUNTIF(metadata!B:B, metadata!B629) = 1,NOT(ISERROR(SUMPRODUCT(SEARCH(MID(metadata!B629,ROW(INDIRECT("1:"&amp;LEN(metadata!B629))), 1),"0123456789abcdefghijklmnopqrstuvwxyzABCDEFGHIJKLMNOPQRSTUVWXYZ.")))))</f>
        <v>0</v>
      </c>
      <c r="R629" t="b">
        <f>AND(IF(metadata!C629="",FALSE,TRUE),OR(EXACT(metadata!C629,"saline"),EXACT(metadata!C629,"non-saline")))</f>
        <v>0</v>
      </c>
      <c r="S629" t="b">
        <f>AND(IF(metadata!D629="",FALSE,TRUE),OR(EXACT(metadata!D629,"surface (non-saline)"),EXACT(metadata!D629,"aerosol (non-saline)"),EXACT(metadata!D629,"sediment (non-saline)"),EXACT(metadata!D629,"surface (saline)"),EXACT(metadata!D629,"aerosol (saline)"),EXACT(metadata!D629,"sediment (saline)")))</f>
        <v>0</v>
      </c>
      <c r="T629" t="b">
        <f>AND(IF(metadata!E629="",FALSE,TRUE),EXACT(metadata!E629,"built environment"))</f>
        <v>0</v>
      </c>
      <c r="U629" t="b">
        <f>OR(AND(IF(metadata!F629="",FALSE,TRUE),EXACT(metadata!F629,"not applicable")),AND(IF(metadata!F629="",FALSE,TRUE),EXACT(metadata!F629,"anaerobic digester content")))</f>
        <v>0</v>
      </c>
    </row>
    <row r="630" spans="1:21" x14ac:dyDescent="0.2">
      <c r="A630" s="4" t="str">
        <f ca="1">IF(B630=" "," ",HYPERLINK(CONCATENATE("#metadata!",ADDRESS(INDEX($L$2:$L$1001,MATCH(ROWS($J$2:J630),$J$2:$J$1001,0),0),1)),INDEX($O$2:$O$1001,MATCH(ROWS($J$2:J630),$J$2:$J$1001,0),0)))</f>
        <v xml:space="preserve"> </v>
      </c>
      <c r="B630" s="3" t="str">
        <f ca="1">IF(OR(INDEX($K$2:$K$1001,MATCH(ROWS($J$2:J630),$J$2:$J$1001,0),1)&gt;=100000,INDEX($Q$1005:$U$1005,1,MATCH(COLUMNS($Q$1006:Q1006),$Q$1006:$U$1006,0))&gt;=100000), " ",IF(INDEX($Q$2:$U$1001,MATCH(ROWS($J$2:J630),$J$2:$J$1001,0),MATCH(COLUMNS($Q$1006:Q1006),$Q$1006:$U$1006,0)), HYPERLINK("#",""), HYPERLINK(CONCATENATE("#metadata!", ADDRESS(INDEX($L$2:$L$1001,MATCH(ROWS($J$2:J630),$J$2:$J$1001,0),0), INDEX($Q$1004:$U$1004,1,MATCH(COLUMNS($Q$1006:Q1006),$Q$1006:$U$1006,0)))),"Fix")))</f>
        <v xml:space="preserve"> </v>
      </c>
      <c r="C630" s="3" t="str">
        <f ca="1">IF(OR(INDEX($K$2:$K$1001,MATCH(ROWS($J$2:J630),$J$2:$J$1001,0),1)&gt;=100000,INDEX($Q$1005:$U$1005,1,MATCH(COLUMNS($Q$1006:R1006),$Q$1006:$U$1006,0))&gt;=100000), " ",IF(INDEX($Q$2:$U$1001,MATCH(ROWS($J$2:J630),$J$2:$J$1001,0),MATCH(COLUMNS($Q$1006:R1006),$Q$1006:$U$1006,0)), HYPERLINK("#",""), HYPERLINK(CONCATENATE("#metadata!", ADDRESS(INDEX($L$2:$L$1001,MATCH(ROWS($J$2:J630),$J$2:$J$1001,0),0), INDEX($Q$1004:$U$1004,1,MATCH(COLUMNS($Q$1006:R1006),$Q$1006:$U$1006,0)))),"Fix")))</f>
        <v xml:space="preserve"> </v>
      </c>
      <c r="D630" s="3" t="str">
        <f ca="1">IF(OR(INDEX($K$2:$K$1001,MATCH(ROWS($J$2:J630),$J$2:$J$1001,0),1)&gt;=100000,INDEX($Q$1005:$U$1005,1,MATCH(COLUMNS($Q$1006:S1006),$Q$1006:$U$1006,0))&gt;=100000), " ",IF(INDEX($Q$2:$U$1001,MATCH(ROWS($J$2:J630),$J$2:$J$1001,0),MATCH(COLUMNS($Q$1006:S1006),$Q$1006:$U$1006,0)), HYPERLINK("#",""), HYPERLINK(CONCATENATE("#metadata!", ADDRESS(INDEX($L$2:$L$1001,MATCH(ROWS($J$2:J630),$J$2:$J$1001,0),0), INDEX($Q$1004:$U$1004,1,MATCH(COLUMNS($Q$1006:S1006),$Q$1006:$U$1006,0)))),"Fix")))</f>
        <v xml:space="preserve"> </v>
      </c>
      <c r="E630" s="3" t="str">
        <f ca="1">IF(OR(INDEX($K$2:$K$1001,MATCH(ROWS($J$2:J630),$J$2:$J$1001,0),1)&gt;=100000,INDEX($Q$1005:$U$1005,1,MATCH(COLUMNS($Q$1006:T1006),$Q$1006:$U$1006,0))&gt;=100000), " ",IF(INDEX($Q$2:$U$1001,MATCH(ROWS($J$2:J630),$J$2:$J$1001,0),MATCH(COLUMNS($Q$1006:T1006),$Q$1006:$U$1006,0)), HYPERLINK("#",""), HYPERLINK(CONCATENATE("#metadata!", ADDRESS(INDEX($L$2:$L$1001,MATCH(ROWS($J$2:J630),$J$2:$J$1001,0),0), INDEX($Q$1004:$U$1004,1,MATCH(COLUMNS($Q$1006:T1006),$Q$1006:$U$1006,0)))),"Fix")))</f>
        <v xml:space="preserve"> </v>
      </c>
      <c r="F630" s="3" t="str">
        <f ca="1">IF(OR(INDEX($K$2:$K$1001,MATCH(ROWS($J$2:J630),$J$2:$J$1001,0),1)&gt;=100000,INDEX($Q$1005:$U$1005,1,MATCH(COLUMNS($Q$1006:U1006),$Q$1006:$U$1006,0))&gt;=100000), " ",IF(INDEX($Q$2:$U$1001,MATCH(ROWS($J$2:J630),$J$2:$J$1001,0),MATCH(COLUMNS($Q$1006:U1006),$Q$1006:$U$1006,0)), HYPERLINK("#",""), HYPERLINK(CONCATENATE("#metadata!", ADDRESS(INDEX($L$2:$L$1001,MATCH(ROWS($J$2:J630),$J$2:$J$1001,0),0), INDEX($Q$1004:$U$1004,1,MATCH(COLUMNS($Q$1006:U1006),$Q$1006:$U$1006,0)))),"Fix")))</f>
        <v xml:space="preserve"> </v>
      </c>
      <c r="J630">
        <v>629</v>
      </c>
      <c r="K630">
        <v>100630</v>
      </c>
      <c r="L630">
        <v>630</v>
      </c>
      <c r="M630" t="b">
        <f t="shared" si="9"/>
        <v>1</v>
      </c>
      <c r="N630" t="b">
        <f>COUNTBLANK(metadata!B630:F630)=COLUMNS(metadata!B630:F630)</f>
        <v>1</v>
      </c>
      <c r="O630" t="str">
        <v/>
      </c>
      <c r="Q630" t="b">
        <f ca="1">AND(IF(metadata!B630="",FALSE,TRUE),COUNTIF(metadata!B:B, metadata!B630) = 1,NOT(ISERROR(SUMPRODUCT(SEARCH(MID(metadata!B630,ROW(INDIRECT("1:"&amp;LEN(metadata!B630))), 1),"0123456789abcdefghijklmnopqrstuvwxyzABCDEFGHIJKLMNOPQRSTUVWXYZ.")))))</f>
        <v>0</v>
      </c>
      <c r="R630" t="b">
        <f>AND(IF(metadata!C630="",FALSE,TRUE),OR(EXACT(metadata!C630,"saline"),EXACT(metadata!C630,"non-saline")))</f>
        <v>0</v>
      </c>
      <c r="S630" t="b">
        <f>AND(IF(metadata!D630="",FALSE,TRUE),OR(EXACT(metadata!D630,"surface (non-saline)"),EXACT(metadata!D630,"aerosol (non-saline)"),EXACT(metadata!D630,"sediment (non-saline)"),EXACT(metadata!D630,"surface (saline)"),EXACT(metadata!D630,"aerosol (saline)"),EXACT(metadata!D630,"sediment (saline)")))</f>
        <v>0</v>
      </c>
      <c r="T630" t="b">
        <f>AND(IF(metadata!E630="",FALSE,TRUE),EXACT(metadata!E630,"built environment"))</f>
        <v>0</v>
      </c>
      <c r="U630" t="b">
        <f>OR(AND(IF(metadata!F630="",FALSE,TRUE),EXACT(metadata!F630,"not applicable")),AND(IF(metadata!F630="",FALSE,TRUE),EXACT(metadata!F630,"anaerobic digester content")))</f>
        <v>0</v>
      </c>
    </row>
    <row r="631" spans="1:21" x14ac:dyDescent="0.2">
      <c r="A631" s="4" t="str">
        <f ca="1">IF(B631=" "," ",HYPERLINK(CONCATENATE("#metadata!",ADDRESS(INDEX($L$2:$L$1001,MATCH(ROWS($J$2:J631),$J$2:$J$1001,0),0),1)),INDEX($O$2:$O$1001,MATCH(ROWS($J$2:J631),$J$2:$J$1001,0),0)))</f>
        <v xml:space="preserve"> </v>
      </c>
      <c r="B631" s="3" t="str">
        <f ca="1">IF(OR(INDEX($K$2:$K$1001,MATCH(ROWS($J$2:J631),$J$2:$J$1001,0),1)&gt;=100000,INDEX($Q$1005:$U$1005,1,MATCH(COLUMNS($Q$1006:Q1006),$Q$1006:$U$1006,0))&gt;=100000), " ",IF(INDEX($Q$2:$U$1001,MATCH(ROWS($J$2:J631),$J$2:$J$1001,0),MATCH(COLUMNS($Q$1006:Q1006),$Q$1006:$U$1006,0)), HYPERLINK("#",""), HYPERLINK(CONCATENATE("#metadata!", ADDRESS(INDEX($L$2:$L$1001,MATCH(ROWS($J$2:J631),$J$2:$J$1001,0),0), INDEX($Q$1004:$U$1004,1,MATCH(COLUMNS($Q$1006:Q1006),$Q$1006:$U$1006,0)))),"Fix")))</f>
        <v xml:space="preserve"> </v>
      </c>
      <c r="C631" s="3" t="str">
        <f ca="1">IF(OR(INDEX($K$2:$K$1001,MATCH(ROWS($J$2:J631),$J$2:$J$1001,0),1)&gt;=100000,INDEX($Q$1005:$U$1005,1,MATCH(COLUMNS($Q$1006:R1006),$Q$1006:$U$1006,0))&gt;=100000), " ",IF(INDEX($Q$2:$U$1001,MATCH(ROWS($J$2:J631),$J$2:$J$1001,0),MATCH(COLUMNS($Q$1006:R1006),$Q$1006:$U$1006,0)), HYPERLINK("#",""), HYPERLINK(CONCATENATE("#metadata!", ADDRESS(INDEX($L$2:$L$1001,MATCH(ROWS($J$2:J631),$J$2:$J$1001,0),0), INDEX($Q$1004:$U$1004,1,MATCH(COLUMNS($Q$1006:R1006),$Q$1006:$U$1006,0)))),"Fix")))</f>
        <v xml:space="preserve"> </v>
      </c>
      <c r="D631" s="3" t="str">
        <f ca="1">IF(OR(INDEX($K$2:$K$1001,MATCH(ROWS($J$2:J631),$J$2:$J$1001,0),1)&gt;=100000,INDEX($Q$1005:$U$1005,1,MATCH(COLUMNS($Q$1006:S1006),$Q$1006:$U$1006,0))&gt;=100000), " ",IF(INDEX($Q$2:$U$1001,MATCH(ROWS($J$2:J631),$J$2:$J$1001,0),MATCH(COLUMNS($Q$1006:S1006),$Q$1006:$U$1006,0)), HYPERLINK("#",""), HYPERLINK(CONCATENATE("#metadata!", ADDRESS(INDEX($L$2:$L$1001,MATCH(ROWS($J$2:J631),$J$2:$J$1001,0),0), INDEX($Q$1004:$U$1004,1,MATCH(COLUMNS($Q$1006:S1006),$Q$1006:$U$1006,0)))),"Fix")))</f>
        <v xml:space="preserve"> </v>
      </c>
      <c r="E631" s="3" t="str">
        <f ca="1">IF(OR(INDEX($K$2:$K$1001,MATCH(ROWS($J$2:J631),$J$2:$J$1001,0),1)&gt;=100000,INDEX($Q$1005:$U$1005,1,MATCH(COLUMNS($Q$1006:T1006),$Q$1006:$U$1006,0))&gt;=100000), " ",IF(INDEX($Q$2:$U$1001,MATCH(ROWS($J$2:J631),$J$2:$J$1001,0),MATCH(COLUMNS($Q$1006:T1006),$Q$1006:$U$1006,0)), HYPERLINK("#",""), HYPERLINK(CONCATENATE("#metadata!", ADDRESS(INDEX($L$2:$L$1001,MATCH(ROWS($J$2:J631),$J$2:$J$1001,0),0), INDEX($Q$1004:$U$1004,1,MATCH(COLUMNS($Q$1006:T1006),$Q$1006:$U$1006,0)))),"Fix")))</f>
        <v xml:space="preserve"> </v>
      </c>
      <c r="F631" s="3" t="str">
        <f ca="1">IF(OR(INDEX($K$2:$K$1001,MATCH(ROWS($J$2:J631),$J$2:$J$1001,0),1)&gt;=100000,INDEX($Q$1005:$U$1005,1,MATCH(COLUMNS($Q$1006:U1006),$Q$1006:$U$1006,0))&gt;=100000), " ",IF(INDEX($Q$2:$U$1001,MATCH(ROWS($J$2:J631),$J$2:$J$1001,0),MATCH(COLUMNS($Q$1006:U1006),$Q$1006:$U$1006,0)), HYPERLINK("#",""), HYPERLINK(CONCATENATE("#metadata!", ADDRESS(INDEX($L$2:$L$1001,MATCH(ROWS($J$2:J631),$J$2:$J$1001,0),0), INDEX($Q$1004:$U$1004,1,MATCH(COLUMNS($Q$1006:U1006),$Q$1006:$U$1006,0)))),"Fix")))</f>
        <v xml:space="preserve"> </v>
      </c>
      <c r="J631">
        <v>630</v>
      </c>
      <c r="K631">
        <v>100631</v>
      </c>
      <c r="L631">
        <v>631</v>
      </c>
      <c r="M631" t="b">
        <f t="shared" si="9"/>
        <v>1</v>
      </c>
      <c r="N631" t="b">
        <f>COUNTBLANK(metadata!B631:F631)=COLUMNS(metadata!B631:F631)</f>
        <v>1</v>
      </c>
      <c r="O631" t="str">
        <v/>
      </c>
      <c r="Q631" t="b">
        <f ca="1">AND(IF(metadata!B631="",FALSE,TRUE),COUNTIF(metadata!B:B, metadata!B631) = 1,NOT(ISERROR(SUMPRODUCT(SEARCH(MID(metadata!B631,ROW(INDIRECT("1:"&amp;LEN(metadata!B631))), 1),"0123456789abcdefghijklmnopqrstuvwxyzABCDEFGHIJKLMNOPQRSTUVWXYZ.")))))</f>
        <v>0</v>
      </c>
      <c r="R631" t="b">
        <f>AND(IF(metadata!C631="",FALSE,TRUE),OR(EXACT(metadata!C631,"saline"),EXACT(metadata!C631,"non-saline")))</f>
        <v>0</v>
      </c>
      <c r="S631" t="b">
        <f>AND(IF(metadata!D631="",FALSE,TRUE),OR(EXACT(metadata!D631,"surface (non-saline)"),EXACT(metadata!D631,"aerosol (non-saline)"),EXACT(metadata!D631,"sediment (non-saline)"),EXACT(metadata!D631,"surface (saline)"),EXACT(metadata!D631,"aerosol (saline)"),EXACT(metadata!D631,"sediment (saline)")))</f>
        <v>0</v>
      </c>
      <c r="T631" t="b">
        <f>AND(IF(metadata!E631="",FALSE,TRUE),EXACT(metadata!E631,"built environment"))</f>
        <v>0</v>
      </c>
      <c r="U631" t="b">
        <f>OR(AND(IF(metadata!F631="",FALSE,TRUE),EXACT(metadata!F631,"not applicable")),AND(IF(metadata!F631="",FALSE,TRUE),EXACT(metadata!F631,"anaerobic digester content")))</f>
        <v>0</v>
      </c>
    </row>
    <row r="632" spans="1:21" x14ac:dyDescent="0.2">
      <c r="A632" s="4" t="str">
        <f ca="1">IF(B632=" "," ",HYPERLINK(CONCATENATE("#metadata!",ADDRESS(INDEX($L$2:$L$1001,MATCH(ROWS($J$2:J632),$J$2:$J$1001,0),0),1)),INDEX($O$2:$O$1001,MATCH(ROWS($J$2:J632),$J$2:$J$1001,0),0)))</f>
        <v xml:space="preserve"> </v>
      </c>
      <c r="B632" s="3" t="str">
        <f ca="1">IF(OR(INDEX($K$2:$K$1001,MATCH(ROWS($J$2:J632),$J$2:$J$1001,0),1)&gt;=100000,INDEX($Q$1005:$U$1005,1,MATCH(COLUMNS($Q$1006:Q1006),$Q$1006:$U$1006,0))&gt;=100000), " ",IF(INDEX($Q$2:$U$1001,MATCH(ROWS($J$2:J632),$J$2:$J$1001,0),MATCH(COLUMNS($Q$1006:Q1006),$Q$1006:$U$1006,0)), HYPERLINK("#",""), HYPERLINK(CONCATENATE("#metadata!", ADDRESS(INDEX($L$2:$L$1001,MATCH(ROWS($J$2:J632),$J$2:$J$1001,0),0), INDEX($Q$1004:$U$1004,1,MATCH(COLUMNS($Q$1006:Q1006),$Q$1006:$U$1006,0)))),"Fix")))</f>
        <v xml:space="preserve"> </v>
      </c>
      <c r="C632" s="3" t="str">
        <f ca="1">IF(OR(INDEX($K$2:$K$1001,MATCH(ROWS($J$2:J632),$J$2:$J$1001,0),1)&gt;=100000,INDEX($Q$1005:$U$1005,1,MATCH(COLUMNS($Q$1006:R1006),$Q$1006:$U$1006,0))&gt;=100000), " ",IF(INDEX($Q$2:$U$1001,MATCH(ROWS($J$2:J632),$J$2:$J$1001,0),MATCH(COLUMNS($Q$1006:R1006),$Q$1006:$U$1006,0)), HYPERLINK("#",""), HYPERLINK(CONCATENATE("#metadata!", ADDRESS(INDEX($L$2:$L$1001,MATCH(ROWS($J$2:J632),$J$2:$J$1001,0),0), INDEX($Q$1004:$U$1004,1,MATCH(COLUMNS($Q$1006:R1006),$Q$1006:$U$1006,0)))),"Fix")))</f>
        <v xml:space="preserve"> </v>
      </c>
      <c r="D632" s="3" t="str">
        <f ca="1">IF(OR(INDEX($K$2:$K$1001,MATCH(ROWS($J$2:J632),$J$2:$J$1001,0),1)&gt;=100000,INDEX($Q$1005:$U$1005,1,MATCH(COLUMNS($Q$1006:S1006),$Q$1006:$U$1006,0))&gt;=100000), " ",IF(INDEX($Q$2:$U$1001,MATCH(ROWS($J$2:J632),$J$2:$J$1001,0),MATCH(COLUMNS($Q$1006:S1006),$Q$1006:$U$1006,0)), HYPERLINK("#",""), HYPERLINK(CONCATENATE("#metadata!", ADDRESS(INDEX($L$2:$L$1001,MATCH(ROWS($J$2:J632),$J$2:$J$1001,0),0), INDEX($Q$1004:$U$1004,1,MATCH(COLUMNS($Q$1006:S1006),$Q$1006:$U$1006,0)))),"Fix")))</f>
        <v xml:space="preserve"> </v>
      </c>
      <c r="E632" s="3" t="str">
        <f ca="1">IF(OR(INDEX($K$2:$K$1001,MATCH(ROWS($J$2:J632),$J$2:$J$1001,0),1)&gt;=100000,INDEX($Q$1005:$U$1005,1,MATCH(COLUMNS($Q$1006:T1006),$Q$1006:$U$1006,0))&gt;=100000), " ",IF(INDEX($Q$2:$U$1001,MATCH(ROWS($J$2:J632),$J$2:$J$1001,0),MATCH(COLUMNS($Q$1006:T1006),$Q$1006:$U$1006,0)), HYPERLINK("#",""), HYPERLINK(CONCATENATE("#metadata!", ADDRESS(INDEX($L$2:$L$1001,MATCH(ROWS($J$2:J632),$J$2:$J$1001,0),0), INDEX($Q$1004:$U$1004,1,MATCH(COLUMNS($Q$1006:T1006),$Q$1006:$U$1006,0)))),"Fix")))</f>
        <v xml:space="preserve"> </v>
      </c>
      <c r="F632" s="3" t="str">
        <f ca="1">IF(OR(INDEX($K$2:$K$1001,MATCH(ROWS($J$2:J632),$J$2:$J$1001,0),1)&gt;=100000,INDEX($Q$1005:$U$1005,1,MATCH(COLUMNS($Q$1006:U1006),$Q$1006:$U$1006,0))&gt;=100000), " ",IF(INDEX($Q$2:$U$1001,MATCH(ROWS($J$2:J632),$J$2:$J$1001,0),MATCH(COLUMNS($Q$1006:U1006),$Q$1006:$U$1006,0)), HYPERLINK("#",""), HYPERLINK(CONCATENATE("#metadata!", ADDRESS(INDEX($L$2:$L$1001,MATCH(ROWS($J$2:J632),$J$2:$J$1001,0),0), INDEX($Q$1004:$U$1004,1,MATCH(COLUMNS($Q$1006:U1006),$Q$1006:$U$1006,0)))),"Fix")))</f>
        <v xml:space="preserve"> </v>
      </c>
      <c r="J632">
        <v>631</v>
      </c>
      <c r="K632">
        <v>100632</v>
      </c>
      <c r="L632">
        <v>632</v>
      </c>
      <c r="M632" t="b">
        <f t="shared" si="9"/>
        <v>1</v>
      </c>
      <c r="N632" t="b">
        <f>COUNTBLANK(metadata!B632:F632)=COLUMNS(metadata!B632:F632)</f>
        <v>1</v>
      </c>
      <c r="O632" t="str">
        <v/>
      </c>
      <c r="Q632" t="b">
        <f ca="1">AND(IF(metadata!B632="",FALSE,TRUE),COUNTIF(metadata!B:B, metadata!B632) = 1,NOT(ISERROR(SUMPRODUCT(SEARCH(MID(metadata!B632,ROW(INDIRECT("1:"&amp;LEN(metadata!B632))), 1),"0123456789abcdefghijklmnopqrstuvwxyzABCDEFGHIJKLMNOPQRSTUVWXYZ.")))))</f>
        <v>0</v>
      </c>
      <c r="R632" t="b">
        <f>AND(IF(metadata!C632="",FALSE,TRUE),OR(EXACT(metadata!C632,"saline"),EXACT(metadata!C632,"non-saline")))</f>
        <v>0</v>
      </c>
      <c r="S632" t="b">
        <f>AND(IF(metadata!D632="",FALSE,TRUE),OR(EXACT(metadata!D632,"surface (non-saline)"),EXACT(metadata!D632,"aerosol (non-saline)"),EXACT(metadata!D632,"sediment (non-saline)"),EXACT(metadata!D632,"surface (saline)"),EXACT(metadata!D632,"aerosol (saline)"),EXACT(metadata!D632,"sediment (saline)")))</f>
        <v>0</v>
      </c>
      <c r="T632" t="b">
        <f>AND(IF(metadata!E632="",FALSE,TRUE),EXACT(metadata!E632,"built environment"))</f>
        <v>0</v>
      </c>
      <c r="U632" t="b">
        <f>OR(AND(IF(metadata!F632="",FALSE,TRUE),EXACT(metadata!F632,"not applicable")),AND(IF(metadata!F632="",FALSE,TRUE),EXACT(metadata!F632,"anaerobic digester content")))</f>
        <v>0</v>
      </c>
    </row>
    <row r="633" spans="1:21" x14ac:dyDescent="0.2">
      <c r="A633" s="4" t="str">
        <f ca="1">IF(B633=" "," ",HYPERLINK(CONCATENATE("#metadata!",ADDRESS(INDEX($L$2:$L$1001,MATCH(ROWS($J$2:J633),$J$2:$J$1001,0),0),1)),INDEX($O$2:$O$1001,MATCH(ROWS($J$2:J633),$J$2:$J$1001,0),0)))</f>
        <v xml:space="preserve"> </v>
      </c>
      <c r="B633" s="3" t="str">
        <f ca="1">IF(OR(INDEX($K$2:$K$1001,MATCH(ROWS($J$2:J633),$J$2:$J$1001,0),1)&gt;=100000,INDEX($Q$1005:$U$1005,1,MATCH(COLUMNS($Q$1006:Q1006),$Q$1006:$U$1006,0))&gt;=100000), " ",IF(INDEX($Q$2:$U$1001,MATCH(ROWS($J$2:J633),$J$2:$J$1001,0),MATCH(COLUMNS($Q$1006:Q1006),$Q$1006:$U$1006,0)), HYPERLINK("#",""), HYPERLINK(CONCATENATE("#metadata!", ADDRESS(INDEX($L$2:$L$1001,MATCH(ROWS($J$2:J633),$J$2:$J$1001,0),0), INDEX($Q$1004:$U$1004,1,MATCH(COLUMNS($Q$1006:Q1006),$Q$1006:$U$1006,0)))),"Fix")))</f>
        <v xml:space="preserve"> </v>
      </c>
      <c r="C633" s="3" t="str">
        <f ca="1">IF(OR(INDEX($K$2:$K$1001,MATCH(ROWS($J$2:J633),$J$2:$J$1001,0),1)&gt;=100000,INDEX($Q$1005:$U$1005,1,MATCH(COLUMNS($Q$1006:R1006),$Q$1006:$U$1006,0))&gt;=100000), " ",IF(INDEX($Q$2:$U$1001,MATCH(ROWS($J$2:J633),$J$2:$J$1001,0),MATCH(COLUMNS($Q$1006:R1006),$Q$1006:$U$1006,0)), HYPERLINK("#",""), HYPERLINK(CONCATENATE("#metadata!", ADDRESS(INDEX($L$2:$L$1001,MATCH(ROWS($J$2:J633),$J$2:$J$1001,0),0), INDEX($Q$1004:$U$1004,1,MATCH(COLUMNS($Q$1006:R1006),$Q$1006:$U$1006,0)))),"Fix")))</f>
        <v xml:space="preserve"> </v>
      </c>
      <c r="D633" s="3" t="str">
        <f ca="1">IF(OR(INDEX($K$2:$K$1001,MATCH(ROWS($J$2:J633),$J$2:$J$1001,0),1)&gt;=100000,INDEX($Q$1005:$U$1005,1,MATCH(COLUMNS($Q$1006:S1006),$Q$1006:$U$1006,0))&gt;=100000), " ",IF(INDEX($Q$2:$U$1001,MATCH(ROWS($J$2:J633),$J$2:$J$1001,0),MATCH(COLUMNS($Q$1006:S1006),$Q$1006:$U$1006,0)), HYPERLINK("#",""), HYPERLINK(CONCATENATE("#metadata!", ADDRESS(INDEX($L$2:$L$1001,MATCH(ROWS($J$2:J633),$J$2:$J$1001,0),0), INDEX($Q$1004:$U$1004,1,MATCH(COLUMNS($Q$1006:S1006),$Q$1006:$U$1006,0)))),"Fix")))</f>
        <v xml:space="preserve"> </v>
      </c>
      <c r="E633" s="3" t="str">
        <f ca="1">IF(OR(INDEX($K$2:$K$1001,MATCH(ROWS($J$2:J633),$J$2:$J$1001,0),1)&gt;=100000,INDEX($Q$1005:$U$1005,1,MATCH(COLUMNS($Q$1006:T1006),$Q$1006:$U$1006,0))&gt;=100000), " ",IF(INDEX($Q$2:$U$1001,MATCH(ROWS($J$2:J633),$J$2:$J$1001,0),MATCH(COLUMNS($Q$1006:T1006),$Q$1006:$U$1006,0)), HYPERLINK("#",""), HYPERLINK(CONCATENATE("#metadata!", ADDRESS(INDEX($L$2:$L$1001,MATCH(ROWS($J$2:J633),$J$2:$J$1001,0),0), INDEX($Q$1004:$U$1004,1,MATCH(COLUMNS($Q$1006:T1006),$Q$1006:$U$1006,0)))),"Fix")))</f>
        <v xml:space="preserve"> </v>
      </c>
      <c r="F633" s="3" t="str">
        <f ca="1">IF(OR(INDEX($K$2:$K$1001,MATCH(ROWS($J$2:J633),$J$2:$J$1001,0),1)&gt;=100000,INDEX($Q$1005:$U$1005,1,MATCH(COLUMNS($Q$1006:U1006),$Q$1006:$U$1006,0))&gt;=100000), " ",IF(INDEX($Q$2:$U$1001,MATCH(ROWS($J$2:J633),$J$2:$J$1001,0),MATCH(COLUMNS($Q$1006:U1006),$Q$1006:$U$1006,0)), HYPERLINK("#",""), HYPERLINK(CONCATENATE("#metadata!", ADDRESS(INDEX($L$2:$L$1001,MATCH(ROWS($J$2:J633),$J$2:$J$1001,0),0), INDEX($Q$1004:$U$1004,1,MATCH(COLUMNS($Q$1006:U1006),$Q$1006:$U$1006,0)))),"Fix")))</f>
        <v xml:space="preserve"> </v>
      </c>
      <c r="J633">
        <v>632</v>
      </c>
      <c r="K633">
        <v>100633</v>
      </c>
      <c r="L633">
        <v>633</v>
      </c>
      <c r="M633" t="b">
        <f t="shared" si="9"/>
        <v>1</v>
      </c>
      <c r="N633" t="b">
        <f>COUNTBLANK(metadata!B633:F633)=COLUMNS(metadata!B633:F633)</f>
        <v>1</v>
      </c>
      <c r="O633" t="str">
        <v/>
      </c>
      <c r="Q633" t="b">
        <f ca="1">AND(IF(metadata!B633="",FALSE,TRUE),COUNTIF(metadata!B:B, metadata!B633) = 1,NOT(ISERROR(SUMPRODUCT(SEARCH(MID(metadata!B633,ROW(INDIRECT("1:"&amp;LEN(metadata!B633))), 1),"0123456789abcdefghijklmnopqrstuvwxyzABCDEFGHIJKLMNOPQRSTUVWXYZ.")))))</f>
        <v>0</v>
      </c>
      <c r="R633" t="b">
        <f>AND(IF(metadata!C633="",FALSE,TRUE),OR(EXACT(metadata!C633,"saline"),EXACT(metadata!C633,"non-saline")))</f>
        <v>0</v>
      </c>
      <c r="S633" t="b">
        <f>AND(IF(metadata!D633="",FALSE,TRUE),OR(EXACT(metadata!D633,"surface (non-saline)"),EXACT(metadata!D633,"aerosol (non-saline)"),EXACT(metadata!D633,"sediment (non-saline)"),EXACT(metadata!D633,"surface (saline)"),EXACT(metadata!D633,"aerosol (saline)"),EXACT(metadata!D633,"sediment (saline)")))</f>
        <v>0</v>
      </c>
      <c r="T633" t="b">
        <f>AND(IF(metadata!E633="",FALSE,TRUE),EXACT(metadata!E633,"built environment"))</f>
        <v>0</v>
      </c>
      <c r="U633" t="b">
        <f>OR(AND(IF(metadata!F633="",FALSE,TRUE),EXACT(metadata!F633,"not applicable")),AND(IF(metadata!F633="",FALSE,TRUE),EXACT(metadata!F633,"anaerobic digester content")))</f>
        <v>0</v>
      </c>
    </row>
    <row r="634" spans="1:21" x14ac:dyDescent="0.2">
      <c r="A634" s="4" t="str">
        <f ca="1">IF(B634=" "," ",HYPERLINK(CONCATENATE("#metadata!",ADDRESS(INDEX($L$2:$L$1001,MATCH(ROWS($J$2:J634),$J$2:$J$1001,0),0),1)),INDEX($O$2:$O$1001,MATCH(ROWS($J$2:J634),$J$2:$J$1001,0),0)))</f>
        <v xml:space="preserve"> </v>
      </c>
      <c r="B634" s="3" t="str">
        <f ca="1">IF(OR(INDEX($K$2:$K$1001,MATCH(ROWS($J$2:J634),$J$2:$J$1001,0),1)&gt;=100000,INDEX($Q$1005:$U$1005,1,MATCH(COLUMNS($Q$1006:Q1006),$Q$1006:$U$1006,0))&gt;=100000), " ",IF(INDEX($Q$2:$U$1001,MATCH(ROWS($J$2:J634),$J$2:$J$1001,0),MATCH(COLUMNS($Q$1006:Q1006),$Q$1006:$U$1006,0)), HYPERLINK("#",""), HYPERLINK(CONCATENATE("#metadata!", ADDRESS(INDEX($L$2:$L$1001,MATCH(ROWS($J$2:J634),$J$2:$J$1001,0),0), INDEX($Q$1004:$U$1004,1,MATCH(COLUMNS($Q$1006:Q1006),$Q$1006:$U$1006,0)))),"Fix")))</f>
        <v xml:space="preserve"> </v>
      </c>
      <c r="C634" s="3" t="str">
        <f ca="1">IF(OR(INDEX($K$2:$K$1001,MATCH(ROWS($J$2:J634),$J$2:$J$1001,0),1)&gt;=100000,INDEX($Q$1005:$U$1005,1,MATCH(COLUMNS($Q$1006:R1006),$Q$1006:$U$1006,0))&gt;=100000), " ",IF(INDEX($Q$2:$U$1001,MATCH(ROWS($J$2:J634),$J$2:$J$1001,0),MATCH(COLUMNS($Q$1006:R1006),$Q$1006:$U$1006,0)), HYPERLINK("#",""), HYPERLINK(CONCATENATE("#metadata!", ADDRESS(INDEX($L$2:$L$1001,MATCH(ROWS($J$2:J634),$J$2:$J$1001,0),0), INDEX($Q$1004:$U$1004,1,MATCH(COLUMNS($Q$1006:R1006),$Q$1006:$U$1006,0)))),"Fix")))</f>
        <v xml:space="preserve"> </v>
      </c>
      <c r="D634" s="3" t="str">
        <f ca="1">IF(OR(INDEX($K$2:$K$1001,MATCH(ROWS($J$2:J634),$J$2:$J$1001,0),1)&gt;=100000,INDEX($Q$1005:$U$1005,1,MATCH(COLUMNS($Q$1006:S1006),$Q$1006:$U$1006,0))&gt;=100000), " ",IF(INDEX($Q$2:$U$1001,MATCH(ROWS($J$2:J634),$J$2:$J$1001,0),MATCH(COLUMNS($Q$1006:S1006),$Q$1006:$U$1006,0)), HYPERLINK("#",""), HYPERLINK(CONCATENATE("#metadata!", ADDRESS(INDEX($L$2:$L$1001,MATCH(ROWS($J$2:J634),$J$2:$J$1001,0),0), INDEX($Q$1004:$U$1004,1,MATCH(COLUMNS($Q$1006:S1006),$Q$1006:$U$1006,0)))),"Fix")))</f>
        <v xml:space="preserve"> </v>
      </c>
      <c r="E634" s="3" t="str">
        <f ca="1">IF(OR(INDEX($K$2:$K$1001,MATCH(ROWS($J$2:J634),$J$2:$J$1001,0),1)&gt;=100000,INDEX($Q$1005:$U$1005,1,MATCH(COLUMNS($Q$1006:T1006),$Q$1006:$U$1006,0))&gt;=100000), " ",IF(INDEX($Q$2:$U$1001,MATCH(ROWS($J$2:J634),$J$2:$J$1001,0),MATCH(COLUMNS($Q$1006:T1006),$Q$1006:$U$1006,0)), HYPERLINK("#",""), HYPERLINK(CONCATENATE("#metadata!", ADDRESS(INDEX($L$2:$L$1001,MATCH(ROWS($J$2:J634),$J$2:$J$1001,0),0), INDEX($Q$1004:$U$1004,1,MATCH(COLUMNS($Q$1006:T1006),$Q$1006:$U$1006,0)))),"Fix")))</f>
        <v xml:space="preserve"> </v>
      </c>
      <c r="F634" s="3" t="str">
        <f ca="1">IF(OR(INDEX($K$2:$K$1001,MATCH(ROWS($J$2:J634),$J$2:$J$1001,0),1)&gt;=100000,INDEX($Q$1005:$U$1005,1,MATCH(COLUMNS($Q$1006:U1006),$Q$1006:$U$1006,0))&gt;=100000), " ",IF(INDEX($Q$2:$U$1001,MATCH(ROWS($J$2:J634),$J$2:$J$1001,0),MATCH(COLUMNS($Q$1006:U1006),$Q$1006:$U$1006,0)), HYPERLINK("#",""), HYPERLINK(CONCATENATE("#metadata!", ADDRESS(INDEX($L$2:$L$1001,MATCH(ROWS($J$2:J634),$J$2:$J$1001,0),0), INDEX($Q$1004:$U$1004,1,MATCH(COLUMNS($Q$1006:U1006),$Q$1006:$U$1006,0)))),"Fix")))</f>
        <v xml:space="preserve"> </v>
      </c>
      <c r="J634">
        <v>633</v>
      </c>
      <c r="K634">
        <v>100634</v>
      </c>
      <c r="L634">
        <v>634</v>
      </c>
      <c r="M634" t="b">
        <f t="shared" si="9"/>
        <v>1</v>
      </c>
      <c r="N634" t="b">
        <f>COUNTBLANK(metadata!B634:F634)=COLUMNS(metadata!B634:F634)</f>
        <v>1</v>
      </c>
      <c r="O634" t="str">
        <v/>
      </c>
      <c r="Q634" t="b">
        <f ca="1">AND(IF(metadata!B634="",FALSE,TRUE),COUNTIF(metadata!B:B, metadata!B634) = 1,NOT(ISERROR(SUMPRODUCT(SEARCH(MID(metadata!B634,ROW(INDIRECT("1:"&amp;LEN(metadata!B634))), 1),"0123456789abcdefghijklmnopqrstuvwxyzABCDEFGHIJKLMNOPQRSTUVWXYZ.")))))</f>
        <v>0</v>
      </c>
      <c r="R634" t="b">
        <f>AND(IF(metadata!C634="",FALSE,TRUE),OR(EXACT(metadata!C634,"saline"),EXACT(metadata!C634,"non-saline")))</f>
        <v>0</v>
      </c>
      <c r="S634" t="b">
        <f>AND(IF(metadata!D634="",FALSE,TRUE),OR(EXACT(metadata!D634,"surface (non-saline)"),EXACT(metadata!D634,"aerosol (non-saline)"),EXACT(metadata!D634,"sediment (non-saline)"),EXACT(metadata!D634,"surface (saline)"),EXACT(metadata!D634,"aerosol (saline)"),EXACT(metadata!D634,"sediment (saline)")))</f>
        <v>0</v>
      </c>
      <c r="T634" t="b">
        <f>AND(IF(metadata!E634="",FALSE,TRUE),EXACT(metadata!E634,"built environment"))</f>
        <v>0</v>
      </c>
      <c r="U634" t="b">
        <f>OR(AND(IF(metadata!F634="",FALSE,TRUE),EXACT(metadata!F634,"not applicable")),AND(IF(metadata!F634="",FALSE,TRUE),EXACT(metadata!F634,"anaerobic digester content")))</f>
        <v>0</v>
      </c>
    </row>
    <row r="635" spans="1:21" x14ac:dyDescent="0.2">
      <c r="A635" s="4" t="str">
        <f ca="1">IF(B635=" "," ",HYPERLINK(CONCATENATE("#metadata!",ADDRESS(INDEX($L$2:$L$1001,MATCH(ROWS($J$2:J635),$J$2:$J$1001,0),0),1)),INDEX($O$2:$O$1001,MATCH(ROWS($J$2:J635),$J$2:$J$1001,0),0)))</f>
        <v xml:space="preserve"> </v>
      </c>
      <c r="B635" s="3" t="str">
        <f ca="1">IF(OR(INDEX($K$2:$K$1001,MATCH(ROWS($J$2:J635),$J$2:$J$1001,0),1)&gt;=100000,INDEX($Q$1005:$U$1005,1,MATCH(COLUMNS($Q$1006:Q1006),$Q$1006:$U$1006,0))&gt;=100000), " ",IF(INDEX($Q$2:$U$1001,MATCH(ROWS($J$2:J635),$J$2:$J$1001,0),MATCH(COLUMNS($Q$1006:Q1006),$Q$1006:$U$1006,0)), HYPERLINK("#",""), HYPERLINK(CONCATENATE("#metadata!", ADDRESS(INDEX($L$2:$L$1001,MATCH(ROWS($J$2:J635),$J$2:$J$1001,0),0), INDEX($Q$1004:$U$1004,1,MATCH(COLUMNS($Q$1006:Q1006),$Q$1006:$U$1006,0)))),"Fix")))</f>
        <v xml:space="preserve"> </v>
      </c>
      <c r="C635" s="3" t="str">
        <f ca="1">IF(OR(INDEX($K$2:$K$1001,MATCH(ROWS($J$2:J635),$J$2:$J$1001,0),1)&gt;=100000,INDEX($Q$1005:$U$1005,1,MATCH(COLUMNS($Q$1006:R1006),$Q$1006:$U$1006,0))&gt;=100000), " ",IF(INDEX($Q$2:$U$1001,MATCH(ROWS($J$2:J635),$J$2:$J$1001,0),MATCH(COLUMNS($Q$1006:R1006),$Q$1006:$U$1006,0)), HYPERLINK("#",""), HYPERLINK(CONCATENATE("#metadata!", ADDRESS(INDEX($L$2:$L$1001,MATCH(ROWS($J$2:J635),$J$2:$J$1001,0),0), INDEX($Q$1004:$U$1004,1,MATCH(COLUMNS($Q$1006:R1006),$Q$1006:$U$1006,0)))),"Fix")))</f>
        <v xml:space="preserve"> </v>
      </c>
      <c r="D635" s="3" t="str">
        <f ca="1">IF(OR(INDEX($K$2:$K$1001,MATCH(ROWS($J$2:J635),$J$2:$J$1001,0),1)&gt;=100000,INDEX($Q$1005:$U$1005,1,MATCH(COLUMNS($Q$1006:S1006),$Q$1006:$U$1006,0))&gt;=100000), " ",IF(INDEX($Q$2:$U$1001,MATCH(ROWS($J$2:J635),$J$2:$J$1001,0),MATCH(COLUMNS($Q$1006:S1006),$Q$1006:$U$1006,0)), HYPERLINK("#",""), HYPERLINK(CONCATENATE("#metadata!", ADDRESS(INDEX($L$2:$L$1001,MATCH(ROWS($J$2:J635),$J$2:$J$1001,0),0), INDEX($Q$1004:$U$1004,1,MATCH(COLUMNS($Q$1006:S1006),$Q$1006:$U$1006,0)))),"Fix")))</f>
        <v xml:space="preserve"> </v>
      </c>
      <c r="E635" s="3" t="str">
        <f ca="1">IF(OR(INDEX($K$2:$K$1001,MATCH(ROWS($J$2:J635),$J$2:$J$1001,0),1)&gt;=100000,INDEX($Q$1005:$U$1005,1,MATCH(COLUMNS($Q$1006:T1006),$Q$1006:$U$1006,0))&gt;=100000), " ",IF(INDEX($Q$2:$U$1001,MATCH(ROWS($J$2:J635),$J$2:$J$1001,0),MATCH(COLUMNS($Q$1006:T1006),$Q$1006:$U$1006,0)), HYPERLINK("#",""), HYPERLINK(CONCATENATE("#metadata!", ADDRESS(INDEX($L$2:$L$1001,MATCH(ROWS($J$2:J635),$J$2:$J$1001,0),0), INDEX($Q$1004:$U$1004,1,MATCH(COLUMNS($Q$1006:T1006),$Q$1006:$U$1006,0)))),"Fix")))</f>
        <v xml:space="preserve"> </v>
      </c>
      <c r="F635" s="3" t="str">
        <f ca="1">IF(OR(INDEX($K$2:$K$1001,MATCH(ROWS($J$2:J635),$J$2:$J$1001,0),1)&gt;=100000,INDEX($Q$1005:$U$1005,1,MATCH(COLUMNS($Q$1006:U1006),$Q$1006:$U$1006,0))&gt;=100000), " ",IF(INDEX($Q$2:$U$1001,MATCH(ROWS($J$2:J635),$J$2:$J$1001,0),MATCH(COLUMNS($Q$1006:U1006),$Q$1006:$U$1006,0)), HYPERLINK("#",""), HYPERLINK(CONCATENATE("#metadata!", ADDRESS(INDEX($L$2:$L$1001,MATCH(ROWS($J$2:J635),$J$2:$J$1001,0),0), INDEX($Q$1004:$U$1004,1,MATCH(COLUMNS($Q$1006:U1006),$Q$1006:$U$1006,0)))),"Fix")))</f>
        <v xml:space="preserve"> </v>
      </c>
      <c r="J635">
        <v>634</v>
      </c>
      <c r="K635">
        <v>100635</v>
      </c>
      <c r="L635">
        <v>635</v>
      </c>
      <c r="M635" t="b">
        <f t="shared" si="9"/>
        <v>1</v>
      </c>
      <c r="N635" t="b">
        <f>COUNTBLANK(metadata!B635:F635)=COLUMNS(metadata!B635:F635)</f>
        <v>1</v>
      </c>
      <c r="O635" t="str">
        <v/>
      </c>
      <c r="Q635" t="b">
        <f ca="1">AND(IF(metadata!B635="",FALSE,TRUE),COUNTIF(metadata!B:B, metadata!B635) = 1,NOT(ISERROR(SUMPRODUCT(SEARCH(MID(metadata!B635,ROW(INDIRECT("1:"&amp;LEN(metadata!B635))), 1),"0123456789abcdefghijklmnopqrstuvwxyzABCDEFGHIJKLMNOPQRSTUVWXYZ.")))))</f>
        <v>0</v>
      </c>
      <c r="R635" t="b">
        <f>AND(IF(metadata!C635="",FALSE,TRUE),OR(EXACT(metadata!C635,"saline"),EXACT(metadata!C635,"non-saline")))</f>
        <v>0</v>
      </c>
      <c r="S635" t="b">
        <f>AND(IF(metadata!D635="",FALSE,TRUE),OR(EXACT(metadata!D635,"surface (non-saline)"),EXACT(metadata!D635,"aerosol (non-saline)"),EXACT(metadata!D635,"sediment (non-saline)"),EXACT(metadata!D635,"surface (saline)"),EXACT(metadata!D635,"aerosol (saline)"),EXACT(metadata!D635,"sediment (saline)")))</f>
        <v>0</v>
      </c>
      <c r="T635" t="b">
        <f>AND(IF(metadata!E635="",FALSE,TRUE),EXACT(metadata!E635,"built environment"))</f>
        <v>0</v>
      </c>
      <c r="U635" t="b">
        <f>OR(AND(IF(metadata!F635="",FALSE,TRUE),EXACT(metadata!F635,"not applicable")),AND(IF(metadata!F635="",FALSE,TRUE),EXACT(metadata!F635,"anaerobic digester content")))</f>
        <v>0</v>
      </c>
    </row>
    <row r="636" spans="1:21" x14ac:dyDescent="0.2">
      <c r="A636" s="4" t="str">
        <f ca="1">IF(B636=" "," ",HYPERLINK(CONCATENATE("#metadata!",ADDRESS(INDEX($L$2:$L$1001,MATCH(ROWS($J$2:J636),$J$2:$J$1001,0),0),1)),INDEX($O$2:$O$1001,MATCH(ROWS($J$2:J636),$J$2:$J$1001,0),0)))</f>
        <v xml:space="preserve"> </v>
      </c>
      <c r="B636" s="3" t="str">
        <f ca="1">IF(OR(INDEX($K$2:$K$1001,MATCH(ROWS($J$2:J636),$J$2:$J$1001,0),1)&gt;=100000,INDEX($Q$1005:$U$1005,1,MATCH(COLUMNS($Q$1006:Q1006),$Q$1006:$U$1006,0))&gt;=100000), " ",IF(INDEX($Q$2:$U$1001,MATCH(ROWS($J$2:J636),$J$2:$J$1001,0),MATCH(COLUMNS($Q$1006:Q1006),$Q$1006:$U$1006,0)), HYPERLINK("#",""), HYPERLINK(CONCATENATE("#metadata!", ADDRESS(INDEX($L$2:$L$1001,MATCH(ROWS($J$2:J636),$J$2:$J$1001,0),0), INDEX($Q$1004:$U$1004,1,MATCH(COLUMNS($Q$1006:Q1006),$Q$1006:$U$1006,0)))),"Fix")))</f>
        <v xml:space="preserve"> </v>
      </c>
      <c r="C636" s="3" t="str">
        <f ca="1">IF(OR(INDEX($K$2:$K$1001,MATCH(ROWS($J$2:J636),$J$2:$J$1001,0),1)&gt;=100000,INDEX($Q$1005:$U$1005,1,MATCH(COLUMNS($Q$1006:R1006),$Q$1006:$U$1006,0))&gt;=100000), " ",IF(INDEX($Q$2:$U$1001,MATCH(ROWS($J$2:J636),$J$2:$J$1001,0),MATCH(COLUMNS($Q$1006:R1006),$Q$1006:$U$1006,0)), HYPERLINK("#",""), HYPERLINK(CONCATENATE("#metadata!", ADDRESS(INDEX($L$2:$L$1001,MATCH(ROWS($J$2:J636),$J$2:$J$1001,0),0), INDEX($Q$1004:$U$1004,1,MATCH(COLUMNS($Q$1006:R1006),$Q$1006:$U$1006,0)))),"Fix")))</f>
        <v xml:space="preserve"> </v>
      </c>
      <c r="D636" s="3" t="str">
        <f ca="1">IF(OR(INDEX($K$2:$K$1001,MATCH(ROWS($J$2:J636),$J$2:$J$1001,0),1)&gt;=100000,INDEX($Q$1005:$U$1005,1,MATCH(COLUMNS($Q$1006:S1006),$Q$1006:$U$1006,0))&gt;=100000), " ",IF(INDEX($Q$2:$U$1001,MATCH(ROWS($J$2:J636),$J$2:$J$1001,0),MATCH(COLUMNS($Q$1006:S1006),$Q$1006:$U$1006,0)), HYPERLINK("#",""), HYPERLINK(CONCATENATE("#metadata!", ADDRESS(INDEX($L$2:$L$1001,MATCH(ROWS($J$2:J636),$J$2:$J$1001,0),0), INDEX($Q$1004:$U$1004,1,MATCH(COLUMNS($Q$1006:S1006),$Q$1006:$U$1006,0)))),"Fix")))</f>
        <v xml:space="preserve"> </v>
      </c>
      <c r="E636" s="3" t="str">
        <f ca="1">IF(OR(INDEX($K$2:$K$1001,MATCH(ROWS($J$2:J636),$J$2:$J$1001,0),1)&gt;=100000,INDEX($Q$1005:$U$1005,1,MATCH(COLUMNS($Q$1006:T1006),$Q$1006:$U$1006,0))&gt;=100000), " ",IF(INDEX($Q$2:$U$1001,MATCH(ROWS($J$2:J636),$J$2:$J$1001,0),MATCH(COLUMNS($Q$1006:T1006),$Q$1006:$U$1006,0)), HYPERLINK("#",""), HYPERLINK(CONCATENATE("#metadata!", ADDRESS(INDEX($L$2:$L$1001,MATCH(ROWS($J$2:J636),$J$2:$J$1001,0),0), INDEX($Q$1004:$U$1004,1,MATCH(COLUMNS($Q$1006:T1006),$Q$1006:$U$1006,0)))),"Fix")))</f>
        <v xml:space="preserve"> </v>
      </c>
      <c r="F636" s="3" t="str">
        <f ca="1">IF(OR(INDEX($K$2:$K$1001,MATCH(ROWS($J$2:J636),$J$2:$J$1001,0),1)&gt;=100000,INDEX($Q$1005:$U$1005,1,MATCH(COLUMNS($Q$1006:U1006),$Q$1006:$U$1006,0))&gt;=100000), " ",IF(INDEX($Q$2:$U$1001,MATCH(ROWS($J$2:J636),$J$2:$J$1001,0),MATCH(COLUMNS($Q$1006:U1006),$Q$1006:$U$1006,0)), HYPERLINK("#",""), HYPERLINK(CONCATENATE("#metadata!", ADDRESS(INDEX($L$2:$L$1001,MATCH(ROWS($J$2:J636),$J$2:$J$1001,0),0), INDEX($Q$1004:$U$1004,1,MATCH(COLUMNS($Q$1006:U1006),$Q$1006:$U$1006,0)))),"Fix")))</f>
        <v xml:space="preserve"> </v>
      </c>
      <c r="J636">
        <v>635</v>
      </c>
      <c r="K636">
        <v>100636</v>
      </c>
      <c r="L636">
        <v>636</v>
      </c>
      <c r="M636" t="b">
        <f t="shared" si="9"/>
        <v>1</v>
      </c>
      <c r="N636" t="b">
        <f>COUNTBLANK(metadata!B636:F636)=COLUMNS(metadata!B636:F636)</f>
        <v>1</v>
      </c>
      <c r="O636" t="str">
        <v/>
      </c>
      <c r="Q636" t="b">
        <f ca="1">AND(IF(metadata!B636="",FALSE,TRUE),COUNTIF(metadata!B:B, metadata!B636) = 1,NOT(ISERROR(SUMPRODUCT(SEARCH(MID(metadata!B636,ROW(INDIRECT("1:"&amp;LEN(metadata!B636))), 1),"0123456789abcdefghijklmnopqrstuvwxyzABCDEFGHIJKLMNOPQRSTUVWXYZ.")))))</f>
        <v>0</v>
      </c>
      <c r="R636" t="b">
        <f>AND(IF(metadata!C636="",FALSE,TRUE),OR(EXACT(metadata!C636,"saline"),EXACT(metadata!C636,"non-saline")))</f>
        <v>0</v>
      </c>
      <c r="S636" t="b">
        <f>AND(IF(metadata!D636="",FALSE,TRUE),OR(EXACT(metadata!D636,"surface (non-saline)"),EXACT(metadata!D636,"aerosol (non-saline)"),EXACT(metadata!D636,"sediment (non-saline)"),EXACT(metadata!D636,"surface (saline)"),EXACT(metadata!D636,"aerosol (saline)"),EXACT(metadata!D636,"sediment (saline)")))</f>
        <v>0</v>
      </c>
      <c r="T636" t="b">
        <f>AND(IF(metadata!E636="",FALSE,TRUE),EXACT(metadata!E636,"built environment"))</f>
        <v>0</v>
      </c>
      <c r="U636" t="b">
        <f>OR(AND(IF(metadata!F636="",FALSE,TRUE),EXACT(metadata!F636,"not applicable")),AND(IF(metadata!F636="",FALSE,TRUE),EXACT(metadata!F636,"anaerobic digester content")))</f>
        <v>0</v>
      </c>
    </row>
    <row r="637" spans="1:21" x14ac:dyDescent="0.2">
      <c r="A637" s="4" t="str">
        <f ca="1">IF(B637=" "," ",HYPERLINK(CONCATENATE("#metadata!",ADDRESS(INDEX($L$2:$L$1001,MATCH(ROWS($J$2:J637),$J$2:$J$1001,0),0),1)),INDEX($O$2:$O$1001,MATCH(ROWS($J$2:J637),$J$2:$J$1001,0),0)))</f>
        <v xml:space="preserve"> </v>
      </c>
      <c r="B637" s="3" t="str">
        <f ca="1">IF(OR(INDEX($K$2:$K$1001,MATCH(ROWS($J$2:J637),$J$2:$J$1001,0),1)&gt;=100000,INDEX($Q$1005:$U$1005,1,MATCH(COLUMNS($Q$1006:Q1006),$Q$1006:$U$1006,0))&gt;=100000), " ",IF(INDEX($Q$2:$U$1001,MATCH(ROWS($J$2:J637),$J$2:$J$1001,0),MATCH(COLUMNS($Q$1006:Q1006),$Q$1006:$U$1006,0)), HYPERLINK("#",""), HYPERLINK(CONCATENATE("#metadata!", ADDRESS(INDEX($L$2:$L$1001,MATCH(ROWS($J$2:J637),$J$2:$J$1001,0),0), INDEX($Q$1004:$U$1004,1,MATCH(COLUMNS($Q$1006:Q1006),$Q$1006:$U$1006,0)))),"Fix")))</f>
        <v xml:space="preserve"> </v>
      </c>
      <c r="C637" s="3" t="str">
        <f ca="1">IF(OR(INDEX($K$2:$K$1001,MATCH(ROWS($J$2:J637),$J$2:$J$1001,0),1)&gt;=100000,INDEX($Q$1005:$U$1005,1,MATCH(COLUMNS($Q$1006:R1006),$Q$1006:$U$1006,0))&gt;=100000), " ",IF(INDEX($Q$2:$U$1001,MATCH(ROWS($J$2:J637),$J$2:$J$1001,0),MATCH(COLUMNS($Q$1006:R1006),$Q$1006:$U$1006,0)), HYPERLINK("#",""), HYPERLINK(CONCATENATE("#metadata!", ADDRESS(INDEX($L$2:$L$1001,MATCH(ROWS($J$2:J637),$J$2:$J$1001,0),0), INDEX($Q$1004:$U$1004,1,MATCH(COLUMNS($Q$1006:R1006),$Q$1006:$U$1006,0)))),"Fix")))</f>
        <v xml:space="preserve"> </v>
      </c>
      <c r="D637" s="3" t="str">
        <f ca="1">IF(OR(INDEX($K$2:$K$1001,MATCH(ROWS($J$2:J637),$J$2:$J$1001,0),1)&gt;=100000,INDEX($Q$1005:$U$1005,1,MATCH(COLUMNS($Q$1006:S1006),$Q$1006:$U$1006,0))&gt;=100000), " ",IF(INDEX($Q$2:$U$1001,MATCH(ROWS($J$2:J637),$J$2:$J$1001,0),MATCH(COLUMNS($Q$1006:S1006),$Q$1006:$U$1006,0)), HYPERLINK("#",""), HYPERLINK(CONCATENATE("#metadata!", ADDRESS(INDEX($L$2:$L$1001,MATCH(ROWS($J$2:J637),$J$2:$J$1001,0),0), INDEX($Q$1004:$U$1004,1,MATCH(COLUMNS($Q$1006:S1006),$Q$1006:$U$1006,0)))),"Fix")))</f>
        <v xml:space="preserve"> </v>
      </c>
      <c r="E637" s="3" t="str">
        <f ca="1">IF(OR(INDEX($K$2:$K$1001,MATCH(ROWS($J$2:J637),$J$2:$J$1001,0),1)&gt;=100000,INDEX($Q$1005:$U$1005,1,MATCH(COLUMNS($Q$1006:T1006),$Q$1006:$U$1006,0))&gt;=100000), " ",IF(INDEX($Q$2:$U$1001,MATCH(ROWS($J$2:J637),$J$2:$J$1001,0),MATCH(COLUMNS($Q$1006:T1006),$Q$1006:$U$1006,0)), HYPERLINK("#",""), HYPERLINK(CONCATENATE("#metadata!", ADDRESS(INDEX($L$2:$L$1001,MATCH(ROWS($J$2:J637),$J$2:$J$1001,0),0), INDEX($Q$1004:$U$1004,1,MATCH(COLUMNS($Q$1006:T1006),$Q$1006:$U$1006,0)))),"Fix")))</f>
        <v xml:space="preserve"> </v>
      </c>
      <c r="F637" s="3" t="str">
        <f ca="1">IF(OR(INDEX($K$2:$K$1001,MATCH(ROWS($J$2:J637),$J$2:$J$1001,0),1)&gt;=100000,INDEX($Q$1005:$U$1005,1,MATCH(COLUMNS($Q$1006:U1006),$Q$1006:$U$1006,0))&gt;=100000), " ",IF(INDEX($Q$2:$U$1001,MATCH(ROWS($J$2:J637),$J$2:$J$1001,0),MATCH(COLUMNS($Q$1006:U1006),$Q$1006:$U$1006,0)), HYPERLINK("#",""), HYPERLINK(CONCATENATE("#metadata!", ADDRESS(INDEX($L$2:$L$1001,MATCH(ROWS($J$2:J637),$J$2:$J$1001,0),0), INDEX($Q$1004:$U$1004,1,MATCH(COLUMNS($Q$1006:U1006),$Q$1006:$U$1006,0)))),"Fix")))</f>
        <v xml:space="preserve"> </v>
      </c>
      <c r="J637">
        <v>636</v>
      </c>
      <c r="K637">
        <v>100637</v>
      </c>
      <c r="L637">
        <v>637</v>
      </c>
      <c r="M637" t="b">
        <f t="shared" si="9"/>
        <v>1</v>
      </c>
      <c r="N637" t="b">
        <f>COUNTBLANK(metadata!B637:F637)=COLUMNS(metadata!B637:F637)</f>
        <v>1</v>
      </c>
      <c r="O637" t="str">
        <v/>
      </c>
      <c r="Q637" t="b">
        <f ca="1">AND(IF(metadata!B637="",FALSE,TRUE),COUNTIF(metadata!B:B, metadata!B637) = 1,NOT(ISERROR(SUMPRODUCT(SEARCH(MID(metadata!B637,ROW(INDIRECT("1:"&amp;LEN(metadata!B637))), 1),"0123456789abcdefghijklmnopqrstuvwxyzABCDEFGHIJKLMNOPQRSTUVWXYZ.")))))</f>
        <v>0</v>
      </c>
      <c r="R637" t="b">
        <f>AND(IF(metadata!C637="",FALSE,TRUE),OR(EXACT(metadata!C637,"saline"),EXACT(metadata!C637,"non-saline")))</f>
        <v>0</v>
      </c>
      <c r="S637" t="b">
        <f>AND(IF(metadata!D637="",FALSE,TRUE),OR(EXACT(metadata!D637,"surface (non-saline)"),EXACT(metadata!D637,"aerosol (non-saline)"),EXACT(metadata!D637,"sediment (non-saline)"),EXACT(metadata!D637,"surface (saline)"),EXACT(metadata!D637,"aerosol (saline)"),EXACT(metadata!D637,"sediment (saline)")))</f>
        <v>0</v>
      </c>
      <c r="T637" t="b">
        <f>AND(IF(metadata!E637="",FALSE,TRUE),EXACT(metadata!E637,"built environment"))</f>
        <v>0</v>
      </c>
      <c r="U637" t="b">
        <f>OR(AND(IF(metadata!F637="",FALSE,TRUE),EXACT(metadata!F637,"not applicable")),AND(IF(metadata!F637="",FALSE,TRUE),EXACT(metadata!F637,"anaerobic digester content")))</f>
        <v>0</v>
      </c>
    </row>
    <row r="638" spans="1:21" x14ac:dyDescent="0.2">
      <c r="A638" s="4" t="str">
        <f ca="1">IF(B638=" "," ",HYPERLINK(CONCATENATE("#metadata!",ADDRESS(INDEX($L$2:$L$1001,MATCH(ROWS($J$2:J638),$J$2:$J$1001,0),0),1)),INDEX($O$2:$O$1001,MATCH(ROWS($J$2:J638),$J$2:$J$1001,0),0)))</f>
        <v xml:space="preserve"> </v>
      </c>
      <c r="B638" s="3" t="str">
        <f ca="1">IF(OR(INDEX($K$2:$K$1001,MATCH(ROWS($J$2:J638),$J$2:$J$1001,0),1)&gt;=100000,INDEX($Q$1005:$U$1005,1,MATCH(COLUMNS($Q$1006:Q1006),$Q$1006:$U$1006,0))&gt;=100000), " ",IF(INDEX($Q$2:$U$1001,MATCH(ROWS($J$2:J638),$J$2:$J$1001,0),MATCH(COLUMNS($Q$1006:Q1006),$Q$1006:$U$1006,0)), HYPERLINK("#",""), HYPERLINK(CONCATENATE("#metadata!", ADDRESS(INDEX($L$2:$L$1001,MATCH(ROWS($J$2:J638),$J$2:$J$1001,0),0), INDEX($Q$1004:$U$1004,1,MATCH(COLUMNS($Q$1006:Q1006),$Q$1006:$U$1006,0)))),"Fix")))</f>
        <v xml:space="preserve"> </v>
      </c>
      <c r="C638" s="3" t="str">
        <f ca="1">IF(OR(INDEX($K$2:$K$1001,MATCH(ROWS($J$2:J638),$J$2:$J$1001,0),1)&gt;=100000,INDEX($Q$1005:$U$1005,1,MATCH(COLUMNS($Q$1006:R1006),$Q$1006:$U$1006,0))&gt;=100000), " ",IF(INDEX($Q$2:$U$1001,MATCH(ROWS($J$2:J638),$J$2:$J$1001,0),MATCH(COLUMNS($Q$1006:R1006),$Q$1006:$U$1006,0)), HYPERLINK("#",""), HYPERLINK(CONCATENATE("#metadata!", ADDRESS(INDEX($L$2:$L$1001,MATCH(ROWS($J$2:J638),$J$2:$J$1001,0),0), INDEX($Q$1004:$U$1004,1,MATCH(COLUMNS($Q$1006:R1006),$Q$1006:$U$1006,0)))),"Fix")))</f>
        <v xml:space="preserve"> </v>
      </c>
      <c r="D638" s="3" t="str">
        <f ca="1">IF(OR(INDEX($K$2:$K$1001,MATCH(ROWS($J$2:J638),$J$2:$J$1001,0),1)&gt;=100000,INDEX($Q$1005:$U$1005,1,MATCH(COLUMNS($Q$1006:S1006),$Q$1006:$U$1006,0))&gt;=100000), " ",IF(INDEX($Q$2:$U$1001,MATCH(ROWS($J$2:J638),$J$2:$J$1001,0),MATCH(COLUMNS($Q$1006:S1006),$Q$1006:$U$1006,0)), HYPERLINK("#",""), HYPERLINK(CONCATENATE("#metadata!", ADDRESS(INDEX($L$2:$L$1001,MATCH(ROWS($J$2:J638),$J$2:$J$1001,0),0), INDEX($Q$1004:$U$1004,1,MATCH(COLUMNS($Q$1006:S1006),$Q$1006:$U$1006,0)))),"Fix")))</f>
        <v xml:space="preserve"> </v>
      </c>
      <c r="E638" s="3" t="str">
        <f ca="1">IF(OR(INDEX($K$2:$K$1001,MATCH(ROWS($J$2:J638),$J$2:$J$1001,0),1)&gt;=100000,INDEX($Q$1005:$U$1005,1,MATCH(COLUMNS($Q$1006:T1006),$Q$1006:$U$1006,0))&gt;=100000), " ",IF(INDEX($Q$2:$U$1001,MATCH(ROWS($J$2:J638),$J$2:$J$1001,0),MATCH(COLUMNS($Q$1006:T1006),$Q$1006:$U$1006,0)), HYPERLINK("#",""), HYPERLINK(CONCATENATE("#metadata!", ADDRESS(INDEX($L$2:$L$1001,MATCH(ROWS($J$2:J638),$J$2:$J$1001,0),0), INDEX($Q$1004:$U$1004,1,MATCH(COLUMNS($Q$1006:T1006),$Q$1006:$U$1006,0)))),"Fix")))</f>
        <v xml:space="preserve"> </v>
      </c>
      <c r="F638" s="3" t="str">
        <f ca="1">IF(OR(INDEX($K$2:$K$1001,MATCH(ROWS($J$2:J638),$J$2:$J$1001,0),1)&gt;=100000,INDEX($Q$1005:$U$1005,1,MATCH(COLUMNS($Q$1006:U1006),$Q$1006:$U$1006,0))&gt;=100000), " ",IF(INDEX($Q$2:$U$1001,MATCH(ROWS($J$2:J638),$J$2:$J$1001,0),MATCH(COLUMNS($Q$1006:U1006),$Q$1006:$U$1006,0)), HYPERLINK("#",""), HYPERLINK(CONCATENATE("#metadata!", ADDRESS(INDEX($L$2:$L$1001,MATCH(ROWS($J$2:J638),$J$2:$J$1001,0),0), INDEX($Q$1004:$U$1004,1,MATCH(COLUMNS($Q$1006:U1006),$Q$1006:$U$1006,0)))),"Fix")))</f>
        <v xml:space="preserve"> </v>
      </c>
      <c r="J638">
        <v>637</v>
      </c>
      <c r="K638">
        <v>100638</v>
      </c>
      <c r="L638">
        <v>638</v>
      </c>
      <c r="M638" t="b">
        <f t="shared" si="9"/>
        <v>1</v>
      </c>
      <c r="N638" t="b">
        <f>COUNTBLANK(metadata!B638:F638)=COLUMNS(metadata!B638:F638)</f>
        <v>1</v>
      </c>
      <c r="O638" t="str">
        <v/>
      </c>
      <c r="Q638" t="b">
        <f ca="1">AND(IF(metadata!B638="",FALSE,TRUE),COUNTIF(metadata!B:B, metadata!B638) = 1,NOT(ISERROR(SUMPRODUCT(SEARCH(MID(metadata!B638,ROW(INDIRECT("1:"&amp;LEN(metadata!B638))), 1),"0123456789abcdefghijklmnopqrstuvwxyzABCDEFGHIJKLMNOPQRSTUVWXYZ.")))))</f>
        <v>0</v>
      </c>
      <c r="R638" t="b">
        <f>AND(IF(metadata!C638="",FALSE,TRUE),OR(EXACT(metadata!C638,"saline"),EXACT(metadata!C638,"non-saline")))</f>
        <v>0</v>
      </c>
      <c r="S638" t="b">
        <f>AND(IF(metadata!D638="",FALSE,TRUE),OR(EXACT(metadata!D638,"surface (non-saline)"),EXACT(metadata!D638,"aerosol (non-saline)"),EXACT(metadata!D638,"sediment (non-saline)"),EXACT(metadata!D638,"surface (saline)"),EXACT(metadata!D638,"aerosol (saline)"),EXACT(metadata!D638,"sediment (saline)")))</f>
        <v>0</v>
      </c>
      <c r="T638" t="b">
        <f>AND(IF(metadata!E638="",FALSE,TRUE),EXACT(metadata!E638,"built environment"))</f>
        <v>0</v>
      </c>
      <c r="U638" t="b">
        <f>OR(AND(IF(metadata!F638="",FALSE,TRUE),EXACT(metadata!F638,"not applicable")),AND(IF(metadata!F638="",FALSE,TRUE),EXACT(metadata!F638,"anaerobic digester content")))</f>
        <v>0</v>
      </c>
    </row>
    <row r="639" spans="1:21" x14ac:dyDescent="0.2">
      <c r="A639" s="4" t="str">
        <f ca="1">IF(B639=" "," ",HYPERLINK(CONCATENATE("#metadata!",ADDRESS(INDEX($L$2:$L$1001,MATCH(ROWS($J$2:J639),$J$2:$J$1001,0),0),1)),INDEX($O$2:$O$1001,MATCH(ROWS($J$2:J639),$J$2:$J$1001,0),0)))</f>
        <v xml:space="preserve"> </v>
      </c>
      <c r="B639" s="3" t="str">
        <f ca="1">IF(OR(INDEX($K$2:$K$1001,MATCH(ROWS($J$2:J639),$J$2:$J$1001,0),1)&gt;=100000,INDEX($Q$1005:$U$1005,1,MATCH(COLUMNS($Q$1006:Q1006),$Q$1006:$U$1006,0))&gt;=100000), " ",IF(INDEX($Q$2:$U$1001,MATCH(ROWS($J$2:J639),$J$2:$J$1001,0),MATCH(COLUMNS($Q$1006:Q1006),$Q$1006:$U$1006,0)), HYPERLINK("#",""), HYPERLINK(CONCATENATE("#metadata!", ADDRESS(INDEX($L$2:$L$1001,MATCH(ROWS($J$2:J639),$J$2:$J$1001,0),0), INDEX($Q$1004:$U$1004,1,MATCH(COLUMNS($Q$1006:Q1006),$Q$1006:$U$1006,0)))),"Fix")))</f>
        <v xml:space="preserve"> </v>
      </c>
      <c r="C639" s="3" t="str">
        <f ca="1">IF(OR(INDEX($K$2:$K$1001,MATCH(ROWS($J$2:J639),$J$2:$J$1001,0),1)&gt;=100000,INDEX($Q$1005:$U$1005,1,MATCH(COLUMNS($Q$1006:R1006),$Q$1006:$U$1006,0))&gt;=100000), " ",IF(INDEX($Q$2:$U$1001,MATCH(ROWS($J$2:J639),$J$2:$J$1001,0),MATCH(COLUMNS($Q$1006:R1006),$Q$1006:$U$1006,0)), HYPERLINK("#",""), HYPERLINK(CONCATENATE("#metadata!", ADDRESS(INDEX($L$2:$L$1001,MATCH(ROWS($J$2:J639),$J$2:$J$1001,0),0), INDEX($Q$1004:$U$1004,1,MATCH(COLUMNS($Q$1006:R1006),$Q$1006:$U$1006,0)))),"Fix")))</f>
        <v xml:space="preserve"> </v>
      </c>
      <c r="D639" s="3" t="str">
        <f ca="1">IF(OR(INDEX($K$2:$K$1001,MATCH(ROWS($J$2:J639),$J$2:$J$1001,0),1)&gt;=100000,INDEX($Q$1005:$U$1005,1,MATCH(COLUMNS($Q$1006:S1006),$Q$1006:$U$1006,0))&gt;=100000), " ",IF(INDEX($Q$2:$U$1001,MATCH(ROWS($J$2:J639),$J$2:$J$1001,0),MATCH(COLUMNS($Q$1006:S1006),$Q$1006:$U$1006,0)), HYPERLINK("#",""), HYPERLINK(CONCATENATE("#metadata!", ADDRESS(INDEX($L$2:$L$1001,MATCH(ROWS($J$2:J639),$J$2:$J$1001,0),0), INDEX($Q$1004:$U$1004,1,MATCH(COLUMNS($Q$1006:S1006),$Q$1006:$U$1006,0)))),"Fix")))</f>
        <v xml:space="preserve"> </v>
      </c>
      <c r="E639" s="3" t="str">
        <f ca="1">IF(OR(INDEX($K$2:$K$1001,MATCH(ROWS($J$2:J639),$J$2:$J$1001,0),1)&gt;=100000,INDEX($Q$1005:$U$1005,1,MATCH(COLUMNS($Q$1006:T1006),$Q$1006:$U$1006,0))&gt;=100000), " ",IF(INDEX($Q$2:$U$1001,MATCH(ROWS($J$2:J639),$J$2:$J$1001,0),MATCH(COLUMNS($Q$1006:T1006),$Q$1006:$U$1006,0)), HYPERLINK("#",""), HYPERLINK(CONCATENATE("#metadata!", ADDRESS(INDEX($L$2:$L$1001,MATCH(ROWS($J$2:J639),$J$2:$J$1001,0),0), INDEX($Q$1004:$U$1004,1,MATCH(COLUMNS($Q$1006:T1006),$Q$1006:$U$1006,0)))),"Fix")))</f>
        <v xml:space="preserve"> </v>
      </c>
      <c r="F639" s="3" t="str">
        <f ca="1">IF(OR(INDEX($K$2:$K$1001,MATCH(ROWS($J$2:J639),$J$2:$J$1001,0),1)&gt;=100000,INDEX($Q$1005:$U$1005,1,MATCH(COLUMNS($Q$1006:U1006),$Q$1006:$U$1006,0))&gt;=100000), " ",IF(INDEX($Q$2:$U$1001,MATCH(ROWS($J$2:J639),$J$2:$J$1001,0),MATCH(COLUMNS($Q$1006:U1006),$Q$1006:$U$1006,0)), HYPERLINK("#",""), HYPERLINK(CONCATENATE("#metadata!", ADDRESS(INDEX($L$2:$L$1001,MATCH(ROWS($J$2:J639),$J$2:$J$1001,0),0), INDEX($Q$1004:$U$1004,1,MATCH(COLUMNS($Q$1006:U1006),$Q$1006:$U$1006,0)))),"Fix")))</f>
        <v xml:space="preserve"> </v>
      </c>
      <c r="J639">
        <v>638</v>
      </c>
      <c r="K639">
        <v>100639</v>
      </c>
      <c r="L639">
        <v>639</v>
      </c>
      <c r="M639" t="b">
        <f t="shared" si="9"/>
        <v>1</v>
      </c>
      <c r="N639" t="b">
        <f>COUNTBLANK(metadata!B639:F639)=COLUMNS(metadata!B639:F639)</f>
        <v>1</v>
      </c>
      <c r="O639" t="str">
        <v/>
      </c>
      <c r="Q639" t="b">
        <f ca="1">AND(IF(metadata!B639="",FALSE,TRUE),COUNTIF(metadata!B:B, metadata!B639) = 1,NOT(ISERROR(SUMPRODUCT(SEARCH(MID(metadata!B639,ROW(INDIRECT("1:"&amp;LEN(metadata!B639))), 1),"0123456789abcdefghijklmnopqrstuvwxyzABCDEFGHIJKLMNOPQRSTUVWXYZ.")))))</f>
        <v>0</v>
      </c>
      <c r="R639" t="b">
        <f>AND(IF(metadata!C639="",FALSE,TRUE),OR(EXACT(metadata!C639,"saline"),EXACT(metadata!C639,"non-saline")))</f>
        <v>0</v>
      </c>
      <c r="S639" t="b">
        <f>AND(IF(metadata!D639="",FALSE,TRUE),OR(EXACT(metadata!D639,"surface (non-saline)"),EXACT(metadata!D639,"aerosol (non-saline)"),EXACT(metadata!D639,"sediment (non-saline)"),EXACT(metadata!D639,"surface (saline)"),EXACT(metadata!D639,"aerosol (saline)"),EXACT(metadata!D639,"sediment (saline)")))</f>
        <v>0</v>
      </c>
      <c r="T639" t="b">
        <f>AND(IF(metadata!E639="",FALSE,TRUE),EXACT(metadata!E639,"built environment"))</f>
        <v>0</v>
      </c>
      <c r="U639" t="b">
        <f>OR(AND(IF(metadata!F639="",FALSE,TRUE),EXACT(metadata!F639,"not applicable")),AND(IF(metadata!F639="",FALSE,TRUE),EXACT(metadata!F639,"anaerobic digester content")))</f>
        <v>0</v>
      </c>
    </row>
    <row r="640" spans="1:21" x14ac:dyDescent="0.2">
      <c r="A640" s="4" t="str">
        <f ca="1">IF(B640=" "," ",HYPERLINK(CONCATENATE("#metadata!",ADDRESS(INDEX($L$2:$L$1001,MATCH(ROWS($J$2:J640),$J$2:$J$1001,0),0),1)),INDEX($O$2:$O$1001,MATCH(ROWS($J$2:J640),$J$2:$J$1001,0),0)))</f>
        <v xml:space="preserve"> </v>
      </c>
      <c r="B640" s="3" t="str">
        <f ca="1">IF(OR(INDEX($K$2:$K$1001,MATCH(ROWS($J$2:J640),$J$2:$J$1001,0),1)&gt;=100000,INDEX($Q$1005:$U$1005,1,MATCH(COLUMNS($Q$1006:Q1006),$Q$1006:$U$1006,0))&gt;=100000), " ",IF(INDEX($Q$2:$U$1001,MATCH(ROWS($J$2:J640),$J$2:$J$1001,0),MATCH(COLUMNS($Q$1006:Q1006),$Q$1006:$U$1006,0)), HYPERLINK("#",""), HYPERLINK(CONCATENATE("#metadata!", ADDRESS(INDEX($L$2:$L$1001,MATCH(ROWS($J$2:J640),$J$2:$J$1001,0),0), INDEX($Q$1004:$U$1004,1,MATCH(COLUMNS($Q$1006:Q1006),$Q$1006:$U$1006,0)))),"Fix")))</f>
        <v xml:space="preserve"> </v>
      </c>
      <c r="C640" s="3" t="str">
        <f ca="1">IF(OR(INDEX($K$2:$K$1001,MATCH(ROWS($J$2:J640),$J$2:$J$1001,0),1)&gt;=100000,INDEX($Q$1005:$U$1005,1,MATCH(COLUMNS($Q$1006:R1006),$Q$1006:$U$1006,0))&gt;=100000), " ",IF(INDEX($Q$2:$U$1001,MATCH(ROWS($J$2:J640),$J$2:$J$1001,0),MATCH(COLUMNS($Q$1006:R1006),$Q$1006:$U$1006,0)), HYPERLINK("#",""), HYPERLINK(CONCATENATE("#metadata!", ADDRESS(INDEX($L$2:$L$1001,MATCH(ROWS($J$2:J640),$J$2:$J$1001,0),0), INDEX($Q$1004:$U$1004,1,MATCH(COLUMNS($Q$1006:R1006),$Q$1006:$U$1006,0)))),"Fix")))</f>
        <v xml:space="preserve"> </v>
      </c>
      <c r="D640" s="3" t="str">
        <f ca="1">IF(OR(INDEX($K$2:$K$1001,MATCH(ROWS($J$2:J640),$J$2:$J$1001,0),1)&gt;=100000,INDEX($Q$1005:$U$1005,1,MATCH(COLUMNS($Q$1006:S1006),$Q$1006:$U$1006,0))&gt;=100000), " ",IF(INDEX($Q$2:$U$1001,MATCH(ROWS($J$2:J640),$J$2:$J$1001,0),MATCH(COLUMNS($Q$1006:S1006),$Q$1006:$U$1006,0)), HYPERLINK("#",""), HYPERLINK(CONCATENATE("#metadata!", ADDRESS(INDEX($L$2:$L$1001,MATCH(ROWS($J$2:J640),$J$2:$J$1001,0),0), INDEX($Q$1004:$U$1004,1,MATCH(COLUMNS($Q$1006:S1006),$Q$1006:$U$1006,0)))),"Fix")))</f>
        <v xml:space="preserve"> </v>
      </c>
      <c r="E640" s="3" t="str">
        <f ca="1">IF(OR(INDEX($K$2:$K$1001,MATCH(ROWS($J$2:J640),$J$2:$J$1001,0),1)&gt;=100000,INDEX($Q$1005:$U$1005,1,MATCH(COLUMNS($Q$1006:T1006),$Q$1006:$U$1006,0))&gt;=100000), " ",IF(INDEX($Q$2:$U$1001,MATCH(ROWS($J$2:J640),$J$2:$J$1001,0),MATCH(COLUMNS($Q$1006:T1006),$Q$1006:$U$1006,0)), HYPERLINK("#",""), HYPERLINK(CONCATENATE("#metadata!", ADDRESS(INDEX($L$2:$L$1001,MATCH(ROWS($J$2:J640),$J$2:$J$1001,0),0), INDEX($Q$1004:$U$1004,1,MATCH(COLUMNS($Q$1006:T1006),$Q$1006:$U$1006,0)))),"Fix")))</f>
        <v xml:space="preserve"> </v>
      </c>
      <c r="F640" s="3" t="str">
        <f ca="1">IF(OR(INDEX($K$2:$K$1001,MATCH(ROWS($J$2:J640),$J$2:$J$1001,0),1)&gt;=100000,INDEX($Q$1005:$U$1005,1,MATCH(COLUMNS($Q$1006:U1006),$Q$1006:$U$1006,0))&gt;=100000), " ",IF(INDEX($Q$2:$U$1001,MATCH(ROWS($J$2:J640),$J$2:$J$1001,0),MATCH(COLUMNS($Q$1006:U1006),$Q$1006:$U$1006,0)), HYPERLINK("#",""), HYPERLINK(CONCATENATE("#metadata!", ADDRESS(INDEX($L$2:$L$1001,MATCH(ROWS($J$2:J640),$J$2:$J$1001,0),0), INDEX($Q$1004:$U$1004,1,MATCH(COLUMNS($Q$1006:U1006),$Q$1006:$U$1006,0)))),"Fix")))</f>
        <v xml:space="preserve"> </v>
      </c>
      <c r="J640">
        <v>639</v>
      </c>
      <c r="K640">
        <v>100640</v>
      </c>
      <c r="L640">
        <v>640</v>
      </c>
      <c r="M640" t="b">
        <f t="shared" si="9"/>
        <v>1</v>
      </c>
      <c r="N640" t="b">
        <f>COUNTBLANK(metadata!B640:F640)=COLUMNS(metadata!B640:F640)</f>
        <v>1</v>
      </c>
      <c r="O640" t="str">
        <v/>
      </c>
      <c r="Q640" t="b">
        <f ca="1">AND(IF(metadata!B640="",FALSE,TRUE),COUNTIF(metadata!B:B, metadata!B640) = 1,NOT(ISERROR(SUMPRODUCT(SEARCH(MID(metadata!B640,ROW(INDIRECT("1:"&amp;LEN(metadata!B640))), 1),"0123456789abcdefghijklmnopqrstuvwxyzABCDEFGHIJKLMNOPQRSTUVWXYZ.")))))</f>
        <v>0</v>
      </c>
      <c r="R640" t="b">
        <f>AND(IF(metadata!C640="",FALSE,TRUE),OR(EXACT(metadata!C640,"saline"),EXACT(metadata!C640,"non-saline")))</f>
        <v>0</v>
      </c>
      <c r="S640" t="b">
        <f>AND(IF(metadata!D640="",FALSE,TRUE),OR(EXACT(metadata!D640,"surface (non-saline)"),EXACT(metadata!D640,"aerosol (non-saline)"),EXACT(metadata!D640,"sediment (non-saline)"),EXACT(metadata!D640,"surface (saline)"),EXACT(metadata!D640,"aerosol (saline)"),EXACT(metadata!D640,"sediment (saline)")))</f>
        <v>0</v>
      </c>
      <c r="T640" t="b">
        <f>AND(IF(metadata!E640="",FALSE,TRUE),EXACT(metadata!E640,"built environment"))</f>
        <v>0</v>
      </c>
      <c r="U640" t="b">
        <f>OR(AND(IF(metadata!F640="",FALSE,TRUE),EXACT(metadata!F640,"not applicable")),AND(IF(metadata!F640="",FALSE,TRUE),EXACT(metadata!F640,"anaerobic digester content")))</f>
        <v>0</v>
      </c>
    </row>
    <row r="641" spans="1:21" x14ac:dyDescent="0.2">
      <c r="A641" s="4" t="str">
        <f ca="1">IF(B641=" "," ",HYPERLINK(CONCATENATE("#metadata!",ADDRESS(INDEX($L$2:$L$1001,MATCH(ROWS($J$2:J641),$J$2:$J$1001,0),0),1)),INDEX($O$2:$O$1001,MATCH(ROWS($J$2:J641),$J$2:$J$1001,0),0)))</f>
        <v xml:space="preserve"> </v>
      </c>
      <c r="B641" s="3" t="str">
        <f ca="1">IF(OR(INDEX($K$2:$K$1001,MATCH(ROWS($J$2:J641),$J$2:$J$1001,0),1)&gt;=100000,INDEX($Q$1005:$U$1005,1,MATCH(COLUMNS($Q$1006:Q1006),$Q$1006:$U$1006,0))&gt;=100000), " ",IF(INDEX($Q$2:$U$1001,MATCH(ROWS($J$2:J641),$J$2:$J$1001,0),MATCH(COLUMNS($Q$1006:Q1006),$Q$1006:$U$1006,0)), HYPERLINK("#",""), HYPERLINK(CONCATENATE("#metadata!", ADDRESS(INDEX($L$2:$L$1001,MATCH(ROWS($J$2:J641),$J$2:$J$1001,0),0), INDEX($Q$1004:$U$1004,1,MATCH(COLUMNS($Q$1006:Q1006),$Q$1006:$U$1006,0)))),"Fix")))</f>
        <v xml:space="preserve"> </v>
      </c>
      <c r="C641" s="3" t="str">
        <f ca="1">IF(OR(INDEX($K$2:$K$1001,MATCH(ROWS($J$2:J641),$J$2:$J$1001,0),1)&gt;=100000,INDEX($Q$1005:$U$1005,1,MATCH(COLUMNS($Q$1006:R1006),$Q$1006:$U$1006,0))&gt;=100000), " ",IF(INDEX($Q$2:$U$1001,MATCH(ROWS($J$2:J641),$J$2:$J$1001,0),MATCH(COLUMNS($Q$1006:R1006),$Q$1006:$U$1006,0)), HYPERLINK("#",""), HYPERLINK(CONCATENATE("#metadata!", ADDRESS(INDEX($L$2:$L$1001,MATCH(ROWS($J$2:J641),$J$2:$J$1001,0),0), INDEX($Q$1004:$U$1004,1,MATCH(COLUMNS($Q$1006:R1006),$Q$1006:$U$1006,0)))),"Fix")))</f>
        <v xml:space="preserve"> </v>
      </c>
      <c r="D641" s="3" t="str">
        <f ca="1">IF(OR(INDEX($K$2:$K$1001,MATCH(ROWS($J$2:J641),$J$2:$J$1001,0),1)&gt;=100000,INDEX($Q$1005:$U$1005,1,MATCH(COLUMNS($Q$1006:S1006),$Q$1006:$U$1006,0))&gt;=100000), " ",IF(INDEX($Q$2:$U$1001,MATCH(ROWS($J$2:J641),$J$2:$J$1001,0),MATCH(COLUMNS($Q$1006:S1006),$Q$1006:$U$1006,0)), HYPERLINK("#",""), HYPERLINK(CONCATENATE("#metadata!", ADDRESS(INDEX($L$2:$L$1001,MATCH(ROWS($J$2:J641),$J$2:$J$1001,0),0), INDEX($Q$1004:$U$1004,1,MATCH(COLUMNS($Q$1006:S1006),$Q$1006:$U$1006,0)))),"Fix")))</f>
        <v xml:space="preserve"> </v>
      </c>
      <c r="E641" s="3" t="str">
        <f ca="1">IF(OR(INDEX($K$2:$K$1001,MATCH(ROWS($J$2:J641),$J$2:$J$1001,0),1)&gt;=100000,INDEX($Q$1005:$U$1005,1,MATCH(COLUMNS($Q$1006:T1006),$Q$1006:$U$1006,0))&gt;=100000), " ",IF(INDEX($Q$2:$U$1001,MATCH(ROWS($J$2:J641),$J$2:$J$1001,0),MATCH(COLUMNS($Q$1006:T1006),$Q$1006:$U$1006,0)), HYPERLINK("#",""), HYPERLINK(CONCATENATE("#metadata!", ADDRESS(INDEX($L$2:$L$1001,MATCH(ROWS($J$2:J641),$J$2:$J$1001,0),0), INDEX($Q$1004:$U$1004,1,MATCH(COLUMNS($Q$1006:T1006),$Q$1006:$U$1006,0)))),"Fix")))</f>
        <v xml:space="preserve"> </v>
      </c>
      <c r="F641" s="3" t="str">
        <f ca="1">IF(OR(INDEX($K$2:$K$1001,MATCH(ROWS($J$2:J641),$J$2:$J$1001,0),1)&gt;=100000,INDEX($Q$1005:$U$1005,1,MATCH(COLUMNS($Q$1006:U1006),$Q$1006:$U$1006,0))&gt;=100000), " ",IF(INDEX($Q$2:$U$1001,MATCH(ROWS($J$2:J641),$J$2:$J$1001,0),MATCH(COLUMNS($Q$1006:U1006),$Q$1006:$U$1006,0)), HYPERLINK("#",""), HYPERLINK(CONCATENATE("#metadata!", ADDRESS(INDEX($L$2:$L$1001,MATCH(ROWS($J$2:J641),$J$2:$J$1001,0),0), INDEX($Q$1004:$U$1004,1,MATCH(COLUMNS($Q$1006:U1006),$Q$1006:$U$1006,0)))),"Fix")))</f>
        <v xml:space="preserve"> </v>
      </c>
      <c r="J641">
        <v>640</v>
      </c>
      <c r="K641">
        <v>100641</v>
      </c>
      <c r="L641">
        <v>641</v>
      </c>
      <c r="M641" t="b">
        <f t="shared" si="9"/>
        <v>1</v>
      </c>
      <c r="N641" t="b">
        <f>COUNTBLANK(metadata!B641:F641)=COLUMNS(metadata!B641:F641)</f>
        <v>1</v>
      </c>
      <c r="O641" t="str">
        <v/>
      </c>
      <c r="Q641" t="b">
        <f ca="1">AND(IF(metadata!B641="",FALSE,TRUE),COUNTIF(metadata!B:B, metadata!B641) = 1,NOT(ISERROR(SUMPRODUCT(SEARCH(MID(metadata!B641,ROW(INDIRECT("1:"&amp;LEN(metadata!B641))), 1),"0123456789abcdefghijklmnopqrstuvwxyzABCDEFGHIJKLMNOPQRSTUVWXYZ.")))))</f>
        <v>0</v>
      </c>
      <c r="R641" t="b">
        <f>AND(IF(metadata!C641="",FALSE,TRUE),OR(EXACT(metadata!C641,"saline"),EXACT(metadata!C641,"non-saline")))</f>
        <v>0</v>
      </c>
      <c r="S641" t="b">
        <f>AND(IF(metadata!D641="",FALSE,TRUE),OR(EXACT(metadata!D641,"surface (non-saline)"),EXACT(metadata!D641,"aerosol (non-saline)"),EXACT(metadata!D641,"sediment (non-saline)"),EXACT(metadata!D641,"surface (saline)"),EXACT(metadata!D641,"aerosol (saline)"),EXACT(metadata!D641,"sediment (saline)")))</f>
        <v>0</v>
      </c>
      <c r="T641" t="b">
        <f>AND(IF(metadata!E641="",FALSE,TRUE),EXACT(metadata!E641,"built environment"))</f>
        <v>0</v>
      </c>
      <c r="U641" t="b">
        <f>OR(AND(IF(metadata!F641="",FALSE,TRUE),EXACT(metadata!F641,"not applicable")),AND(IF(metadata!F641="",FALSE,TRUE),EXACT(metadata!F641,"anaerobic digester content")))</f>
        <v>0</v>
      </c>
    </row>
    <row r="642" spans="1:21" x14ac:dyDescent="0.2">
      <c r="A642" s="4" t="str">
        <f ca="1">IF(B642=" "," ",HYPERLINK(CONCATENATE("#metadata!",ADDRESS(INDEX($L$2:$L$1001,MATCH(ROWS($J$2:J642),$J$2:$J$1001,0),0),1)),INDEX($O$2:$O$1001,MATCH(ROWS($J$2:J642),$J$2:$J$1001,0),0)))</f>
        <v xml:space="preserve"> </v>
      </c>
      <c r="B642" s="3" t="str">
        <f ca="1">IF(OR(INDEX($K$2:$K$1001,MATCH(ROWS($J$2:J642),$J$2:$J$1001,0),1)&gt;=100000,INDEX($Q$1005:$U$1005,1,MATCH(COLUMNS($Q$1006:Q1006),$Q$1006:$U$1006,0))&gt;=100000), " ",IF(INDEX($Q$2:$U$1001,MATCH(ROWS($J$2:J642),$J$2:$J$1001,0),MATCH(COLUMNS($Q$1006:Q1006),$Q$1006:$U$1006,0)), HYPERLINK("#",""), HYPERLINK(CONCATENATE("#metadata!", ADDRESS(INDEX($L$2:$L$1001,MATCH(ROWS($J$2:J642),$J$2:$J$1001,0),0), INDEX($Q$1004:$U$1004,1,MATCH(COLUMNS($Q$1006:Q1006),$Q$1006:$U$1006,0)))),"Fix")))</f>
        <v xml:space="preserve"> </v>
      </c>
      <c r="C642" s="3" t="str">
        <f ca="1">IF(OR(INDEX($K$2:$K$1001,MATCH(ROWS($J$2:J642),$J$2:$J$1001,0),1)&gt;=100000,INDEX($Q$1005:$U$1005,1,MATCH(COLUMNS($Q$1006:R1006),$Q$1006:$U$1006,0))&gt;=100000), " ",IF(INDEX($Q$2:$U$1001,MATCH(ROWS($J$2:J642),$J$2:$J$1001,0),MATCH(COLUMNS($Q$1006:R1006),$Q$1006:$U$1006,0)), HYPERLINK("#",""), HYPERLINK(CONCATENATE("#metadata!", ADDRESS(INDEX($L$2:$L$1001,MATCH(ROWS($J$2:J642),$J$2:$J$1001,0),0), INDEX($Q$1004:$U$1004,1,MATCH(COLUMNS($Q$1006:R1006),$Q$1006:$U$1006,0)))),"Fix")))</f>
        <v xml:space="preserve"> </v>
      </c>
      <c r="D642" s="3" t="str">
        <f ca="1">IF(OR(INDEX($K$2:$K$1001,MATCH(ROWS($J$2:J642),$J$2:$J$1001,0),1)&gt;=100000,INDEX($Q$1005:$U$1005,1,MATCH(COLUMNS($Q$1006:S1006),$Q$1006:$U$1006,0))&gt;=100000), " ",IF(INDEX($Q$2:$U$1001,MATCH(ROWS($J$2:J642),$J$2:$J$1001,0),MATCH(COLUMNS($Q$1006:S1006),$Q$1006:$U$1006,0)), HYPERLINK("#",""), HYPERLINK(CONCATENATE("#metadata!", ADDRESS(INDEX($L$2:$L$1001,MATCH(ROWS($J$2:J642),$J$2:$J$1001,0),0), INDEX($Q$1004:$U$1004,1,MATCH(COLUMNS($Q$1006:S1006),$Q$1006:$U$1006,0)))),"Fix")))</f>
        <v xml:space="preserve"> </v>
      </c>
      <c r="E642" s="3" t="str">
        <f ca="1">IF(OR(INDEX($K$2:$K$1001,MATCH(ROWS($J$2:J642),$J$2:$J$1001,0),1)&gt;=100000,INDEX($Q$1005:$U$1005,1,MATCH(COLUMNS($Q$1006:T1006),$Q$1006:$U$1006,0))&gt;=100000), " ",IF(INDEX($Q$2:$U$1001,MATCH(ROWS($J$2:J642),$J$2:$J$1001,0),MATCH(COLUMNS($Q$1006:T1006),$Q$1006:$U$1006,0)), HYPERLINK("#",""), HYPERLINK(CONCATENATE("#metadata!", ADDRESS(INDEX($L$2:$L$1001,MATCH(ROWS($J$2:J642),$J$2:$J$1001,0),0), INDEX($Q$1004:$U$1004,1,MATCH(COLUMNS($Q$1006:T1006),$Q$1006:$U$1006,0)))),"Fix")))</f>
        <v xml:space="preserve"> </v>
      </c>
      <c r="F642" s="3" t="str">
        <f ca="1">IF(OR(INDEX($K$2:$K$1001,MATCH(ROWS($J$2:J642),$J$2:$J$1001,0),1)&gt;=100000,INDEX($Q$1005:$U$1005,1,MATCH(COLUMNS($Q$1006:U1006),$Q$1006:$U$1006,0))&gt;=100000), " ",IF(INDEX($Q$2:$U$1001,MATCH(ROWS($J$2:J642),$J$2:$J$1001,0),MATCH(COLUMNS($Q$1006:U1006),$Q$1006:$U$1006,0)), HYPERLINK("#",""), HYPERLINK(CONCATENATE("#metadata!", ADDRESS(INDEX($L$2:$L$1001,MATCH(ROWS($J$2:J642),$J$2:$J$1001,0),0), INDEX($Q$1004:$U$1004,1,MATCH(COLUMNS($Q$1006:U1006),$Q$1006:$U$1006,0)))),"Fix")))</f>
        <v xml:space="preserve"> </v>
      </c>
      <c r="J642">
        <v>641</v>
      </c>
      <c r="K642">
        <v>100642</v>
      </c>
      <c r="L642">
        <v>642</v>
      </c>
      <c r="M642" t="b">
        <f t="shared" ref="M642:M705" si="10">IF(N642,TRUE,AND(Q642:U642))</f>
        <v>1</v>
      </c>
      <c r="N642" t="b">
        <f>COUNTBLANK(metadata!B642:F642)=COLUMNS(metadata!B642:F642)</f>
        <v>1</v>
      </c>
      <c r="O642" t="str">
        <v/>
      </c>
      <c r="Q642" t="b">
        <f ca="1">AND(IF(metadata!B642="",FALSE,TRUE),COUNTIF(metadata!B:B, metadata!B642) = 1,NOT(ISERROR(SUMPRODUCT(SEARCH(MID(metadata!B642,ROW(INDIRECT("1:"&amp;LEN(metadata!B642))), 1),"0123456789abcdefghijklmnopqrstuvwxyzABCDEFGHIJKLMNOPQRSTUVWXYZ.")))))</f>
        <v>0</v>
      </c>
      <c r="R642" t="b">
        <f>AND(IF(metadata!C642="",FALSE,TRUE),OR(EXACT(metadata!C642,"saline"),EXACT(metadata!C642,"non-saline")))</f>
        <v>0</v>
      </c>
      <c r="S642" t="b">
        <f>AND(IF(metadata!D642="",FALSE,TRUE),OR(EXACT(metadata!D642,"surface (non-saline)"),EXACT(metadata!D642,"aerosol (non-saline)"),EXACT(metadata!D642,"sediment (non-saline)"),EXACT(metadata!D642,"surface (saline)"),EXACT(metadata!D642,"aerosol (saline)"),EXACT(metadata!D642,"sediment (saline)")))</f>
        <v>0</v>
      </c>
      <c r="T642" t="b">
        <f>AND(IF(metadata!E642="",FALSE,TRUE),EXACT(metadata!E642,"built environment"))</f>
        <v>0</v>
      </c>
      <c r="U642" t="b">
        <f>OR(AND(IF(metadata!F642="",FALSE,TRUE),EXACT(metadata!F642,"not applicable")),AND(IF(metadata!F642="",FALSE,TRUE),EXACT(metadata!F642,"anaerobic digester content")))</f>
        <v>0</v>
      </c>
    </row>
    <row r="643" spans="1:21" x14ac:dyDescent="0.2">
      <c r="A643" s="4" t="str">
        <f ca="1">IF(B643=" "," ",HYPERLINK(CONCATENATE("#metadata!",ADDRESS(INDEX($L$2:$L$1001,MATCH(ROWS($J$2:J643),$J$2:$J$1001,0),0),1)),INDEX($O$2:$O$1001,MATCH(ROWS($J$2:J643),$J$2:$J$1001,0),0)))</f>
        <v xml:space="preserve"> </v>
      </c>
      <c r="B643" s="3" t="str">
        <f ca="1">IF(OR(INDEX($K$2:$K$1001,MATCH(ROWS($J$2:J643),$J$2:$J$1001,0),1)&gt;=100000,INDEX($Q$1005:$U$1005,1,MATCH(COLUMNS($Q$1006:Q1006),$Q$1006:$U$1006,0))&gt;=100000), " ",IF(INDEX($Q$2:$U$1001,MATCH(ROWS($J$2:J643),$J$2:$J$1001,0),MATCH(COLUMNS($Q$1006:Q1006),$Q$1006:$U$1006,0)), HYPERLINK("#",""), HYPERLINK(CONCATENATE("#metadata!", ADDRESS(INDEX($L$2:$L$1001,MATCH(ROWS($J$2:J643),$J$2:$J$1001,0),0), INDEX($Q$1004:$U$1004,1,MATCH(COLUMNS($Q$1006:Q1006),$Q$1006:$U$1006,0)))),"Fix")))</f>
        <v xml:space="preserve"> </v>
      </c>
      <c r="C643" s="3" t="str">
        <f ca="1">IF(OR(INDEX($K$2:$K$1001,MATCH(ROWS($J$2:J643),$J$2:$J$1001,0),1)&gt;=100000,INDEX($Q$1005:$U$1005,1,MATCH(COLUMNS($Q$1006:R1006),$Q$1006:$U$1006,0))&gt;=100000), " ",IF(INDEX($Q$2:$U$1001,MATCH(ROWS($J$2:J643),$J$2:$J$1001,0),MATCH(COLUMNS($Q$1006:R1006),$Q$1006:$U$1006,0)), HYPERLINK("#",""), HYPERLINK(CONCATENATE("#metadata!", ADDRESS(INDEX($L$2:$L$1001,MATCH(ROWS($J$2:J643),$J$2:$J$1001,0),0), INDEX($Q$1004:$U$1004,1,MATCH(COLUMNS($Q$1006:R1006),$Q$1006:$U$1006,0)))),"Fix")))</f>
        <v xml:space="preserve"> </v>
      </c>
      <c r="D643" s="3" t="str">
        <f ca="1">IF(OR(INDEX($K$2:$K$1001,MATCH(ROWS($J$2:J643),$J$2:$J$1001,0),1)&gt;=100000,INDEX($Q$1005:$U$1005,1,MATCH(COLUMNS($Q$1006:S1006),$Q$1006:$U$1006,0))&gt;=100000), " ",IF(INDEX($Q$2:$U$1001,MATCH(ROWS($J$2:J643),$J$2:$J$1001,0),MATCH(COLUMNS($Q$1006:S1006),$Q$1006:$U$1006,0)), HYPERLINK("#",""), HYPERLINK(CONCATENATE("#metadata!", ADDRESS(INDEX($L$2:$L$1001,MATCH(ROWS($J$2:J643),$J$2:$J$1001,0),0), INDEX($Q$1004:$U$1004,1,MATCH(COLUMNS($Q$1006:S1006),$Q$1006:$U$1006,0)))),"Fix")))</f>
        <v xml:space="preserve"> </v>
      </c>
      <c r="E643" s="3" t="str">
        <f ca="1">IF(OR(INDEX($K$2:$K$1001,MATCH(ROWS($J$2:J643),$J$2:$J$1001,0),1)&gt;=100000,INDEX($Q$1005:$U$1005,1,MATCH(COLUMNS($Q$1006:T1006),$Q$1006:$U$1006,0))&gt;=100000), " ",IF(INDEX($Q$2:$U$1001,MATCH(ROWS($J$2:J643),$J$2:$J$1001,0),MATCH(COLUMNS($Q$1006:T1006),$Q$1006:$U$1006,0)), HYPERLINK("#",""), HYPERLINK(CONCATENATE("#metadata!", ADDRESS(INDEX($L$2:$L$1001,MATCH(ROWS($J$2:J643),$J$2:$J$1001,0),0), INDEX($Q$1004:$U$1004,1,MATCH(COLUMNS($Q$1006:T1006),$Q$1006:$U$1006,0)))),"Fix")))</f>
        <v xml:space="preserve"> </v>
      </c>
      <c r="F643" s="3" t="str">
        <f ca="1">IF(OR(INDEX($K$2:$K$1001,MATCH(ROWS($J$2:J643),$J$2:$J$1001,0),1)&gt;=100000,INDEX($Q$1005:$U$1005,1,MATCH(COLUMNS($Q$1006:U1006),$Q$1006:$U$1006,0))&gt;=100000), " ",IF(INDEX($Q$2:$U$1001,MATCH(ROWS($J$2:J643),$J$2:$J$1001,0),MATCH(COLUMNS($Q$1006:U1006),$Q$1006:$U$1006,0)), HYPERLINK("#",""), HYPERLINK(CONCATENATE("#metadata!", ADDRESS(INDEX($L$2:$L$1001,MATCH(ROWS($J$2:J643),$J$2:$J$1001,0),0), INDEX($Q$1004:$U$1004,1,MATCH(COLUMNS($Q$1006:U1006),$Q$1006:$U$1006,0)))),"Fix")))</f>
        <v xml:space="preserve"> </v>
      </c>
      <c r="J643">
        <v>642</v>
      </c>
      <c r="K643">
        <v>100643</v>
      </c>
      <c r="L643">
        <v>643</v>
      </c>
      <c r="M643" t="b">
        <f t="shared" si="10"/>
        <v>1</v>
      </c>
      <c r="N643" t="b">
        <f>COUNTBLANK(metadata!B643:F643)=COLUMNS(metadata!B643:F643)</f>
        <v>1</v>
      </c>
      <c r="O643" t="str">
        <v/>
      </c>
      <c r="Q643" t="b">
        <f ca="1">AND(IF(metadata!B643="",FALSE,TRUE),COUNTIF(metadata!B:B, metadata!B643) = 1,NOT(ISERROR(SUMPRODUCT(SEARCH(MID(metadata!B643,ROW(INDIRECT("1:"&amp;LEN(metadata!B643))), 1),"0123456789abcdefghijklmnopqrstuvwxyzABCDEFGHIJKLMNOPQRSTUVWXYZ.")))))</f>
        <v>0</v>
      </c>
      <c r="R643" t="b">
        <f>AND(IF(metadata!C643="",FALSE,TRUE),OR(EXACT(metadata!C643,"saline"),EXACT(metadata!C643,"non-saline")))</f>
        <v>0</v>
      </c>
      <c r="S643" t="b">
        <f>AND(IF(metadata!D643="",FALSE,TRUE),OR(EXACT(metadata!D643,"surface (non-saline)"),EXACT(metadata!D643,"aerosol (non-saline)"),EXACT(metadata!D643,"sediment (non-saline)"),EXACT(metadata!D643,"surface (saline)"),EXACT(metadata!D643,"aerosol (saline)"),EXACT(metadata!D643,"sediment (saline)")))</f>
        <v>0</v>
      </c>
      <c r="T643" t="b">
        <f>AND(IF(metadata!E643="",FALSE,TRUE),EXACT(metadata!E643,"built environment"))</f>
        <v>0</v>
      </c>
      <c r="U643" t="b">
        <f>OR(AND(IF(metadata!F643="",FALSE,TRUE),EXACT(metadata!F643,"not applicable")),AND(IF(metadata!F643="",FALSE,TRUE),EXACT(metadata!F643,"anaerobic digester content")))</f>
        <v>0</v>
      </c>
    </row>
    <row r="644" spans="1:21" x14ac:dyDescent="0.2">
      <c r="A644" s="4" t="str">
        <f ca="1">IF(B644=" "," ",HYPERLINK(CONCATENATE("#metadata!",ADDRESS(INDEX($L$2:$L$1001,MATCH(ROWS($J$2:J644),$J$2:$J$1001,0),0),1)),INDEX($O$2:$O$1001,MATCH(ROWS($J$2:J644),$J$2:$J$1001,0),0)))</f>
        <v xml:space="preserve"> </v>
      </c>
      <c r="B644" s="3" t="str">
        <f ca="1">IF(OR(INDEX($K$2:$K$1001,MATCH(ROWS($J$2:J644),$J$2:$J$1001,0),1)&gt;=100000,INDEX($Q$1005:$U$1005,1,MATCH(COLUMNS($Q$1006:Q1006),$Q$1006:$U$1006,0))&gt;=100000), " ",IF(INDEX($Q$2:$U$1001,MATCH(ROWS($J$2:J644),$J$2:$J$1001,0),MATCH(COLUMNS($Q$1006:Q1006),$Q$1006:$U$1006,0)), HYPERLINK("#",""), HYPERLINK(CONCATENATE("#metadata!", ADDRESS(INDEX($L$2:$L$1001,MATCH(ROWS($J$2:J644),$J$2:$J$1001,0),0), INDEX($Q$1004:$U$1004,1,MATCH(COLUMNS($Q$1006:Q1006),$Q$1006:$U$1006,0)))),"Fix")))</f>
        <v xml:space="preserve"> </v>
      </c>
      <c r="C644" s="3" t="str">
        <f ca="1">IF(OR(INDEX($K$2:$K$1001,MATCH(ROWS($J$2:J644),$J$2:$J$1001,0),1)&gt;=100000,INDEX($Q$1005:$U$1005,1,MATCH(COLUMNS($Q$1006:R1006),$Q$1006:$U$1006,0))&gt;=100000), " ",IF(INDEX($Q$2:$U$1001,MATCH(ROWS($J$2:J644),$J$2:$J$1001,0),MATCH(COLUMNS($Q$1006:R1006),$Q$1006:$U$1006,0)), HYPERLINK("#",""), HYPERLINK(CONCATENATE("#metadata!", ADDRESS(INDEX($L$2:$L$1001,MATCH(ROWS($J$2:J644),$J$2:$J$1001,0),0), INDEX($Q$1004:$U$1004,1,MATCH(COLUMNS($Q$1006:R1006),$Q$1006:$U$1006,0)))),"Fix")))</f>
        <v xml:space="preserve"> </v>
      </c>
      <c r="D644" s="3" t="str">
        <f ca="1">IF(OR(INDEX($K$2:$K$1001,MATCH(ROWS($J$2:J644),$J$2:$J$1001,0),1)&gt;=100000,INDEX($Q$1005:$U$1005,1,MATCH(COLUMNS($Q$1006:S1006),$Q$1006:$U$1006,0))&gt;=100000), " ",IF(INDEX($Q$2:$U$1001,MATCH(ROWS($J$2:J644),$J$2:$J$1001,0),MATCH(COLUMNS($Q$1006:S1006),$Q$1006:$U$1006,0)), HYPERLINK("#",""), HYPERLINK(CONCATENATE("#metadata!", ADDRESS(INDEX($L$2:$L$1001,MATCH(ROWS($J$2:J644),$J$2:$J$1001,0),0), INDEX($Q$1004:$U$1004,1,MATCH(COLUMNS($Q$1006:S1006),$Q$1006:$U$1006,0)))),"Fix")))</f>
        <v xml:space="preserve"> </v>
      </c>
      <c r="E644" s="3" t="str">
        <f ca="1">IF(OR(INDEX($K$2:$K$1001,MATCH(ROWS($J$2:J644),$J$2:$J$1001,0),1)&gt;=100000,INDEX($Q$1005:$U$1005,1,MATCH(COLUMNS($Q$1006:T1006),$Q$1006:$U$1006,0))&gt;=100000), " ",IF(INDEX($Q$2:$U$1001,MATCH(ROWS($J$2:J644),$J$2:$J$1001,0),MATCH(COLUMNS($Q$1006:T1006),$Q$1006:$U$1006,0)), HYPERLINK("#",""), HYPERLINK(CONCATENATE("#metadata!", ADDRESS(INDEX($L$2:$L$1001,MATCH(ROWS($J$2:J644),$J$2:$J$1001,0),0), INDEX($Q$1004:$U$1004,1,MATCH(COLUMNS($Q$1006:T1006),$Q$1006:$U$1006,0)))),"Fix")))</f>
        <v xml:space="preserve"> </v>
      </c>
      <c r="F644" s="3" t="str">
        <f ca="1">IF(OR(INDEX($K$2:$K$1001,MATCH(ROWS($J$2:J644),$J$2:$J$1001,0),1)&gt;=100000,INDEX($Q$1005:$U$1005,1,MATCH(COLUMNS($Q$1006:U1006),$Q$1006:$U$1006,0))&gt;=100000), " ",IF(INDEX($Q$2:$U$1001,MATCH(ROWS($J$2:J644),$J$2:$J$1001,0),MATCH(COLUMNS($Q$1006:U1006),$Q$1006:$U$1006,0)), HYPERLINK("#",""), HYPERLINK(CONCATENATE("#metadata!", ADDRESS(INDEX($L$2:$L$1001,MATCH(ROWS($J$2:J644),$J$2:$J$1001,0),0), INDEX($Q$1004:$U$1004,1,MATCH(COLUMNS($Q$1006:U1006),$Q$1006:$U$1006,0)))),"Fix")))</f>
        <v xml:space="preserve"> </v>
      </c>
      <c r="J644">
        <v>643</v>
      </c>
      <c r="K644">
        <v>100644</v>
      </c>
      <c r="L644">
        <v>644</v>
      </c>
      <c r="M644" t="b">
        <f t="shared" si="10"/>
        <v>1</v>
      </c>
      <c r="N644" t="b">
        <f>COUNTBLANK(metadata!B644:F644)=COLUMNS(metadata!B644:F644)</f>
        <v>1</v>
      </c>
      <c r="O644" t="str">
        <v/>
      </c>
      <c r="Q644" t="b">
        <f ca="1">AND(IF(metadata!B644="",FALSE,TRUE),COUNTIF(metadata!B:B, metadata!B644) = 1,NOT(ISERROR(SUMPRODUCT(SEARCH(MID(metadata!B644,ROW(INDIRECT("1:"&amp;LEN(metadata!B644))), 1),"0123456789abcdefghijklmnopqrstuvwxyzABCDEFGHIJKLMNOPQRSTUVWXYZ.")))))</f>
        <v>0</v>
      </c>
      <c r="R644" t="b">
        <f>AND(IF(metadata!C644="",FALSE,TRUE),OR(EXACT(metadata!C644,"saline"),EXACT(metadata!C644,"non-saline")))</f>
        <v>0</v>
      </c>
      <c r="S644" t="b">
        <f>AND(IF(metadata!D644="",FALSE,TRUE),OR(EXACT(metadata!D644,"surface (non-saline)"),EXACT(metadata!D644,"aerosol (non-saline)"),EXACT(metadata!D644,"sediment (non-saline)"),EXACT(metadata!D644,"surface (saline)"),EXACT(metadata!D644,"aerosol (saline)"),EXACT(metadata!D644,"sediment (saline)")))</f>
        <v>0</v>
      </c>
      <c r="T644" t="b">
        <f>AND(IF(metadata!E644="",FALSE,TRUE),EXACT(metadata!E644,"built environment"))</f>
        <v>0</v>
      </c>
      <c r="U644" t="b">
        <f>OR(AND(IF(metadata!F644="",FALSE,TRUE),EXACT(metadata!F644,"not applicable")),AND(IF(metadata!F644="",FALSE,TRUE),EXACT(metadata!F644,"anaerobic digester content")))</f>
        <v>0</v>
      </c>
    </row>
    <row r="645" spans="1:21" x14ac:dyDescent="0.2">
      <c r="A645" s="4" t="str">
        <f ca="1">IF(B645=" "," ",HYPERLINK(CONCATENATE("#metadata!",ADDRESS(INDEX($L$2:$L$1001,MATCH(ROWS($J$2:J645),$J$2:$J$1001,0),0),1)),INDEX($O$2:$O$1001,MATCH(ROWS($J$2:J645),$J$2:$J$1001,0),0)))</f>
        <v xml:space="preserve"> </v>
      </c>
      <c r="B645" s="3" t="str">
        <f ca="1">IF(OR(INDEX($K$2:$K$1001,MATCH(ROWS($J$2:J645),$J$2:$J$1001,0),1)&gt;=100000,INDEX($Q$1005:$U$1005,1,MATCH(COLUMNS($Q$1006:Q1006),$Q$1006:$U$1006,0))&gt;=100000), " ",IF(INDEX($Q$2:$U$1001,MATCH(ROWS($J$2:J645),$J$2:$J$1001,0),MATCH(COLUMNS($Q$1006:Q1006),$Q$1006:$U$1006,0)), HYPERLINK("#",""), HYPERLINK(CONCATENATE("#metadata!", ADDRESS(INDEX($L$2:$L$1001,MATCH(ROWS($J$2:J645),$J$2:$J$1001,0),0), INDEX($Q$1004:$U$1004,1,MATCH(COLUMNS($Q$1006:Q1006),$Q$1006:$U$1006,0)))),"Fix")))</f>
        <v xml:space="preserve"> </v>
      </c>
      <c r="C645" s="3" t="str">
        <f ca="1">IF(OR(INDEX($K$2:$K$1001,MATCH(ROWS($J$2:J645),$J$2:$J$1001,0),1)&gt;=100000,INDEX($Q$1005:$U$1005,1,MATCH(COLUMNS($Q$1006:R1006),$Q$1006:$U$1006,0))&gt;=100000), " ",IF(INDEX($Q$2:$U$1001,MATCH(ROWS($J$2:J645),$J$2:$J$1001,0),MATCH(COLUMNS($Q$1006:R1006),$Q$1006:$U$1006,0)), HYPERLINK("#",""), HYPERLINK(CONCATENATE("#metadata!", ADDRESS(INDEX($L$2:$L$1001,MATCH(ROWS($J$2:J645),$J$2:$J$1001,0),0), INDEX($Q$1004:$U$1004,1,MATCH(COLUMNS($Q$1006:R1006),$Q$1006:$U$1006,0)))),"Fix")))</f>
        <v xml:space="preserve"> </v>
      </c>
      <c r="D645" s="3" t="str">
        <f ca="1">IF(OR(INDEX($K$2:$K$1001,MATCH(ROWS($J$2:J645),$J$2:$J$1001,0),1)&gt;=100000,INDEX($Q$1005:$U$1005,1,MATCH(COLUMNS($Q$1006:S1006),$Q$1006:$U$1006,0))&gt;=100000), " ",IF(INDEX($Q$2:$U$1001,MATCH(ROWS($J$2:J645),$J$2:$J$1001,0),MATCH(COLUMNS($Q$1006:S1006),$Q$1006:$U$1006,0)), HYPERLINK("#",""), HYPERLINK(CONCATENATE("#metadata!", ADDRESS(INDEX($L$2:$L$1001,MATCH(ROWS($J$2:J645),$J$2:$J$1001,0),0), INDEX($Q$1004:$U$1004,1,MATCH(COLUMNS($Q$1006:S1006),$Q$1006:$U$1006,0)))),"Fix")))</f>
        <v xml:space="preserve"> </v>
      </c>
      <c r="E645" s="3" t="str">
        <f ca="1">IF(OR(INDEX($K$2:$K$1001,MATCH(ROWS($J$2:J645),$J$2:$J$1001,0),1)&gt;=100000,INDEX($Q$1005:$U$1005,1,MATCH(COLUMNS($Q$1006:T1006),$Q$1006:$U$1006,0))&gt;=100000), " ",IF(INDEX($Q$2:$U$1001,MATCH(ROWS($J$2:J645),$J$2:$J$1001,0),MATCH(COLUMNS($Q$1006:T1006),$Q$1006:$U$1006,0)), HYPERLINK("#",""), HYPERLINK(CONCATENATE("#metadata!", ADDRESS(INDEX($L$2:$L$1001,MATCH(ROWS($J$2:J645),$J$2:$J$1001,0),0), INDEX($Q$1004:$U$1004,1,MATCH(COLUMNS($Q$1006:T1006),$Q$1006:$U$1006,0)))),"Fix")))</f>
        <v xml:space="preserve"> </v>
      </c>
      <c r="F645" s="3" t="str">
        <f ca="1">IF(OR(INDEX($K$2:$K$1001,MATCH(ROWS($J$2:J645),$J$2:$J$1001,0),1)&gt;=100000,INDEX($Q$1005:$U$1005,1,MATCH(COLUMNS($Q$1006:U1006),$Q$1006:$U$1006,0))&gt;=100000), " ",IF(INDEX($Q$2:$U$1001,MATCH(ROWS($J$2:J645),$J$2:$J$1001,0),MATCH(COLUMNS($Q$1006:U1006),$Q$1006:$U$1006,0)), HYPERLINK("#",""), HYPERLINK(CONCATENATE("#metadata!", ADDRESS(INDEX($L$2:$L$1001,MATCH(ROWS($J$2:J645),$J$2:$J$1001,0),0), INDEX($Q$1004:$U$1004,1,MATCH(COLUMNS($Q$1006:U1006),$Q$1006:$U$1006,0)))),"Fix")))</f>
        <v xml:space="preserve"> </v>
      </c>
      <c r="J645">
        <v>644</v>
      </c>
      <c r="K645">
        <v>100645</v>
      </c>
      <c r="L645">
        <v>645</v>
      </c>
      <c r="M645" t="b">
        <f t="shared" si="10"/>
        <v>1</v>
      </c>
      <c r="N645" t="b">
        <f>COUNTBLANK(metadata!B645:F645)=COLUMNS(metadata!B645:F645)</f>
        <v>1</v>
      </c>
      <c r="O645" t="str">
        <v/>
      </c>
      <c r="Q645" t="b">
        <f ca="1">AND(IF(metadata!B645="",FALSE,TRUE),COUNTIF(metadata!B:B, metadata!B645) = 1,NOT(ISERROR(SUMPRODUCT(SEARCH(MID(metadata!B645,ROW(INDIRECT("1:"&amp;LEN(metadata!B645))), 1),"0123456789abcdefghijklmnopqrstuvwxyzABCDEFGHIJKLMNOPQRSTUVWXYZ.")))))</f>
        <v>0</v>
      </c>
      <c r="R645" t="b">
        <f>AND(IF(metadata!C645="",FALSE,TRUE),OR(EXACT(metadata!C645,"saline"),EXACT(metadata!C645,"non-saline")))</f>
        <v>0</v>
      </c>
      <c r="S645" t="b">
        <f>AND(IF(metadata!D645="",FALSE,TRUE),OR(EXACT(metadata!D645,"surface (non-saline)"),EXACT(metadata!D645,"aerosol (non-saline)"),EXACT(metadata!D645,"sediment (non-saline)"),EXACT(metadata!D645,"surface (saline)"),EXACT(metadata!D645,"aerosol (saline)"),EXACT(metadata!D645,"sediment (saline)")))</f>
        <v>0</v>
      </c>
      <c r="T645" t="b">
        <f>AND(IF(metadata!E645="",FALSE,TRUE),EXACT(metadata!E645,"built environment"))</f>
        <v>0</v>
      </c>
      <c r="U645" t="b">
        <f>OR(AND(IF(metadata!F645="",FALSE,TRUE),EXACT(metadata!F645,"not applicable")),AND(IF(metadata!F645="",FALSE,TRUE),EXACT(metadata!F645,"anaerobic digester content")))</f>
        <v>0</v>
      </c>
    </row>
    <row r="646" spans="1:21" x14ac:dyDescent="0.2">
      <c r="A646" s="4" t="str">
        <f ca="1">IF(B646=" "," ",HYPERLINK(CONCATENATE("#metadata!",ADDRESS(INDEX($L$2:$L$1001,MATCH(ROWS($J$2:J646),$J$2:$J$1001,0),0),1)),INDEX($O$2:$O$1001,MATCH(ROWS($J$2:J646),$J$2:$J$1001,0),0)))</f>
        <v xml:space="preserve"> </v>
      </c>
      <c r="B646" s="3" t="str">
        <f ca="1">IF(OR(INDEX($K$2:$K$1001,MATCH(ROWS($J$2:J646),$J$2:$J$1001,0),1)&gt;=100000,INDEX($Q$1005:$U$1005,1,MATCH(COLUMNS($Q$1006:Q1006),$Q$1006:$U$1006,0))&gt;=100000), " ",IF(INDEX($Q$2:$U$1001,MATCH(ROWS($J$2:J646),$J$2:$J$1001,0),MATCH(COLUMNS($Q$1006:Q1006),$Q$1006:$U$1006,0)), HYPERLINK("#",""), HYPERLINK(CONCATENATE("#metadata!", ADDRESS(INDEX($L$2:$L$1001,MATCH(ROWS($J$2:J646),$J$2:$J$1001,0),0), INDEX($Q$1004:$U$1004,1,MATCH(COLUMNS($Q$1006:Q1006),$Q$1006:$U$1006,0)))),"Fix")))</f>
        <v xml:space="preserve"> </v>
      </c>
      <c r="C646" s="3" t="str">
        <f ca="1">IF(OR(INDEX($K$2:$K$1001,MATCH(ROWS($J$2:J646),$J$2:$J$1001,0),1)&gt;=100000,INDEX($Q$1005:$U$1005,1,MATCH(COLUMNS($Q$1006:R1006),$Q$1006:$U$1006,0))&gt;=100000), " ",IF(INDEX($Q$2:$U$1001,MATCH(ROWS($J$2:J646),$J$2:$J$1001,0),MATCH(COLUMNS($Q$1006:R1006),$Q$1006:$U$1006,0)), HYPERLINK("#",""), HYPERLINK(CONCATENATE("#metadata!", ADDRESS(INDEX($L$2:$L$1001,MATCH(ROWS($J$2:J646),$J$2:$J$1001,0),0), INDEX($Q$1004:$U$1004,1,MATCH(COLUMNS($Q$1006:R1006),$Q$1006:$U$1006,0)))),"Fix")))</f>
        <v xml:space="preserve"> </v>
      </c>
      <c r="D646" s="3" t="str">
        <f ca="1">IF(OR(INDEX($K$2:$K$1001,MATCH(ROWS($J$2:J646),$J$2:$J$1001,0),1)&gt;=100000,INDEX($Q$1005:$U$1005,1,MATCH(COLUMNS($Q$1006:S1006),$Q$1006:$U$1006,0))&gt;=100000), " ",IF(INDEX($Q$2:$U$1001,MATCH(ROWS($J$2:J646),$J$2:$J$1001,0),MATCH(COLUMNS($Q$1006:S1006),$Q$1006:$U$1006,0)), HYPERLINK("#",""), HYPERLINK(CONCATENATE("#metadata!", ADDRESS(INDEX($L$2:$L$1001,MATCH(ROWS($J$2:J646),$J$2:$J$1001,0),0), INDEX($Q$1004:$U$1004,1,MATCH(COLUMNS($Q$1006:S1006),$Q$1006:$U$1006,0)))),"Fix")))</f>
        <v xml:space="preserve"> </v>
      </c>
      <c r="E646" s="3" t="str">
        <f ca="1">IF(OR(INDEX($K$2:$K$1001,MATCH(ROWS($J$2:J646),$J$2:$J$1001,0),1)&gt;=100000,INDEX($Q$1005:$U$1005,1,MATCH(COLUMNS($Q$1006:T1006),$Q$1006:$U$1006,0))&gt;=100000), " ",IF(INDEX($Q$2:$U$1001,MATCH(ROWS($J$2:J646),$J$2:$J$1001,0),MATCH(COLUMNS($Q$1006:T1006),$Q$1006:$U$1006,0)), HYPERLINK("#",""), HYPERLINK(CONCATENATE("#metadata!", ADDRESS(INDEX($L$2:$L$1001,MATCH(ROWS($J$2:J646),$J$2:$J$1001,0),0), INDEX($Q$1004:$U$1004,1,MATCH(COLUMNS($Q$1006:T1006),$Q$1006:$U$1006,0)))),"Fix")))</f>
        <v xml:space="preserve"> </v>
      </c>
      <c r="F646" s="3" t="str">
        <f ca="1">IF(OR(INDEX($K$2:$K$1001,MATCH(ROWS($J$2:J646),$J$2:$J$1001,0),1)&gt;=100000,INDEX($Q$1005:$U$1005,1,MATCH(COLUMNS($Q$1006:U1006),$Q$1006:$U$1006,0))&gt;=100000), " ",IF(INDEX($Q$2:$U$1001,MATCH(ROWS($J$2:J646),$J$2:$J$1001,0),MATCH(COLUMNS($Q$1006:U1006),$Q$1006:$U$1006,0)), HYPERLINK("#",""), HYPERLINK(CONCATENATE("#metadata!", ADDRESS(INDEX($L$2:$L$1001,MATCH(ROWS($J$2:J646),$J$2:$J$1001,0),0), INDEX($Q$1004:$U$1004,1,MATCH(COLUMNS($Q$1006:U1006),$Q$1006:$U$1006,0)))),"Fix")))</f>
        <v xml:space="preserve"> </v>
      </c>
      <c r="J646">
        <v>645</v>
      </c>
      <c r="K646">
        <v>100646</v>
      </c>
      <c r="L646">
        <v>646</v>
      </c>
      <c r="M646" t="b">
        <f t="shared" si="10"/>
        <v>1</v>
      </c>
      <c r="N646" t="b">
        <f>COUNTBLANK(metadata!B646:F646)=COLUMNS(metadata!B646:F646)</f>
        <v>1</v>
      </c>
      <c r="O646" t="str">
        <v/>
      </c>
      <c r="Q646" t="b">
        <f ca="1">AND(IF(metadata!B646="",FALSE,TRUE),COUNTIF(metadata!B:B, metadata!B646) = 1,NOT(ISERROR(SUMPRODUCT(SEARCH(MID(metadata!B646,ROW(INDIRECT("1:"&amp;LEN(metadata!B646))), 1),"0123456789abcdefghijklmnopqrstuvwxyzABCDEFGHIJKLMNOPQRSTUVWXYZ.")))))</f>
        <v>0</v>
      </c>
      <c r="R646" t="b">
        <f>AND(IF(metadata!C646="",FALSE,TRUE),OR(EXACT(metadata!C646,"saline"),EXACT(metadata!C646,"non-saline")))</f>
        <v>0</v>
      </c>
      <c r="S646" t="b">
        <f>AND(IF(metadata!D646="",FALSE,TRUE),OR(EXACT(metadata!D646,"surface (non-saline)"),EXACT(metadata!D646,"aerosol (non-saline)"),EXACT(metadata!D646,"sediment (non-saline)"),EXACT(metadata!D646,"surface (saline)"),EXACT(metadata!D646,"aerosol (saline)"),EXACT(metadata!D646,"sediment (saline)")))</f>
        <v>0</v>
      </c>
      <c r="T646" t="b">
        <f>AND(IF(metadata!E646="",FALSE,TRUE),EXACT(metadata!E646,"built environment"))</f>
        <v>0</v>
      </c>
      <c r="U646" t="b">
        <f>OR(AND(IF(metadata!F646="",FALSE,TRUE),EXACT(metadata!F646,"not applicable")),AND(IF(metadata!F646="",FALSE,TRUE),EXACT(metadata!F646,"anaerobic digester content")))</f>
        <v>0</v>
      </c>
    </row>
    <row r="647" spans="1:21" x14ac:dyDescent="0.2">
      <c r="A647" s="4" t="str">
        <f ca="1">IF(B647=" "," ",HYPERLINK(CONCATENATE("#metadata!",ADDRESS(INDEX($L$2:$L$1001,MATCH(ROWS($J$2:J647),$J$2:$J$1001,0),0),1)),INDEX($O$2:$O$1001,MATCH(ROWS($J$2:J647),$J$2:$J$1001,0),0)))</f>
        <v xml:space="preserve"> </v>
      </c>
      <c r="B647" s="3" t="str">
        <f ca="1">IF(OR(INDEX($K$2:$K$1001,MATCH(ROWS($J$2:J647),$J$2:$J$1001,0),1)&gt;=100000,INDEX($Q$1005:$U$1005,1,MATCH(COLUMNS($Q$1006:Q1006),$Q$1006:$U$1006,0))&gt;=100000), " ",IF(INDEX($Q$2:$U$1001,MATCH(ROWS($J$2:J647),$J$2:$J$1001,0),MATCH(COLUMNS($Q$1006:Q1006),$Q$1006:$U$1006,0)), HYPERLINK("#",""), HYPERLINK(CONCATENATE("#metadata!", ADDRESS(INDEX($L$2:$L$1001,MATCH(ROWS($J$2:J647),$J$2:$J$1001,0),0), INDEX($Q$1004:$U$1004,1,MATCH(COLUMNS($Q$1006:Q1006),$Q$1006:$U$1006,0)))),"Fix")))</f>
        <v xml:space="preserve"> </v>
      </c>
      <c r="C647" s="3" t="str">
        <f ca="1">IF(OR(INDEX($K$2:$K$1001,MATCH(ROWS($J$2:J647),$J$2:$J$1001,0),1)&gt;=100000,INDEX($Q$1005:$U$1005,1,MATCH(COLUMNS($Q$1006:R1006),$Q$1006:$U$1006,0))&gt;=100000), " ",IF(INDEX($Q$2:$U$1001,MATCH(ROWS($J$2:J647),$J$2:$J$1001,0),MATCH(COLUMNS($Q$1006:R1006),$Q$1006:$U$1006,0)), HYPERLINK("#",""), HYPERLINK(CONCATENATE("#metadata!", ADDRESS(INDEX($L$2:$L$1001,MATCH(ROWS($J$2:J647),$J$2:$J$1001,0),0), INDEX($Q$1004:$U$1004,1,MATCH(COLUMNS($Q$1006:R1006),$Q$1006:$U$1006,0)))),"Fix")))</f>
        <v xml:space="preserve"> </v>
      </c>
      <c r="D647" s="3" t="str">
        <f ca="1">IF(OR(INDEX($K$2:$K$1001,MATCH(ROWS($J$2:J647),$J$2:$J$1001,0),1)&gt;=100000,INDEX($Q$1005:$U$1005,1,MATCH(COLUMNS($Q$1006:S1006),$Q$1006:$U$1006,0))&gt;=100000), " ",IF(INDEX($Q$2:$U$1001,MATCH(ROWS($J$2:J647),$J$2:$J$1001,0),MATCH(COLUMNS($Q$1006:S1006),$Q$1006:$U$1006,0)), HYPERLINK("#",""), HYPERLINK(CONCATENATE("#metadata!", ADDRESS(INDEX($L$2:$L$1001,MATCH(ROWS($J$2:J647),$J$2:$J$1001,0),0), INDEX($Q$1004:$U$1004,1,MATCH(COLUMNS($Q$1006:S1006),$Q$1006:$U$1006,0)))),"Fix")))</f>
        <v xml:space="preserve"> </v>
      </c>
      <c r="E647" s="3" t="str">
        <f ca="1">IF(OR(INDEX($K$2:$K$1001,MATCH(ROWS($J$2:J647),$J$2:$J$1001,0),1)&gt;=100000,INDEX($Q$1005:$U$1005,1,MATCH(COLUMNS($Q$1006:T1006),$Q$1006:$U$1006,0))&gt;=100000), " ",IF(INDEX($Q$2:$U$1001,MATCH(ROWS($J$2:J647),$J$2:$J$1001,0),MATCH(COLUMNS($Q$1006:T1006),$Q$1006:$U$1006,0)), HYPERLINK("#",""), HYPERLINK(CONCATENATE("#metadata!", ADDRESS(INDEX($L$2:$L$1001,MATCH(ROWS($J$2:J647),$J$2:$J$1001,0),0), INDEX($Q$1004:$U$1004,1,MATCH(COLUMNS($Q$1006:T1006),$Q$1006:$U$1006,0)))),"Fix")))</f>
        <v xml:space="preserve"> </v>
      </c>
      <c r="F647" s="3" t="str">
        <f ca="1">IF(OR(INDEX($K$2:$K$1001,MATCH(ROWS($J$2:J647),$J$2:$J$1001,0),1)&gt;=100000,INDEX($Q$1005:$U$1005,1,MATCH(COLUMNS($Q$1006:U1006),$Q$1006:$U$1006,0))&gt;=100000), " ",IF(INDEX($Q$2:$U$1001,MATCH(ROWS($J$2:J647),$J$2:$J$1001,0),MATCH(COLUMNS($Q$1006:U1006),$Q$1006:$U$1006,0)), HYPERLINK("#",""), HYPERLINK(CONCATENATE("#metadata!", ADDRESS(INDEX($L$2:$L$1001,MATCH(ROWS($J$2:J647),$J$2:$J$1001,0),0), INDEX($Q$1004:$U$1004,1,MATCH(COLUMNS($Q$1006:U1006),$Q$1006:$U$1006,0)))),"Fix")))</f>
        <v xml:space="preserve"> </v>
      </c>
      <c r="J647">
        <v>646</v>
      </c>
      <c r="K647">
        <v>100647</v>
      </c>
      <c r="L647">
        <v>647</v>
      </c>
      <c r="M647" t="b">
        <f t="shared" si="10"/>
        <v>1</v>
      </c>
      <c r="N647" t="b">
        <f>COUNTBLANK(metadata!B647:F647)=COLUMNS(metadata!B647:F647)</f>
        <v>1</v>
      </c>
      <c r="O647" t="str">
        <v/>
      </c>
      <c r="Q647" t="b">
        <f ca="1">AND(IF(metadata!B647="",FALSE,TRUE),COUNTIF(metadata!B:B, metadata!B647) = 1,NOT(ISERROR(SUMPRODUCT(SEARCH(MID(metadata!B647,ROW(INDIRECT("1:"&amp;LEN(metadata!B647))), 1),"0123456789abcdefghijklmnopqrstuvwxyzABCDEFGHIJKLMNOPQRSTUVWXYZ.")))))</f>
        <v>0</v>
      </c>
      <c r="R647" t="b">
        <f>AND(IF(metadata!C647="",FALSE,TRUE),OR(EXACT(metadata!C647,"saline"),EXACT(metadata!C647,"non-saline")))</f>
        <v>0</v>
      </c>
      <c r="S647" t="b">
        <f>AND(IF(metadata!D647="",FALSE,TRUE),OR(EXACT(metadata!D647,"surface (non-saline)"),EXACT(metadata!D647,"aerosol (non-saline)"),EXACT(metadata!D647,"sediment (non-saline)"),EXACT(metadata!D647,"surface (saline)"),EXACT(metadata!D647,"aerosol (saline)"),EXACT(metadata!D647,"sediment (saline)")))</f>
        <v>0</v>
      </c>
      <c r="T647" t="b">
        <f>AND(IF(metadata!E647="",FALSE,TRUE),EXACT(metadata!E647,"built environment"))</f>
        <v>0</v>
      </c>
      <c r="U647" t="b">
        <f>OR(AND(IF(metadata!F647="",FALSE,TRUE),EXACT(metadata!F647,"not applicable")),AND(IF(metadata!F647="",FALSE,TRUE),EXACT(metadata!F647,"anaerobic digester content")))</f>
        <v>0</v>
      </c>
    </row>
    <row r="648" spans="1:21" x14ac:dyDescent="0.2">
      <c r="A648" s="4" t="str">
        <f ca="1">IF(B648=" "," ",HYPERLINK(CONCATENATE("#metadata!",ADDRESS(INDEX($L$2:$L$1001,MATCH(ROWS($J$2:J648),$J$2:$J$1001,0),0),1)),INDEX($O$2:$O$1001,MATCH(ROWS($J$2:J648),$J$2:$J$1001,0),0)))</f>
        <v xml:space="preserve"> </v>
      </c>
      <c r="B648" s="3" t="str">
        <f ca="1">IF(OR(INDEX($K$2:$K$1001,MATCH(ROWS($J$2:J648),$J$2:$J$1001,0),1)&gt;=100000,INDEX($Q$1005:$U$1005,1,MATCH(COLUMNS($Q$1006:Q1006),$Q$1006:$U$1006,0))&gt;=100000), " ",IF(INDEX($Q$2:$U$1001,MATCH(ROWS($J$2:J648),$J$2:$J$1001,0),MATCH(COLUMNS($Q$1006:Q1006),$Q$1006:$U$1006,0)), HYPERLINK("#",""), HYPERLINK(CONCATENATE("#metadata!", ADDRESS(INDEX($L$2:$L$1001,MATCH(ROWS($J$2:J648),$J$2:$J$1001,0),0), INDEX($Q$1004:$U$1004,1,MATCH(COLUMNS($Q$1006:Q1006),$Q$1006:$U$1006,0)))),"Fix")))</f>
        <v xml:space="preserve"> </v>
      </c>
      <c r="C648" s="3" t="str">
        <f ca="1">IF(OR(INDEX($K$2:$K$1001,MATCH(ROWS($J$2:J648),$J$2:$J$1001,0),1)&gt;=100000,INDEX($Q$1005:$U$1005,1,MATCH(COLUMNS($Q$1006:R1006),$Q$1006:$U$1006,0))&gt;=100000), " ",IF(INDEX($Q$2:$U$1001,MATCH(ROWS($J$2:J648),$J$2:$J$1001,0),MATCH(COLUMNS($Q$1006:R1006),$Q$1006:$U$1006,0)), HYPERLINK("#",""), HYPERLINK(CONCATENATE("#metadata!", ADDRESS(INDEX($L$2:$L$1001,MATCH(ROWS($J$2:J648),$J$2:$J$1001,0),0), INDEX($Q$1004:$U$1004,1,MATCH(COLUMNS($Q$1006:R1006),$Q$1006:$U$1006,0)))),"Fix")))</f>
        <v xml:space="preserve"> </v>
      </c>
      <c r="D648" s="3" t="str">
        <f ca="1">IF(OR(INDEX($K$2:$K$1001,MATCH(ROWS($J$2:J648),$J$2:$J$1001,0),1)&gt;=100000,INDEX($Q$1005:$U$1005,1,MATCH(COLUMNS($Q$1006:S1006),$Q$1006:$U$1006,0))&gt;=100000), " ",IF(INDEX($Q$2:$U$1001,MATCH(ROWS($J$2:J648),$J$2:$J$1001,0),MATCH(COLUMNS($Q$1006:S1006),$Q$1006:$U$1006,0)), HYPERLINK("#",""), HYPERLINK(CONCATENATE("#metadata!", ADDRESS(INDEX($L$2:$L$1001,MATCH(ROWS($J$2:J648),$J$2:$J$1001,0),0), INDEX($Q$1004:$U$1004,1,MATCH(COLUMNS($Q$1006:S1006),$Q$1006:$U$1006,0)))),"Fix")))</f>
        <v xml:space="preserve"> </v>
      </c>
      <c r="E648" s="3" t="str">
        <f ca="1">IF(OR(INDEX($K$2:$K$1001,MATCH(ROWS($J$2:J648),$J$2:$J$1001,0),1)&gt;=100000,INDEX($Q$1005:$U$1005,1,MATCH(COLUMNS($Q$1006:T1006),$Q$1006:$U$1006,0))&gt;=100000), " ",IF(INDEX($Q$2:$U$1001,MATCH(ROWS($J$2:J648),$J$2:$J$1001,0),MATCH(COLUMNS($Q$1006:T1006),$Q$1006:$U$1006,0)), HYPERLINK("#",""), HYPERLINK(CONCATENATE("#metadata!", ADDRESS(INDEX($L$2:$L$1001,MATCH(ROWS($J$2:J648),$J$2:$J$1001,0),0), INDEX($Q$1004:$U$1004,1,MATCH(COLUMNS($Q$1006:T1006),$Q$1006:$U$1006,0)))),"Fix")))</f>
        <v xml:space="preserve"> </v>
      </c>
      <c r="F648" s="3" t="str">
        <f ca="1">IF(OR(INDEX($K$2:$K$1001,MATCH(ROWS($J$2:J648),$J$2:$J$1001,0),1)&gt;=100000,INDEX($Q$1005:$U$1005,1,MATCH(COLUMNS($Q$1006:U1006),$Q$1006:$U$1006,0))&gt;=100000), " ",IF(INDEX($Q$2:$U$1001,MATCH(ROWS($J$2:J648),$J$2:$J$1001,0),MATCH(COLUMNS($Q$1006:U1006),$Q$1006:$U$1006,0)), HYPERLINK("#",""), HYPERLINK(CONCATENATE("#metadata!", ADDRESS(INDEX($L$2:$L$1001,MATCH(ROWS($J$2:J648),$J$2:$J$1001,0),0), INDEX($Q$1004:$U$1004,1,MATCH(COLUMNS($Q$1006:U1006),$Q$1006:$U$1006,0)))),"Fix")))</f>
        <v xml:space="preserve"> </v>
      </c>
      <c r="J648">
        <v>647</v>
      </c>
      <c r="K648">
        <v>100648</v>
      </c>
      <c r="L648">
        <v>648</v>
      </c>
      <c r="M648" t="b">
        <f t="shared" si="10"/>
        <v>1</v>
      </c>
      <c r="N648" t="b">
        <f>COUNTBLANK(metadata!B648:F648)=COLUMNS(metadata!B648:F648)</f>
        <v>1</v>
      </c>
      <c r="O648" t="str">
        <v/>
      </c>
      <c r="Q648" t="b">
        <f ca="1">AND(IF(metadata!B648="",FALSE,TRUE),COUNTIF(metadata!B:B, metadata!B648) = 1,NOT(ISERROR(SUMPRODUCT(SEARCH(MID(metadata!B648,ROW(INDIRECT("1:"&amp;LEN(metadata!B648))), 1),"0123456789abcdefghijklmnopqrstuvwxyzABCDEFGHIJKLMNOPQRSTUVWXYZ.")))))</f>
        <v>0</v>
      </c>
      <c r="R648" t="b">
        <f>AND(IF(metadata!C648="",FALSE,TRUE),OR(EXACT(metadata!C648,"saline"),EXACT(metadata!C648,"non-saline")))</f>
        <v>0</v>
      </c>
      <c r="S648" t="b">
        <f>AND(IF(metadata!D648="",FALSE,TRUE),OR(EXACT(metadata!D648,"surface (non-saline)"),EXACT(metadata!D648,"aerosol (non-saline)"),EXACT(metadata!D648,"sediment (non-saline)"),EXACT(metadata!D648,"surface (saline)"),EXACT(metadata!D648,"aerosol (saline)"),EXACT(metadata!D648,"sediment (saline)")))</f>
        <v>0</v>
      </c>
      <c r="T648" t="b">
        <f>AND(IF(metadata!E648="",FALSE,TRUE),EXACT(metadata!E648,"built environment"))</f>
        <v>0</v>
      </c>
      <c r="U648" t="b">
        <f>OR(AND(IF(metadata!F648="",FALSE,TRUE),EXACT(metadata!F648,"not applicable")),AND(IF(metadata!F648="",FALSE,TRUE),EXACT(metadata!F648,"anaerobic digester content")))</f>
        <v>0</v>
      </c>
    </row>
    <row r="649" spans="1:21" x14ac:dyDescent="0.2">
      <c r="A649" s="4" t="str">
        <f ca="1">IF(B649=" "," ",HYPERLINK(CONCATENATE("#metadata!",ADDRESS(INDEX($L$2:$L$1001,MATCH(ROWS($J$2:J649),$J$2:$J$1001,0),0),1)),INDEX($O$2:$O$1001,MATCH(ROWS($J$2:J649),$J$2:$J$1001,0),0)))</f>
        <v xml:space="preserve"> </v>
      </c>
      <c r="B649" s="3" t="str">
        <f ca="1">IF(OR(INDEX($K$2:$K$1001,MATCH(ROWS($J$2:J649),$J$2:$J$1001,0),1)&gt;=100000,INDEX($Q$1005:$U$1005,1,MATCH(COLUMNS($Q$1006:Q1006),$Q$1006:$U$1006,0))&gt;=100000), " ",IF(INDEX($Q$2:$U$1001,MATCH(ROWS($J$2:J649),$J$2:$J$1001,0),MATCH(COLUMNS($Q$1006:Q1006),$Q$1006:$U$1006,0)), HYPERLINK("#",""), HYPERLINK(CONCATENATE("#metadata!", ADDRESS(INDEX($L$2:$L$1001,MATCH(ROWS($J$2:J649),$J$2:$J$1001,0),0), INDEX($Q$1004:$U$1004,1,MATCH(COLUMNS($Q$1006:Q1006),$Q$1006:$U$1006,0)))),"Fix")))</f>
        <v xml:space="preserve"> </v>
      </c>
      <c r="C649" s="3" t="str">
        <f ca="1">IF(OR(INDEX($K$2:$K$1001,MATCH(ROWS($J$2:J649),$J$2:$J$1001,0),1)&gt;=100000,INDEX($Q$1005:$U$1005,1,MATCH(COLUMNS($Q$1006:R1006),$Q$1006:$U$1006,0))&gt;=100000), " ",IF(INDEX($Q$2:$U$1001,MATCH(ROWS($J$2:J649),$J$2:$J$1001,0),MATCH(COLUMNS($Q$1006:R1006),$Q$1006:$U$1006,0)), HYPERLINK("#",""), HYPERLINK(CONCATENATE("#metadata!", ADDRESS(INDEX($L$2:$L$1001,MATCH(ROWS($J$2:J649),$J$2:$J$1001,0),0), INDEX($Q$1004:$U$1004,1,MATCH(COLUMNS($Q$1006:R1006),$Q$1006:$U$1006,0)))),"Fix")))</f>
        <v xml:space="preserve"> </v>
      </c>
      <c r="D649" s="3" t="str">
        <f ca="1">IF(OR(INDEX($K$2:$K$1001,MATCH(ROWS($J$2:J649),$J$2:$J$1001,0),1)&gt;=100000,INDEX($Q$1005:$U$1005,1,MATCH(COLUMNS($Q$1006:S1006),$Q$1006:$U$1006,0))&gt;=100000), " ",IF(INDEX($Q$2:$U$1001,MATCH(ROWS($J$2:J649),$J$2:$J$1001,0),MATCH(COLUMNS($Q$1006:S1006),$Q$1006:$U$1006,0)), HYPERLINK("#",""), HYPERLINK(CONCATENATE("#metadata!", ADDRESS(INDEX($L$2:$L$1001,MATCH(ROWS($J$2:J649),$J$2:$J$1001,0),0), INDEX($Q$1004:$U$1004,1,MATCH(COLUMNS($Q$1006:S1006),$Q$1006:$U$1006,0)))),"Fix")))</f>
        <v xml:space="preserve"> </v>
      </c>
      <c r="E649" s="3" t="str">
        <f ca="1">IF(OR(INDEX($K$2:$K$1001,MATCH(ROWS($J$2:J649),$J$2:$J$1001,0),1)&gt;=100000,INDEX($Q$1005:$U$1005,1,MATCH(COLUMNS($Q$1006:T1006),$Q$1006:$U$1006,0))&gt;=100000), " ",IF(INDEX($Q$2:$U$1001,MATCH(ROWS($J$2:J649),$J$2:$J$1001,0),MATCH(COLUMNS($Q$1006:T1006),$Q$1006:$U$1006,0)), HYPERLINK("#",""), HYPERLINK(CONCATENATE("#metadata!", ADDRESS(INDEX($L$2:$L$1001,MATCH(ROWS($J$2:J649),$J$2:$J$1001,0),0), INDEX($Q$1004:$U$1004,1,MATCH(COLUMNS($Q$1006:T1006),$Q$1006:$U$1006,0)))),"Fix")))</f>
        <v xml:space="preserve"> </v>
      </c>
      <c r="F649" s="3" t="str">
        <f ca="1">IF(OR(INDEX($K$2:$K$1001,MATCH(ROWS($J$2:J649),$J$2:$J$1001,0),1)&gt;=100000,INDEX($Q$1005:$U$1005,1,MATCH(COLUMNS($Q$1006:U1006),$Q$1006:$U$1006,0))&gt;=100000), " ",IF(INDEX($Q$2:$U$1001,MATCH(ROWS($J$2:J649),$J$2:$J$1001,0),MATCH(COLUMNS($Q$1006:U1006),$Q$1006:$U$1006,0)), HYPERLINK("#",""), HYPERLINK(CONCATENATE("#metadata!", ADDRESS(INDEX($L$2:$L$1001,MATCH(ROWS($J$2:J649),$J$2:$J$1001,0),0), INDEX($Q$1004:$U$1004,1,MATCH(COLUMNS($Q$1006:U1006),$Q$1006:$U$1006,0)))),"Fix")))</f>
        <v xml:space="preserve"> </v>
      </c>
      <c r="J649">
        <v>648</v>
      </c>
      <c r="K649">
        <v>100649</v>
      </c>
      <c r="L649">
        <v>649</v>
      </c>
      <c r="M649" t="b">
        <f t="shared" si="10"/>
        <v>1</v>
      </c>
      <c r="N649" t="b">
        <f>COUNTBLANK(metadata!B649:F649)=COLUMNS(metadata!B649:F649)</f>
        <v>1</v>
      </c>
      <c r="O649" t="str">
        <v/>
      </c>
      <c r="Q649" t="b">
        <f ca="1">AND(IF(metadata!B649="",FALSE,TRUE),COUNTIF(metadata!B:B, metadata!B649) = 1,NOT(ISERROR(SUMPRODUCT(SEARCH(MID(metadata!B649,ROW(INDIRECT("1:"&amp;LEN(metadata!B649))), 1),"0123456789abcdefghijklmnopqrstuvwxyzABCDEFGHIJKLMNOPQRSTUVWXYZ.")))))</f>
        <v>0</v>
      </c>
      <c r="R649" t="b">
        <f>AND(IF(metadata!C649="",FALSE,TRUE),OR(EXACT(metadata!C649,"saline"),EXACT(metadata!C649,"non-saline")))</f>
        <v>0</v>
      </c>
      <c r="S649" t="b">
        <f>AND(IF(metadata!D649="",FALSE,TRUE),OR(EXACT(metadata!D649,"surface (non-saline)"),EXACT(metadata!D649,"aerosol (non-saline)"),EXACT(metadata!D649,"sediment (non-saline)"),EXACT(metadata!D649,"surface (saline)"),EXACT(metadata!D649,"aerosol (saline)"),EXACT(metadata!D649,"sediment (saline)")))</f>
        <v>0</v>
      </c>
      <c r="T649" t="b">
        <f>AND(IF(metadata!E649="",FALSE,TRUE),EXACT(metadata!E649,"built environment"))</f>
        <v>0</v>
      </c>
      <c r="U649" t="b">
        <f>OR(AND(IF(metadata!F649="",FALSE,TRUE),EXACT(metadata!F649,"not applicable")),AND(IF(metadata!F649="",FALSE,TRUE),EXACT(metadata!F649,"anaerobic digester content")))</f>
        <v>0</v>
      </c>
    </row>
    <row r="650" spans="1:21" x14ac:dyDescent="0.2">
      <c r="A650" s="4" t="str">
        <f ca="1">IF(B650=" "," ",HYPERLINK(CONCATENATE("#metadata!",ADDRESS(INDEX($L$2:$L$1001,MATCH(ROWS($J$2:J650),$J$2:$J$1001,0),0),1)),INDEX($O$2:$O$1001,MATCH(ROWS($J$2:J650),$J$2:$J$1001,0),0)))</f>
        <v xml:space="preserve"> </v>
      </c>
      <c r="B650" s="3" t="str">
        <f ca="1">IF(OR(INDEX($K$2:$K$1001,MATCH(ROWS($J$2:J650),$J$2:$J$1001,0),1)&gt;=100000,INDEX($Q$1005:$U$1005,1,MATCH(COLUMNS($Q$1006:Q1006),$Q$1006:$U$1006,0))&gt;=100000), " ",IF(INDEX($Q$2:$U$1001,MATCH(ROWS($J$2:J650),$J$2:$J$1001,0),MATCH(COLUMNS($Q$1006:Q1006),$Q$1006:$U$1006,0)), HYPERLINK("#",""), HYPERLINK(CONCATENATE("#metadata!", ADDRESS(INDEX($L$2:$L$1001,MATCH(ROWS($J$2:J650),$J$2:$J$1001,0),0), INDEX($Q$1004:$U$1004,1,MATCH(COLUMNS($Q$1006:Q1006),$Q$1006:$U$1006,0)))),"Fix")))</f>
        <v xml:space="preserve"> </v>
      </c>
      <c r="C650" s="3" t="str">
        <f ca="1">IF(OR(INDEX($K$2:$K$1001,MATCH(ROWS($J$2:J650),$J$2:$J$1001,0),1)&gt;=100000,INDEX($Q$1005:$U$1005,1,MATCH(COLUMNS($Q$1006:R1006),$Q$1006:$U$1006,0))&gt;=100000), " ",IF(INDEX($Q$2:$U$1001,MATCH(ROWS($J$2:J650),$J$2:$J$1001,0),MATCH(COLUMNS($Q$1006:R1006),$Q$1006:$U$1006,0)), HYPERLINK("#",""), HYPERLINK(CONCATENATE("#metadata!", ADDRESS(INDEX($L$2:$L$1001,MATCH(ROWS($J$2:J650),$J$2:$J$1001,0),0), INDEX($Q$1004:$U$1004,1,MATCH(COLUMNS($Q$1006:R1006),$Q$1006:$U$1006,0)))),"Fix")))</f>
        <v xml:space="preserve"> </v>
      </c>
      <c r="D650" s="3" t="str">
        <f ca="1">IF(OR(INDEX($K$2:$K$1001,MATCH(ROWS($J$2:J650),$J$2:$J$1001,0),1)&gt;=100000,INDEX($Q$1005:$U$1005,1,MATCH(COLUMNS($Q$1006:S1006),$Q$1006:$U$1006,0))&gt;=100000), " ",IF(INDEX($Q$2:$U$1001,MATCH(ROWS($J$2:J650),$J$2:$J$1001,0),MATCH(COLUMNS($Q$1006:S1006),$Q$1006:$U$1006,0)), HYPERLINK("#",""), HYPERLINK(CONCATENATE("#metadata!", ADDRESS(INDEX($L$2:$L$1001,MATCH(ROWS($J$2:J650),$J$2:$J$1001,0),0), INDEX($Q$1004:$U$1004,1,MATCH(COLUMNS($Q$1006:S1006),$Q$1006:$U$1006,0)))),"Fix")))</f>
        <v xml:space="preserve"> </v>
      </c>
      <c r="E650" s="3" t="str">
        <f ca="1">IF(OR(INDEX($K$2:$K$1001,MATCH(ROWS($J$2:J650),$J$2:$J$1001,0),1)&gt;=100000,INDEX($Q$1005:$U$1005,1,MATCH(COLUMNS($Q$1006:T1006),$Q$1006:$U$1006,0))&gt;=100000), " ",IF(INDEX($Q$2:$U$1001,MATCH(ROWS($J$2:J650),$J$2:$J$1001,0),MATCH(COLUMNS($Q$1006:T1006),$Q$1006:$U$1006,0)), HYPERLINK("#",""), HYPERLINK(CONCATENATE("#metadata!", ADDRESS(INDEX($L$2:$L$1001,MATCH(ROWS($J$2:J650),$J$2:$J$1001,0),0), INDEX($Q$1004:$U$1004,1,MATCH(COLUMNS($Q$1006:T1006),$Q$1006:$U$1006,0)))),"Fix")))</f>
        <v xml:space="preserve"> </v>
      </c>
      <c r="F650" s="3" t="str">
        <f ca="1">IF(OR(INDEX($K$2:$K$1001,MATCH(ROWS($J$2:J650),$J$2:$J$1001,0),1)&gt;=100000,INDEX($Q$1005:$U$1005,1,MATCH(COLUMNS($Q$1006:U1006),$Q$1006:$U$1006,0))&gt;=100000), " ",IF(INDEX($Q$2:$U$1001,MATCH(ROWS($J$2:J650),$J$2:$J$1001,0),MATCH(COLUMNS($Q$1006:U1006),$Q$1006:$U$1006,0)), HYPERLINK("#",""), HYPERLINK(CONCATENATE("#metadata!", ADDRESS(INDEX($L$2:$L$1001,MATCH(ROWS($J$2:J650),$J$2:$J$1001,0),0), INDEX($Q$1004:$U$1004,1,MATCH(COLUMNS($Q$1006:U1006),$Q$1006:$U$1006,0)))),"Fix")))</f>
        <v xml:space="preserve"> </v>
      </c>
      <c r="J650">
        <v>649</v>
      </c>
      <c r="K650">
        <v>100650</v>
      </c>
      <c r="L650">
        <v>650</v>
      </c>
      <c r="M650" t="b">
        <f t="shared" si="10"/>
        <v>1</v>
      </c>
      <c r="N650" t="b">
        <f>COUNTBLANK(metadata!B650:F650)=COLUMNS(metadata!B650:F650)</f>
        <v>1</v>
      </c>
      <c r="O650" t="str">
        <v/>
      </c>
      <c r="Q650" t="b">
        <f ca="1">AND(IF(metadata!B650="",FALSE,TRUE),COUNTIF(metadata!B:B, metadata!B650) = 1,NOT(ISERROR(SUMPRODUCT(SEARCH(MID(metadata!B650,ROW(INDIRECT("1:"&amp;LEN(metadata!B650))), 1),"0123456789abcdefghijklmnopqrstuvwxyzABCDEFGHIJKLMNOPQRSTUVWXYZ.")))))</f>
        <v>0</v>
      </c>
      <c r="R650" t="b">
        <f>AND(IF(metadata!C650="",FALSE,TRUE),OR(EXACT(metadata!C650,"saline"),EXACT(metadata!C650,"non-saline")))</f>
        <v>0</v>
      </c>
      <c r="S650" t="b">
        <f>AND(IF(metadata!D650="",FALSE,TRUE),OR(EXACT(metadata!D650,"surface (non-saline)"),EXACT(metadata!D650,"aerosol (non-saline)"),EXACT(metadata!D650,"sediment (non-saline)"),EXACT(metadata!D650,"surface (saline)"),EXACT(metadata!D650,"aerosol (saline)"),EXACT(metadata!D650,"sediment (saline)")))</f>
        <v>0</v>
      </c>
      <c r="T650" t="b">
        <f>AND(IF(metadata!E650="",FALSE,TRUE),EXACT(metadata!E650,"built environment"))</f>
        <v>0</v>
      </c>
      <c r="U650" t="b">
        <f>OR(AND(IF(metadata!F650="",FALSE,TRUE),EXACT(metadata!F650,"not applicable")),AND(IF(metadata!F650="",FALSE,TRUE),EXACT(metadata!F650,"anaerobic digester content")))</f>
        <v>0</v>
      </c>
    </row>
    <row r="651" spans="1:21" x14ac:dyDescent="0.2">
      <c r="A651" s="4" t="str">
        <f ca="1">IF(B651=" "," ",HYPERLINK(CONCATENATE("#metadata!",ADDRESS(INDEX($L$2:$L$1001,MATCH(ROWS($J$2:J651),$J$2:$J$1001,0),0),1)),INDEX($O$2:$O$1001,MATCH(ROWS($J$2:J651),$J$2:$J$1001,0),0)))</f>
        <v xml:space="preserve"> </v>
      </c>
      <c r="B651" s="3" t="str">
        <f ca="1">IF(OR(INDEX($K$2:$K$1001,MATCH(ROWS($J$2:J651),$J$2:$J$1001,0),1)&gt;=100000,INDEX($Q$1005:$U$1005,1,MATCH(COLUMNS($Q$1006:Q1006),$Q$1006:$U$1006,0))&gt;=100000), " ",IF(INDEX($Q$2:$U$1001,MATCH(ROWS($J$2:J651),$J$2:$J$1001,0),MATCH(COLUMNS($Q$1006:Q1006),$Q$1006:$U$1006,0)), HYPERLINK("#",""), HYPERLINK(CONCATENATE("#metadata!", ADDRESS(INDEX($L$2:$L$1001,MATCH(ROWS($J$2:J651),$J$2:$J$1001,0),0), INDEX($Q$1004:$U$1004,1,MATCH(COLUMNS($Q$1006:Q1006),$Q$1006:$U$1006,0)))),"Fix")))</f>
        <v xml:space="preserve"> </v>
      </c>
      <c r="C651" s="3" t="str">
        <f ca="1">IF(OR(INDEX($K$2:$K$1001,MATCH(ROWS($J$2:J651),$J$2:$J$1001,0),1)&gt;=100000,INDEX($Q$1005:$U$1005,1,MATCH(COLUMNS($Q$1006:R1006),$Q$1006:$U$1006,0))&gt;=100000), " ",IF(INDEX($Q$2:$U$1001,MATCH(ROWS($J$2:J651),$J$2:$J$1001,0),MATCH(COLUMNS($Q$1006:R1006),$Q$1006:$U$1006,0)), HYPERLINK("#",""), HYPERLINK(CONCATENATE("#metadata!", ADDRESS(INDEX($L$2:$L$1001,MATCH(ROWS($J$2:J651),$J$2:$J$1001,0),0), INDEX($Q$1004:$U$1004,1,MATCH(COLUMNS($Q$1006:R1006),$Q$1006:$U$1006,0)))),"Fix")))</f>
        <v xml:space="preserve"> </v>
      </c>
      <c r="D651" s="3" t="str">
        <f ca="1">IF(OR(INDEX($K$2:$K$1001,MATCH(ROWS($J$2:J651),$J$2:$J$1001,0),1)&gt;=100000,INDEX($Q$1005:$U$1005,1,MATCH(COLUMNS($Q$1006:S1006),$Q$1006:$U$1006,0))&gt;=100000), " ",IF(INDEX($Q$2:$U$1001,MATCH(ROWS($J$2:J651),$J$2:$J$1001,0),MATCH(COLUMNS($Q$1006:S1006),$Q$1006:$U$1006,0)), HYPERLINK("#",""), HYPERLINK(CONCATENATE("#metadata!", ADDRESS(INDEX($L$2:$L$1001,MATCH(ROWS($J$2:J651),$J$2:$J$1001,0),0), INDEX($Q$1004:$U$1004,1,MATCH(COLUMNS($Q$1006:S1006),$Q$1006:$U$1006,0)))),"Fix")))</f>
        <v xml:space="preserve"> </v>
      </c>
      <c r="E651" s="3" t="str">
        <f ca="1">IF(OR(INDEX($K$2:$K$1001,MATCH(ROWS($J$2:J651),$J$2:$J$1001,0),1)&gt;=100000,INDEX($Q$1005:$U$1005,1,MATCH(COLUMNS($Q$1006:T1006),$Q$1006:$U$1006,0))&gt;=100000), " ",IF(INDEX($Q$2:$U$1001,MATCH(ROWS($J$2:J651),$J$2:$J$1001,0),MATCH(COLUMNS($Q$1006:T1006),$Q$1006:$U$1006,0)), HYPERLINK("#",""), HYPERLINK(CONCATENATE("#metadata!", ADDRESS(INDEX($L$2:$L$1001,MATCH(ROWS($J$2:J651),$J$2:$J$1001,0),0), INDEX($Q$1004:$U$1004,1,MATCH(COLUMNS($Q$1006:T1006),$Q$1006:$U$1006,0)))),"Fix")))</f>
        <v xml:space="preserve"> </v>
      </c>
      <c r="F651" s="3" t="str">
        <f ca="1">IF(OR(INDEX($K$2:$K$1001,MATCH(ROWS($J$2:J651),$J$2:$J$1001,0),1)&gt;=100000,INDEX($Q$1005:$U$1005,1,MATCH(COLUMNS($Q$1006:U1006),$Q$1006:$U$1006,0))&gt;=100000), " ",IF(INDEX($Q$2:$U$1001,MATCH(ROWS($J$2:J651),$J$2:$J$1001,0),MATCH(COLUMNS($Q$1006:U1006),$Q$1006:$U$1006,0)), HYPERLINK("#",""), HYPERLINK(CONCATENATE("#metadata!", ADDRESS(INDEX($L$2:$L$1001,MATCH(ROWS($J$2:J651),$J$2:$J$1001,0),0), INDEX($Q$1004:$U$1004,1,MATCH(COLUMNS($Q$1006:U1006),$Q$1006:$U$1006,0)))),"Fix")))</f>
        <v xml:space="preserve"> </v>
      </c>
      <c r="J651">
        <v>650</v>
      </c>
      <c r="K651">
        <v>100651</v>
      </c>
      <c r="L651">
        <v>651</v>
      </c>
      <c r="M651" t="b">
        <f t="shared" si="10"/>
        <v>1</v>
      </c>
      <c r="N651" t="b">
        <f>COUNTBLANK(metadata!B651:F651)=COLUMNS(metadata!B651:F651)</f>
        <v>1</v>
      </c>
      <c r="O651" t="str">
        <v/>
      </c>
      <c r="Q651" t="b">
        <f ca="1">AND(IF(metadata!B651="",FALSE,TRUE),COUNTIF(metadata!B:B, metadata!B651) = 1,NOT(ISERROR(SUMPRODUCT(SEARCH(MID(metadata!B651,ROW(INDIRECT("1:"&amp;LEN(metadata!B651))), 1),"0123456789abcdefghijklmnopqrstuvwxyzABCDEFGHIJKLMNOPQRSTUVWXYZ.")))))</f>
        <v>0</v>
      </c>
      <c r="R651" t="b">
        <f>AND(IF(metadata!C651="",FALSE,TRUE),OR(EXACT(metadata!C651,"saline"),EXACT(metadata!C651,"non-saline")))</f>
        <v>0</v>
      </c>
      <c r="S651" t="b">
        <f>AND(IF(metadata!D651="",FALSE,TRUE),OR(EXACT(metadata!D651,"surface (non-saline)"),EXACT(metadata!D651,"aerosol (non-saline)"),EXACT(metadata!D651,"sediment (non-saline)"),EXACT(metadata!D651,"surface (saline)"),EXACT(metadata!D651,"aerosol (saline)"),EXACT(metadata!D651,"sediment (saline)")))</f>
        <v>0</v>
      </c>
      <c r="T651" t="b">
        <f>AND(IF(metadata!E651="",FALSE,TRUE),EXACT(metadata!E651,"built environment"))</f>
        <v>0</v>
      </c>
      <c r="U651" t="b">
        <f>OR(AND(IF(metadata!F651="",FALSE,TRUE),EXACT(metadata!F651,"not applicable")),AND(IF(metadata!F651="",FALSE,TRUE),EXACT(metadata!F651,"anaerobic digester content")))</f>
        <v>0</v>
      </c>
    </row>
    <row r="652" spans="1:21" x14ac:dyDescent="0.2">
      <c r="A652" s="4" t="str">
        <f ca="1">IF(B652=" "," ",HYPERLINK(CONCATENATE("#metadata!",ADDRESS(INDEX($L$2:$L$1001,MATCH(ROWS($J$2:J652),$J$2:$J$1001,0),0),1)),INDEX($O$2:$O$1001,MATCH(ROWS($J$2:J652),$J$2:$J$1001,0),0)))</f>
        <v xml:space="preserve"> </v>
      </c>
      <c r="B652" s="3" t="str">
        <f ca="1">IF(OR(INDEX($K$2:$K$1001,MATCH(ROWS($J$2:J652),$J$2:$J$1001,0),1)&gt;=100000,INDEX($Q$1005:$U$1005,1,MATCH(COLUMNS($Q$1006:Q1006),$Q$1006:$U$1006,0))&gt;=100000), " ",IF(INDEX($Q$2:$U$1001,MATCH(ROWS($J$2:J652),$J$2:$J$1001,0),MATCH(COLUMNS($Q$1006:Q1006),$Q$1006:$U$1006,0)), HYPERLINK("#",""), HYPERLINK(CONCATENATE("#metadata!", ADDRESS(INDEX($L$2:$L$1001,MATCH(ROWS($J$2:J652),$J$2:$J$1001,0),0), INDEX($Q$1004:$U$1004,1,MATCH(COLUMNS($Q$1006:Q1006),$Q$1006:$U$1006,0)))),"Fix")))</f>
        <v xml:space="preserve"> </v>
      </c>
      <c r="C652" s="3" t="str">
        <f ca="1">IF(OR(INDEX($K$2:$K$1001,MATCH(ROWS($J$2:J652),$J$2:$J$1001,0),1)&gt;=100000,INDEX($Q$1005:$U$1005,1,MATCH(COLUMNS($Q$1006:R1006),$Q$1006:$U$1006,0))&gt;=100000), " ",IF(INDEX($Q$2:$U$1001,MATCH(ROWS($J$2:J652),$J$2:$J$1001,0),MATCH(COLUMNS($Q$1006:R1006),$Q$1006:$U$1006,0)), HYPERLINK("#",""), HYPERLINK(CONCATENATE("#metadata!", ADDRESS(INDEX($L$2:$L$1001,MATCH(ROWS($J$2:J652),$J$2:$J$1001,0),0), INDEX($Q$1004:$U$1004,1,MATCH(COLUMNS($Q$1006:R1006),$Q$1006:$U$1006,0)))),"Fix")))</f>
        <v xml:space="preserve"> </v>
      </c>
      <c r="D652" s="3" t="str">
        <f ca="1">IF(OR(INDEX($K$2:$K$1001,MATCH(ROWS($J$2:J652),$J$2:$J$1001,0),1)&gt;=100000,INDEX($Q$1005:$U$1005,1,MATCH(COLUMNS($Q$1006:S1006),$Q$1006:$U$1006,0))&gt;=100000), " ",IF(INDEX($Q$2:$U$1001,MATCH(ROWS($J$2:J652),$J$2:$J$1001,0),MATCH(COLUMNS($Q$1006:S1006),$Q$1006:$U$1006,0)), HYPERLINK("#",""), HYPERLINK(CONCATENATE("#metadata!", ADDRESS(INDEX($L$2:$L$1001,MATCH(ROWS($J$2:J652),$J$2:$J$1001,0),0), INDEX($Q$1004:$U$1004,1,MATCH(COLUMNS($Q$1006:S1006),$Q$1006:$U$1006,0)))),"Fix")))</f>
        <v xml:space="preserve"> </v>
      </c>
      <c r="E652" s="3" t="str">
        <f ca="1">IF(OR(INDEX($K$2:$K$1001,MATCH(ROWS($J$2:J652),$J$2:$J$1001,0),1)&gt;=100000,INDEX($Q$1005:$U$1005,1,MATCH(COLUMNS($Q$1006:T1006),$Q$1006:$U$1006,0))&gt;=100000), " ",IF(INDEX($Q$2:$U$1001,MATCH(ROWS($J$2:J652),$J$2:$J$1001,0),MATCH(COLUMNS($Q$1006:T1006),$Q$1006:$U$1006,0)), HYPERLINK("#",""), HYPERLINK(CONCATENATE("#metadata!", ADDRESS(INDEX($L$2:$L$1001,MATCH(ROWS($J$2:J652),$J$2:$J$1001,0),0), INDEX($Q$1004:$U$1004,1,MATCH(COLUMNS($Q$1006:T1006),$Q$1006:$U$1006,0)))),"Fix")))</f>
        <v xml:space="preserve"> </v>
      </c>
      <c r="F652" s="3" t="str">
        <f ca="1">IF(OR(INDEX($K$2:$K$1001,MATCH(ROWS($J$2:J652),$J$2:$J$1001,0),1)&gt;=100000,INDEX($Q$1005:$U$1005,1,MATCH(COLUMNS($Q$1006:U1006),$Q$1006:$U$1006,0))&gt;=100000), " ",IF(INDEX($Q$2:$U$1001,MATCH(ROWS($J$2:J652),$J$2:$J$1001,0),MATCH(COLUMNS($Q$1006:U1006),$Q$1006:$U$1006,0)), HYPERLINK("#",""), HYPERLINK(CONCATENATE("#metadata!", ADDRESS(INDEX($L$2:$L$1001,MATCH(ROWS($J$2:J652),$J$2:$J$1001,0),0), INDEX($Q$1004:$U$1004,1,MATCH(COLUMNS($Q$1006:U1006),$Q$1006:$U$1006,0)))),"Fix")))</f>
        <v xml:space="preserve"> </v>
      </c>
      <c r="J652">
        <v>651</v>
      </c>
      <c r="K652">
        <v>100652</v>
      </c>
      <c r="L652">
        <v>652</v>
      </c>
      <c r="M652" t="b">
        <f t="shared" si="10"/>
        <v>1</v>
      </c>
      <c r="N652" t="b">
        <f>COUNTBLANK(metadata!B652:F652)=COLUMNS(metadata!B652:F652)</f>
        <v>1</v>
      </c>
      <c r="O652" t="str">
        <v/>
      </c>
      <c r="Q652" t="b">
        <f ca="1">AND(IF(metadata!B652="",FALSE,TRUE),COUNTIF(metadata!B:B, metadata!B652) = 1,NOT(ISERROR(SUMPRODUCT(SEARCH(MID(metadata!B652,ROW(INDIRECT("1:"&amp;LEN(metadata!B652))), 1),"0123456789abcdefghijklmnopqrstuvwxyzABCDEFGHIJKLMNOPQRSTUVWXYZ.")))))</f>
        <v>0</v>
      </c>
      <c r="R652" t="b">
        <f>AND(IF(metadata!C652="",FALSE,TRUE),OR(EXACT(metadata!C652,"saline"),EXACT(metadata!C652,"non-saline")))</f>
        <v>0</v>
      </c>
      <c r="S652" t="b">
        <f>AND(IF(metadata!D652="",FALSE,TRUE),OR(EXACT(metadata!D652,"surface (non-saline)"),EXACT(metadata!D652,"aerosol (non-saline)"),EXACT(metadata!D652,"sediment (non-saline)"),EXACT(metadata!D652,"surface (saline)"),EXACT(metadata!D652,"aerosol (saline)"),EXACT(metadata!D652,"sediment (saline)")))</f>
        <v>0</v>
      </c>
      <c r="T652" t="b">
        <f>AND(IF(metadata!E652="",FALSE,TRUE),EXACT(metadata!E652,"built environment"))</f>
        <v>0</v>
      </c>
      <c r="U652" t="b">
        <f>OR(AND(IF(metadata!F652="",FALSE,TRUE),EXACT(metadata!F652,"not applicable")),AND(IF(metadata!F652="",FALSE,TRUE),EXACT(metadata!F652,"anaerobic digester content")))</f>
        <v>0</v>
      </c>
    </row>
    <row r="653" spans="1:21" x14ac:dyDescent="0.2">
      <c r="A653" s="4" t="str">
        <f ca="1">IF(B653=" "," ",HYPERLINK(CONCATENATE("#metadata!",ADDRESS(INDEX($L$2:$L$1001,MATCH(ROWS($J$2:J653),$J$2:$J$1001,0),0),1)),INDEX($O$2:$O$1001,MATCH(ROWS($J$2:J653),$J$2:$J$1001,0),0)))</f>
        <v xml:space="preserve"> </v>
      </c>
      <c r="B653" s="3" t="str">
        <f ca="1">IF(OR(INDEX($K$2:$K$1001,MATCH(ROWS($J$2:J653),$J$2:$J$1001,0),1)&gt;=100000,INDEX($Q$1005:$U$1005,1,MATCH(COLUMNS($Q$1006:Q1006),$Q$1006:$U$1006,0))&gt;=100000), " ",IF(INDEX($Q$2:$U$1001,MATCH(ROWS($J$2:J653),$J$2:$J$1001,0),MATCH(COLUMNS($Q$1006:Q1006),$Q$1006:$U$1006,0)), HYPERLINK("#",""), HYPERLINK(CONCATENATE("#metadata!", ADDRESS(INDEX($L$2:$L$1001,MATCH(ROWS($J$2:J653),$J$2:$J$1001,0),0), INDEX($Q$1004:$U$1004,1,MATCH(COLUMNS($Q$1006:Q1006),$Q$1006:$U$1006,0)))),"Fix")))</f>
        <v xml:space="preserve"> </v>
      </c>
      <c r="C653" s="3" t="str">
        <f ca="1">IF(OR(INDEX($K$2:$K$1001,MATCH(ROWS($J$2:J653),$J$2:$J$1001,0),1)&gt;=100000,INDEX($Q$1005:$U$1005,1,MATCH(COLUMNS($Q$1006:R1006),$Q$1006:$U$1006,0))&gt;=100000), " ",IF(INDEX($Q$2:$U$1001,MATCH(ROWS($J$2:J653),$J$2:$J$1001,0),MATCH(COLUMNS($Q$1006:R1006),$Q$1006:$U$1006,0)), HYPERLINK("#",""), HYPERLINK(CONCATENATE("#metadata!", ADDRESS(INDEX($L$2:$L$1001,MATCH(ROWS($J$2:J653),$J$2:$J$1001,0),0), INDEX($Q$1004:$U$1004,1,MATCH(COLUMNS($Q$1006:R1006),$Q$1006:$U$1006,0)))),"Fix")))</f>
        <v xml:space="preserve"> </v>
      </c>
      <c r="D653" s="3" t="str">
        <f ca="1">IF(OR(INDEX($K$2:$K$1001,MATCH(ROWS($J$2:J653),$J$2:$J$1001,0),1)&gt;=100000,INDEX($Q$1005:$U$1005,1,MATCH(COLUMNS($Q$1006:S1006),$Q$1006:$U$1006,0))&gt;=100000), " ",IF(INDEX($Q$2:$U$1001,MATCH(ROWS($J$2:J653),$J$2:$J$1001,0),MATCH(COLUMNS($Q$1006:S1006),$Q$1006:$U$1006,0)), HYPERLINK("#",""), HYPERLINK(CONCATENATE("#metadata!", ADDRESS(INDEX($L$2:$L$1001,MATCH(ROWS($J$2:J653),$J$2:$J$1001,0),0), INDEX($Q$1004:$U$1004,1,MATCH(COLUMNS($Q$1006:S1006),$Q$1006:$U$1006,0)))),"Fix")))</f>
        <v xml:space="preserve"> </v>
      </c>
      <c r="E653" s="3" t="str">
        <f ca="1">IF(OR(INDEX($K$2:$K$1001,MATCH(ROWS($J$2:J653),$J$2:$J$1001,0),1)&gt;=100000,INDEX($Q$1005:$U$1005,1,MATCH(COLUMNS($Q$1006:T1006),$Q$1006:$U$1006,0))&gt;=100000), " ",IF(INDEX($Q$2:$U$1001,MATCH(ROWS($J$2:J653),$J$2:$J$1001,0),MATCH(COLUMNS($Q$1006:T1006),$Q$1006:$U$1006,0)), HYPERLINK("#",""), HYPERLINK(CONCATENATE("#metadata!", ADDRESS(INDEX($L$2:$L$1001,MATCH(ROWS($J$2:J653),$J$2:$J$1001,0),0), INDEX($Q$1004:$U$1004,1,MATCH(COLUMNS($Q$1006:T1006),$Q$1006:$U$1006,0)))),"Fix")))</f>
        <v xml:space="preserve"> </v>
      </c>
      <c r="F653" s="3" t="str">
        <f ca="1">IF(OR(INDEX($K$2:$K$1001,MATCH(ROWS($J$2:J653),$J$2:$J$1001,0),1)&gt;=100000,INDEX($Q$1005:$U$1005,1,MATCH(COLUMNS($Q$1006:U1006),$Q$1006:$U$1006,0))&gt;=100000), " ",IF(INDEX($Q$2:$U$1001,MATCH(ROWS($J$2:J653),$J$2:$J$1001,0),MATCH(COLUMNS($Q$1006:U1006),$Q$1006:$U$1006,0)), HYPERLINK("#",""), HYPERLINK(CONCATENATE("#metadata!", ADDRESS(INDEX($L$2:$L$1001,MATCH(ROWS($J$2:J653),$J$2:$J$1001,0),0), INDEX($Q$1004:$U$1004,1,MATCH(COLUMNS($Q$1006:U1006),$Q$1006:$U$1006,0)))),"Fix")))</f>
        <v xml:space="preserve"> </v>
      </c>
      <c r="J653">
        <v>652</v>
      </c>
      <c r="K653">
        <v>100653</v>
      </c>
      <c r="L653">
        <v>653</v>
      </c>
      <c r="M653" t="b">
        <f t="shared" si="10"/>
        <v>1</v>
      </c>
      <c r="N653" t="b">
        <f>COUNTBLANK(metadata!B653:F653)=COLUMNS(metadata!B653:F653)</f>
        <v>1</v>
      </c>
      <c r="O653" t="str">
        <v/>
      </c>
      <c r="Q653" t="b">
        <f ca="1">AND(IF(metadata!B653="",FALSE,TRUE),COUNTIF(metadata!B:B, metadata!B653) = 1,NOT(ISERROR(SUMPRODUCT(SEARCH(MID(metadata!B653,ROW(INDIRECT("1:"&amp;LEN(metadata!B653))), 1),"0123456789abcdefghijklmnopqrstuvwxyzABCDEFGHIJKLMNOPQRSTUVWXYZ.")))))</f>
        <v>0</v>
      </c>
      <c r="R653" t="b">
        <f>AND(IF(metadata!C653="",FALSE,TRUE),OR(EXACT(metadata!C653,"saline"),EXACT(metadata!C653,"non-saline")))</f>
        <v>0</v>
      </c>
      <c r="S653" t="b">
        <f>AND(IF(metadata!D653="",FALSE,TRUE),OR(EXACT(metadata!D653,"surface (non-saline)"),EXACT(metadata!D653,"aerosol (non-saline)"),EXACT(metadata!D653,"sediment (non-saline)"),EXACT(metadata!D653,"surface (saline)"),EXACT(metadata!D653,"aerosol (saline)"),EXACT(metadata!D653,"sediment (saline)")))</f>
        <v>0</v>
      </c>
      <c r="T653" t="b">
        <f>AND(IF(metadata!E653="",FALSE,TRUE),EXACT(metadata!E653,"built environment"))</f>
        <v>0</v>
      </c>
      <c r="U653" t="b">
        <f>OR(AND(IF(metadata!F653="",FALSE,TRUE),EXACT(metadata!F653,"not applicable")),AND(IF(metadata!F653="",FALSE,TRUE),EXACT(metadata!F653,"anaerobic digester content")))</f>
        <v>0</v>
      </c>
    </row>
    <row r="654" spans="1:21" x14ac:dyDescent="0.2">
      <c r="A654" s="4" t="str">
        <f ca="1">IF(B654=" "," ",HYPERLINK(CONCATENATE("#metadata!",ADDRESS(INDEX($L$2:$L$1001,MATCH(ROWS($J$2:J654),$J$2:$J$1001,0),0),1)),INDEX($O$2:$O$1001,MATCH(ROWS($J$2:J654),$J$2:$J$1001,0),0)))</f>
        <v xml:space="preserve"> </v>
      </c>
      <c r="B654" s="3" t="str">
        <f ca="1">IF(OR(INDEX($K$2:$K$1001,MATCH(ROWS($J$2:J654),$J$2:$J$1001,0),1)&gt;=100000,INDEX($Q$1005:$U$1005,1,MATCH(COLUMNS($Q$1006:Q1006),$Q$1006:$U$1006,0))&gt;=100000), " ",IF(INDEX($Q$2:$U$1001,MATCH(ROWS($J$2:J654),$J$2:$J$1001,0),MATCH(COLUMNS($Q$1006:Q1006),$Q$1006:$U$1006,0)), HYPERLINK("#",""), HYPERLINK(CONCATENATE("#metadata!", ADDRESS(INDEX($L$2:$L$1001,MATCH(ROWS($J$2:J654),$J$2:$J$1001,0),0), INDEX($Q$1004:$U$1004,1,MATCH(COLUMNS($Q$1006:Q1006),$Q$1006:$U$1006,0)))),"Fix")))</f>
        <v xml:space="preserve"> </v>
      </c>
      <c r="C654" s="3" t="str">
        <f ca="1">IF(OR(INDEX($K$2:$K$1001,MATCH(ROWS($J$2:J654),$J$2:$J$1001,0),1)&gt;=100000,INDEX($Q$1005:$U$1005,1,MATCH(COLUMNS($Q$1006:R1006),$Q$1006:$U$1006,0))&gt;=100000), " ",IF(INDEX($Q$2:$U$1001,MATCH(ROWS($J$2:J654),$J$2:$J$1001,0),MATCH(COLUMNS($Q$1006:R1006),$Q$1006:$U$1006,0)), HYPERLINK("#",""), HYPERLINK(CONCATENATE("#metadata!", ADDRESS(INDEX($L$2:$L$1001,MATCH(ROWS($J$2:J654),$J$2:$J$1001,0),0), INDEX($Q$1004:$U$1004,1,MATCH(COLUMNS($Q$1006:R1006),$Q$1006:$U$1006,0)))),"Fix")))</f>
        <v xml:space="preserve"> </v>
      </c>
      <c r="D654" s="3" t="str">
        <f ca="1">IF(OR(INDEX($K$2:$K$1001,MATCH(ROWS($J$2:J654),$J$2:$J$1001,0),1)&gt;=100000,INDEX($Q$1005:$U$1005,1,MATCH(COLUMNS($Q$1006:S1006),$Q$1006:$U$1006,0))&gt;=100000), " ",IF(INDEX($Q$2:$U$1001,MATCH(ROWS($J$2:J654),$J$2:$J$1001,0),MATCH(COLUMNS($Q$1006:S1006),$Q$1006:$U$1006,0)), HYPERLINK("#",""), HYPERLINK(CONCATENATE("#metadata!", ADDRESS(INDEX($L$2:$L$1001,MATCH(ROWS($J$2:J654),$J$2:$J$1001,0),0), INDEX($Q$1004:$U$1004,1,MATCH(COLUMNS($Q$1006:S1006),$Q$1006:$U$1006,0)))),"Fix")))</f>
        <v xml:space="preserve"> </v>
      </c>
      <c r="E654" s="3" t="str">
        <f ca="1">IF(OR(INDEX($K$2:$K$1001,MATCH(ROWS($J$2:J654),$J$2:$J$1001,0),1)&gt;=100000,INDEX($Q$1005:$U$1005,1,MATCH(COLUMNS($Q$1006:T1006),$Q$1006:$U$1006,0))&gt;=100000), " ",IF(INDEX($Q$2:$U$1001,MATCH(ROWS($J$2:J654),$J$2:$J$1001,0),MATCH(COLUMNS($Q$1006:T1006),$Q$1006:$U$1006,0)), HYPERLINK("#",""), HYPERLINK(CONCATENATE("#metadata!", ADDRESS(INDEX($L$2:$L$1001,MATCH(ROWS($J$2:J654),$J$2:$J$1001,0),0), INDEX($Q$1004:$U$1004,1,MATCH(COLUMNS($Q$1006:T1006),$Q$1006:$U$1006,0)))),"Fix")))</f>
        <v xml:space="preserve"> </v>
      </c>
      <c r="F654" s="3" t="str">
        <f ca="1">IF(OR(INDEX($K$2:$K$1001,MATCH(ROWS($J$2:J654),$J$2:$J$1001,0),1)&gt;=100000,INDEX($Q$1005:$U$1005,1,MATCH(COLUMNS($Q$1006:U1006),$Q$1006:$U$1006,0))&gt;=100000), " ",IF(INDEX($Q$2:$U$1001,MATCH(ROWS($J$2:J654),$J$2:$J$1001,0),MATCH(COLUMNS($Q$1006:U1006),$Q$1006:$U$1006,0)), HYPERLINK("#",""), HYPERLINK(CONCATENATE("#metadata!", ADDRESS(INDEX($L$2:$L$1001,MATCH(ROWS($J$2:J654),$J$2:$J$1001,0),0), INDEX($Q$1004:$U$1004,1,MATCH(COLUMNS($Q$1006:U1006),$Q$1006:$U$1006,0)))),"Fix")))</f>
        <v xml:space="preserve"> </v>
      </c>
      <c r="J654">
        <v>653</v>
      </c>
      <c r="K654">
        <v>100654</v>
      </c>
      <c r="L654">
        <v>654</v>
      </c>
      <c r="M654" t="b">
        <f t="shared" si="10"/>
        <v>1</v>
      </c>
      <c r="N654" t="b">
        <f>COUNTBLANK(metadata!B654:F654)=COLUMNS(metadata!B654:F654)</f>
        <v>1</v>
      </c>
      <c r="O654" t="str">
        <v/>
      </c>
      <c r="Q654" t="b">
        <f ca="1">AND(IF(metadata!B654="",FALSE,TRUE),COUNTIF(metadata!B:B, metadata!B654) = 1,NOT(ISERROR(SUMPRODUCT(SEARCH(MID(metadata!B654,ROW(INDIRECT("1:"&amp;LEN(metadata!B654))), 1),"0123456789abcdefghijklmnopqrstuvwxyzABCDEFGHIJKLMNOPQRSTUVWXYZ.")))))</f>
        <v>0</v>
      </c>
      <c r="R654" t="b">
        <f>AND(IF(metadata!C654="",FALSE,TRUE),OR(EXACT(metadata!C654,"saline"),EXACT(metadata!C654,"non-saline")))</f>
        <v>0</v>
      </c>
      <c r="S654" t="b">
        <f>AND(IF(metadata!D654="",FALSE,TRUE),OR(EXACT(metadata!D654,"surface (non-saline)"),EXACT(metadata!D654,"aerosol (non-saline)"),EXACT(metadata!D654,"sediment (non-saline)"),EXACT(metadata!D654,"surface (saline)"),EXACT(metadata!D654,"aerosol (saline)"),EXACT(metadata!D654,"sediment (saline)")))</f>
        <v>0</v>
      </c>
      <c r="T654" t="b">
        <f>AND(IF(metadata!E654="",FALSE,TRUE),EXACT(metadata!E654,"built environment"))</f>
        <v>0</v>
      </c>
      <c r="U654" t="b">
        <f>OR(AND(IF(metadata!F654="",FALSE,TRUE),EXACT(metadata!F654,"not applicable")),AND(IF(metadata!F654="",FALSE,TRUE),EXACT(metadata!F654,"anaerobic digester content")))</f>
        <v>0</v>
      </c>
    </row>
    <row r="655" spans="1:21" x14ac:dyDescent="0.2">
      <c r="A655" s="4" t="str">
        <f ca="1">IF(B655=" "," ",HYPERLINK(CONCATENATE("#metadata!",ADDRESS(INDEX($L$2:$L$1001,MATCH(ROWS($J$2:J655),$J$2:$J$1001,0),0),1)),INDEX($O$2:$O$1001,MATCH(ROWS($J$2:J655),$J$2:$J$1001,0),0)))</f>
        <v xml:space="preserve"> </v>
      </c>
      <c r="B655" s="3" t="str">
        <f ca="1">IF(OR(INDEX($K$2:$K$1001,MATCH(ROWS($J$2:J655),$J$2:$J$1001,0),1)&gt;=100000,INDEX($Q$1005:$U$1005,1,MATCH(COLUMNS($Q$1006:Q1006),$Q$1006:$U$1006,0))&gt;=100000), " ",IF(INDEX($Q$2:$U$1001,MATCH(ROWS($J$2:J655),$J$2:$J$1001,0),MATCH(COLUMNS($Q$1006:Q1006),$Q$1006:$U$1006,0)), HYPERLINK("#",""), HYPERLINK(CONCATENATE("#metadata!", ADDRESS(INDEX($L$2:$L$1001,MATCH(ROWS($J$2:J655),$J$2:$J$1001,0),0), INDEX($Q$1004:$U$1004,1,MATCH(COLUMNS($Q$1006:Q1006),$Q$1006:$U$1006,0)))),"Fix")))</f>
        <v xml:space="preserve"> </v>
      </c>
      <c r="C655" s="3" t="str">
        <f ca="1">IF(OR(INDEX($K$2:$K$1001,MATCH(ROWS($J$2:J655),$J$2:$J$1001,0),1)&gt;=100000,INDEX($Q$1005:$U$1005,1,MATCH(COLUMNS($Q$1006:R1006),$Q$1006:$U$1006,0))&gt;=100000), " ",IF(INDEX($Q$2:$U$1001,MATCH(ROWS($J$2:J655),$J$2:$J$1001,0),MATCH(COLUMNS($Q$1006:R1006),$Q$1006:$U$1006,0)), HYPERLINK("#",""), HYPERLINK(CONCATENATE("#metadata!", ADDRESS(INDEX($L$2:$L$1001,MATCH(ROWS($J$2:J655),$J$2:$J$1001,0),0), INDEX($Q$1004:$U$1004,1,MATCH(COLUMNS($Q$1006:R1006),$Q$1006:$U$1006,0)))),"Fix")))</f>
        <v xml:space="preserve"> </v>
      </c>
      <c r="D655" s="3" t="str">
        <f ca="1">IF(OR(INDEX($K$2:$K$1001,MATCH(ROWS($J$2:J655),$J$2:$J$1001,0),1)&gt;=100000,INDEX($Q$1005:$U$1005,1,MATCH(COLUMNS($Q$1006:S1006),$Q$1006:$U$1006,0))&gt;=100000), " ",IF(INDEX($Q$2:$U$1001,MATCH(ROWS($J$2:J655),$J$2:$J$1001,0),MATCH(COLUMNS($Q$1006:S1006),$Q$1006:$U$1006,0)), HYPERLINK("#",""), HYPERLINK(CONCATENATE("#metadata!", ADDRESS(INDEX($L$2:$L$1001,MATCH(ROWS($J$2:J655),$J$2:$J$1001,0),0), INDEX($Q$1004:$U$1004,1,MATCH(COLUMNS($Q$1006:S1006),$Q$1006:$U$1006,0)))),"Fix")))</f>
        <v xml:space="preserve"> </v>
      </c>
      <c r="E655" s="3" t="str">
        <f ca="1">IF(OR(INDEX($K$2:$K$1001,MATCH(ROWS($J$2:J655),$J$2:$J$1001,0),1)&gt;=100000,INDEX($Q$1005:$U$1005,1,MATCH(COLUMNS($Q$1006:T1006),$Q$1006:$U$1006,0))&gt;=100000), " ",IF(INDEX($Q$2:$U$1001,MATCH(ROWS($J$2:J655),$J$2:$J$1001,0),MATCH(COLUMNS($Q$1006:T1006),$Q$1006:$U$1006,0)), HYPERLINK("#",""), HYPERLINK(CONCATENATE("#metadata!", ADDRESS(INDEX($L$2:$L$1001,MATCH(ROWS($J$2:J655),$J$2:$J$1001,0),0), INDEX($Q$1004:$U$1004,1,MATCH(COLUMNS($Q$1006:T1006),$Q$1006:$U$1006,0)))),"Fix")))</f>
        <v xml:space="preserve"> </v>
      </c>
      <c r="F655" s="3" t="str">
        <f ca="1">IF(OR(INDEX($K$2:$K$1001,MATCH(ROWS($J$2:J655),$J$2:$J$1001,0),1)&gt;=100000,INDEX($Q$1005:$U$1005,1,MATCH(COLUMNS($Q$1006:U1006),$Q$1006:$U$1006,0))&gt;=100000), " ",IF(INDEX($Q$2:$U$1001,MATCH(ROWS($J$2:J655),$J$2:$J$1001,0),MATCH(COLUMNS($Q$1006:U1006),$Q$1006:$U$1006,0)), HYPERLINK("#",""), HYPERLINK(CONCATENATE("#metadata!", ADDRESS(INDEX($L$2:$L$1001,MATCH(ROWS($J$2:J655),$J$2:$J$1001,0),0), INDEX($Q$1004:$U$1004,1,MATCH(COLUMNS($Q$1006:U1006),$Q$1006:$U$1006,0)))),"Fix")))</f>
        <v xml:space="preserve"> </v>
      </c>
      <c r="J655">
        <v>654</v>
      </c>
      <c r="K655">
        <v>100655</v>
      </c>
      <c r="L655">
        <v>655</v>
      </c>
      <c r="M655" t="b">
        <f t="shared" si="10"/>
        <v>1</v>
      </c>
      <c r="N655" t="b">
        <f>COUNTBLANK(metadata!B655:F655)=COLUMNS(metadata!B655:F655)</f>
        <v>1</v>
      </c>
      <c r="O655" t="str">
        <v/>
      </c>
      <c r="Q655" t="b">
        <f ca="1">AND(IF(metadata!B655="",FALSE,TRUE),COUNTIF(metadata!B:B, metadata!B655) = 1,NOT(ISERROR(SUMPRODUCT(SEARCH(MID(metadata!B655,ROW(INDIRECT("1:"&amp;LEN(metadata!B655))), 1),"0123456789abcdefghijklmnopqrstuvwxyzABCDEFGHIJKLMNOPQRSTUVWXYZ.")))))</f>
        <v>0</v>
      </c>
      <c r="R655" t="b">
        <f>AND(IF(metadata!C655="",FALSE,TRUE),OR(EXACT(metadata!C655,"saline"),EXACT(metadata!C655,"non-saline")))</f>
        <v>0</v>
      </c>
      <c r="S655" t="b">
        <f>AND(IF(metadata!D655="",FALSE,TRUE),OR(EXACT(metadata!D655,"surface (non-saline)"),EXACT(metadata!D655,"aerosol (non-saline)"),EXACT(metadata!D655,"sediment (non-saline)"),EXACT(metadata!D655,"surface (saline)"),EXACT(metadata!D655,"aerosol (saline)"),EXACT(metadata!D655,"sediment (saline)")))</f>
        <v>0</v>
      </c>
      <c r="T655" t="b">
        <f>AND(IF(metadata!E655="",FALSE,TRUE),EXACT(metadata!E655,"built environment"))</f>
        <v>0</v>
      </c>
      <c r="U655" t="b">
        <f>OR(AND(IF(metadata!F655="",FALSE,TRUE),EXACT(metadata!F655,"not applicable")),AND(IF(metadata!F655="",FALSE,TRUE),EXACT(metadata!F655,"anaerobic digester content")))</f>
        <v>0</v>
      </c>
    </row>
    <row r="656" spans="1:21" x14ac:dyDescent="0.2">
      <c r="A656" s="4" t="str">
        <f ca="1">IF(B656=" "," ",HYPERLINK(CONCATENATE("#metadata!",ADDRESS(INDEX($L$2:$L$1001,MATCH(ROWS($J$2:J656),$J$2:$J$1001,0),0),1)),INDEX($O$2:$O$1001,MATCH(ROWS($J$2:J656),$J$2:$J$1001,0),0)))</f>
        <v xml:space="preserve"> </v>
      </c>
      <c r="B656" s="3" t="str">
        <f ca="1">IF(OR(INDEX($K$2:$K$1001,MATCH(ROWS($J$2:J656),$J$2:$J$1001,0),1)&gt;=100000,INDEX($Q$1005:$U$1005,1,MATCH(COLUMNS($Q$1006:Q1006),$Q$1006:$U$1006,0))&gt;=100000), " ",IF(INDEX($Q$2:$U$1001,MATCH(ROWS($J$2:J656),$J$2:$J$1001,0),MATCH(COLUMNS($Q$1006:Q1006),$Q$1006:$U$1006,0)), HYPERLINK("#",""), HYPERLINK(CONCATENATE("#metadata!", ADDRESS(INDEX($L$2:$L$1001,MATCH(ROWS($J$2:J656),$J$2:$J$1001,0),0), INDEX($Q$1004:$U$1004,1,MATCH(COLUMNS($Q$1006:Q1006),$Q$1006:$U$1006,0)))),"Fix")))</f>
        <v xml:space="preserve"> </v>
      </c>
      <c r="C656" s="3" t="str">
        <f ca="1">IF(OR(INDEX($K$2:$K$1001,MATCH(ROWS($J$2:J656),$J$2:$J$1001,0),1)&gt;=100000,INDEX($Q$1005:$U$1005,1,MATCH(COLUMNS($Q$1006:R1006),$Q$1006:$U$1006,0))&gt;=100000), " ",IF(INDEX($Q$2:$U$1001,MATCH(ROWS($J$2:J656),$J$2:$J$1001,0),MATCH(COLUMNS($Q$1006:R1006),$Q$1006:$U$1006,0)), HYPERLINK("#",""), HYPERLINK(CONCATENATE("#metadata!", ADDRESS(INDEX($L$2:$L$1001,MATCH(ROWS($J$2:J656),$J$2:$J$1001,0),0), INDEX($Q$1004:$U$1004,1,MATCH(COLUMNS($Q$1006:R1006),$Q$1006:$U$1006,0)))),"Fix")))</f>
        <v xml:space="preserve"> </v>
      </c>
      <c r="D656" s="3" t="str">
        <f ca="1">IF(OR(INDEX($K$2:$K$1001,MATCH(ROWS($J$2:J656),$J$2:$J$1001,0),1)&gt;=100000,INDEX($Q$1005:$U$1005,1,MATCH(COLUMNS($Q$1006:S1006),$Q$1006:$U$1006,0))&gt;=100000), " ",IF(INDEX($Q$2:$U$1001,MATCH(ROWS($J$2:J656),$J$2:$J$1001,0),MATCH(COLUMNS($Q$1006:S1006),$Q$1006:$U$1006,0)), HYPERLINK("#",""), HYPERLINK(CONCATENATE("#metadata!", ADDRESS(INDEX($L$2:$L$1001,MATCH(ROWS($J$2:J656),$J$2:$J$1001,0),0), INDEX($Q$1004:$U$1004,1,MATCH(COLUMNS($Q$1006:S1006),$Q$1006:$U$1006,0)))),"Fix")))</f>
        <v xml:space="preserve"> </v>
      </c>
      <c r="E656" s="3" t="str">
        <f ca="1">IF(OR(INDEX($K$2:$K$1001,MATCH(ROWS($J$2:J656),$J$2:$J$1001,0),1)&gt;=100000,INDEX($Q$1005:$U$1005,1,MATCH(COLUMNS($Q$1006:T1006),$Q$1006:$U$1006,0))&gt;=100000), " ",IF(INDEX($Q$2:$U$1001,MATCH(ROWS($J$2:J656),$J$2:$J$1001,0),MATCH(COLUMNS($Q$1006:T1006),$Q$1006:$U$1006,0)), HYPERLINK("#",""), HYPERLINK(CONCATENATE("#metadata!", ADDRESS(INDEX($L$2:$L$1001,MATCH(ROWS($J$2:J656),$J$2:$J$1001,0),0), INDEX($Q$1004:$U$1004,1,MATCH(COLUMNS($Q$1006:T1006),$Q$1006:$U$1006,0)))),"Fix")))</f>
        <v xml:space="preserve"> </v>
      </c>
      <c r="F656" s="3" t="str">
        <f ca="1">IF(OR(INDEX($K$2:$K$1001,MATCH(ROWS($J$2:J656),$J$2:$J$1001,0),1)&gt;=100000,INDEX($Q$1005:$U$1005,1,MATCH(COLUMNS($Q$1006:U1006),$Q$1006:$U$1006,0))&gt;=100000), " ",IF(INDEX($Q$2:$U$1001,MATCH(ROWS($J$2:J656),$J$2:$J$1001,0),MATCH(COLUMNS($Q$1006:U1006),$Q$1006:$U$1006,0)), HYPERLINK("#",""), HYPERLINK(CONCATENATE("#metadata!", ADDRESS(INDEX($L$2:$L$1001,MATCH(ROWS($J$2:J656),$J$2:$J$1001,0),0), INDEX($Q$1004:$U$1004,1,MATCH(COLUMNS($Q$1006:U1006),$Q$1006:$U$1006,0)))),"Fix")))</f>
        <v xml:space="preserve"> </v>
      </c>
      <c r="J656">
        <v>655</v>
      </c>
      <c r="K656">
        <v>100656</v>
      </c>
      <c r="L656">
        <v>656</v>
      </c>
      <c r="M656" t="b">
        <f t="shared" si="10"/>
        <v>1</v>
      </c>
      <c r="N656" t="b">
        <f>COUNTBLANK(metadata!B656:F656)=COLUMNS(metadata!B656:F656)</f>
        <v>1</v>
      </c>
      <c r="O656" t="str">
        <v/>
      </c>
      <c r="Q656" t="b">
        <f ca="1">AND(IF(metadata!B656="",FALSE,TRUE),COUNTIF(metadata!B:B, metadata!B656) = 1,NOT(ISERROR(SUMPRODUCT(SEARCH(MID(metadata!B656,ROW(INDIRECT("1:"&amp;LEN(metadata!B656))), 1),"0123456789abcdefghijklmnopqrstuvwxyzABCDEFGHIJKLMNOPQRSTUVWXYZ.")))))</f>
        <v>0</v>
      </c>
      <c r="R656" t="b">
        <f>AND(IF(metadata!C656="",FALSE,TRUE),OR(EXACT(metadata!C656,"saline"),EXACT(metadata!C656,"non-saline")))</f>
        <v>0</v>
      </c>
      <c r="S656" t="b">
        <f>AND(IF(metadata!D656="",FALSE,TRUE),OR(EXACT(metadata!D656,"surface (non-saline)"),EXACT(metadata!D656,"aerosol (non-saline)"),EXACT(metadata!D656,"sediment (non-saline)"),EXACT(metadata!D656,"surface (saline)"),EXACT(metadata!D656,"aerosol (saline)"),EXACT(metadata!D656,"sediment (saline)")))</f>
        <v>0</v>
      </c>
      <c r="T656" t="b">
        <f>AND(IF(metadata!E656="",FALSE,TRUE),EXACT(metadata!E656,"built environment"))</f>
        <v>0</v>
      </c>
      <c r="U656" t="b">
        <f>OR(AND(IF(metadata!F656="",FALSE,TRUE),EXACT(metadata!F656,"not applicable")),AND(IF(metadata!F656="",FALSE,TRUE),EXACT(metadata!F656,"anaerobic digester content")))</f>
        <v>0</v>
      </c>
    </row>
    <row r="657" spans="1:21" x14ac:dyDescent="0.2">
      <c r="A657" s="4" t="str">
        <f ca="1">IF(B657=" "," ",HYPERLINK(CONCATENATE("#metadata!",ADDRESS(INDEX($L$2:$L$1001,MATCH(ROWS($J$2:J657),$J$2:$J$1001,0),0),1)),INDEX($O$2:$O$1001,MATCH(ROWS($J$2:J657),$J$2:$J$1001,0),0)))</f>
        <v xml:space="preserve"> </v>
      </c>
      <c r="B657" s="3" t="str">
        <f ca="1">IF(OR(INDEX($K$2:$K$1001,MATCH(ROWS($J$2:J657),$J$2:$J$1001,0),1)&gt;=100000,INDEX($Q$1005:$U$1005,1,MATCH(COLUMNS($Q$1006:Q1006),$Q$1006:$U$1006,0))&gt;=100000), " ",IF(INDEX($Q$2:$U$1001,MATCH(ROWS($J$2:J657),$J$2:$J$1001,0),MATCH(COLUMNS($Q$1006:Q1006),$Q$1006:$U$1006,0)), HYPERLINK("#",""), HYPERLINK(CONCATENATE("#metadata!", ADDRESS(INDEX($L$2:$L$1001,MATCH(ROWS($J$2:J657),$J$2:$J$1001,0),0), INDEX($Q$1004:$U$1004,1,MATCH(COLUMNS($Q$1006:Q1006),$Q$1006:$U$1006,0)))),"Fix")))</f>
        <v xml:space="preserve"> </v>
      </c>
      <c r="C657" s="3" t="str">
        <f ca="1">IF(OR(INDEX($K$2:$K$1001,MATCH(ROWS($J$2:J657),$J$2:$J$1001,0),1)&gt;=100000,INDEX($Q$1005:$U$1005,1,MATCH(COLUMNS($Q$1006:R1006),$Q$1006:$U$1006,0))&gt;=100000), " ",IF(INDEX($Q$2:$U$1001,MATCH(ROWS($J$2:J657),$J$2:$J$1001,0),MATCH(COLUMNS($Q$1006:R1006),$Q$1006:$U$1006,0)), HYPERLINK("#",""), HYPERLINK(CONCATENATE("#metadata!", ADDRESS(INDEX($L$2:$L$1001,MATCH(ROWS($J$2:J657),$J$2:$J$1001,0),0), INDEX($Q$1004:$U$1004,1,MATCH(COLUMNS($Q$1006:R1006),$Q$1006:$U$1006,0)))),"Fix")))</f>
        <v xml:space="preserve"> </v>
      </c>
      <c r="D657" s="3" t="str">
        <f ca="1">IF(OR(INDEX($K$2:$K$1001,MATCH(ROWS($J$2:J657),$J$2:$J$1001,0),1)&gt;=100000,INDEX($Q$1005:$U$1005,1,MATCH(COLUMNS($Q$1006:S1006),$Q$1006:$U$1006,0))&gt;=100000), " ",IF(INDEX($Q$2:$U$1001,MATCH(ROWS($J$2:J657),$J$2:$J$1001,0),MATCH(COLUMNS($Q$1006:S1006),$Q$1006:$U$1006,0)), HYPERLINK("#",""), HYPERLINK(CONCATENATE("#metadata!", ADDRESS(INDEX($L$2:$L$1001,MATCH(ROWS($J$2:J657),$J$2:$J$1001,0),0), INDEX($Q$1004:$U$1004,1,MATCH(COLUMNS($Q$1006:S1006),$Q$1006:$U$1006,0)))),"Fix")))</f>
        <v xml:space="preserve"> </v>
      </c>
      <c r="E657" s="3" t="str">
        <f ca="1">IF(OR(INDEX($K$2:$K$1001,MATCH(ROWS($J$2:J657),$J$2:$J$1001,0),1)&gt;=100000,INDEX($Q$1005:$U$1005,1,MATCH(COLUMNS($Q$1006:T1006),$Q$1006:$U$1006,0))&gt;=100000), " ",IF(INDEX($Q$2:$U$1001,MATCH(ROWS($J$2:J657),$J$2:$J$1001,0),MATCH(COLUMNS($Q$1006:T1006),$Q$1006:$U$1006,0)), HYPERLINK("#",""), HYPERLINK(CONCATENATE("#metadata!", ADDRESS(INDEX($L$2:$L$1001,MATCH(ROWS($J$2:J657),$J$2:$J$1001,0),0), INDEX($Q$1004:$U$1004,1,MATCH(COLUMNS($Q$1006:T1006),$Q$1006:$U$1006,0)))),"Fix")))</f>
        <v xml:space="preserve"> </v>
      </c>
      <c r="F657" s="3" t="str">
        <f ca="1">IF(OR(INDEX($K$2:$K$1001,MATCH(ROWS($J$2:J657),$J$2:$J$1001,0),1)&gt;=100000,INDEX($Q$1005:$U$1005,1,MATCH(COLUMNS($Q$1006:U1006),$Q$1006:$U$1006,0))&gt;=100000), " ",IF(INDEX($Q$2:$U$1001,MATCH(ROWS($J$2:J657),$J$2:$J$1001,0),MATCH(COLUMNS($Q$1006:U1006),$Q$1006:$U$1006,0)), HYPERLINK("#",""), HYPERLINK(CONCATENATE("#metadata!", ADDRESS(INDEX($L$2:$L$1001,MATCH(ROWS($J$2:J657),$J$2:$J$1001,0),0), INDEX($Q$1004:$U$1004,1,MATCH(COLUMNS($Q$1006:U1006),$Q$1006:$U$1006,0)))),"Fix")))</f>
        <v xml:space="preserve"> </v>
      </c>
      <c r="J657">
        <v>656</v>
      </c>
      <c r="K657">
        <v>100657</v>
      </c>
      <c r="L657">
        <v>657</v>
      </c>
      <c r="M657" t="b">
        <f t="shared" si="10"/>
        <v>1</v>
      </c>
      <c r="N657" t="b">
        <f>COUNTBLANK(metadata!B657:F657)=COLUMNS(metadata!B657:F657)</f>
        <v>1</v>
      </c>
      <c r="O657" t="str">
        <v/>
      </c>
      <c r="Q657" t="b">
        <f ca="1">AND(IF(metadata!B657="",FALSE,TRUE),COUNTIF(metadata!B:B, metadata!B657) = 1,NOT(ISERROR(SUMPRODUCT(SEARCH(MID(metadata!B657,ROW(INDIRECT("1:"&amp;LEN(metadata!B657))), 1),"0123456789abcdefghijklmnopqrstuvwxyzABCDEFGHIJKLMNOPQRSTUVWXYZ.")))))</f>
        <v>0</v>
      </c>
      <c r="R657" t="b">
        <f>AND(IF(metadata!C657="",FALSE,TRUE),OR(EXACT(metadata!C657,"saline"),EXACT(metadata!C657,"non-saline")))</f>
        <v>0</v>
      </c>
      <c r="S657" t="b">
        <f>AND(IF(metadata!D657="",FALSE,TRUE),OR(EXACT(metadata!D657,"surface (non-saline)"),EXACT(metadata!D657,"aerosol (non-saline)"),EXACT(metadata!D657,"sediment (non-saline)"),EXACT(metadata!D657,"surface (saline)"),EXACT(metadata!D657,"aerosol (saline)"),EXACT(metadata!D657,"sediment (saline)")))</f>
        <v>0</v>
      </c>
      <c r="T657" t="b">
        <f>AND(IF(metadata!E657="",FALSE,TRUE),EXACT(metadata!E657,"built environment"))</f>
        <v>0</v>
      </c>
      <c r="U657" t="b">
        <f>OR(AND(IF(metadata!F657="",FALSE,TRUE),EXACT(metadata!F657,"not applicable")),AND(IF(metadata!F657="",FALSE,TRUE),EXACT(metadata!F657,"anaerobic digester content")))</f>
        <v>0</v>
      </c>
    </row>
    <row r="658" spans="1:21" x14ac:dyDescent="0.2">
      <c r="A658" s="4" t="str">
        <f ca="1">IF(B658=" "," ",HYPERLINK(CONCATENATE("#metadata!",ADDRESS(INDEX($L$2:$L$1001,MATCH(ROWS($J$2:J658),$J$2:$J$1001,0),0),1)),INDEX($O$2:$O$1001,MATCH(ROWS($J$2:J658),$J$2:$J$1001,0),0)))</f>
        <v xml:space="preserve"> </v>
      </c>
      <c r="B658" s="3" t="str">
        <f ca="1">IF(OR(INDEX($K$2:$K$1001,MATCH(ROWS($J$2:J658),$J$2:$J$1001,0),1)&gt;=100000,INDEX($Q$1005:$U$1005,1,MATCH(COLUMNS($Q$1006:Q1006),$Q$1006:$U$1006,0))&gt;=100000), " ",IF(INDEX($Q$2:$U$1001,MATCH(ROWS($J$2:J658),$J$2:$J$1001,0),MATCH(COLUMNS($Q$1006:Q1006),$Q$1006:$U$1006,0)), HYPERLINK("#",""), HYPERLINK(CONCATENATE("#metadata!", ADDRESS(INDEX($L$2:$L$1001,MATCH(ROWS($J$2:J658),$J$2:$J$1001,0),0), INDEX($Q$1004:$U$1004,1,MATCH(COLUMNS($Q$1006:Q1006),$Q$1006:$U$1006,0)))),"Fix")))</f>
        <v xml:space="preserve"> </v>
      </c>
      <c r="C658" s="3" t="str">
        <f ca="1">IF(OR(INDEX($K$2:$K$1001,MATCH(ROWS($J$2:J658),$J$2:$J$1001,0),1)&gt;=100000,INDEX($Q$1005:$U$1005,1,MATCH(COLUMNS($Q$1006:R1006),$Q$1006:$U$1006,0))&gt;=100000), " ",IF(INDEX($Q$2:$U$1001,MATCH(ROWS($J$2:J658),$J$2:$J$1001,0),MATCH(COLUMNS($Q$1006:R1006),$Q$1006:$U$1006,0)), HYPERLINK("#",""), HYPERLINK(CONCATENATE("#metadata!", ADDRESS(INDEX($L$2:$L$1001,MATCH(ROWS($J$2:J658),$J$2:$J$1001,0),0), INDEX($Q$1004:$U$1004,1,MATCH(COLUMNS($Q$1006:R1006),$Q$1006:$U$1006,0)))),"Fix")))</f>
        <v xml:space="preserve"> </v>
      </c>
      <c r="D658" s="3" t="str">
        <f ca="1">IF(OR(INDEX($K$2:$K$1001,MATCH(ROWS($J$2:J658),$J$2:$J$1001,0),1)&gt;=100000,INDEX($Q$1005:$U$1005,1,MATCH(COLUMNS($Q$1006:S1006),$Q$1006:$U$1006,0))&gt;=100000), " ",IF(INDEX($Q$2:$U$1001,MATCH(ROWS($J$2:J658),$J$2:$J$1001,0),MATCH(COLUMNS($Q$1006:S1006),$Q$1006:$U$1006,0)), HYPERLINK("#",""), HYPERLINK(CONCATENATE("#metadata!", ADDRESS(INDEX($L$2:$L$1001,MATCH(ROWS($J$2:J658),$J$2:$J$1001,0),0), INDEX($Q$1004:$U$1004,1,MATCH(COLUMNS($Q$1006:S1006),$Q$1006:$U$1006,0)))),"Fix")))</f>
        <v xml:space="preserve"> </v>
      </c>
      <c r="E658" s="3" t="str">
        <f ca="1">IF(OR(INDEX($K$2:$K$1001,MATCH(ROWS($J$2:J658),$J$2:$J$1001,0),1)&gt;=100000,INDEX($Q$1005:$U$1005,1,MATCH(COLUMNS($Q$1006:T1006),$Q$1006:$U$1006,0))&gt;=100000), " ",IF(INDEX($Q$2:$U$1001,MATCH(ROWS($J$2:J658),$J$2:$J$1001,0),MATCH(COLUMNS($Q$1006:T1006),$Q$1006:$U$1006,0)), HYPERLINK("#",""), HYPERLINK(CONCATENATE("#metadata!", ADDRESS(INDEX($L$2:$L$1001,MATCH(ROWS($J$2:J658),$J$2:$J$1001,0),0), INDEX($Q$1004:$U$1004,1,MATCH(COLUMNS($Q$1006:T1006),$Q$1006:$U$1006,0)))),"Fix")))</f>
        <v xml:space="preserve"> </v>
      </c>
      <c r="F658" s="3" t="str">
        <f ca="1">IF(OR(INDEX($K$2:$K$1001,MATCH(ROWS($J$2:J658),$J$2:$J$1001,0),1)&gt;=100000,INDEX($Q$1005:$U$1005,1,MATCH(COLUMNS($Q$1006:U1006),$Q$1006:$U$1006,0))&gt;=100000), " ",IF(INDEX($Q$2:$U$1001,MATCH(ROWS($J$2:J658),$J$2:$J$1001,0),MATCH(COLUMNS($Q$1006:U1006),$Q$1006:$U$1006,0)), HYPERLINK("#",""), HYPERLINK(CONCATENATE("#metadata!", ADDRESS(INDEX($L$2:$L$1001,MATCH(ROWS($J$2:J658),$J$2:$J$1001,0),0), INDEX($Q$1004:$U$1004,1,MATCH(COLUMNS($Q$1006:U1006),$Q$1006:$U$1006,0)))),"Fix")))</f>
        <v xml:space="preserve"> </v>
      </c>
      <c r="J658">
        <v>657</v>
      </c>
      <c r="K658">
        <v>100658</v>
      </c>
      <c r="L658">
        <v>658</v>
      </c>
      <c r="M658" t="b">
        <f t="shared" si="10"/>
        <v>1</v>
      </c>
      <c r="N658" t="b">
        <f>COUNTBLANK(metadata!B658:F658)=COLUMNS(metadata!B658:F658)</f>
        <v>1</v>
      </c>
      <c r="O658" t="str">
        <v/>
      </c>
      <c r="Q658" t="b">
        <f ca="1">AND(IF(metadata!B658="",FALSE,TRUE),COUNTIF(metadata!B:B, metadata!B658) = 1,NOT(ISERROR(SUMPRODUCT(SEARCH(MID(metadata!B658,ROW(INDIRECT("1:"&amp;LEN(metadata!B658))), 1),"0123456789abcdefghijklmnopqrstuvwxyzABCDEFGHIJKLMNOPQRSTUVWXYZ.")))))</f>
        <v>0</v>
      </c>
      <c r="R658" t="b">
        <f>AND(IF(metadata!C658="",FALSE,TRUE),OR(EXACT(metadata!C658,"saline"),EXACT(metadata!C658,"non-saline")))</f>
        <v>0</v>
      </c>
      <c r="S658" t="b">
        <f>AND(IF(metadata!D658="",FALSE,TRUE),OR(EXACT(metadata!D658,"surface (non-saline)"),EXACT(metadata!D658,"aerosol (non-saline)"),EXACT(metadata!D658,"sediment (non-saline)"),EXACT(metadata!D658,"surface (saline)"),EXACT(metadata!D658,"aerosol (saline)"),EXACT(metadata!D658,"sediment (saline)")))</f>
        <v>0</v>
      </c>
      <c r="T658" t="b">
        <f>AND(IF(metadata!E658="",FALSE,TRUE),EXACT(metadata!E658,"built environment"))</f>
        <v>0</v>
      </c>
      <c r="U658" t="b">
        <f>OR(AND(IF(metadata!F658="",FALSE,TRUE),EXACT(metadata!F658,"not applicable")),AND(IF(metadata!F658="",FALSE,TRUE),EXACT(metadata!F658,"anaerobic digester content")))</f>
        <v>0</v>
      </c>
    </row>
    <row r="659" spans="1:21" x14ac:dyDescent="0.2">
      <c r="A659" s="4" t="str">
        <f ca="1">IF(B659=" "," ",HYPERLINK(CONCATENATE("#metadata!",ADDRESS(INDEX($L$2:$L$1001,MATCH(ROWS($J$2:J659),$J$2:$J$1001,0),0),1)),INDEX($O$2:$O$1001,MATCH(ROWS($J$2:J659),$J$2:$J$1001,0),0)))</f>
        <v xml:space="preserve"> </v>
      </c>
      <c r="B659" s="3" t="str">
        <f ca="1">IF(OR(INDEX($K$2:$K$1001,MATCH(ROWS($J$2:J659),$J$2:$J$1001,0),1)&gt;=100000,INDEX($Q$1005:$U$1005,1,MATCH(COLUMNS($Q$1006:Q1006),$Q$1006:$U$1006,0))&gt;=100000), " ",IF(INDEX($Q$2:$U$1001,MATCH(ROWS($J$2:J659),$J$2:$J$1001,0),MATCH(COLUMNS($Q$1006:Q1006),$Q$1006:$U$1006,0)), HYPERLINK("#",""), HYPERLINK(CONCATENATE("#metadata!", ADDRESS(INDEX($L$2:$L$1001,MATCH(ROWS($J$2:J659),$J$2:$J$1001,0),0), INDEX($Q$1004:$U$1004,1,MATCH(COLUMNS($Q$1006:Q1006),$Q$1006:$U$1006,0)))),"Fix")))</f>
        <v xml:space="preserve"> </v>
      </c>
      <c r="C659" s="3" t="str">
        <f ca="1">IF(OR(INDEX($K$2:$K$1001,MATCH(ROWS($J$2:J659),$J$2:$J$1001,0),1)&gt;=100000,INDEX($Q$1005:$U$1005,1,MATCH(COLUMNS($Q$1006:R1006),$Q$1006:$U$1006,0))&gt;=100000), " ",IF(INDEX($Q$2:$U$1001,MATCH(ROWS($J$2:J659),$J$2:$J$1001,0),MATCH(COLUMNS($Q$1006:R1006),$Q$1006:$U$1006,0)), HYPERLINK("#",""), HYPERLINK(CONCATENATE("#metadata!", ADDRESS(INDEX($L$2:$L$1001,MATCH(ROWS($J$2:J659),$J$2:$J$1001,0),0), INDEX($Q$1004:$U$1004,1,MATCH(COLUMNS($Q$1006:R1006),$Q$1006:$U$1006,0)))),"Fix")))</f>
        <v xml:space="preserve"> </v>
      </c>
      <c r="D659" s="3" t="str">
        <f ca="1">IF(OR(INDEX($K$2:$K$1001,MATCH(ROWS($J$2:J659),$J$2:$J$1001,0),1)&gt;=100000,INDEX($Q$1005:$U$1005,1,MATCH(COLUMNS($Q$1006:S1006),$Q$1006:$U$1006,0))&gt;=100000), " ",IF(INDEX($Q$2:$U$1001,MATCH(ROWS($J$2:J659),$J$2:$J$1001,0),MATCH(COLUMNS($Q$1006:S1006),$Q$1006:$U$1006,0)), HYPERLINK("#",""), HYPERLINK(CONCATENATE("#metadata!", ADDRESS(INDEX($L$2:$L$1001,MATCH(ROWS($J$2:J659),$J$2:$J$1001,0),0), INDEX($Q$1004:$U$1004,1,MATCH(COLUMNS($Q$1006:S1006),$Q$1006:$U$1006,0)))),"Fix")))</f>
        <v xml:space="preserve"> </v>
      </c>
      <c r="E659" s="3" t="str">
        <f ca="1">IF(OR(INDEX($K$2:$K$1001,MATCH(ROWS($J$2:J659),$J$2:$J$1001,0),1)&gt;=100000,INDEX($Q$1005:$U$1005,1,MATCH(COLUMNS($Q$1006:T1006),$Q$1006:$U$1006,0))&gt;=100000), " ",IF(INDEX($Q$2:$U$1001,MATCH(ROWS($J$2:J659),$J$2:$J$1001,0),MATCH(COLUMNS($Q$1006:T1006),$Q$1006:$U$1006,0)), HYPERLINK("#",""), HYPERLINK(CONCATENATE("#metadata!", ADDRESS(INDEX($L$2:$L$1001,MATCH(ROWS($J$2:J659),$J$2:$J$1001,0),0), INDEX($Q$1004:$U$1004,1,MATCH(COLUMNS($Q$1006:T1006),$Q$1006:$U$1006,0)))),"Fix")))</f>
        <v xml:space="preserve"> </v>
      </c>
      <c r="F659" s="3" t="str">
        <f ca="1">IF(OR(INDEX($K$2:$K$1001,MATCH(ROWS($J$2:J659),$J$2:$J$1001,0),1)&gt;=100000,INDEX($Q$1005:$U$1005,1,MATCH(COLUMNS($Q$1006:U1006),$Q$1006:$U$1006,0))&gt;=100000), " ",IF(INDEX($Q$2:$U$1001,MATCH(ROWS($J$2:J659),$J$2:$J$1001,0),MATCH(COLUMNS($Q$1006:U1006),$Q$1006:$U$1006,0)), HYPERLINK("#",""), HYPERLINK(CONCATENATE("#metadata!", ADDRESS(INDEX($L$2:$L$1001,MATCH(ROWS($J$2:J659),$J$2:$J$1001,0),0), INDEX($Q$1004:$U$1004,1,MATCH(COLUMNS($Q$1006:U1006),$Q$1006:$U$1006,0)))),"Fix")))</f>
        <v xml:space="preserve"> </v>
      </c>
      <c r="J659">
        <v>658</v>
      </c>
      <c r="K659">
        <v>100659</v>
      </c>
      <c r="L659">
        <v>659</v>
      </c>
      <c r="M659" t="b">
        <f t="shared" si="10"/>
        <v>1</v>
      </c>
      <c r="N659" t="b">
        <f>COUNTBLANK(metadata!B659:F659)=COLUMNS(metadata!B659:F659)</f>
        <v>1</v>
      </c>
      <c r="O659" t="str">
        <v/>
      </c>
      <c r="Q659" t="b">
        <f ca="1">AND(IF(metadata!B659="",FALSE,TRUE),COUNTIF(metadata!B:B, metadata!B659) = 1,NOT(ISERROR(SUMPRODUCT(SEARCH(MID(metadata!B659,ROW(INDIRECT("1:"&amp;LEN(metadata!B659))), 1),"0123456789abcdefghijklmnopqrstuvwxyzABCDEFGHIJKLMNOPQRSTUVWXYZ.")))))</f>
        <v>0</v>
      </c>
      <c r="R659" t="b">
        <f>AND(IF(metadata!C659="",FALSE,TRUE),OR(EXACT(metadata!C659,"saline"),EXACT(metadata!C659,"non-saline")))</f>
        <v>0</v>
      </c>
      <c r="S659" t="b">
        <f>AND(IF(metadata!D659="",FALSE,TRUE),OR(EXACT(metadata!D659,"surface (non-saline)"),EXACT(metadata!D659,"aerosol (non-saline)"),EXACT(metadata!D659,"sediment (non-saline)"),EXACT(metadata!D659,"surface (saline)"),EXACT(metadata!D659,"aerosol (saline)"),EXACT(metadata!D659,"sediment (saline)")))</f>
        <v>0</v>
      </c>
      <c r="T659" t="b">
        <f>AND(IF(metadata!E659="",FALSE,TRUE),EXACT(metadata!E659,"built environment"))</f>
        <v>0</v>
      </c>
      <c r="U659" t="b">
        <f>OR(AND(IF(metadata!F659="",FALSE,TRUE),EXACT(metadata!F659,"not applicable")),AND(IF(metadata!F659="",FALSE,TRUE),EXACT(metadata!F659,"anaerobic digester content")))</f>
        <v>0</v>
      </c>
    </row>
    <row r="660" spans="1:21" x14ac:dyDescent="0.2">
      <c r="A660" s="4" t="str">
        <f ca="1">IF(B660=" "," ",HYPERLINK(CONCATENATE("#metadata!",ADDRESS(INDEX($L$2:$L$1001,MATCH(ROWS($J$2:J660),$J$2:$J$1001,0),0),1)),INDEX($O$2:$O$1001,MATCH(ROWS($J$2:J660),$J$2:$J$1001,0),0)))</f>
        <v xml:space="preserve"> </v>
      </c>
      <c r="B660" s="3" t="str">
        <f ca="1">IF(OR(INDEX($K$2:$K$1001,MATCH(ROWS($J$2:J660),$J$2:$J$1001,0),1)&gt;=100000,INDEX($Q$1005:$U$1005,1,MATCH(COLUMNS($Q$1006:Q1006),$Q$1006:$U$1006,0))&gt;=100000), " ",IF(INDEX($Q$2:$U$1001,MATCH(ROWS($J$2:J660),$J$2:$J$1001,0),MATCH(COLUMNS($Q$1006:Q1006),$Q$1006:$U$1006,0)), HYPERLINK("#",""), HYPERLINK(CONCATENATE("#metadata!", ADDRESS(INDEX($L$2:$L$1001,MATCH(ROWS($J$2:J660),$J$2:$J$1001,0),0), INDEX($Q$1004:$U$1004,1,MATCH(COLUMNS($Q$1006:Q1006),$Q$1006:$U$1006,0)))),"Fix")))</f>
        <v xml:space="preserve"> </v>
      </c>
      <c r="C660" s="3" t="str">
        <f ca="1">IF(OR(INDEX($K$2:$K$1001,MATCH(ROWS($J$2:J660),$J$2:$J$1001,0),1)&gt;=100000,INDEX($Q$1005:$U$1005,1,MATCH(COLUMNS($Q$1006:R1006),$Q$1006:$U$1006,0))&gt;=100000), " ",IF(INDEX($Q$2:$U$1001,MATCH(ROWS($J$2:J660),$J$2:$J$1001,0),MATCH(COLUMNS($Q$1006:R1006),$Q$1006:$U$1006,0)), HYPERLINK("#",""), HYPERLINK(CONCATENATE("#metadata!", ADDRESS(INDEX($L$2:$L$1001,MATCH(ROWS($J$2:J660),$J$2:$J$1001,0),0), INDEX($Q$1004:$U$1004,1,MATCH(COLUMNS($Q$1006:R1006),$Q$1006:$U$1006,0)))),"Fix")))</f>
        <v xml:space="preserve"> </v>
      </c>
      <c r="D660" s="3" t="str">
        <f ca="1">IF(OR(INDEX($K$2:$K$1001,MATCH(ROWS($J$2:J660),$J$2:$J$1001,0),1)&gt;=100000,INDEX($Q$1005:$U$1005,1,MATCH(COLUMNS($Q$1006:S1006),$Q$1006:$U$1006,0))&gt;=100000), " ",IF(INDEX($Q$2:$U$1001,MATCH(ROWS($J$2:J660),$J$2:$J$1001,0),MATCH(COLUMNS($Q$1006:S1006),$Q$1006:$U$1006,0)), HYPERLINK("#",""), HYPERLINK(CONCATENATE("#metadata!", ADDRESS(INDEX($L$2:$L$1001,MATCH(ROWS($J$2:J660),$J$2:$J$1001,0),0), INDEX($Q$1004:$U$1004,1,MATCH(COLUMNS($Q$1006:S1006),$Q$1006:$U$1006,0)))),"Fix")))</f>
        <v xml:space="preserve"> </v>
      </c>
      <c r="E660" s="3" t="str">
        <f ca="1">IF(OR(INDEX($K$2:$K$1001,MATCH(ROWS($J$2:J660),$J$2:$J$1001,0),1)&gt;=100000,INDEX($Q$1005:$U$1005,1,MATCH(COLUMNS($Q$1006:T1006),$Q$1006:$U$1006,0))&gt;=100000), " ",IF(INDEX($Q$2:$U$1001,MATCH(ROWS($J$2:J660),$J$2:$J$1001,0),MATCH(COLUMNS($Q$1006:T1006),$Q$1006:$U$1006,0)), HYPERLINK("#",""), HYPERLINK(CONCATENATE("#metadata!", ADDRESS(INDEX($L$2:$L$1001,MATCH(ROWS($J$2:J660),$J$2:$J$1001,0),0), INDEX($Q$1004:$U$1004,1,MATCH(COLUMNS($Q$1006:T1006),$Q$1006:$U$1006,0)))),"Fix")))</f>
        <v xml:space="preserve"> </v>
      </c>
      <c r="F660" s="3" t="str">
        <f ca="1">IF(OR(INDEX($K$2:$K$1001,MATCH(ROWS($J$2:J660),$J$2:$J$1001,0),1)&gt;=100000,INDEX($Q$1005:$U$1005,1,MATCH(COLUMNS($Q$1006:U1006),$Q$1006:$U$1006,0))&gt;=100000), " ",IF(INDEX($Q$2:$U$1001,MATCH(ROWS($J$2:J660),$J$2:$J$1001,0),MATCH(COLUMNS($Q$1006:U1006),$Q$1006:$U$1006,0)), HYPERLINK("#",""), HYPERLINK(CONCATENATE("#metadata!", ADDRESS(INDEX($L$2:$L$1001,MATCH(ROWS($J$2:J660),$J$2:$J$1001,0),0), INDEX($Q$1004:$U$1004,1,MATCH(COLUMNS($Q$1006:U1006),$Q$1006:$U$1006,0)))),"Fix")))</f>
        <v xml:space="preserve"> </v>
      </c>
      <c r="J660">
        <v>659</v>
      </c>
      <c r="K660">
        <v>100660</v>
      </c>
      <c r="L660">
        <v>660</v>
      </c>
      <c r="M660" t="b">
        <f t="shared" si="10"/>
        <v>1</v>
      </c>
      <c r="N660" t="b">
        <f>COUNTBLANK(metadata!B660:F660)=COLUMNS(metadata!B660:F660)</f>
        <v>1</v>
      </c>
      <c r="O660" t="str">
        <v/>
      </c>
      <c r="Q660" t="b">
        <f ca="1">AND(IF(metadata!B660="",FALSE,TRUE),COUNTIF(metadata!B:B, metadata!B660) = 1,NOT(ISERROR(SUMPRODUCT(SEARCH(MID(metadata!B660,ROW(INDIRECT("1:"&amp;LEN(metadata!B660))), 1),"0123456789abcdefghijklmnopqrstuvwxyzABCDEFGHIJKLMNOPQRSTUVWXYZ.")))))</f>
        <v>0</v>
      </c>
      <c r="R660" t="b">
        <f>AND(IF(metadata!C660="",FALSE,TRUE),OR(EXACT(metadata!C660,"saline"),EXACT(metadata!C660,"non-saline")))</f>
        <v>0</v>
      </c>
      <c r="S660" t="b">
        <f>AND(IF(metadata!D660="",FALSE,TRUE),OR(EXACT(metadata!D660,"surface (non-saline)"),EXACT(metadata!D660,"aerosol (non-saline)"),EXACT(metadata!D660,"sediment (non-saline)"),EXACT(metadata!D660,"surface (saline)"),EXACT(metadata!D660,"aerosol (saline)"),EXACT(metadata!D660,"sediment (saline)")))</f>
        <v>0</v>
      </c>
      <c r="T660" t="b">
        <f>AND(IF(metadata!E660="",FALSE,TRUE),EXACT(metadata!E660,"built environment"))</f>
        <v>0</v>
      </c>
      <c r="U660" t="b">
        <f>OR(AND(IF(metadata!F660="",FALSE,TRUE),EXACT(metadata!F660,"not applicable")),AND(IF(metadata!F660="",FALSE,TRUE),EXACT(metadata!F660,"anaerobic digester content")))</f>
        <v>0</v>
      </c>
    </row>
    <row r="661" spans="1:21" x14ac:dyDescent="0.2">
      <c r="A661" s="4" t="str">
        <f ca="1">IF(B661=" "," ",HYPERLINK(CONCATENATE("#metadata!",ADDRESS(INDEX($L$2:$L$1001,MATCH(ROWS($J$2:J661),$J$2:$J$1001,0),0),1)),INDEX($O$2:$O$1001,MATCH(ROWS($J$2:J661),$J$2:$J$1001,0),0)))</f>
        <v xml:space="preserve"> </v>
      </c>
      <c r="B661" s="3" t="str">
        <f ca="1">IF(OR(INDEX($K$2:$K$1001,MATCH(ROWS($J$2:J661),$J$2:$J$1001,0),1)&gt;=100000,INDEX($Q$1005:$U$1005,1,MATCH(COLUMNS($Q$1006:Q1006),$Q$1006:$U$1006,0))&gt;=100000), " ",IF(INDEX($Q$2:$U$1001,MATCH(ROWS($J$2:J661),$J$2:$J$1001,0),MATCH(COLUMNS($Q$1006:Q1006),$Q$1006:$U$1006,0)), HYPERLINK("#",""), HYPERLINK(CONCATENATE("#metadata!", ADDRESS(INDEX($L$2:$L$1001,MATCH(ROWS($J$2:J661),$J$2:$J$1001,0),0), INDEX($Q$1004:$U$1004,1,MATCH(COLUMNS($Q$1006:Q1006),$Q$1006:$U$1006,0)))),"Fix")))</f>
        <v xml:space="preserve"> </v>
      </c>
      <c r="C661" s="3" t="str">
        <f ca="1">IF(OR(INDEX($K$2:$K$1001,MATCH(ROWS($J$2:J661),$J$2:$J$1001,0),1)&gt;=100000,INDEX($Q$1005:$U$1005,1,MATCH(COLUMNS($Q$1006:R1006),$Q$1006:$U$1006,0))&gt;=100000), " ",IF(INDEX($Q$2:$U$1001,MATCH(ROWS($J$2:J661),$J$2:$J$1001,0),MATCH(COLUMNS($Q$1006:R1006),$Q$1006:$U$1006,0)), HYPERLINK("#",""), HYPERLINK(CONCATENATE("#metadata!", ADDRESS(INDEX($L$2:$L$1001,MATCH(ROWS($J$2:J661),$J$2:$J$1001,0),0), INDEX($Q$1004:$U$1004,1,MATCH(COLUMNS($Q$1006:R1006),$Q$1006:$U$1006,0)))),"Fix")))</f>
        <v xml:space="preserve"> </v>
      </c>
      <c r="D661" s="3" t="str">
        <f ca="1">IF(OR(INDEX($K$2:$K$1001,MATCH(ROWS($J$2:J661),$J$2:$J$1001,0),1)&gt;=100000,INDEX($Q$1005:$U$1005,1,MATCH(COLUMNS($Q$1006:S1006),$Q$1006:$U$1006,0))&gt;=100000), " ",IF(INDEX($Q$2:$U$1001,MATCH(ROWS($J$2:J661),$J$2:$J$1001,0),MATCH(COLUMNS($Q$1006:S1006),$Q$1006:$U$1006,0)), HYPERLINK("#",""), HYPERLINK(CONCATENATE("#metadata!", ADDRESS(INDEX($L$2:$L$1001,MATCH(ROWS($J$2:J661),$J$2:$J$1001,0),0), INDEX($Q$1004:$U$1004,1,MATCH(COLUMNS($Q$1006:S1006),$Q$1006:$U$1006,0)))),"Fix")))</f>
        <v xml:space="preserve"> </v>
      </c>
      <c r="E661" s="3" t="str">
        <f ca="1">IF(OR(INDEX($K$2:$K$1001,MATCH(ROWS($J$2:J661),$J$2:$J$1001,0),1)&gt;=100000,INDEX($Q$1005:$U$1005,1,MATCH(COLUMNS($Q$1006:T1006),$Q$1006:$U$1006,0))&gt;=100000), " ",IF(INDEX($Q$2:$U$1001,MATCH(ROWS($J$2:J661),$J$2:$J$1001,0),MATCH(COLUMNS($Q$1006:T1006),$Q$1006:$U$1006,0)), HYPERLINK("#",""), HYPERLINK(CONCATENATE("#metadata!", ADDRESS(INDEX($L$2:$L$1001,MATCH(ROWS($J$2:J661),$J$2:$J$1001,0),0), INDEX($Q$1004:$U$1004,1,MATCH(COLUMNS($Q$1006:T1006),$Q$1006:$U$1006,0)))),"Fix")))</f>
        <v xml:space="preserve"> </v>
      </c>
      <c r="F661" s="3" t="str">
        <f ca="1">IF(OR(INDEX($K$2:$K$1001,MATCH(ROWS($J$2:J661),$J$2:$J$1001,0),1)&gt;=100000,INDEX($Q$1005:$U$1005,1,MATCH(COLUMNS($Q$1006:U1006),$Q$1006:$U$1006,0))&gt;=100000), " ",IF(INDEX($Q$2:$U$1001,MATCH(ROWS($J$2:J661),$J$2:$J$1001,0),MATCH(COLUMNS($Q$1006:U1006),$Q$1006:$U$1006,0)), HYPERLINK("#",""), HYPERLINK(CONCATENATE("#metadata!", ADDRESS(INDEX($L$2:$L$1001,MATCH(ROWS($J$2:J661),$J$2:$J$1001,0),0), INDEX($Q$1004:$U$1004,1,MATCH(COLUMNS($Q$1006:U1006),$Q$1006:$U$1006,0)))),"Fix")))</f>
        <v xml:space="preserve"> </v>
      </c>
      <c r="J661">
        <v>660</v>
      </c>
      <c r="K661">
        <v>100661</v>
      </c>
      <c r="L661">
        <v>661</v>
      </c>
      <c r="M661" t="b">
        <f t="shared" si="10"/>
        <v>1</v>
      </c>
      <c r="N661" t="b">
        <f>COUNTBLANK(metadata!B661:F661)=COLUMNS(metadata!B661:F661)</f>
        <v>1</v>
      </c>
      <c r="O661" t="str">
        <v/>
      </c>
      <c r="Q661" t="b">
        <f ca="1">AND(IF(metadata!B661="",FALSE,TRUE),COUNTIF(metadata!B:B, metadata!B661) = 1,NOT(ISERROR(SUMPRODUCT(SEARCH(MID(metadata!B661,ROW(INDIRECT("1:"&amp;LEN(metadata!B661))), 1),"0123456789abcdefghijklmnopqrstuvwxyzABCDEFGHIJKLMNOPQRSTUVWXYZ.")))))</f>
        <v>0</v>
      </c>
      <c r="R661" t="b">
        <f>AND(IF(metadata!C661="",FALSE,TRUE),OR(EXACT(metadata!C661,"saline"),EXACT(metadata!C661,"non-saline")))</f>
        <v>0</v>
      </c>
      <c r="S661" t="b">
        <f>AND(IF(metadata!D661="",FALSE,TRUE),OR(EXACT(metadata!D661,"surface (non-saline)"),EXACT(metadata!D661,"aerosol (non-saline)"),EXACT(metadata!D661,"sediment (non-saline)"),EXACT(metadata!D661,"surface (saline)"),EXACT(metadata!D661,"aerosol (saline)"),EXACT(metadata!D661,"sediment (saline)")))</f>
        <v>0</v>
      </c>
      <c r="T661" t="b">
        <f>AND(IF(metadata!E661="",FALSE,TRUE),EXACT(metadata!E661,"built environment"))</f>
        <v>0</v>
      </c>
      <c r="U661" t="b">
        <f>OR(AND(IF(metadata!F661="",FALSE,TRUE),EXACT(metadata!F661,"not applicable")),AND(IF(metadata!F661="",FALSE,TRUE),EXACT(metadata!F661,"anaerobic digester content")))</f>
        <v>0</v>
      </c>
    </row>
    <row r="662" spans="1:21" x14ac:dyDescent="0.2">
      <c r="A662" s="4" t="str">
        <f ca="1">IF(B662=" "," ",HYPERLINK(CONCATENATE("#metadata!",ADDRESS(INDEX($L$2:$L$1001,MATCH(ROWS($J$2:J662),$J$2:$J$1001,0),0),1)),INDEX($O$2:$O$1001,MATCH(ROWS($J$2:J662),$J$2:$J$1001,0),0)))</f>
        <v xml:space="preserve"> </v>
      </c>
      <c r="B662" s="3" t="str">
        <f ca="1">IF(OR(INDEX($K$2:$K$1001,MATCH(ROWS($J$2:J662),$J$2:$J$1001,0),1)&gt;=100000,INDEX($Q$1005:$U$1005,1,MATCH(COLUMNS($Q$1006:Q1006),$Q$1006:$U$1006,0))&gt;=100000), " ",IF(INDEX($Q$2:$U$1001,MATCH(ROWS($J$2:J662),$J$2:$J$1001,0),MATCH(COLUMNS($Q$1006:Q1006),$Q$1006:$U$1006,0)), HYPERLINK("#",""), HYPERLINK(CONCATENATE("#metadata!", ADDRESS(INDEX($L$2:$L$1001,MATCH(ROWS($J$2:J662),$J$2:$J$1001,0),0), INDEX($Q$1004:$U$1004,1,MATCH(COLUMNS($Q$1006:Q1006),$Q$1006:$U$1006,0)))),"Fix")))</f>
        <v xml:space="preserve"> </v>
      </c>
      <c r="C662" s="3" t="str">
        <f ca="1">IF(OR(INDEX($K$2:$K$1001,MATCH(ROWS($J$2:J662),$J$2:$J$1001,0),1)&gt;=100000,INDEX($Q$1005:$U$1005,1,MATCH(COLUMNS($Q$1006:R1006),$Q$1006:$U$1006,0))&gt;=100000), " ",IF(INDEX($Q$2:$U$1001,MATCH(ROWS($J$2:J662),$J$2:$J$1001,0),MATCH(COLUMNS($Q$1006:R1006),$Q$1006:$U$1006,0)), HYPERLINK("#",""), HYPERLINK(CONCATENATE("#metadata!", ADDRESS(INDEX($L$2:$L$1001,MATCH(ROWS($J$2:J662),$J$2:$J$1001,0),0), INDEX($Q$1004:$U$1004,1,MATCH(COLUMNS($Q$1006:R1006),$Q$1006:$U$1006,0)))),"Fix")))</f>
        <v xml:space="preserve"> </v>
      </c>
      <c r="D662" s="3" t="str">
        <f ca="1">IF(OR(INDEX($K$2:$K$1001,MATCH(ROWS($J$2:J662),$J$2:$J$1001,0),1)&gt;=100000,INDEX($Q$1005:$U$1005,1,MATCH(COLUMNS($Q$1006:S1006),$Q$1006:$U$1006,0))&gt;=100000), " ",IF(INDEX($Q$2:$U$1001,MATCH(ROWS($J$2:J662),$J$2:$J$1001,0),MATCH(COLUMNS($Q$1006:S1006),$Q$1006:$U$1006,0)), HYPERLINK("#",""), HYPERLINK(CONCATENATE("#metadata!", ADDRESS(INDEX($L$2:$L$1001,MATCH(ROWS($J$2:J662),$J$2:$J$1001,0),0), INDEX($Q$1004:$U$1004,1,MATCH(COLUMNS($Q$1006:S1006),$Q$1006:$U$1006,0)))),"Fix")))</f>
        <v xml:space="preserve"> </v>
      </c>
      <c r="E662" s="3" t="str">
        <f ca="1">IF(OR(INDEX($K$2:$K$1001,MATCH(ROWS($J$2:J662),$J$2:$J$1001,0),1)&gt;=100000,INDEX($Q$1005:$U$1005,1,MATCH(COLUMNS($Q$1006:T1006),$Q$1006:$U$1006,0))&gt;=100000), " ",IF(INDEX($Q$2:$U$1001,MATCH(ROWS($J$2:J662),$J$2:$J$1001,0),MATCH(COLUMNS($Q$1006:T1006),$Q$1006:$U$1006,0)), HYPERLINK("#",""), HYPERLINK(CONCATENATE("#metadata!", ADDRESS(INDEX($L$2:$L$1001,MATCH(ROWS($J$2:J662),$J$2:$J$1001,0),0), INDEX($Q$1004:$U$1004,1,MATCH(COLUMNS($Q$1006:T1006),$Q$1006:$U$1006,0)))),"Fix")))</f>
        <v xml:space="preserve"> </v>
      </c>
      <c r="F662" s="3" t="str">
        <f ca="1">IF(OR(INDEX($K$2:$K$1001,MATCH(ROWS($J$2:J662),$J$2:$J$1001,0),1)&gt;=100000,INDEX($Q$1005:$U$1005,1,MATCH(COLUMNS($Q$1006:U1006),$Q$1006:$U$1006,0))&gt;=100000), " ",IF(INDEX($Q$2:$U$1001,MATCH(ROWS($J$2:J662),$J$2:$J$1001,0),MATCH(COLUMNS($Q$1006:U1006),$Q$1006:$U$1006,0)), HYPERLINK("#",""), HYPERLINK(CONCATENATE("#metadata!", ADDRESS(INDEX($L$2:$L$1001,MATCH(ROWS($J$2:J662),$J$2:$J$1001,0),0), INDEX($Q$1004:$U$1004,1,MATCH(COLUMNS($Q$1006:U1006),$Q$1006:$U$1006,0)))),"Fix")))</f>
        <v xml:space="preserve"> </v>
      </c>
      <c r="J662">
        <v>661</v>
      </c>
      <c r="K662">
        <v>100662</v>
      </c>
      <c r="L662">
        <v>662</v>
      </c>
      <c r="M662" t="b">
        <f t="shared" si="10"/>
        <v>1</v>
      </c>
      <c r="N662" t="b">
        <f>COUNTBLANK(metadata!B662:F662)=COLUMNS(metadata!B662:F662)</f>
        <v>1</v>
      </c>
      <c r="O662" t="str">
        <v/>
      </c>
      <c r="Q662" t="b">
        <f ca="1">AND(IF(metadata!B662="",FALSE,TRUE),COUNTIF(metadata!B:B, metadata!B662) = 1,NOT(ISERROR(SUMPRODUCT(SEARCH(MID(metadata!B662,ROW(INDIRECT("1:"&amp;LEN(metadata!B662))), 1),"0123456789abcdefghijklmnopqrstuvwxyzABCDEFGHIJKLMNOPQRSTUVWXYZ.")))))</f>
        <v>0</v>
      </c>
      <c r="R662" t="b">
        <f>AND(IF(metadata!C662="",FALSE,TRUE),OR(EXACT(metadata!C662,"saline"),EXACT(metadata!C662,"non-saline")))</f>
        <v>0</v>
      </c>
      <c r="S662" t="b">
        <f>AND(IF(metadata!D662="",FALSE,TRUE),OR(EXACT(metadata!D662,"surface (non-saline)"),EXACT(metadata!D662,"aerosol (non-saline)"),EXACT(metadata!D662,"sediment (non-saline)"),EXACT(metadata!D662,"surface (saline)"),EXACT(metadata!D662,"aerosol (saline)"),EXACT(metadata!D662,"sediment (saline)")))</f>
        <v>0</v>
      </c>
      <c r="T662" t="b">
        <f>AND(IF(metadata!E662="",FALSE,TRUE),EXACT(metadata!E662,"built environment"))</f>
        <v>0</v>
      </c>
      <c r="U662" t="b">
        <f>OR(AND(IF(metadata!F662="",FALSE,TRUE),EXACT(metadata!F662,"not applicable")),AND(IF(metadata!F662="",FALSE,TRUE),EXACT(metadata!F662,"anaerobic digester content")))</f>
        <v>0</v>
      </c>
    </row>
    <row r="663" spans="1:21" x14ac:dyDescent="0.2">
      <c r="A663" s="4" t="str">
        <f ca="1">IF(B663=" "," ",HYPERLINK(CONCATENATE("#metadata!",ADDRESS(INDEX($L$2:$L$1001,MATCH(ROWS($J$2:J663),$J$2:$J$1001,0),0),1)),INDEX($O$2:$O$1001,MATCH(ROWS($J$2:J663),$J$2:$J$1001,0),0)))</f>
        <v xml:space="preserve"> </v>
      </c>
      <c r="B663" s="3" t="str">
        <f ca="1">IF(OR(INDEX($K$2:$K$1001,MATCH(ROWS($J$2:J663),$J$2:$J$1001,0),1)&gt;=100000,INDEX($Q$1005:$U$1005,1,MATCH(COLUMNS($Q$1006:Q1006),$Q$1006:$U$1006,0))&gt;=100000), " ",IF(INDEX($Q$2:$U$1001,MATCH(ROWS($J$2:J663),$J$2:$J$1001,0),MATCH(COLUMNS($Q$1006:Q1006),$Q$1006:$U$1006,0)), HYPERLINK("#",""), HYPERLINK(CONCATENATE("#metadata!", ADDRESS(INDEX($L$2:$L$1001,MATCH(ROWS($J$2:J663),$J$2:$J$1001,0),0), INDEX($Q$1004:$U$1004,1,MATCH(COLUMNS($Q$1006:Q1006),$Q$1006:$U$1006,0)))),"Fix")))</f>
        <v xml:space="preserve"> </v>
      </c>
      <c r="C663" s="3" t="str">
        <f ca="1">IF(OR(INDEX($K$2:$K$1001,MATCH(ROWS($J$2:J663),$J$2:$J$1001,0),1)&gt;=100000,INDEX($Q$1005:$U$1005,1,MATCH(COLUMNS($Q$1006:R1006),$Q$1006:$U$1006,0))&gt;=100000), " ",IF(INDEX($Q$2:$U$1001,MATCH(ROWS($J$2:J663),$J$2:$J$1001,0),MATCH(COLUMNS($Q$1006:R1006),$Q$1006:$U$1006,0)), HYPERLINK("#",""), HYPERLINK(CONCATENATE("#metadata!", ADDRESS(INDEX($L$2:$L$1001,MATCH(ROWS($J$2:J663),$J$2:$J$1001,0),0), INDEX($Q$1004:$U$1004,1,MATCH(COLUMNS($Q$1006:R1006),$Q$1006:$U$1006,0)))),"Fix")))</f>
        <v xml:space="preserve"> </v>
      </c>
      <c r="D663" s="3" t="str">
        <f ca="1">IF(OR(INDEX($K$2:$K$1001,MATCH(ROWS($J$2:J663),$J$2:$J$1001,0),1)&gt;=100000,INDEX($Q$1005:$U$1005,1,MATCH(COLUMNS($Q$1006:S1006),$Q$1006:$U$1006,0))&gt;=100000), " ",IF(INDEX($Q$2:$U$1001,MATCH(ROWS($J$2:J663),$J$2:$J$1001,0),MATCH(COLUMNS($Q$1006:S1006),$Q$1006:$U$1006,0)), HYPERLINK("#",""), HYPERLINK(CONCATENATE("#metadata!", ADDRESS(INDEX($L$2:$L$1001,MATCH(ROWS($J$2:J663),$J$2:$J$1001,0),0), INDEX($Q$1004:$U$1004,1,MATCH(COLUMNS($Q$1006:S1006),$Q$1006:$U$1006,0)))),"Fix")))</f>
        <v xml:space="preserve"> </v>
      </c>
      <c r="E663" s="3" t="str">
        <f ca="1">IF(OR(INDEX($K$2:$K$1001,MATCH(ROWS($J$2:J663),$J$2:$J$1001,0),1)&gt;=100000,INDEX($Q$1005:$U$1005,1,MATCH(COLUMNS($Q$1006:T1006),$Q$1006:$U$1006,0))&gt;=100000), " ",IF(INDEX($Q$2:$U$1001,MATCH(ROWS($J$2:J663),$J$2:$J$1001,0),MATCH(COLUMNS($Q$1006:T1006),$Q$1006:$U$1006,0)), HYPERLINK("#",""), HYPERLINK(CONCATENATE("#metadata!", ADDRESS(INDEX($L$2:$L$1001,MATCH(ROWS($J$2:J663),$J$2:$J$1001,0),0), INDEX($Q$1004:$U$1004,1,MATCH(COLUMNS($Q$1006:T1006),$Q$1006:$U$1006,0)))),"Fix")))</f>
        <v xml:space="preserve"> </v>
      </c>
      <c r="F663" s="3" t="str">
        <f ca="1">IF(OR(INDEX($K$2:$K$1001,MATCH(ROWS($J$2:J663),$J$2:$J$1001,0),1)&gt;=100000,INDEX($Q$1005:$U$1005,1,MATCH(COLUMNS($Q$1006:U1006),$Q$1006:$U$1006,0))&gt;=100000), " ",IF(INDEX($Q$2:$U$1001,MATCH(ROWS($J$2:J663),$J$2:$J$1001,0),MATCH(COLUMNS($Q$1006:U1006),$Q$1006:$U$1006,0)), HYPERLINK("#",""), HYPERLINK(CONCATENATE("#metadata!", ADDRESS(INDEX($L$2:$L$1001,MATCH(ROWS($J$2:J663),$J$2:$J$1001,0),0), INDEX($Q$1004:$U$1004,1,MATCH(COLUMNS($Q$1006:U1006),$Q$1006:$U$1006,0)))),"Fix")))</f>
        <v xml:space="preserve"> </v>
      </c>
      <c r="J663">
        <v>662</v>
      </c>
      <c r="K663">
        <v>100663</v>
      </c>
      <c r="L663">
        <v>663</v>
      </c>
      <c r="M663" t="b">
        <f t="shared" si="10"/>
        <v>1</v>
      </c>
      <c r="N663" t="b">
        <f>COUNTBLANK(metadata!B663:F663)=COLUMNS(metadata!B663:F663)</f>
        <v>1</v>
      </c>
      <c r="O663" t="str">
        <v/>
      </c>
      <c r="Q663" t="b">
        <f ca="1">AND(IF(metadata!B663="",FALSE,TRUE),COUNTIF(metadata!B:B, metadata!B663) = 1,NOT(ISERROR(SUMPRODUCT(SEARCH(MID(metadata!B663,ROW(INDIRECT("1:"&amp;LEN(metadata!B663))), 1),"0123456789abcdefghijklmnopqrstuvwxyzABCDEFGHIJKLMNOPQRSTUVWXYZ.")))))</f>
        <v>0</v>
      </c>
      <c r="R663" t="b">
        <f>AND(IF(metadata!C663="",FALSE,TRUE),OR(EXACT(metadata!C663,"saline"),EXACT(metadata!C663,"non-saline")))</f>
        <v>0</v>
      </c>
      <c r="S663" t="b">
        <f>AND(IF(metadata!D663="",FALSE,TRUE),OR(EXACT(metadata!D663,"surface (non-saline)"),EXACT(metadata!D663,"aerosol (non-saline)"),EXACT(metadata!D663,"sediment (non-saline)"),EXACT(metadata!D663,"surface (saline)"),EXACT(metadata!D663,"aerosol (saline)"),EXACT(metadata!D663,"sediment (saline)")))</f>
        <v>0</v>
      </c>
      <c r="T663" t="b">
        <f>AND(IF(metadata!E663="",FALSE,TRUE),EXACT(metadata!E663,"built environment"))</f>
        <v>0</v>
      </c>
      <c r="U663" t="b">
        <f>OR(AND(IF(metadata!F663="",FALSE,TRUE),EXACT(metadata!F663,"not applicable")),AND(IF(metadata!F663="",FALSE,TRUE),EXACT(metadata!F663,"anaerobic digester content")))</f>
        <v>0</v>
      </c>
    </row>
    <row r="664" spans="1:21" x14ac:dyDescent="0.2">
      <c r="A664" s="4" t="str">
        <f ca="1">IF(B664=" "," ",HYPERLINK(CONCATENATE("#metadata!",ADDRESS(INDEX($L$2:$L$1001,MATCH(ROWS($J$2:J664),$J$2:$J$1001,0),0),1)),INDEX($O$2:$O$1001,MATCH(ROWS($J$2:J664),$J$2:$J$1001,0),0)))</f>
        <v xml:space="preserve"> </v>
      </c>
      <c r="B664" s="3" t="str">
        <f ca="1">IF(OR(INDEX($K$2:$K$1001,MATCH(ROWS($J$2:J664),$J$2:$J$1001,0),1)&gt;=100000,INDEX($Q$1005:$U$1005,1,MATCH(COLUMNS($Q$1006:Q1006),$Q$1006:$U$1006,0))&gt;=100000), " ",IF(INDEX($Q$2:$U$1001,MATCH(ROWS($J$2:J664),$J$2:$J$1001,0),MATCH(COLUMNS($Q$1006:Q1006),$Q$1006:$U$1006,0)), HYPERLINK("#",""), HYPERLINK(CONCATENATE("#metadata!", ADDRESS(INDEX($L$2:$L$1001,MATCH(ROWS($J$2:J664),$J$2:$J$1001,0),0), INDEX($Q$1004:$U$1004,1,MATCH(COLUMNS($Q$1006:Q1006),$Q$1006:$U$1006,0)))),"Fix")))</f>
        <v xml:space="preserve"> </v>
      </c>
      <c r="C664" s="3" t="str">
        <f ca="1">IF(OR(INDEX($K$2:$K$1001,MATCH(ROWS($J$2:J664),$J$2:$J$1001,0),1)&gt;=100000,INDEX($Q$1005:$U$1005,1,MATCH(COLUMNS($Q$1006:R1006),$Q$1006:$U$1006,0))&gt;=100000), " ",IF(INDEX($Q$2:$U$1001,MATCH(ROWS($J$2:J664),$J$2:$J$1001,0),MATCH(COLUMNS($Q$1006:R1006),$Q$1006:$U$1006,0)), HYPERLINK("#",""), HYPERLINK(CONCATENATE("#metadata!", ADDRESS(INDEX($L$2:$L$1001,MATCH(ROWS($J$2:J664),$J$2:$J$1001,0),0), INDEX($Q$1004:$U$1004,1,MATCH(COLUMNS($Q$1006:R1006),$Q$1006:$U$1006,0)))),"Fix")))</f>
        <v xml:space="preserve"> </v>
      </c>
      <c r="D664" s="3" t="str">
        <f ca="1">IF(OR(INDEX($K$2:$K$1001,MATCH(ROWS($J$2:J664),$J$2:$J$1001,0),1)&gt;=100000,INDEX($Q$1005:$U$1005,1,MATCH(COLUMNS($Q$1006:S1006),$Q$1006:$U$1006,0))&gt;=100000), " ",IF(INDEX($Q$2:$U$1001,MATCH(ROWS($J$2:J664),$J$2:$J$1001,0),MATCH(COLUMNS($Q$1006:S1006),$Q$1006:$U$1006,0)), HYPERLINK("#",""), HYPERLINK(CONCATENATE("#metadata!", ADDRESS(INDEX($L$2:$L$1001,MATCH(ROWS($J$2:J664),$J$2:$J$1001,0),0), INDEX($Q$1004:$U$1004,1,MATCH(COLUMNS($Q$1006:S1006),$Q$1006:$U$1006,0)))),"Fix")))</f>
        <v xml:space="preserve"> </v>
      </c>
      <c r="E664" s="3" t="str">
        <f ca="1">IF(OR(INDEX($K$2:$K$1001,MATCH(ROWS($J$2:J664),$J$2:$J$1001,0),1)&gt;=100000,INDEX($Q$1005:$U$1005,1,MATCH(COLUMNS($Q$1006:T1006),$Q$1006:$U$1006,0))&gt;=100000), " ",IF(INDEX($Q$2:$U$1001,MATCH(ROWS($J$2:J664),$J$2:$J$1001,0),MATCH(COLUMNS($Q$1006:T1006),$Q$1006:$U$1006,0)), HYPERLINK("#",""), HYPERLINK(CONCATENATE("#metadata!", ADDRESS(INDEX($L$2:$L$1001,MATCH(ROWS($J$2:J664),$J$2:$J$1001,0),0), INDEX($Q$1004:$U$1004,1,MATCH(COLUMNS($Q$1006:T1006),$Q$1006:$U$1006,0)))),"Fix")))</f>
        <v xml:space="preserve"> </v>
      </c>
      <c r="F664" s="3" t="str">
        <f ca="1">IF(OR(INDEX($K$2:$K$1001,MATCH(ROWS($J$2:J664),$J$2:$J$1001,0),1)&gt;=100000,INDEX($Q$1005:$U$1005,1,MATCH(COLUMNS($Q$1006:U1006),$Q$1006:$U$1006,0))&gt;=100000), " ",IF(INDEX($Q$2:$U$1001,MATCH(ROWS($J$2:J664),$J$2:$J$1001,0),MATCH(COLUMNS($Q$1006:U1006),$Q$1006:$U$1006,0)), HYPERLINK("#",""), HYPERLINK(CONCATENATE("#metadata!", ADDRESS(INDEX($L$2:$L$1001,MATCH(ROWS($J$2:J664),$J$2:$J$1001,0),0), INDEX($Q$1004:$U$1004,1,MATCH(COLUMNS($Q$1006:U1006),$Q$1006:$U$1006,0)))),"Fix")))</f>
        <v xml:space="preserve"> </v>
      </c>
      <c r="J664">
        <v>663</v>
      </c>
      <c r="K664">
        <v>100664</v>
      </c>
      <c r="L664">
        <v>664</v>
      </c>
      <c r="M664" t="b">
        <f t="shared" si="10"/>
        <v>1</v>
      </c>
      <c r="N664" t="b">
        <f>COUNTBLANK(metadata!B664:F664)=COLUMNS(metadata!B664:F664)</f>
        <v>1</v>
      </c>
      <c r="O664" t="str">
        <v/>
      </c>
      <c r="Q664" t="b">
        <f ca="1">AND(IF(metadata!B664="",FALSE,TRUE),COUNTIF(metadata!B:B, metadata!B664) = 1,NOT(ISERROR(SUMPRODUCT(SEARCH(MID(metadata!B664,ROW(INDIRECT("1:"&amp;LEN(metadata!B664))), 1),"0123456789abcdefghijklmnopqrstuvwxyzABCDEFGHIJKLMNOPQRSTUVWXYZ.")))))</f>
        <v>0</v>
      </c>
      <c r="R664" t="b">
        <f>AND(IF(metadata!C664="",FALSE,TRUE),OR(EXACT(metadata!C664,"saline"),EXACT(metadata!C664,"non-saline")))</f>
        <v>0</v>
      </c>
      <c r="S664" t="b">
        <f>AND(IF(metadata!D664="",FALSE,TRUE),OR(EXACT(metadata!D664,"surface (non-saline)"),EXACT(metadata!D664,"aerosol (non-saline)"),EXACT(metadata!D664,"sediment (non-saline)"),EXACT(metadata!D664,"surface (saline)"),EXACT(metadata!D664,"aerosol (saline)"),EXACT(metadata!D664,"sediment (saline)")))</f>
        <v>0</v>
      </c>
      <c r="T664" t="b">
        <f>AND(IF(metadata!E664="",FALSE,TRUE),EXACT(metadata!E664,"built environment"))</f>
        <v>0</v>
      </c>
      <c r="U664" t="b">
        <f>OR(AND(IF(metadata!F664="",FALSE,TRUE),EXACT(metadata!F664,"not applicable")),AND(IF(metadata!F664="",FALSE,TRUE),EXACT(metadata!F664,"anaerobic digester content")))</f>
        <v>0</v>
      </c>
    </row>
    <row r="665" spans="1:21" x14ac:dyDescent="0.2">
      <c r="A665" s="4" t="str">
        <f ca="1">IF(B665=" "," ",HYPERLINK(CONCATENATE("#metadata!",ADDRESS(INDEX($L$2:$L$1001,MATCH(ROWS($J$2:J665),$J$2:$J$1001,0),0),1)),INDEX($O$2:$O$1001,MATCH(ROWS($J$2:J665),$J$2:$J$1001,0),0)))</f>
        <v xml:space="preserve"> </v>
      </c>
      <c r="B665" s="3" t="str">
        <f ca="1">IF(OR(INDEX($K$2:$K$1001,MATCH(ROWS($J$2:J665),$J$2:$J$1001,0),1)&gt;=100000,INDEX($Q$1005:$U$1005,1,MATCH(COLUMNS($Q$1006:Q1006),$Q$1006:$U$1006,0))&gt;=100000), " ",IF(INDEX($Q$2:$U$1001,MATCH(ROWS($J$2:J665),$J$2:$J$1001,0),MATCH(COLUMNS($Q$1006:Q1006),$Q$1006:$U$1006,0)), HYPERLINK("#",""), HYPERLINK(CONCATENATE("#metadata!", ADDRESS(INDEX($L$2:$L$1001,MATCH(ROWS($J$2:J665),$J$2:$J$1001,0),0), INDEX($Q$1004:$U$1004,1,MATCH(COLUMNS($Q$1006:Q1006),$Q$1006:$U$1006,0)))),"Fix")))</f>
        <v xml:space="preserve"> </v>
      </c>
      <c r="C665" s="3" t="str">
        <f ca="1">IF(OR(INDEX($K$2:$K$1001,MATCH(ROWS($J$2:J665),$J$2:$J$1001,0),1)&gt;=100000,INDEX($Q$1005:$U$1005,1,MATCH(COLUMNS($Q$1006:R1006),$Q$1006:$U$1006,0))&gt;=100000), " ",IF(INDEX($Q$2:$U$1001,MATCH(ROWS($J$2:J665),$J$2:$J$1001,0),MATCH(COLUMNS($Q$1006:R1006),$Q$1006:$U$1006,0)), HYPERLINK("#",""), HYPERLINK(CONCATENATE("#metadata!", ADDRESS(INDEX($L$2:$L$1001,MATCH(ROWS($J$2:J665),$J$2:$J$1001,0),0), INDEX($Q$1004:$U$1004,1,MATCH(COLUMNS($Q$1006:R1006),$Q$1006:$U$1006,0)))),"Fix")))</f>
        <v xml:space="preserve"> </v>
      </c>
      <c r="D665" s="3" t="str">
        <f ca="1">IF(OR(INDEX($K$2:$K$1001,MATCH(ROWS($J$2:J665),$J$2:$J$1001,0),1)&gt;=100000,INDEX($Q$1005:$U$1005,1,MATCH(COLUMNS($Q$1006:S1006),$Q$1006:$U$1006,0))&gt;=100000), " ",IF(INDEX($Q$2:$U$1001,MATCH(ROWS($J$2:J665),$J$2:$J$1001,0),MATCH(COLUMNS($Q$1006:S1006),$Q$1006:$U$1006,0)), HYPERLINK("#",""), HYPERLINK(CONCATENATE("#metadata!", ADDRESS(INDEX($L$2:$L$1001,MATCH(ROWS($J$2:J665),$J$2:$J$1001,0),0), INDEX($Q$1004:$U$1004,1,MATCH(COLUMNS($Q$1006:S1006),$Q$1006:$U$1006,0)))),"Fix")))</f>
        <v xml:space="preserve"> </v>
      </c>
      <c r="E665" s="3" t="str">
        <f ca="1">IF(OR(INDEX($K$2:$K$1001,MATCH(ROWS($J$2:J665),$J$2:$J$1001,0),1)&gt;=100000,INDEX($Q$1005:$U$1005,1,MATCH(COLUMNS($Q$1006:T1006),$Q$1006:$U$1006,0))&gt;=100000), " ",IF(INDEX($Q$2:$U$1001,MATCH(ROWS($J$2:J665),$J$2:$J$1001,0),MATCH(COLUMNS($Q$1006:T1006),$Q$1006:$U$1006,0)), HYPERLINK("#",""), HYPERLINK(CONCATENATE("#metadata!", ADDRESS(INDEX($L$2:$L$1001,MATCH(ROWS($J$2:J665),$J$2:$J$1001,0),0), INDEX($Q$1004:$U$1004,1,MATCH(COLUMNS($Q$1006:T1006),$Q$1006:$U$1006,0)))),"Fix")))</f>
        <v xml:space="preserve"> </v>
      </c>
      <c r="F665" s="3" t="str">
        <f ca="1">IF(OR(INDEX($K$2:$K$1001,MATCH(ROWS($J$2:J665),$J$2:$J$1001,0),1)&gt;=100000,INDEX($Q$1005:$U$1005,1,MATCH(COLUMNS($Q$1006:U1006),$Q$1006:$U$1006,0))&gt;=100000), " ",IF(INDEX($Q$2:$U$1001,MATCH(ROWS($J$2:J665),$J$2:$J$1001,0),MATCH(COLUMNS($Q$1006:U1006),$Q$1006:$U$1006,0)), HYPERLINK("#",""), HYPERLINK(CONCATENATE("#metadata!", ADDRESS(INDEX($L$2:$L$1001,MATCH(ROWS($J$2:J665),$J$2:$J$1001,0),0), INDEX($Q$1004:$U$1004,1,MATCH(COLUMNS($Q$1006:U1006),$Q$1006:$U$1006,0)))),"Fix")))</f>
        <v xml:space="preserve"> </v>
      </c>
      <c r="J665">
        <v>664</v>
      </c>
      <c r="K665">
        <v>100665</v>
      </c>
      <c r="L665">
        <v>665</v>
      </c>
      <c r="M665" t="b">
        <f t="shared" si="10"/>
        <v>1</v>
      </c>
      <c r="N665" t="b">
        <f>COUNTBLANK(metadata!B665:F665)=COLUMNS(metadata!B665:F665)</f>
        <v>1</v>
      </c>
      <c r="O665" t="str">
        <v/>
      </c>
      <c r="Q665" t="b">
        <f ca="1">AND(IF(metadata!B665="",FALSE,TRUE),COUNTIF(metadata!B:B, metadata!B665) = 1,NOT(ISERROR(SUMPRODUCT(SEARCH(MID(metadata!B665,ROW(INDIRECT("1:"&amp;LEN(metadata!B665))), 1),"0123456789abcdefghijklmnopqrstuvwxyzABCDEFGHIJKLMNOPQRSTUVWXYZ.")))))</f>
        <v>0</v>
      </c>
      <c r="R665" t="b">
        <f>AND(IF(metadata!C665="",FALSE,TRUE),OR(EXACT(metadata!C665,"saline"),EXACT(metadata!C665,"non-saline")))</f>
        <v>0</v>
      </c>
      <c r="S665" t="b">
        <f>AND(IF(metadata!D665="",FALSE,TRUE),OR(EXACT(metadata!D665,"surface (non-saline)"),EXACT(metadata!D665,"aerosol (non-saline)"),EXACT(metadata!D665,"sediment (non-saline)"),EXACT(metadata!D665,"surface (saline)"),EXACT(metadata!D665,"aerosol (saline)"),EXACT(metadata!D665,"sediment (saline)")))</f>
        <v>0</v>
      </c>
      <c r="T665" t="b">
        <f>AND(IF(metadata!E665="",FALSE,TRUE),EXACT(metadata!E665,"built environment"))</f>
        <v>0</v>
      </c>
      <c r="U665" t="b">
        <f>OR(AND(IF(metadata!F665="",FALSE,TRUE),EXACT(metadata!F665,"not applicable")),AND(IF(metadata!F665="",FALSE,TRUE),EXACT(metadata!F665,"anaerobic digester content")))</f>
        <v>0</v>
      </c>
    </row>
    <row r="666" spans="1:21" x14ac:dyDescent="0.2">
      <c r="A666" s="4" t="str">
        <f ca="1">IF(B666=" "," ",HYPERLINK(CONCATENATE("#metadata!",ADDRESS(INDEX($L$2:$L$1001,MATCH(ROWS($J$2:J666),$J$2:$J$1001,0),0),1)),INDEX($O$2:$O$1001,MATCH(ROWS($J$2:J666),$J$2:$J$1001,0),0)))</f>
        <v xml:space="preserve"> </v>
      </c>
      <c r="B666" s="3" t="str">
        <f ca="1">IF(OR(INDEX($K$2:$K$1001,MATCH(ROWS($J$2:J666),$J$2:$J$1001,0),1)&gt;=100000,INDEX($Q$1005:$U$1005,1,MATCH(COLUMNS($Q$1006:Q1006),$Q$1006:$U$1006,0))&gt;=100000), " ",IF(INDEX($Q$2:$U$1001,MATCH(ROWS($J$2:J666),$J$2:$J$1001,0),MATCH(COLUMNS($Q$1006:Q1006),$Q$1006:$U$1006,0)), HYPERLINK("#",""), HYPERLINK(CONCATENATE("#metadata!", ADDRESS(INDEX($L$2:$L$1001,MATCH(ROWS($J$2:J666),$J$2:$J$1001,0),0), INDEX($Q$1004:$U$1004,1,MATCH(COLUMNS($Q$1006:Q1006),$Q$1006:$U$1006,0)))),"Fix")))</f>
        <v xml:space="preserve"> </v>
      </c>
      <c r="C666" s="3" t="str">
        <f ca="1">IF(OR(INDEX($K$2:$K$1001,MATCH(ROWS($J$2:J666),$J$2:$J$1001,0),1)&gt;=100000,INDEX($Q$1005:$U$1005,1,MATCH(COLUMNS($Q$1006:R1006),$Q$1006:$U$1006,0))&gt;=100000), " ",IF(INDEX($Q$2:$U$1001,MATCH(ROWS($J$2:J666),$J$2:$J$1001,0),MATCH(COLUMNS($Q$1006:R1006),$Q$1006:$U$1006,0)), HYPERLINK("#",""), HYPERLINK(CONCATENATE("#metadata!", ADDRESS(INDEX($L$2:$L$1001,MATCH(ROWS($J$2:J666),$J$2:$J$1001,0),0), INDEX($Q$1004:$U$1004,1,MATCH(COLUMNS($Q$1006:R1006),$Q$1006:$U$1006,0)))),"Fix")))</f>
        <v xml:space="preserve"> </v>
      </c>
      <c r="D666" s="3" t="str">
        <f ca="1">IF(OR(INDEX($K$2:$K$1001,MATCH(ROWS($J$2:J666),$J$2:$J$1001,0),1)&gt;=100000,INDEX($Q$1005:$U$1005,1,MATCH(COLUMNS($Q$1006:S1006),$Q$1006:$U$1006,0))&gt;=100000), " ",IF(INDEX($Q$2:$U$1001,MATCH(ROWS($J$2:J666),$J$2:$J$1001,0),MATCH(COLUMNS($Q$1006:S1006),$Q$1006:$U$1006,0)), HYPERLINK("#",""), HYPERLINK(CONCATENATE("#metadata!", ADDRESS(INDEX($L$2:$L$1001,MATCH(ROWS($J$2:J666),$J$2:$J$1001,0),0), INDEX($Q$1004:$U$1004,1,MATCH(COLUMNS($Q$1006:S1006),$Q$1006:$U$1006,0)))),"Fix")))</f>
        <v xml:space="preserve"> </v>
      </c>
      <c r="E666" s="3" t="str">
        <f ca="1">IF(OR(INDEX($K$2:$K$1001,MATCH(ROWS($J$2:J666),$J$2:$J$1001,0),1)&gt;=100000,INDEX($Q$1005:$U$1005,1,MATCH(COLUMNS($Q$1006:T1006),$Q$1006:$U$1006,0))&gt;=100000), " ",IF(INDEX($Q$2:$U$1001,MATCH(ROWS($J$2:J666),$J$2:$J$1001,0),MATCH(COLUMNS($Q$1006:T1006),$Q$1006:$U$1006,0)), HYPERLINK("#",""), HYPERLINK(CONCATENATE("#metadata!", ADDRESS(INDEX($L$2:$L$1001,MATCH(ROWS($J$2:J666),$J$2:$J$1001,0),0), INDEX($Q$1004:$U$1004,1,MATCH(COLUMNS($Q$1006:T1006),$Q$1006:$U$1006,0)))),"Fix")))</f>
        <v xml:space="preserve"> </v>
      </c>
      <c r="F666" s="3" t="str">
        <f ca="1">IF(OR(INDEX($K$2:$K$1001,MATCH(ROWS($J$2:J666),$J$2:$J$1001,0),1)&gt;=100000,INDEX($Q$1005:$U$1005,1,MATCH(COLUMNS($Q$1006:U1006),$Q$1006:$U$1006,0))&gt;=100000), " ",IF(INDEX($Q$2:$U$1001,MATCH(ROWS($J$2:J666),$J$2:$J$1001,0),MATCH(COLUMNS($Q$1006:U1006),$Q$1006:$U$1006,0)), HYPERLINK("#",""), HYPERLINK(CONCATENATE("#metadata!", ADDRESS(INDEX($L$2:$L$1001,MATCH(ROWS($J$2:J666),$J$2:$J$1001,0),0), INDEX($Q$1004:$U$1004,1,MATCH(COLUMNS($Q$1006:U1006),$Q$1006:$U$1006,0)))),"Fix")))</f>
        <v xml:space="preserve"> </v>
      </c>
      <c r="J666">
        <v>665</v>
      </c>
      <c r="K666">
        <v>100666</v>
      </c>
      <c r="L666">
        <v>666</v>
      </c>
      <c r="M666" t="b">
        <f t="shared" si="10"/>
        <v>1</v>
      </c>
      <c r="N666" t="b">
        <f>COUNTBLANK(metadata!B666:F666)=COLUMNS(metadata!B666:F666)</f>
        <v>1</v>
      </c>
      <c r="O666" t="str">
        <v/>
      </c>
      <c r="Q666" t="b">
        <f ca="1">AND(IF(metadata!B666="",FALSE,TRUE),COUNTIF(metadata!B:B, metadata!B666) = 1,NOT(ISERROR(SUMPRODUCT(SEARCH(MID(metadata!B666,ROW(INDIRECT("1:"&amp;LEN(metadata!B666))), 1),"0123456789abcdefghijklmnopqrstuvwxyzABCDEFGHIJKLMNOPQRSTUVWXYZ.")))))</f>
        <v>0</v>
      </c>
      <c r="R666" t="b">
        <f>AND(IF(metadata!C666="",FALSE,TRUE),OR(EXACT(metadata!C666,"saline"),EXACT(metadata!C666,"non-saline")))</f>
        <v>0</v>
      </c>
      <c r="S666" t="b">
        <f>AND(IF(metadata!D666="",FALSE,TRUE),OR(EXACT(metadata!D666,"surface (non-saline)"),EXACT(metadata!D666,"aerosol (non-saline)"),EXACT(metadata!D666,"sediment (non-saline)"),EXACT(metadata!D666,"surface (saline)"),EXACT(metadata!D666,"aerosol (saline)"),EXACT(metadata!D666,"sediment (saline)")))</f>
        <v>0</v>
      </c>
      <c r="T666" t="b">
        <f>AND(IF(metadata!E666="",FALSE,TRUE),EXACT(metadata!E666,"built environment"))</f>
        <v>0</v>
      </c>
      <c r="U666" t="b">
        <f>OR(AND(IF(metadata!F666="",FALSE,TRUE),EXACT(metadata!F666,"not applicable")),AND(IF(metadata!F666="",FALSE,TRUE),EXACT(metadata!F666,"anaerobic digester content")))</f>
        <v>0</v>
      </c>
    </row>
    <row r="667" spans="1:21" x14ac:dyDescent="0.2">
      <c r="A667" s="4" t="str">
        <f ca="1">IF(B667=" "," ",HYPERLINK(CONCATENATE("#metadata!",ADDRESS(INDEX($L$2:$L$1001,MATCH(ROWS($J$2:J667),$J$2:$J$1001,0),0),1)),INDEX($O$2:$O$1001,MATCH(ROWS($J$2:J667),$J$2:$J$1001,0),0)))</f>
        <v xml:space="preserve"> </v>
      </c>
      <c r="B667" s="3" t="str">
        <f ca="1">IF(OR(INDEX($K$2:$K$1001,MATCH(ROWS($J$2:J667),$J$2:$J$1001,0),1)&gt;=100000,INDEX($Q$1005:$U$1005,1,MATCH(COLUMNS($Q$1006:Q1006),$Q$1006:$U$1006,0))&gt;=100000), " ",IF(INDEX($Q$2:$U$1001,MATCH(ROWS($J$2:J667),$J$2:$J$1001,0),MATCH(COLUMNS($Q$1006:Q1006),$Q$1006:$U$1006,0)), HYPERLINK("#",""), HYPERLINK(CONCATENATE("#metadata!", ADDRESS(INDEX($L$2:$L$1001,MATCH(ROWS($J$2:J667),$J$2:$J$1001,0),0), INDEX($Q$1004:$U$1004,1,MATCH(COLUMNS($Q$1006:Q1006),$Q$1006:$U$1006,0)))),"Fix")))</f>
        <v xml:space="preserve"> </v>
      </c>
      <c r="C667" s="3" t="str">
        <f ca="1">IF(OR(INDEX($K$2:$K$1001,MATCH(ROWS($J$2:J667),$J$2:$J$1001,0),1)&gt;=100000,INDEX($Q$1005:$U$1005,1,MATCH(COLUMNS($Q$1006:R1006),$Q$1006:$U$1006,0))&gt;=100000), " ",IF(INDEX($Q$2:$U$1001,MATCH(ROWS($J$2:J667),$J$2:$J$1001,0),MATCH(COLUMNS($Q$1006:R1006),$Q$1006:$U$1006,0)), HYPERLINK("#",""), HYPERLINK(CONCATENATE("#metadata!", ADDRESS(INDEX($L$2:$L$1001,MATCH(ROWS($J$2:J667),$J$2:$J$1001,0),0), INDEX($Q$1004:$U$1004,1,MATCH(COLUMNS($Q$1006:R1006),$Q$1006:$U$1006,0)))),"Fix")))</f>
        <v xml:space="preserve"> </v>
      </c>
      <c r="D667" s="3" t="str">
        <f ca="1">IF(OR(INDEX($K$2:$K$1001,MATCH(ROWS($J$2:J667),$J$2:$J$1001,0),1)&gt;=100000,INDEX($Q$1005:$U$1005,1,MATCH(COLUMNS($Q$1006:S1006),$Q$1006:$U$1006,0))&gt;=100000), " ",IF(INDEX($Q$2:$U$1001,MATCH(ROWS($J$2:J667),$J$2:$J$1001,0),MATCH(COLUMNS($Q$1006:S1006),$Q$1006:$U$1006,0)), HYPERLINK("#",""), HYPERLINK(CONCATENATE("#metadata!", ADDRESS(INDEX($L$2:$L$1001,MATCH(ROWS($J$2:J667),$J$2:$J$1001,0),0), INDEX($Q$1004:$U$1004,1,MATCH(COLUMNS($Q$1006:S1006),$Q$1006:$U$1006,0)))),"Fix")))</f>
        <v xml:space="preserve"> </v>
      </c>
      <c r="E667" s="3" t="str">
        <f ca="1">IF(OR(INDEX($K$2:$K$1001,MATCH(ROWS($J$2:J667),$J$2:$J$1001,0),1)&gt;=100000,INDEX($Q$1005:$U$1005,1,MATCH(COLUMNS($Q$1006:T1006),$Q$1006:$U$1006,0))&gt;=100000), " ",IF(INDEX($Q$2:$U$1001,MATCH(ROWS($J$2:J667),$J$2:$J$1001,0),MATCH(COLUMNS($Q$1006:T1006),$Q$1006:$U$1006,0)), HYPERLINK("#",""), HYPERLINK(CONCATENATE("#metadata!", ADDRESS(INDEX($L$2:$L$1001,MATCH(ROWS($J$2:J667),$J$2:$J$1001,0),0), INDEX($Q$1004:$U$1004,1,MATCH(COLUMNS($Q$1006:T1006),$Q$1006:$U$1006,0)))),"Fix")))</f>
        <v xml:space="preserve"> </v>
      </c>
      <c r="F667" s="3" t="str">
        <f ca="1">IF(OR(INDEX($K$2:$K$1001,MATCH(ROWS($J$2:J667),$J$2:$J$1001,0),1)&gt;=100000,INDEX($Q$1005:$U$1005,1,MATCH(COLUMNS($Q$1006:U1006),$Q$1006:$U$1006,0))&gt;=100000), " ",IF(INDEX($Q$2:$U$1001,MATCH(ROWS($J$2:J667),$J$2:$J$1001,0),MATCH(COLUMNS($Q$1006:U1006),$Q$1006:$U$1006,0)), HYPERLINK("#",""), HYPERLINK(CONCATENATE("#metadata!", ADDRESS(INDEX($L$2:$L$1001,MATCH(ROWS($J$2:J667),$J$2:$J$1001,0),0), INDEX($Q$1004:$U$1004,1,MATCH(COLUMNS($Q$1006:U1006),$Q$1006:$U$1006,0)))),"Fix")))</f>
        <v xml:space="preserve"> </v>
      </c>
      <c r="J667">
        <v>666</v>
      </c>
      <c r="K667">
        <v>100667</v>
      </c>
      <c r="L667">
        <v>667</v>
      </c>
      <c r="M667" t="b">
        <f t="shared" si="10"/>
        <v>1</v>
      </c>
      <c r="N667" t="b">
        <f>COUNTBLANK(metadata!B667:F667)=COLUMNS(metadata!B667:F667)</f>
        <v>1</v>
      </c>
      <c r="O667" t="str">
        <v/>
      </c>
      <c r="Q667" t="b">
        <f ca="1">AND(IF(metadata!B667="",FALSE,TRUE),COUNTIF(metadata!B:B, metadata!B667) = 1,NOT(ISERROR(SUMPRODUCT(SEARCH(MID(metadata!B667,ROW(INDIRECT("1:"&amp;LEN(metadata!B667))), 1),"0123456789abcdefghijklmnopqrstuvwxyzABCDEFGHIJKLMNOPQRSTUVWXYZ.")))))</f>
        <v>0</v>
      </c>
      <c r="R667" t="b">
        <f>AND(IF(metadata!C667="",FALSE,TRUE),OR(EXACT(metadata!C667,"saline"),EXACT(metadata!C667,"non-saline")))</f>
        <v>0</v>
      </c>
      <c r="S667" t="b">
        <f>AND(IF(metadata!D667="",FALSE,TRUE),OR(EXACT(metadata!D667,"surface (non-saline)"),EXACT(metadata!D667,"aerosol (non-saline)"),EXACT(metadata!D667,"sediment (non-saline)"),EXACT(metadata!D667,"surface (saline)"),EXACT(metadata!D667,"aerosol (saline)"),EXACT(metadata!D667,"sediment (saline)")))</f>
        <v>0</v>
      </c>
      <c r="T667" t="b">
        <f>AND(IF(metadata!E667="",FALSE,TRUE),EXACT(metadata!E667,"built environment"))</f>
        <v>0</v>
      </c>
      <c r="U667" t="b">
        <f>OR(AND(IF(metadata!F667="",FALSE,TRUE),EXACT(metadata!F667,"not applicable")),AND(IF(metadata!F667="",FALSE,TRUE),EXACT(metadata!F667,"anaerobic digester content")))</f>
        <v>0</v>
      </c>
    </row>
    <row r="668" spans="1:21" x14ac:dyDescent="0.2">
      <c r="A668" s="4" t="str">
        <f ca="1">IF(B668=" "," ",HYPERLINK(CONCATENATE("#metadata!",ADDRESS(INDEX($L$2:$L$1001,MATCH(ROWS($J$2:J668),$J$2:$J$1001,0),0),1)),INDEX($O$2:$O$1001,MATCH(ROWS($J$2:J668),$J$2:$J$1001,0),0)))</f>
        <v xml:space="preserve"> </v>
      </c>
      <c r="B668" s="3" t="str">
        <f ca="1">IF(OR(INDEX($K$2:$K$1001,MATCH(ROWS($J$2:J668),$J$2:$J$1001,0),1)&gt;=100000,INDEX($Q$1005:$U$1005,1,MATCH(COLUMNS($Q$1006:Q1006),$Q$1006:$U$1006,0))&gt;=100000), " ",IF(INDEX($Q$2:$U$1001,MATCH(ROWS($J$2:J668),$J$2:$J$1001,0),MATCH(COLUMNS($Q$1006:Q1006),$Q$1006:$U$1006,0)), HYPERLINK("#",""), HYPERLINK(CONCATENATE("#metadata!", ADDRESS(INDEX($L$2:$L$1001,MATCH(ROWS($J$2:J668),$J$2:$J$1001,0),0), INDEX($Q$1004:$U$1004,1,MATCH(COLUMNS($Q$1006:Q1006),$Q$1006:$U$1006,0)))),"Fix")))</f>
        <v xml:space="preserve"> </v>
      </c>
      <c r="C668" s="3" t="str">
        <f ca="1">IF(OR(INDEX($K$2:$K$1001,MATCH(ROWS($J$2:J668),$J$2:$J$1001,0),1)&gt;=100000,INDEX($Q$1005:$U$1005,1,MATCH(COLUMNS($Q$1006:R1006),$Q$1006:$U$1006,0))&gt;=100000), " ",IF(INDEX($Q$2:$U$1001,MATCH(ROWS($J$2:J668),$J$2:$J$1001,0),MATCH(COLUMNS($Q$1006:R1006),$Q$1006:$U$1006,0)), HYPERLINK("#",""), HYPERLINK(CONCATENATE("#metadata!", ADDRESS(INDEX($L$2:$L$1001,MATCH(ROWS($J$2:J668),$J$2:$J$1001,0),0), INDEX($Q$1004:$U$1004,1,MATCH(COLUMNS($Q$1006:R1006),$Q$1006:$U$1006,0)))),"Fix")))</f>
        <v xml:space="preserve"> </v>
      </c>
      <c r="D668" s="3" t="str">
        <f ca="1">IF(OR(INDEX($K$2:$K$1001,MATCH(ROWS($J$2:J668),$J$2:$J$1001,0),1)&gt;=100000,INDEX($Q$1005:$U$1005,1,MATCH(COLUMNS($Q$1006:S1006),$Q$1006:$U$1006,0))&gt;=100000), " ",IF(INDEX($Q$2:$U$1001,MATCH(ROWS($J$2:J668),$J$2:$J$1001,0),MATCH(COLUMNS($Q$1006:S1006),$Q$1006:$U$1006,0)), HYPERLINK("#",""), HYPERLINK(CONCATENATE("#metadata!", ADDRESS(INDEX($L$2:$L$1001,MATCH(ROWS($J$2:J668),$J$2:$J$1001,0),0), INDEX($Q$1004:$U$1004,1,MATCH(COLUMNS($Q$1006:S1006),$Q$1006:$U$1006,0)))),"Fix")))</f>
        <v xml:space="preserve"> </v>
      </c>
      <c r="E668" s="3" t="str">
        <f ca="1">IF(OR(INDEX($K$2:$K$1001,MATCH(ROWS($J$2:J668),$J$2:$J$1001,0),1)&gt;=100000,INDEX($Q$1005:$U$1005,1,MATCH(COLUMNS($Q$1006:T1006),$Q$1006:$U$1006,0))&gt;=100000), " ",IF(INDEX($Q$2:$U$1001,MATCH(ROWS($J$2:J668),$J$2:$J$1001,0),MATCH(COLUMNS($Q$1006:T1006),$Q$1006:$U$1006,0)), HYPERLINK("#",""), HYPERLINK(CONCATENATE("#metadata!", ADDRESS(INDEX($L$2:$L$1001,MATCH(ROWS($J$2:J668),$J$2:$J$1001,0),0), INDEX($Q$1004:$U$1004,1,MATCH(COLUMNS($Q$1006:T1006),$Q$1006:$U$1006,0)))),"Fix")))</f>
        <v xml:space="preserve"> </v>
      </c>
      <c r="F668" s="3" t="str">
        <f ca="1">IF(OR(INDEX($K$2:$K$1001,MATCH(ROWS($J$2:J668),$J$2:$J$1001,0),1)&gt;=100000,INDEX($Q$1005:$U$1005,1,MATCH(COLUMNS($Q$1006:U1006),$Q$1006:$U$1006,0))&gt;=100000), " ",IF(INDEX($Q$2:$U$1001,MATCH(ROWS($J$2:J668),$J$2:$J$1001,0),MATCH(COLUMNS($Q$1006:U1006),$Q$1006:$U$1006,0)), HYPERLINK("#",""), HYPERLINK(CONCATENATE("#metadata!", ADDRESS(INDEX($L$2:$L$1001,MATCH(ROWS($J$2:J668),$J$2:$J$1001,0),0), INDEX($Q$1004:$U$1004,1,MATCH(COLUMNS($Q$1006:U1006),$Q$1006:$U$1006,0)))),"Fix")))</f>
        <v xml:space="preserve"> </v>
      </c>
      <c r="J668">
        <v>667</v>
      </c>
      <c r="K668">
        <v>100668</v>
      </c>
      <c r="L668">
        <v>668</v>
      </c>
      <c r="M668" t="b">
        <f t="shared" si="10"/>
        <v>1</v>
      </c>
      <c r="N668" t="b">
        <f>COUNTBLANK(metadata!B668:F668)=COLUMNS(metadata!B668:F668)</f>
        <v>1</v>
      </c>
      <c r="O668" t="str">
        <v/>
      </c>
      <c r="Q668" t="b">
        <f ca="1">AND(IF(metadata!B668="",FALSE,TRUE),COUNTIF(metadata!B:B, metadata!B668) = 1,NOT(ISERROR(SUMPRODUCT(SEARCH(MID(metadata!B668,ROW(INDIRECT("1:"&amp;LEN(metadata!B668))), 1),"0123456789abcdefghijklmnopqrstuvwxyzABCDEFGHIJKLMNOPQRSTUVWXYZ.")))))</f>
        <v>0</v>
      </c>
      <c r="R668" t="b">
        <f>AND(IF(metadata!C668="",FALSE,TRUE),OR(EXACT(metadata!C668,"saline"),EXACT(metadata!C668,"non-saline")))</f>
        <v>0</v>
      </c>
      <c r="S668" t="b">
        <f>AND(IF(metadata!D668="",FALSE,TRUE),OR(EXACT(metadata!D668,"surface (non-saline)"),EXACT(metadata!D668,"aerosol (non-saline)"),EXACT(metadata!D668,"sediment (non-saline)"),EXACT(metadata!D668,"surface (saline)"),EXACT(metadata!D668,"aerosol (saline)"),EXACT(metadata!D668,"sediment (saline)")))</f>
        <v>0</v>
      </c>
      <c r="T668" t="b">
        <f>AND(IF(metadata!E668="",FALSE,TRUE),EXACT(metadata!E668,"built environment"))</f>
        <v>0</v>
      </c>
      <c r="U668" t="b">
        <f>OR(AND(IF(metadata!F668="",FALSE,TRUE),EXACT(metadata!F668,"not applicable")),AND(IF(metadata!F668="",FALSE,TRUE),EXACT(metadata!F668,"anaerobic digester content")))</f>
        <v>0</v>
      </c>
    </row>
    <row r="669" spans="1:21" x14ac:dyDescent="0.2">
      <c r="A669" s="4" t="str">
        <f ca="1">IF(B669=" "," ",HYPERLINK(CONCATENATE("#metadata!",ADDRESS(INDEX($L$2:$L$1001,MATCH(ROWS($J$2:J669),$J$2:$J$1001,0),0),1)),INDEX($O$2:$O$1001,MATCH(ROWS($J$2:J669),$J$2:$J$1001,0),0)))</f>
        <v xml:space="preserve"> </v>
      </c>
      <c r="B669" s="3" t="str">
        <f ca="1">IF(OR(INDEX($K$2:$K$1001,MATCH(ROWS($J$2:J669),$J$2:$J$1001,0),1)&gt;=100000,INDEX($Q$1005:$U$1005,1,MATCH(COLUMNS($Q$1006:Q1006),$Q$1006:$U$1006,0))&gt;=100000), " ",IF(INDEX($Q$2:$U$1001,MATCH(ROWS($J$2:J669),$J$2:$J$1001,0),MATCH(COLUMNS($Q$1006:Q1006),$Q$1006:$U$1006,0)), HYPERLINK("#",""), HYPERLINK(CONCATENATE("#metadata!", ADDRESS(INDEX($L$2:$L$1001,MATCH(ROWS($J$2:J669),$J$2:$J$1001,0),0), INDEX($Q$1004:$U$1004,1,MATCH(COLUMNS($Q$1006:Q1006),$Q$1006:$U$1006,0)))),"Fix")))</f>
        <v xml:space="preserve"> </v>
      </c>
      <c r="C669" s="3" t="str">
        <f ca="1">IF(OR(INDEX($K$2:$K$1001,MATCH(ROWS($J$2:J669),$J$2:$J$1001,0),1)&gt;=100000,INDEX($Q$1005:$U$1005,1,MATCH(COLUMNS($Q$1006:R1006),$Q$1006:$U$1006,0))&gt;=100000), " ",IF(INDEX($Q$2:$U$1001,MATCH(ROWS($J$2:J669),$J$2:$J$1001,0),MATCH(COLUMNS($Q$1006:R1006),$Q$1006:$U$1006,0)), HYPERLINK("#",""), HYPERLINK(CONCATENATE("#metadata!", ADDRESS(INDEX($L$2:$L$1001,MATCH(ROWS($J$2:J669),$J$2:$J$1001,0),0), INDEX($Q$1004:$U$1004,1,MATCH(COLUMNS($Q$1006:R1006),$Q$1006:$U$1006,0)))),"Fix")))</f>
        <v xml:space="preserve"> </v>
      </c>
      <c r="D669" s="3" t="str">
        <f ca="1">IF(OR(INDEX($K$2:$K$1001,MATCH(ROWS($J$2:J669),$J$2:$J$1001,0),1)&gt;=100000,INDEX($Q$1005:$U$1005,1,MATCH(COLUMNS($Q$1006:S1006),$Q$1006:$U$1006,0))&gt;=100000), " ",IF(INDEX($Q$2:$U$1001,MATCH(ROWS($J$2:J669),$J$2:$J$1001,0),MATCH(COLUMNS($Q$1006:S1006),$Q$1006:$U$1006,0)), HYPERLINK("#",""), HYPERLINK(CONCATENATE("#metadata!", ADDRESS(INDEX($L$2:$L$1001,MATCH(ROWS($J$2:J669),$J$2:$J$1001,0),0), INDEX($Q$1004:$U$1004,1,MATCH(COLUMNS($Q$1006:S1006),$Q$1006:$U$1006,0)))),"Fix")))</f>
        <v xml:space="preserve"> </v>
      </c>
      <c r="E669" s="3" t="str">
        <f ca="1">IF(OR(INDEX($K$2:$K$1001,MATCH(ROWS($J$2:J669),$J$2:$J$1001,0),1)&gt;=100000,INDEX($Q$1005:$U$1005,1,MATCH(COLUMNS($Q$1006:T1006),$Q$1006:$U$1006,0))&gt;=100000), " ",IF(INDEX($Q$2:$U$1001,MATCH(ROWS($J$2:J669),$J$2:$J$1001,0),MATCH(COLUMNS($Q$1006:T1006),$Q$1006:$U$1006,0)), HYPERLINK("#",""), HYPERLINK(CONCATENATE("#metadata!", ADDRESS(INDEX($L$2:$L$1001,MATCH(ROWS($J$2:J669),$J$2:$J$1001,0),0), INDEX($Q$1004:$U$1004,1,MATCH(COLUMNS($Q$1006:T1006),$Q$1006:$U$1006,0)))),"Fix")))</f>
        <v xml:space="preserve"> </v>
      </c>
      <c r="F669" s="3" t="str">
        <f ca="1">IF(OR(INDEX($K$2:$K$1001,MATCH(ROWS($J$2:J669),$J$2:$J$1001,0),1)&gt;=100000,INDEX($Q$1005:$U$1005,1,MATCH(COLUMNS($Q$1006:U1006),$Q$1006:$U$1006,0))&gt;=100000), " ",IF(INDEX($Q$2:$U$1001,MATCH(ROWS($J$2:J669),$J$2:$J$1001,0),MATCH(COLUMNS($Q$1006:U1006),$Q$1006:$U$1006,0)), HYPERLINK("#",""), HYPERLINK(CONCATENATE("#metadata!", ADDRESS(INDEX($L$2:$L$1001,MATCH(ROWS($J$2:J669),$J$2:$J$1001,0),0), INDEX($Q$1004:$U$1004,1,MATCH(COLUMNS($Q$1006:U1006),$Q$1006:$U$1006,0)))),"Fix")))</f>
        <v xml:space="preserve"> </v>
      </c>
      <c r="J669">
        <v>668</v>
      </c>
      <c r="K669">
        <v>100669</v>
      </c>
      <c r="L669">
        <v>669</v>
      </c>
      <c r="M669" t="b">
        <f t="shared" si="10"/>
        <v>1</v>
      </c>
      <c r="N669" t="b">
        <f>COUNTBLANK(metadata!B669:F669)=COLUMNS(metadata!B669:F669)</f>
        <v>1</v>
      </c>
      <c r="O669" t="str">
        <v/>
      </c>
      <c r="Q669" t="b">
        <f ca="1">AND(IF(metadata!B669="",FALSE,TRUE),COUNTIF(metadata!B:B, metadata!B669) = 1,NOT(ISERROR(SUMPRODUCT(SEARCH(MID(metadata!B669,ROW(INDIRECT("1:"&amp;LEN(metadata!B669))), 1),"0123456789abcdefghijklmnopqrstuvwxyzABCDEFGHIJKLMNOPQRSTUVWXYZ.")))))</f>
        <v>0</v>
      </c>
      <c r="R669" t="b">
        <f>AND(IF(metadata!C669="",FALSE,TRUE),OR(EXACT(metadata!C669,"saline"),EXACT(metadata!C669,"non-saline")))</f>
        <v>0</v>
      </c>
      <c r="S669" t="b">
        <f>AND(IF(metadata!D669="",FALSE,TRUE),OR(EXACT(metadata!D669,"surface (non-saline)"),EXACT(metadata!D669,"aerosol (non-saline)"),EXACT(metadata!D669,"sediment (non-saline)"),EXACT(metadata!D669,"surface (saline)"),EXACT(metadata!D669,"aerosol (saline)"),EXACT(metadata!D669,"sediment (saline)")))</f>
        <v>0</v>
      </c>
      <c r="T669" t="b">
        <f>AND(IF(metadata!E669="",FALSE,TRUE),EXACT(metadata!E669,"built environment"))</f>
        <v>0</v>
      </c>
      <c r="U669" t="b">
        <f>OR(AND(IF(metadata!F669="",FALSE,TRUE),EXACT(metadata!F669,"not applicable")),AND(IF(metadata!F669="",FALSE,TRUE),EXACT(metadata!F669,"anaerobic digester content")))</f>
        <v>0</v>
      </c>
    </row>
    <row r="670" spans="1:21" x14ac:dyDescent="0.2">
      <c r="A670" s="4" t="str">
        <f ca="1">IF(B670=" "," ",HYPERLINK(CONCATENATE("#metadata!",ADDRESS(INDEX($L$2:$L$1001,MATCH(ROWS($J$2:J670),$J$2:$J$1001,0),0),1)),INDEX($O$2:$O$1001,MATCH(ROWS($J$2:J670),$J$2:$J$1001,0),0)))</f>
        <v xml:space="preserve"> </v>
      </c>
      <c r="B670" s="3" t="str">
        <f ca="1">IF(OR(INDEX($K$2:$K$1001,MATCH(ROWS($J$2:J670),$J$2:$J$1001,0),1)&gt;=100000,INDEX($Q$1005:$U$1005,1,MATCH(COLUMNS($Q$1006:Q1006),$Q$1006:$U$1006,0))&gt;=100000), " ",IF(INDEX($Q$2:$U$1001,MATCH(ROWS($J$2:J670),$J$2:$J$1001,0),MATCH(COLUMNS($Q$1006:Q1006),$Q$1006:$U$1006,0)), HYPERLINK("#",""), HYPERLINK(CONCATENATE("#metadata!", ADDRESS(INDEX($L$2:$L$1001,MATCH(ROWS($J$2:J670),$J$2:$J$1001,0),0), INDEX($Q$1004:$U$1004,1,MATCH(COLUMNS($Q$1006:Q1006),$Q$1006:$U$1006,0)))),"Fix")))</f>
        <v xml:space="preserve"> </v>
      </c>
      <c r="C670" s="3" t="str">
        <f ca="1">IF(OR(INDEX($K$2:$K$1001,MATCH(ROWS($J$2:J670),$J$2:$J$1001,0),1)&gt;=100000,INDEX($Q$1005:$U$1005,1,MATCH(COLUMNS($Q$1006:R1006),$Q$1006:$U$1006,0))&gt;=100000), " ",IF(INDEX($Q$2:$U$1001,MATCH(ROWS($J$2:J670),$J$2:$J$1001,0),MATCH(COLUMNS($Q$1006:R1006),$Q$1006:$U$1006,0)), HYPERLINK("#",""), HYPERLINK(CONCATENATE("#metadata!", ADDRESS(INDEX($L$2:$L$1001,MATCH(ROWS($J$2:J670),$J$2:$J$1001,0),0), INDEX($Q$1004:$U$1004,1,MATCH(COLUMNS($Q$1006:R1006),$Q$1006:$U$1006,0)))),"Fix")))</f>
        <v xml:space="preserve"> </v>
      </c>
      <c r="D670" s="3" t="str">
        <f ca="1">IF(OR(INDEX($K$2:$K$1001,MATCH(ROWS($J$2:J670),$J$2:$J$1001,0),1)&gt;=100000,INDEX($Q$1005:$U$1005,1,MATCH(COLUMNS($Q$1006:S1006),$Q$1006:$U$1006,0))&gt;=100000), " ",IF(INDEX($Q$2:$U$1001,MATCH(ROWS($J$2:J670),$J$2:$J$1001,0),MATCH(COLUMNS($Q$1006:S1006),$Q$1006:$U$1006,0)), HYPERLINK("#",""), HYPERLINK(CONCATENATE("#metadata!", ADDRESS(INDEX($L$2:$L$1001,MATCH(ROWS($J$2:J670),$J$2:$J$1001,0),0), INDEX($Q$1004:$U$1004,1,MATCH(COLUMNS($Q$1006:S1006),$Q$1006:$U$1006,0)))),"Fix")))</f>
        <v xml:space="preserve"> </v>
      </c>
      <c r="E670" s="3" t="str">
        <f ca="1">IF(OR(INDEX($K$2:$K$1001,MATCH(ROWS($J$2:J670),$J$2:$J$1001,0),1)&gt;=100000,INDEX($Q$1005:$U$1005,1,MATCH(COLUMNS($Q$1006:T1006),$Q$1006:$U$1006,0))&gt;=100000), " ",IF(INDEX($Q$2:$U$1001,MATCH(ROWS($J$2:J670),$J$2:$J$1001,0),MATCH(COLUMNS($Q$1006:T1006),$Q$1006:$U$1006,0)), HYPERLINK("#",""), HYPERLINK(CONCATENATE("#metadata!", ADDRESS(INDEX($L$2:$L$1001,MATCH(ROWS($J$2:J670),$J$2:$J$1001,0),0), INDEX($Q$1004:$U$1004,1,MATCH(COLUMNS($Q$1006:T1006),$Q$1006:$U$1006,0)))),"Fix")))</f>
        <v xml:space="preserve"> </v>
      </c>
      <c r="F670" s="3" t="str">
        <f ca="1">IF(OR(INDEX($K$2:$K$1001,MATCH(ROWS($J$2:J670),$J$2:$J$1001,0),1)&gt;=100000,INDEX($Q$1005:$U$1005,1,MATCH(COLUMNS($Q$1006:U1006),$Q$1006:$U$1006,0))&gt;=100000), " ",IF(INDEX($Q$2:$U$1001,MATCH(ROWS($J$2:J670),$J$2:$J$1001,0),MATCH(COLUMNS($Q$1006:U1006),$Q$1006:$U$1006,0)), HYPERLINK("#",""), HYPERLINK(CONCATENATE("#metadata!", ADDRESS(INDEX($L$2:$L$1001,MATCH(ROWS($J$2:J670),$J$2:$J$1001,0),0), INDEX($Q$1004:$U$1004,1,MATCH(COLUMNS($Q$1006:U1006),$Q$1006:$U$1006,0)))),"Fix")))</f>
        <v xml:space="preserve"> </v>
      </c>
      <c r="J670">
        <v>669</v>
      </c>
      <c r="K670">
        <v>100670</v>
      </c>
      <c r="L670">
        <v>670</v>
      </c>
      <c r="M670" t="b">
        <f t="shared" si="10"/>
        <v>1</v>
      </c>
      <c r="N670" t="b">
        <f>COUNTBLANK(metadata!B670:F670)=COLUMNS(metadata!B670:F670)</f>
        <v>1</v>
      </c>
      <c r="O670" t="str">
        <v/>
      </c>
      <c r="Q670" t="b">
        <f ca="1">AND(IF(metadata!B670="",FALSE,TRUE),COUNTIF(metadata!B:B, metadata!B670) = 1,NOT(ISERROR(SUMPRODUCT(SEARCH(MID(metadata!B670,ROW(INDIRECT("1:"&amp;LEN(metadata!B670))), 1),"0123456789abcdefghijklmnopqrstuvwxyzABCDEFGHIJKLMNOPQRSTUVWXYZ.")))))</f>
        <v>0</v>
      </c>
      <c r="R670" t="b">
        <f>AND(IF(metadata!C670="",FALSE,TRUE),OR(EXACT(metadata!C670,"saline"),EXACT(metadata!C670,"non-saline")))</f>
        <v>0</v>
      </c>
      <c r="S670" t="b">
        <f>AND(IF(metadata!D670="",FALSE,TRUE),OR(EXACT(metadata!D670,"surface (non-saline)"),EXACT(metadata!D670,"aerosol (non-saline)"),EXACT(metadata!D670,"sediment (non-saline)"),EXACT(metadata!D670,"surface (saline)"),EXACT(metadata!D670,"aerosol (saline)"),EXACT(metadata!D670,"sediment (saline)")))</f>
        <v>0</v>
      </c>
      <c r="T670" t="b">
        <f>AND(IF(metadata!E670="",FALSE,TRUE),EXACT(metadata!E670,"built environment"))</f>
        <v>0</v>
      </c>
      <c r="U670" t="b">
        <f>OR(AND(IF(metadata!F670="",FALSE,TRUE),EXACT(metadata!F670,"not applicable")),AND(IF(metadata!F670="",FALSE,TRUE),EXACT(metadata!F670,"anaerobic digester content")))</f>
        <v>0</v>
      </c>
    </row>
    <row r="671" spans="1:21" x14ac:dyDescent="0.2">
      <c r="A671" s="4" t="str">
        <f ca="1">IF(B671=" "," ",HYPERLINK(CONCATENATE("#metadata!",ADDRESS(INDEX($L$2:$L$1001,MATCH(ROWS($J$2:J671),$J$2:$J$1001,0),0),1)),INDEX($O$2:$O$1001,MATCH(ROWS($J$2:J671),$J$2:$J$1001,0),0)))</f>
        <v xml:space="preserve"> </v>
      </c>
      <c r="B671" s="3" t="str">
        <f ca="1">IF(OR(INDEX($K$2:$K$1001,MATCH(ROWS($J$2:J671),$J$2:$J$1001,0),1)&gt;=100000,INDEX($Q$1005:$U$1005,1,MATCH(COLUMNS($Q$1006:Q1006),$Q$1006:$U$1006,0))&gt;=100000), " ",IF(INDEX($Q$2:$U$1001,MATCH(ROWS($J$2:J671),$J$2:$J$1001,0),MATCH(COLUMNS($Q$1006:Q1006),$Q$1006:$U$1006,0)), HYPERLINK("#",""), HYPERLINK(CONCATENATE("#metadata!", ADDRESS(INDEX($L$2:$L$1001,MATCH(ROWS($J$2:J671),$J$2:$J$1001,0),0), INDEX($Q$1004:$U$1004,1,MATCH(COLUMNS($Q$1006:Q1006),$Q$1006:$U$1006,0)))),"Fix")))</f>
        <v xml:space="preserve"> </v>
      </c>
      <c r="C671" s="3" t="str">
        <f ca="1">IF(OR(INDEX($K$2:$K$1001,MATCH(ROWS($J$2:J671),$J$2:$J$1001,0),1)&gt;=100000,INDEX($Q$1005:$U$1005,1,MATCH(COLUMNS($Q$1006:R1006),$Q$1006:$U$1006,0))&gt;=100000), " ",IF(INDEX($Q$2:$U$1001,MATCH(ROWS($J$2:J671),$J$2:$J$1001,0),MATCH(COLUMNS($Q$1006:R1006),$Q$1006:$U$1006,0)), HYPERLINK("#",""), HYPERLINK(CONCATENATE("#metadata!", ADDRESS(INDEX($L$2:$L$1001,MATCH(ROWS($J$2:J671),$J$2:$J$1001,0),0), INDEX($Q$1004:$U$1004,1,MATCH(COLUMNS($Q$1006:R1006),$Q$1006:$U$1006,0)))),"Fix")))</f>
        <v xml:space="preserve"> </v>
      </c>
      <c r="D671" s="3" t="str">
        <f ca="1">IF(OR(INDEX($K$2:$K$1001,MATCH(ROWS($J$2:J671),$J$2:$J$1001,0),1)&gt;=100000,INDEX($Q$1005:$U$1005,1,MATCH(COLUMNS($Q$1006:S1006),$Q$1006:$U$1006,0))&gt;=100000), " ",IF(INDEX($Q$2:$U$1001,MATCH(ROWS($J$2:J671),$J$2:$J$1001,0),MATCH(COLUMNS($Q$1006:S1006),$Q$1006:$U$1006,0)), HYPERLINK("#",""), HYPERLINK(CONCATENATE("#metadata!", ADDRESS(INDEX($L$2:$L$1001,MATCH(ROWS($J$2:J671),$J$2:$J$1001,0),0), INDEX($Q$1004:$U$1004,1,MATCH(COLUMNS($Q$1006:S1006),$Q$1006:$U$1006,0)))),"Fix")))</f>
        <v xml:space="preserve"> </v>
      </c>
      <c r="E671" s="3" t="str">
        <f ca="1">IF(OR(INDEX($K$2:$K$1001,MATCH(ROWS($J$2:J671),$J$2:$J$1001,0),1)&gt;=100000,INDEX($Q$1005:$U$1005,1,MATCH(COLUMNS($Q$1006:T1006),$Q$1006:$U$1006,0))&gt;=100000), " ",IF(INDEX($Q$2:$U$1001,MATCH(ROWS($J$2:J671),$J$2:$J$1001,0),MATCH(COLUMNS($Q$1006:T1006),$Q$1006:$U$1006,0)), HYPERLINK("#",""), HYPERLINK(CONCATENATE("#metadata!", ADDRESS(INDEX($L$2:$L$1001,MATCH(ROWS($J$2:J671),$J$2:$J$1001,0),0), INDEX($Q$1004:$U$1004,1,MATCH(COLUMNS($Q$1006:T1006),$Q$1006:$U$1006,0)))),"Fix")))</f>
        <v xml:space="preserve"> </v>
      </c>
      <c r="F671" s="3" t="str">
        <f ca="1">IF(OR(INDEX($K$2:$K$1001,MATCH(ROWS($J$2:J671),$J$2:$J$1001,0),1)&gt;=100000,INDEX($Q$1005:$U$1005,1,MATCH(COLUMNS($Q$1006:U1006),$Q$1006:$U$1006,0))&gt;=100000), " ",IF(INDEX($Q$2:$U$1001,MATCH(ROWS($J$2:J671),$J$2:$J$1001,0),MATCH(COLUMNS($Q$1006:U1006),$Q$1006:$U$1006,0)), HYPERLINK("#",""), HYPERLINK(CONCATENATE("#metadata!", ADDRESS(INDEX($L$2:$L$1001,MATCH(ROWS($J$2:J671),$J$2:$J$1001,0),0), INDEX($Q$1004:$U$1004,1,MATCH(COLUMNS($Q$1006:U1006),$Q$1006:$U$1006,0)))),"Fix")))</f>
        <v xml:space="preserve"> </v>
      </c>
      <c r="J671">
        <v>670</v>
      </c>
      <c r="K671">
        <v>100671</v>
      </c>
      <c r="L671">
        <v>671</v>
      </c>
      <c r="M671" t="b">
        <f t="shared" si="10"/>
        <v>1</v>
      </c>
      <c r="N671" t="b">
        <f>COUNTBLANK(metadata!B671:F671)=COLUMNS(metadata!B671:F671)</f>
        <v>1</v>
      </c>
      <c r="O671" t="str">
        <v/>
      </c>
      <c r="Q671" t="b">
        <f ca="1">AND(IF(metadata!B671="",FALSE,TRUE),COUNTIF(metadata!B:B, metadata!B671) = 1,NOT(ISERROR(SUMPRODUCT(SEARCH(MID(metadata!B671,ROW(INDIRECT("1:"&amp;LEN(metadata!B671))), 1),"0123456789abcdefghijklmnopqrstuvwxyzABCDEFGHIJKLMNOPQRSTUVWXYZ.")))))</f>
        <v>0</v>
      </c>
      <c r="R671" t="b">
        <f>AND(IF(metadata!C671="",FALSE,TRUE),OR(EXACT(metadata!C671,"saline"),EXACT(metadata!C671,"non-saline")))</f>
        <v>0</v>
      </c>
      <c r="S671" t="b">
        <f>AND(IF(metadata!D671="",FALSE,TRUE),OR(EXACT(metadata!D671,"surface (non-saline)"),EXACT(metadata!D671,"aerosol (non-saline)"),EXACT(metadata!D671,"sediment (non-saline)"),EXACT(metadata!D671,"surface (saline)"),EXACT(metadata!D671,"aerosol (saline)"),EXACT(metadata!D671,"sediment (saline)")))</f>
        <v>0</v>
      </c>
      <c r="T671" t="b">
        <f>AND(IF(metadata!E671="",FALSE,TRUE),EXACT(metadata!E671,"built environment"))</f>
        <v>0</v>
      </c>
      <c r="U671" t="b">
        <f>OR(AND(IF(metadata!F671="",FALSE,TRUE),EXACT(metadata!F671,"not applicable")),AND(IF(metadata!F671="",FALSE,TRUE),EXACT(metadata!F671,"anaerobic digester content")))</f>
        <v>0</v>
      </c>
    </row>
    <row r="672" spans="1:21" x14ac:dyDescent="0.2">
      <c r="A672" s="4" t="str">
        <f ca="1">IF(B672=" "," ",HYPERLINK(CONCATENATE("#metadata!",ADDRESS(INDEX($L$2:$L$1001,MATCH(ROWS($J$2:J672),$J$2:$J$1001,0),0),1)),INDEX($O$2:$O$1001,MATCH(ROWS($J$2:J672),$J$2:$J$1001,0),0)))</f>
        <v xml:space="preserve"> </v>
      </c>
      <c r="B672" s="3" t="str">
        <f ca="1">IF(OR(INDEX($K$2:$K$1001,MATCH(ROWS($J$2:J672),$J$2:$J$1001,0),1)&gt;=100000,INDEX($Q$1005:$U$1005,1,MATCH(COLUMNS($Q$1006:Q1006),$Q$1006:$U$1006,0))&gt;=100000), " ",IF(INDEX($Q$2:$U$1001,MATCH(ROWS($J$2:J672),$J$2:$J$1001,0),MATCH(COLUMNS($Q$1006:Q1006),$Q$1006:$U$1006,0)), HYPERLINK("#",""), HYPERLINK(CONCATENATE("#metadata!", ADDRESS(INDEX($L$2:$L$1001,MATCH(ROWS($J$2:J672),$J$2:$J$1001,0),0), INDEX($Q$1004:$U$1004,1,MATCH(COLUMNS($Q$1006:Q1006),$Q$1006:$U$1006,0)))),"Fix")))</f>
        <v xml:space="preserve"> </v>
      </c>
      <c r="C672" s="3" t="str">
        <f ca="1">IF(OR(INDEX($K$2:$K$1001,MATCH(ROWS($J$2:J672),$J$2:$J$1001,0),1)&gt;=100000,INDEX($Q$1005:$U$1005,1,MATCH(COLUMNS($Q$1006:R1006),$Q$1006:$U$1006,0))&gt;=100000), " ",IF(INDEX($Q$2:$U$1001,MATCH(ROWS($J$2:J672),$J$2:$J$1001,0),MATCH(COLUMNS($Q$1006:R1006),$Q$1006:$U$1006,0)), HYPERLINK("#",""), HYPERLINK(CONCATENATE("#metadata!", ADDRESS(INDEX($L$2:$L$1001,MATCH(ROWS($J$2:J672),$J$2:$J$1001,0),0), INDEX($Q$1004:$U$1004,1,MATCH(COLUMNS($Q$1006:R1006),$Q$1006:$U$1006,0)))),"Fix")))</f>
        <v xml:space="preserve"> </v>
      </c>
      <c r="D672" s="3" t="str">
        <f ca="1">IF(OR(INDEX($K$2:$K$1001,MATCH(ROWS($J$2:J672),$J$2:$J$1001,0),1)&gt;=100000,INDEX($Q$1005:$U$1005,1,MATCH(COLUMNS($Q$1006:S1006),$Q$1006:$U$1006,0))&gt;=100000), " ",IF(INDEX($Q$2:$U$1001,MATCH(ROWS($J$2:J672),$J$2:$J$1001,0),MATCH(COLUMNS($Q$1006:S1006),$Q$1006:$U$1006,0)), HYPERLINK("#",""), HYPERLINK(CONCATENATE("#metadata!", ADDRESS(INDEX($L$2:$L$1001,MATCH(ROWS($J$2:J672),$J$2:$J$1001,0),0), INDEX($Q$1004:$U$1004,1,MATCH(COLUMNS($Q$1006:S1006),$Q$1006:$U$1006,0)))),"Fix")))</f>
        <v xml:space="preserve"> </v>
      </c>
      <c r="E672" s="3" t="str">
        <f ca="1">IF(OR(INDEX($K$2:$K$1001,MATCH(ROWS($J$2:J672),$J$2:$J$1001,0),1)&gt;=100000,INDEX($Q$1005:$U$1005,1,MATCH(COLUMNS($Q$1006:T1006),$Q$1006:$U$1006,0))&gt;=100000), " ",IF(INDEX($Q$2:$U$1001,MATCH(ROWS($J$2:J672),$J$2:$J$1001,0),MATCH(COLUMNS($Q$1006:T1006),$Q$1006:$U$1006,0)), HYPERLINK("#",""), HYPERLINK(CONCATENATE("#metadata!", ADDRESS(INDEX($L$2:$L$1001,MATCH(ROWS($J$2:J672),$J$2:$J$1001,0),0), INDEX($Q$1004:$U$1004,1,MATCH(COLUMNS($Q$1006:T1006),$Q$1006:$U$1006,0)))),"Fix")))</f>
        <v xml:space="preserve"> </v>
      </c>
      <c r="F672" s="3" t="str">
        <f ca="1">IF(OR(INDEX($K$2:$K$1001,MATCH(ROWS($J$2:J672),$J$2:$J$1001,0),1)&gt;=100000,INDEX($Q$1005:$U$1005,1,MATCH(COLUMNS($Q$1006:U1006),$Q$1006:$U$1006,0))&gt;=100000), " ",IF(INDEX($Q$2:$U$1001,MATCH(ROWS($J$2:J672),$J$2:$J$1001,0),MATCH(COLUMNS($Q$1006:U1006),$Q$1006:$U$1006,0)), HYPERLINK("#",""), HYPERLINK(CONCATENATE("#metadata!", ADDRESS(INDEX($L$2:$L$1001,MATCH(ROWS($J$2:J672),$J$2:$J$1001,0),0), INDEX($Q$1004:$U$1004,1,MATCH(COLUMNS($Q$1006:U1006),$Q$1006:$U$1006,0)))),"Fix")))</f>
        <v xml:space="preserve"> </v>
      </c>
      <c r="J672">
        <v>671</v>
      </c>
      <c r="K672">
        <v>100672</v>
      </c>
      <c r="L672">
        <v>672</v>
      </c>
      <c r="M672" t="b">
        <f t="shared" si="10"/>
        <v>1</v>
      </c>
      <c r="N672" t="b">
        <f>COUNTBLANK(metadata!B672:F672)=COLUMNS(metadata!B672:F672)</f>
        <v>1</v>
      </c>
      <c r="O672" t="str">
        <v/>
      </c>
      <c r="Q672" t="b">
        <f ca="1">AND(IF(metadata!B672="",FALSE,TRUE),COUNTIF(metadata!B:B, metadata!B672) = 1,NOT(ISERROR(SUMPRODUCT(SEARCH(MID(metadata!B672,ROW(INDIRECT("1:"&amp;LEN(metadata!B672))), 1),"0123456789abcdefghijklmnopqrstuvwxyzABCDEFGHIJKLMNOPQRSTUVWXYZ.")))))</f>
        <v>0</v>
      </c>
      <c r="R672" t="b">
        <f>AND(IF(metadata!C672="",FALSE,TRUE),OR(EXACT(metadata!C672,"saline"),EXACT(metadata!C672,"non-saline")))</f>
        <v>0</v>
      </c>
      <c r="S672" t="b">
        <f>AND(IF(metadata!D672="",FALSE,TRUE),OR(EXACT(metadata!D672,"surface (non-saline)"),EXACT(metadata!D672,"aerosol (non-saline)"),EXACT(metadata!D672,"sediment (non-saline)"),EXACT(metadata!D672,"surface (saline)"),EXACT(metadata!D672,"aerosol (saline)"),EXACT(metadata!D672,"sediment (saline)")))</f>
        <v>0</v>
      </c>
      <c r="T672" t="b">
        <f>AND(IF(metadata!E672="",FALSE,TRUE),EXACT(metadata!E672,"built environment"))</f>
        <v>0</v>
      </c>
      <c r="U672" t="b">
        <f>OR(AND(IF(metadata!F672="",FALSE,TRUE),EXACT(metadata!F672,"not applicable")),AND(IF(metadata!F672="",FALSE,TRUE),EXACT(metadata!F672,"anaerobic digester content")))</f>
        <v>0</v>
      </c>
    </row>
    <row r="673" spans="1:21" x14ac:dyDescent="0.2">
      <c r="A673" s="4" t="str">
        <f ca="1">IF(B673=" "," ",HYPERLINK(CONCATENATE("#metadata!",ADDRESS(INDEX($L$2:$L$1001,MATCH(ROWS($J$2:J673),$J$2:$J$1001,0),0),1)),INDEX($O$2:$O$1001,MATCH(ROWS($J$2:J673),$J$2:$J$1001,0),0)))</f>
        <v xml:space="preserve"> </v>
      </c>
      <c r="B673" s="3" t="str">
        <f ca="1">IF(OR(INDEX($K$2:$K$1001,MATCH(ROWS($J$2:J673),$J$2:$J$1001,0),1)&gt;=100000,INDEX($Q$1005:$U$1005,1,MATCH(COLUMNS($Q$1006:Q1006),$Q$1006:$U$1006,0))&gt;=100000), " ",IF(INDEX($Q$2:$U$1001,MATCH(ROWS($J$2:J673),$J$2:$J$1001,0),MATCH(COLUMNS($Q$1006:Q1006),$Q$1006:$U$1006,0)), HYPERLINK("#",""), HYPERLINK(CONCATENATE("#metadata!", ADDRESS(INDEX($L$2:$L$1001,MATCH(ROWS($J$2:J673),$J$2:$J$1001,0),0), INDEX($Q$1004:$U$1004,1,MATCH(COLUMNS($Q$1006:Q1006),$Q$1006:$U$1006,0)))),"Fix")))</f>
        <v xml:space="preserve"> </v>
      </c>
      <c r="C673" s="3" t="str">
        <f ca="1">IF(OR(INDEX($K$2:$K$1001,MATCH(ROWS($J$2:J673),$J$2:$J$1001,0),1)&gt;=100000,INDEX($Q$1005:$U$1005,1,MATCH(COLUMNS($Q$1006:R1006),$Q$1006:$U$1006,0))&gt;=100000), " ",IF(INDEX($Q$2:$U$1001,MATCH(ROWS($J$2:J673),$J$2:$J$1001,0),MATCH(COLUMNS($Q$1006:R1006),$Q$1006:$U$1006,0)), HYPERLINK("#",""), HYPERLINK(CONCATENATE("#metadata!", ADDRESS(INDEX($L$2:$L$1001,MATCH(ROWS($J$2:J673),$J$2:$J$1001,0),0), INDEX($Q$1004:$U$1004,1,MATCH(COLUMNS($Q$1006:R1006),$Q$1006:$U$1006,0)))),"Fix")))</f>
        <v xml:space="preserve"> </v>
      </c>
      <c r="D673" s="3" t="str">
        <f ca="1">IF(OR(INDEX($K$2:$K$1001,MATCH(ROWS($J$2:J673),$J$2:$J$1001,0),1)&gt;=100000,INDEX($Q$1005:$U$1005,1,MATCH(COLUMNS($Q$1006:S1006),$Q$1006:$U$1006,0))&gt;=100000), " ",IF(INDEX($Q$2:$U$1001,MATCH(ROWS($J$2:J673),$J$2:$J$1001,0),MATCH(COLUMNS($Q$1006:S1006),$Q$1006:$U$1006,0)), HYPERLINK("#",""), HYPERLINK(CONCATENATE("#metadata!", ADDRESS(INDEX($L$2:$L$1001,MATCH(ROWS($J$2:J673),$J$2:$J$1001,0),0), INDEX($Q$1004:$U$1004,1,MATCH(COLUMNS($Q$1006:S1006),$Q$1006:$U$1006,0)))),"Fix")))</f>
        <v xml:space="preserve"> </v>
      </c>
      <c r="E673" s="3" t="str">
        <f ca="1">IF(OR(INDEX($K$2:$K$1001,MATCH(ROWS($J$2:J673),$J$2:$J$1001,0),1)&gt;=100000,INDEX($Q$1005:$U$1005,1,MATCH(COLUMNS($Q$1006:T1006),$Q$1006:$U$1006,0))&gt;=100000), " ",IF(INDEX($Q$2:$U$1001,MATCH(ROWS($J$2:J673),$J$2:$J$1001,0),MATCH(COLUMNS($Q$1006:T1006),$Q$1006:$U$1006,0)), HYPERLINK("#",""), HYPERLINK(CONCATENATE("#metadata!", ADDRESS(INDEX($L$2:$L$1001,MATCH(ROWS($J$2:J673),$J$2:$J$1001,0),0), INDEX($Q$1004:$U$1004,1,MATCH(COLUMNS($Q$1006:T1006),$Q$1006:$U$1006,0)))),"Fix")))</f>
        <v xml:space="preserve"> </v>
      </c>
      <c r="F673" s="3" t="str">
        <f ca="1">IF(OR(INDEX($K$2:$K$1001,MATCH(ROWS($J$2:J673),$J$2:$J$1001,0),1)&gt;=100000,INDEX($Q$1005:$U$1005,1,MATCH(COLUMNS($Q$1006:U1006),$Q$1006:$U$1006,0))&gt;=100000), " ",IF(INDEX($Q$2:$U$1001,MATCH(ROWS($J$2:J673),$J$2:$J$1001,0),MATCH(COLUMNS($Q$1006:U1006),$Q$1006:$U$1006,0)), HYPERLINK("#",""), HYPERLINK(CONCATENATE("#metadata!", ADDRESS(INDEX($L$2:$L$1001,MATCH(ROWS($J$2:J673),$J$2:$J$1001,0),0), INDEX($Q$1004:$U$1004,1,MATCH(COLUMNS($Q$1006:U1006),$Q$1006:$U$1006,0)))),"Fix")))</f>
        <v xml:space="preserve"> </v>
      </c>
      <c r="J673">
        <v>672</v>
      </c>
      <c r="K673">
        <v>100673</v>
      </c>
      <c r="L673">
        <v>673</v>
      </c>
      <c r="M673" t="b">
        <f t="shared" si="10"/>
        <v>1</v>
      </c>
      <c r="N673" t="b">
        <f>COUNTBLANK(metadata!B673:F673)=COLUMNS(metadata!B673:F673)</f>
        <v>1</v>
      </c>
      <c r="O673" t="str">
        <v/>
      </c>
      <c r="Q673" t="b">
        <f ca="1">AND(IF(metadata!B673="",FALSE,TRUE),COUNTIF(metadata!B:B, metadata!B673) = 1,NOT(ISERROR(SUMPRODUCT(SEARCH(MID(metadata!B673,ROW(INDIRECT("1:"&amp;LEN(metadata!B673))), 1),"0123456789abcdefghijklmnopqrstuvwxyzABCDEFGHIJKLMNOPQRSTUVWXYZ.")))))</f>
        <v>0</v>
      </c>
      <c r="R673" t="b">
        <f>AND(IF(metadata!C673="",FALSE,TRUE),OR(EXACT(metadata!C673,"saline"),EXACT(metadata!C673,"non-saline")))</f>
        <v>0</v>
      </c>
      <c r="S673" t="b">
        <f>AND(IF(metadata!D673="",FALSE,TRUE),OR(EXACT(metadata!D673,"surface (non-saline)"),EXACT(metadata!D673,"aerosol (non-saline)"),EXACT(metadata!D673,"sediment (non-saline)"),EXACT(metadata!D673,"surface (saline)"),EXACT(metadata!D673,"aerosol (saline)"),EXACT(metadata!D673,"sediment (saline)")))</f>
        <v>0</v>
      </c>
      <c r="T673" t="b">
        <f>AND(IF(metadata!E673="",FALSE,TRUE),EXACT(metadata!E673,"built environment"))</f>
        <v>0</v>
      </c>
      <c r="U673" t="b">
        <f>OR(AND(IF(metadata!F673="",FALSE,TRUE),EXACT(metadata!F673,"not applicable")),AND(IF(metadata!F673="",FALSE,TRUE),EXACT(metadata!F673,"anaerobic digester content")))</f>
        <v>0</v>
      </c>
    </row>
    <row r="674" spans="1:21" x14ac:dyDescent="0.2">
      <c r="A674" s="4" t="str">
        <f ca="1">IF(B674=" "," ",HYPERLINK(CONCATENATE("#metadata!",ADDRESS(INDEX($L$2:$L$1001,MATCH(ROWS($J$2:J674),$J$2:$J$1001,0),0),1)),INDEX($O$2:$O$1001,MATCH(ROWS($J$2:J674),$J$2:$J$1001,0),0)))</f>
        <v xml:space="preserve"> </v>
      </c>
      <c r="B674" s="3" t="str">
        <f ca="1">IF(OR(INDEX($K$2:$K$1001,MATCH(ROWS($J$2:J674),$J$2:$J$1001,0),1)&gt;=100000,INDEX($Q$1005:$U$1005,1,MATCH(COLUMNS($Q$1006:Q1006),$Q$1006:$U$1006,0))&gt;=100000), " ",IF(INDEX($Q$2:$U$1001,MATCH(ROWS($J$2:J674),$J$2:$J$1001,0),MATCH(COLUMNS($Q$1006:Q1006),$Q$1006:$U$1006,0)), HYPERLINK("#",""), HYPERLINK(CONCATENATE("#metadata!", ADDRESS(INDEX($L$2:$L$1001,MATCH(ROWS($J$2:J674),$J$2:$J$1001,0),0), INDEX($Q$1004:$U$1004,1,MATCH(COLUMNS($Q$1006:Q1006),$Q$1006:$U$1006,0)))),"Fix")))</f>
        <v xml:space="preserve"> </v>
      </c>
      <c r="C674" s="3" t="str">
        <f ca="1">IF(OR(INDEX($K$2:$K$1001,MATCH(ROWS($J$2:J674),$J$2:$J$1001,0),1)&gt;=100000,INDEX($Q$1005:$U$1005,1,MATCH(COLUMNS($Q$1006:R1006),$Q$1006:$U$1006,0))&gt;=100000), " ",IF(INDEX($Q$2:$U$1001,MATCH(ROWS($J$2:J674),$J$2:$J$1001,0),MATCH(COLUMNS($Q$1006:R1006),$Q$1006:$U$1006,0)), HYPERLINK("#",""), HYPERLINK(CONCATENATE("#metadata!", ADDRESS(INDEX($L$2:$L$1001,MATCH(ROWS($J$2:J674),$J$2:$J$1001,0),0), INDEX($Q$1004:$U$1004,1,MATCH(COLUMNS($Q$1006:R1006),$Q$1006:$U$1006,0)))),"Fix")))</f>
        <v xml:space="preserve"> </v>
      </c>
      <c r="D674" s="3" t="str">
        <f ca="1">IF(OR(INDEX($K$2:$K$1001,MATCH(ROWS($J$2:J674),$J$2:$J$1001,0),1)&gt;=100000,INDEX($Q$1005:$U$1005,1,MATCH(COLUMNS($Q$1006:S1006),$Q$1006:$U$1006,0))&gt;=100000), " ",IF(INDEX($Q$2:$U$1001,MATCH(ROWS($J$2:J674),$J$2:$J$1001,0),MATCH(COLUMNS($Q$1006:S1006),$Q$1006:$U$1006,0)), HYPERLINK("#",""), HYPERLINK(CONCATENATE("#metadata!", ADDRESS(INDEX($L$2:$L$1001,MATCH(ROWS($J$2:J674),$J$2:$J$1001,0),0), INDEX($Q$1004:$U$1004,1,MATCH(COLUMNS($Q$1006:S1006),$Q$1006:$U$1006,0)))),"Fix")))</f>
        <v xml:space="preserve"> </v>
      </c>
      <c r="E674" s="3" t="str">
        <f ca="1">IF(OR(INDEX($K$2:$K$1001,MATCH(ROWS($J$2:J674),$J$2:$J$1001,0),1)&gt;=100000,INDEX($Q$1005:$U$1005,1,MATCH(COLUMNS($Q$1006:T1006),$Q$1006:$U$1006,0))&gt;=100000), " ",IF(INDEX($Q$2:$U$1001,MATCH(ROWS($J$2:J674),$J$2:$J$1001,0),MATCH(COLUMNS($Q$1006:T1006),$Q$1006:$U$1006,0)), HYPERLINK("#",""), HYPERLINK(CONCATENATE("#metadata!", ADDRESS(INDEX($L$2:$L$1001,MATCH(ROWS($J$2:J674),$J$2:$J$1001,0),0), INDEX($Q$1004:$U$1004,1,MATCH(COLUMNS($Q$1006:T1006),$Q$1006:$U$1006,0)))),"Fix")))</f>
        <v xml:space="preserve"> </v>
      </c>
      <c r="F674" s="3" t="str">
        <f ca="1">IF(OR(INDEX($K$2:$K$1001,MATCH(ROWS($J$2:J674),$J$2:$J$1001,0),1)&gt;=100000,INDEX($Q$1005:$U$1005,1,MATCH(COLUMNS($Q$1006:U1006),$Q$1006:$U$1006,0))&gt;=100000), " ",IF(INDEX($Q$2:$U$1001,MATCH(ROWS($J$2:J674),$J$2:$J$1001,0),MATCH(COLUMNS($Q$1006:U1006),$Q$1006:$U$1006,0)), HYPERLINK("#",""), HYPERLINK(CONCATENATE("#metadata!", ADDRESS(INDEX($L$2:$L$1001,MATCH(ROWS($J$2:J674),$J$2:$J$1001,0),0), INDEX($Q$1004:$U$1004,1,MATCH(COLUMNS($Q$1006:U1006),$Q$1006:$U$1006,0)))),"Fix")))</f>
        <v xml:space="preserve"> </v>
      </c>
      <c r="J674">
        <v>673</v>
      </c>
      <c r="K674">
        <v>100674</v>
      </c>
      <c r="L674">
        <v>674</v>
      </c>
      <c r="M674" t="b">
        <f t="shared" si="10"/>
        <v>1</v>
      </c>
      <c r="N674" t="b">
        <f>COUNTBLANK(metadata!B674:F674)=COLUMNS(metadata!B674:F674)</f>
        <v>1</v>
      </c>
      <c r="O674" t="str">
        <v/>
      </c>
      <c r="Q674" t="b">
        <f ca="1">AND(IF(metadata!B674="",FALSE,TRUE),COUNTIF(metadata!B:B, metadata!B674) = 1,NOT(ISERROR(SUMPRODUCT(SEARCH(MID(metadata!B674,ROW(INDIRECT("1:"&amp;LEN(metadata!B674))), 1),"0123456789abcdefghijklmnopqrstuvwxyzABCDEFGHIJKLMNOPQRSTUVWXYZ.")))))</f>
        <v>0</v>
      </c>
      <c r="R674" t="b">
        <f>AND(IF(metadata!C674="",FALSE,TRUE),OR(EXACT(metadata!C674,"saline"),EXACT(metadata!C674,"non-saline")))</f>
        <v>0</v>
      </c>
      <c r="S674" t="b">
        <f>AND(IF(metadata!D674="",FALSE,TRUE),OR(EXACT(metadata!D674,"surface (non-saline)"),EXACT(metadata!D674,"aerosol (non-saline)"),EXACT(metadata!D674,"sediment (non-saline)"),EXACT(metadata!D674,"surface (saline)"),EXACT(metadata!D674,"aerosol (saline)"),EXACT(metadata!D674,"sediment (saline)")))</f>
        <v>0</v>
      </c>
      <c r="T674" t="b">
        <f>AND(IF(metadata!E674="",FALSE,TRUE),EXACT(metadata!E674,"built environment"))</f>
        <v>0</v>
      </c>
      <c r="U674" t="b">
        <f>OR(AND(IF(metadata!F674="",FALSE,TRUE),EXACT(metadata!F674,"not applicable")),AND(IF(metadata!F674="",FALSE,TRUE),EXACT(metadata!F674,"anaerobic digester content")))</f>
        <v>0</v>
      </c>
    </row>
    <row r="675" spans="1:21" x14ac:dyDescent="0.2">
      <c r="A675" s="4" t="str">
        <f ca="1">IF(B675=" "," ",HYPERLINK(CONCATENATE("#metadata!",ADDRESS(INDEX($L$2:$L$1001,MATCH(ROWS($J$2:J675),$J$2:$J$1001,0),0),1)),INDEX($O$2:$O$1001,MATCH(ROWS($J$2:J675),$J$2:$J$1001,0),0)))</f>
        <v xml:space="preserve"> </v>
      </c>
      <c r="B675" s="3" t="str">
        <f ca="1">IF(OR(INDEX($K$2:$K$1001,MATCH(ROWS($J$2:J675),$J$2:$J$1001,0),1)&gt;=100000,INDEX($Q$1005:$U$1005,1,MATCH(COLUMNS($Q$1006:Q1006),$Q$1006:$U$1006,0))&gt;=100000), " ",IF(INDEX($Q$2:$U$1001,MATCH(ROWS($J$2:J675),$J$2:$J$1001,0),MATCH(COLUMNS($Q$1006:Q1006),$Q$1006:$U$1006,0)), HYPERLINK("#",""), HYPERLINK(CONCATENATE("#metadata!", ADDRESS(INDEX($L$2:$L$1001,MATCH(ROWS($J$2:J675),$J$2:$J$1001,0),0), INDEX($Q$1004:$U$1004,1,MATCH(COLUMNS($Q$1006:Q1006),$Q$1006:$U$1006,0)))),"Fix")))</f>
        <v xml:space="preserve"> </v>
      </c>
      <c r="C675" s="3" t="str">
        <f ca="1">IF(OR(INDEX($K$2:$K$1001,MATCH(ROWS($J$2:J675),$J$2:$J$1001,0),1)&gt;=100000,INDEX($Q$1005:$U$1005,1,MATCH(COLUMNS($Q$1006:R1006),$Q$1006:$U$1006,0))&gt;=100000), " ",IF(INDEX($Q$2:$U$1001,MATCH(ROWS($J$2:J675),$J$2:$J$1001,0),MATCH(COLUMNS($Q$1006:R1006),$Q$1006:$U$1006,0)), HYPERLINK("#",""), HYPERLINK(CONCATENATE("#metadata!", ADDRESS(INDEX($L$2:$L$1001,MATCH(ROWS($J$2:J675),$J$2:$J$1001,0),0), INDEX($Q$1004:$U$1004,1,MATCH(COLUMNS($Q$1006:R1006),$Q$1006:$U$1006,0)))),"Fix")))</f>
        <v xml:space="preserve"> </v>
      </c>
      <c r="D675" s="3" t="str">
        <f ca="1">IF(OR(INDEX($K$2:$K$1001,MATCH(ROWS($J$2:J675),$J$2:$J$1001,0),1)&gt;=100000,INDEX($Q$1005:$U$1005,1,MATCH(COLUMNS($Q$1006:S1006),$Q$1006:$U$1006,0))&gt;=100000), " ",IF(INDEX($Q$2:$U$1001,MATCH(ROWS($J$2:J675),$J$2:$J$1001,0),MATCH(COLUMNS($Q$1006:S1006),$Q$1006:$U$1006,0)), HYPERLINK("#",""), HYPERLINK(CONCATENATE("#metadata!", ADDRESS(INDEX($L$2:$L$1001,MATCH(ROWS($J$2:J675),$J$2:$J$1001,0),0), INDEX($Q$1004:$U$1004,1,MATCH(COLUMNS($Q$1006:S1006),$Q$1006:$U$1006,0)))),"Fix")))</f>
        <v xml:space="preserve"> </v>
      </c>
      <c r="E675" s="3" t="str">
        <f ca="1">IF(OR(INDEX($K$2:$K$1001,MATCH(ROWS($J$2:J675),$J$2:$J$1001,0),1)&gt;=100000,INDEX($Q$1005:$U$1005,1,MATCH(COLUMNS($Q$1006:T1006),$Q$1006:$U$1006,0))&gt;=100000), " ",IF(INDEX($Q$2:$U$1001,MATCH(ROWS($J$2:J675),$J$2:$J$1001,0),MATCH(COLUMNS($Q$1006:T1006),$Q$1006:$U$1006,0)), HYPERLINK("#",""), HYPERLINK(CONCATENATE("#metadata!", ADDRESS(INDEX($L$2:$L$1001,MATCH(ROWS($J$2:J675),$J$2:$J$1001,0),0), INDEX($Q$1004:$U$1004,1,MATCH(COLUMNS($Q$1006:T1006),$Q$1006:$U$1006,0)))),"Fix")))</f>
        <v xml:space="preserve"> </v>
      </c>
      <c r="F675" s="3" t="str">
        <f ca="1">IF(OR(INDEX($K$2:$K$1001,MATCH(ROWS($J$2:J675),$J$2:$J$1001,0),1)&gt;=100000,INDEX($Q$1005:$U$1005,1,MATCH(COLUMNS($Q$1006:U1006),$Q$1006:$U$1006,0))&gt;=100000), " ",IF(INDEX($Q$2:$U$1001,MATCH(ROWS($J$2:J675),$J$2:$J$1001,0),MATCH(COLUMNS($Q$1006:U1006),$Q$1006:$U$1006,0)), HYPERLINK("#",""), HYPERLINK(CONCATENATE("#metadata!", ADDRESS(INDEX($L$2:$L$1001,MATCH(ROWS($J$2:J675),$J$2:$J$1001,0),0), INDEX($Q$1004:$U$1004,1,MATCH(COLUMNS($Q$1006:U1006),$Q$1006:$U$1006,0)))),"Fix")))</f>
        <v xml:space="preserve"> </v>
      </c>
      <c r="J675">
        <v>674</v>
      </c>
      <c r="K675">
        <v>100675</v>
      </c>
      <c r="L675">
        <v>675</v>
      </c>
      <c r="M675" t="b">
        <f t="shared" si="10"/>
        <v>1</v>
      </c>
      <c r="N675" t="b">
        <f>COUNTBLANK(metadata!B675:F675)=COLUMNS(metadata!B675:F675)</f>
        <v>1</v>
      </c>
      <c r="O675" t="str">
        <v/>
      </c>
      <c r="Q675" t="b">
        <f ca="1">AND(IF(metadata!B675="",FALSE,TRUE),COUNTIF(metadata!B:B, metadata!B675) = 1,NOT(ISERROR(SUMPRODUCT(SEARCH(MID(metadata!B675,ROW(INDIRECT("1:"&amp;LEN(metadata!B675))), 1),"0123456789abcdefghijklmnopqrstuvwxyzABCDEFGHIJKLMNOPQRSTUVWXYZ.")))))</f>
        <v>0</v>
      </c>
      <c r="R675" t="b">
        <f>AND(IF(metadata!C675="",FALSE,TRUE),OR(EXACT(metadata!C675,"saline"),EXACT(metadata!C675,"non-saline")))</f>
        <v>0</v>
      </c>
      <c r="S675" t="b">
        <f>AND(IF(metadata!D675="",FALSE,TRUE),OR(EXACT(metadata!D675,"surface (non-saline)"),EXACT(metadata!D675,"aerosol (non-saline)"),EXACT(metadata!D675,"sediment (non-saline)"),EXACT(metadata!D675,"surface (saline)"),EXACT(metadata!D675,"aerosol (saline)"),EXACT(metadata!D675,"sediment (saline)")))</f>
        <v>0</v>
      </c>
      <c r="T675" t="b">
        <f>AND(IF(metadata!E675="",FALSE,TRUE),EXACT(metadata!E675,"built environment"))</f>
        <v>0</v>
      </c>
      <c r="U675" t="b">
        <f>OR(AND(IF(metadata!F675="",FALSE,TRUE),EXACT(metadata!F675,"not applicable")),AND(IF(metadata!F675="",FALSE,TRUE),EXACT(metadata!F675,"anaerobic digester content")))</f>
        <v>0</v>
      </c>
    </row>
    <row r="676" spans="1:21" x14ac:dyDescent="0.2">
      <c r="A676" s="4" t="str">
        <f ca="1">IF(B676=" "," ",HYPERLINK(CONCATENATE("#metadata!",ADDRESS(INDEX($L$2:$L$1001,MATCH(ROWS($J$2:J676),$J$2:$J$1001,0),0),1)),INDEX($O$2:$O$1001,MATCH(ROWS($J$2:J676),$J$2:$J$1001,0),0)))</f>
        <v xml:space="preserve"> </v>
      </c>
      <c r="B676" s="3" t="str">
        <f ca="1">IF(OR(INDEX($K$2:$K$1001,MATCH(ROWS($J$2:J676),$J$2:$J$1001,0),1)&gt;=100000,INDEX($Q$1005:$U$1005,1,MATCH(COLUMNS($Q$1006:Q1006),$Q$1006:$U$1006,0))&gt;=100000), " ",IF(INDEX($Q$2:$U$1001,MATCH(ROWS($J$2:J676),$J$2:$J$1001,0),MATCH(COLUMNS($Q$1006:Q1006),$Q$1006:$U$1006,0)), HYPERLINK("#",""), HYPERLINK(CONCATENATE("#metadata!", ADDRESS(INDEX($L$2:$L$1001,MATCH(ROWS($J$2:J676),$J$2:$J$1001,0),0), INDEX($Q$1004:$U$1004,1,MATCH(COLUMNS($Q$1006:Q1006),$Q$1006:$U$1006,0)))),"Fix")))</f>
        <v xml:space="preserve"> </v>
      </c>
      <c r="C676" s="3" t="str">
        <f ca="1">IF(OR(INDEX($K$2:$K$1001,MATCH(ROWS($J$2:J676),$J$2:$J$1001,0),1)&gt;=100000,INDEX($Q$1005:$U$1005,1,MATCH(COLUMNS($Q$1006:R1006),$Q$1006:$U$1006,0))&gt;=100000), " ",IF(INDEX($Q$2:$U$1001,MATCH(ROWS($J$2:J676),$J$2:$J$1001,0),MATCH(COLUMNS($Q$1006:R1006),$Q$1006:$U$1006,0)), HYPERLINK("#",""), HYPERLINK(CONCATENATE("#metadata!", ADDRESS(INDEX($L$2:$L$1001,MATCH(ROWS($J$2:J676),$J$2:$J$1001,0),0), INDEX($Q$1004:$U$1004,1,MATCH(COLUMNS($Q$1006:R1006),$Q$1006:$U$1006,0)))),"Fix")))</f>
        <v xml:space="preserve"> </v>
      </c>
      <c r="D676" s="3" t="str">
        <f ca="1">IF(OR(INDEX($K$2:$K$1001,MATCH(ROWS($J$2:J676),$J$2:$J$1001,0),1)&gt;=100000,INDEX($Q$1005:$U$1005,1,MATCH(COLUMNS($Q$1006:S1006),$Q$1006:$U$1006,0))&gt;=100000), " ",IF(INDEX($Q$2:$U$1001,MATCH(ROWS($J$2:J676),$J$2:$J$1001,0),MATCH(COLUMNS($Q$1006:S1006),$Q$1006:$U$1006,0)), HYPERLINK("#",""), HYPERLINK(CONCATENATE("#metadata!", ADDRESS(INDEX($L$2:$L$1001,MATCH(ROWS($J$2:J676),$J$2:$J$1001,0),0), INDEX($Q$1004:$U$1004,1,MATCH(COLUMNS($Q$1006:S1006),$Q$1006:$U$1006,0)))),"Fix")))</f>
        <v xml:space="preserve"> </v>
      </c>
      <c r="E676" s="3" t="str">
        <f ca="1">IF(OR(INDEX($K$2:$K$1001,MATCH(ROWS($J$2:J676),$J$2:$J$1001,0),1)&gt;=100000,INDEX($Q$1005:$U$1005,1,MATCH(COLUMNS($Q$1006:T1006),$Q$1006:$U$1006,0))&gt;=100000), " ",IF(INDEX($Q$2:$U$1001,MATCH(ROWS($J$2:J676),$J$2:$J$1001,0),MATCH(COLUMNS($Q$1006:T1006),$Q$1006:$U$1006,0)), HYPERLINK("#",""), HYPERLINK(CONCATENATE("#metadata!", ADDRESS(INDEX($L$2:$L$1001,MATCH(ROWS($J$2:J676),$J$2:$J$1001,0),0), INDEX($Q$1004:$U$1004,1,MATCH(COLUMNS($Q$1006:T1006),$Q$1006:$U$1006,0)))),"Fix")))</f>
        <v xml:space="preserve"> </v>
      </c>
      <c r="F676" s="3" t="str">
        <f ca="1">IF(OR(INDEX($K$2:$K$1001,MATCH(ROWS($J$2:J676),$J$2:$J$1001,0),1)&gt;=100000,INDEX($Q$1005:$U$1005,1,MATCH(COLUMNS($Q$1006:U1006),$Q$1006:$U$1006,0))&gt;=100000), " ",IF(INDEX($Q$2:$U$1001,MATCH(ROWS($J$2:J676),$J$2:$J$1001,0),MATCH(COLUMNS($Q$1006:U1006),$Q$1006:$U$1006,0)), HYPERLINK("#",""), HYPERLINK(CONCATENATE("#metadata!", ADDRESS(INDEX($L$2:$L$1001,MATCH(ROWS($J$2:J676),$J$2:$J$1001,0),0), INDEX($Q$1004:$U$1004,1,MATCH(COLUMNS($Q$1006:U1006),$Q$1006:$U$1006,0)))),"Fix")))</f>
        <v xml:space="preserve"> </v>
      </c>
      <c r="J676">
        <v>675</v>
      </c>
      <c r="K676">
        <v>100676</v>
      </c>
      <c r="L676">
        <v>676</v>
      </c>
      <c r="M676" t="b">
        <f t="shared" si="10"/>
        <v>1</v>
      </c>
      <c r="N676" t="b">
        <f>COUNTBLANK(metadata!B676:F676)=COLUMNS(metadata!B676:F676)</f>
        <v>1</v>
      </c>
      <c r="O676" t="str">
        <v/>
      </c>
      <c r="Q676" t="b">
        <f ca="1">AND(IF(metadata!B676="",FALSE,TRUE),COUNTIF(metadata!B:B, metadata!B676) = 1,NOT(ISERROR(SUMPRODUCT(SEARCH(MID(metadata!B676,ROW(INDIRECT("1:"&amp;LEN(metadata!B676))), 1),"0123456789abcdefghijklmnopqrstuvwxyzABCDEFGHIJKLMNOPQRSTUVWXYZ.")))))</f>
        <v>0</v>
      </c>
      <c r="R676" t="b">
        <f>AND(IF(metadata!C676="",FALSE,TRUE),OR(EXACT(metadata!C676,"saline"),EXACT(metadata!C676,"non-saline")))</f>
        <v>0</v>
      </c>
      <c r="S676" t="b">
        <f>AND(IF(metadata!D676="",FALSE,TRUE),OR(EXACT(metadata!D676,"surface (non-saline)"),EXACT(metadata!D676,"aerosol (non-saline)"),EXACT(metadata!D676,"sediment (non-saline)"),EXACT(metadata!D676,"surface (saline)"),EXACT(metadata!D676,"aerosol (saline)"),EXACT(metadata!D676,"sediment (saline)")))</f>
        <v>0</v>
      </c>
      <c r="T676" t="b">
        <f>AND(IF(metadata!E676="",FALSE,TRUE),EXACT(metadata!E676,"built environment"))</f>
        <v>0</v>
      </c>
      <c r="U676" t="b">
        <f>OR(AND(IF(metadata!F676="",FALSE,TRUE),EXACT(metadata!F676,"not applicable")),AND(IF(metadata!F676="",FALSE,TRUE),EXACT(metadata!F676,"anaerobic digester content")))</f>
        <v>0</v>
      </c>
    </row>
    <row r="677" spans="1:21" x14ac:dyDescent="0.2">
      <c r="A677" s="4" t="str">
        <f ca="1">IF(B677=" "," ",HYPERLINK(CONCATENATE("#metadata!",ADDRESS(INDEX($L$2:$L$1001,MATCH(ROWS($J$2:J677),$J$2:$J$1001,0),0),1)),INDEX($O$2:$O$1001,MATCH(ROWS($J$2:J677),$J$2:$J$1001,0),0)))</f>
        <v xml:space="preserve"> </v>
      </c>
      <c r="B677" s="3" t="str">
        <f ca="1">IF(OR(INDEX($K$2:$K$1001,MATCH(ROWS($J$2:J677),$J$2:$J$1001,0),1)&gt;=100000,INDEX($Q$1005:$U$1005,1,MATCH(COLUMNS($Q$1006:Q1006),$Q$1006:$U$1006,0))&gt;=100000), " ",IF(INDEX($Q$2:$U$1001,MATCH(ROWS($J$2:J677),$J$2:$J$1001,0),MATCH(COLUMNS($Q$1006:Q1006),$Q$1006:$U$1006,0)), HYPERLINK("#",""), HYPERLINK(CONCATENATE("#metadata!", ADDRESS(INDEX($L$2:$L$1001,MATCH(ROWS($J$2:J677),$J$2:$J$1001,0),0), INDEX($Q$1004:$U$1004,1,MATCH(COLUMNS($Q$1006:Q1006),$Q$1006:$U$1006,0)))),"Fix")))</f>
        <v xml:space="preserve"> </v>
      </c>
      <c r="C677" s="3" t="str">
        <f ca="1">IF(OR(INDEX($K$2:$K$1001,MATCH(ROWS($J$2:J677),$J$2:$J$1001,0),1)&gt;=100000,INDEX($Q$1005:$U$1005,1,MATCH(COLUMNS($Q$1006:R1006),$Q$1006:$U$1006,0))&gt;=100000), " ",IF(INDEX($Q$2:$U$1001,MATCH(ROWS($J$2:J677),$J$2:$J$1001,0),MATCH(COLUMNS($Q$1006:R1006),$Q$1006:$U$1006,0)), HYPERLINK("#",""), HYPERLINK(CONCATENATE("#metadata!", ADDRESS(INDEX($L$2:$L$1001,MATCH(ROWS($J$2:J677),$J$2:$J$1001,0),0), INDEX($Q$1004:$U$1004,1,MATCH(COLUMNS($Q$1006:R1006),$Q$1006:$U$1006,0)))),"Fix")))</f>
        <v xml:space="preserve"> </v>
      </c>
      <c r="D677" s="3" t="str">
        <f ca="1">IF(OR(INDEX($K$2:$K$1001,MATCH(ROWS($J$2:J677),$J$2:$J$1001,0),1)&gt;=100000,INDEX($Q$1005:$U$1005,1,MATCH(COLUMNS($Q$1006:S1006),$Q$1006:$U$1006,0))&gt;=100000), " ",IF(INDEX($Q$2:$U$1001,MATCH(ROWS($J$2:J677),$J$2:$J$1001,0),MATCH(COLUMNS($Q$1006:S1006),$Q$1006:$U$1006,0)), HYPERLINK("#",""), HYPERLINK(CONCATENATE("#metadata!", ADDRESS(INDEX($L$2:$L$1001,MATCH(ROWS($J$2:J677),$J$2:$J$1001,0),0), INDEX($Q$1004:$U$1004,1,MATCH(COLUMNS($Q$1006:S1006),$Q$1006:$U$1006,0)))),"Fix")))</f>
        <v xml:space="preserve"> </v>
      </c>
      <c r="E677" s="3" t="str">
        <f ca="1">IF(OR(INDEX($K$2:$K$1001,MATCH(ROWS($J$2:J677),$J$2:$J$1001,0),1)&gt;=100000,INDEX($Q$1005:$U$1005,1,MATCH(COLUMNS($Q$1006:T1006),$Q$1006:$U$1006,0))&gt;=100000), " ",IF(INDEX($Q$2:$U$1001,MATCH(ROWS($J$2:J677),$J$2:$J$1001,0),MATCH(COLUMNS($Q$1006:T1006),$Q$1006:$U$1006,0)), HYPERLINK("#",""), HYPERLINK(CONCATENATE("#metadata!", ADDRESS(INDEX($L$2:$L$1001,MATCH(ROWS($J$2:J677),$J$2:$J$1001,0),0), INDEX($Q$1004:$U$1004,1,MATCH(COLUMNS($Q$1006:T1006),$Q$1006:$U$1006,0)))),"Fix")))</f>
        <v xml:space="preserve"> </v>
      </c>
      <c r="F677" s="3" t="str">
        <f ca="1">IF(OR(INDEX($K$2:$K$1001,MATCH(ROWS($J$2:J677),$J$2:$J$1001,0),1)&gt;=100000,INDEX($Q$1005:$U$1005,1,MATCH(COLUMNS($Q$1006:U1006),$Q$1006:$U$1006,0))&gt;=100000), " ",IF(INDEX($Q$2:$U$1001,MATCH(ROWS($J$2:J677),$J$2:$J$1001,0),MATCH(COLUMNS($Q$1006:U1006),$Q$1006:$U$1006,0)), HYPERLINK("#",""), HYPERLINK(CONCATENATE("#metadata!", ADDRESS(INDEX($L$2:$L$1001,MATCH(ROWS($J$2:J677),$J$2:$J$1001,0),0), INDEX($Q$1004:$U$1004,1,MATCH(COLUMNS($Q$1006:U1006),$Q$1006:$U$1006,0)))),"Fix")))</f>
        <v xml:space="preserve"> </v>
      </c>
      <c r="J677">
        <v>676</v>
      </c>
      <c r="K677">
        <v>100677</v>
      </c>
      <c r="L677">
        <v>677</v>
      </c>
      <c r="M677" t="b">
        <f t="shared" si="10"/>
        <v>1</v>
      </c>
      <c r="N677" t="b">
        <f>COUNTBLANK(metadata!B677:F677)=COLUMNS(metadata!B677:F677)</f>
        <v>1</v>
      </c>
      <c r="O677" t="str">
        <v/>
      </c>
      <c r="Q677" t="b">
        <f ca="1">AND(IF(metadata!B677="",FALSE,TRUE),COUNTIF(metadata!B:B, metadata!B677) = 1,NOT(ISERROR(SUMPRODUCT(SEARCH(MID(metadata!B677,ROW(INDIRECT("1:"&amp;LEN(metadata!B677))), 1),"0123456789abcdefghijklmnopqrstuvwxyzABCDEFGHIJKLMNOPQRSTUVWXYZ.")))))</f>
        <v>0</v>
      </c>
      <c r="R677" t="b">
        <f>AND(IF(metadata!C677="",FALSE,TRUE),OR(EXACT(metadata!C677,"saline"),EXACT(metadata!C677,"non-saline")))</f>
        <v>0</v>
      </c>
      <c r="S677" t="b">
        <f>AND(IF(metadata!D677="",FALSE,TRUE),OR(EXACT(metadata!D677,"surface (non-saline)"),EXACT(metadata!D677,"aerosol (non-saline)"),EXACT(metadata!D677,"sediment (non-saline)"),EXACT(metadata!D677,"surface (saline)"),EXACT(metadata!D677,"aerosol (saline)"),EXACT(metadata!D677,"sediment (saline)")))</f>
        <v>0</v>
      </c>
      <c r="T677" t="b">
        <f>AND(IF(metadata!E677="",FALSE,TRUE),EXACT(metadata!E677,"built environment"))</f>
        <v>0</v>
      </c>
      <c r="U677" t="b">
        <f>OR(AND(IF(metadata!F677="",FALSE,TRUE),EXACT(metadata!F677,"not applicable")),AND(IF(metadata!F677="",FALSE,TRUE),EXACT(metadata!F677,"anaerobic digester content")))</f>
        <v>0</v>
      </c>
    </row>
    <row r="678" spans="1:21" x14ac:dyDescent="0.2">
      <c r="A678" s="4" t="str">
        <f ca="1">IF(B678=" "," ",HYPERLINK(CONCATENATE("#metadata!",ADDRESS(INDEX($L$2:$L$1001,MATCH(ROWS($J$2:J678),$J$2:$J$1001,0),0),1)),INDEX($O$2:$O$1001,MATCH(ROWS($J$2:J678),$J$2:$J$1001,0),0)))</f>
        <v xml:space="preserve"> </v>
      </c>
      <c r="B678" s="3" t="str">
        <f ca="1">IF(OR(INDEX($K$2:$K$1001,MATCH(ROWS($J$2:J678),$J$2:$J$1001,0),1)&gt;=100000,INDEX($Q$1005:$U$1005,1,MATCH(COLUMNS($Q$1006:Q1006),$Q$1006:$U$1006,0))&gt;=100000), " ",IF(INDEX($Q$2:$U$1001,MATCH(ROWS($J$2:J678),$J$2:$J$1001,0),MATCH(COLUMNS($Q$1006:Q1006),$Q$1006:$U$1006,0)), HYPERLINK("#",""), HYPERLINK(CONCATENATE("#metadata!", ADDRESS(INDEX($L$2:$L$1001,MATCH(ROWS($J$2:J678),$J$2:$J$1001,0),0), INDEX($Q$1004:$U$1004,1,MATCH(COLUMNS($Q$1006:Q1006),$Q$1006:$U$1006,0)))),"Fix")))</f>
        <v xml:space="preserve"> </v>
      </c>
      <c r="C678" s="3" t="str">
        <f ca="1">IF(OR(INDEX($K$2:$K$1001,MATCH(ROWS($J$2:J678),$J$2:$J$1001,0),1)&gt;=100000,INDEX($Q$1005:$U$1005,1,MATCH(COLUMNS($Q$1006:R1006),$Q$1006:$U$1006,0))&gt;=100000), " ",IF(INDEX($Q$2:$U$1001,MATCH(ROWS($J$2:J678),$J$2:$J$1001,0),MATCH(COLUMNS($Q$1006:R1006),$Q$1006:$U$1006,0)), HYPERLINK("#",""), HYPERLINK(CONCATENATE("#metadata!", ADDRESS(INDEX($L$2:$L$1001,MATCH(ROWS($J$2:J678),$J$2:$J$1001,0),0), INDEX($Q$1004:$U$1004,1,MATCH(COLUMNS($Q$1006:R1006),$Q$1006:$U$1006,0)))),"Fix")))</f>
        <v xml:space="preserve"> </v>
      </c>
      <c r="D678" s="3" t="str">
        <f ca="1">IF(OR(INDEX($K$2:$K$1001,MATCH(ROWS($J$2:J678),$J$2:$J$1001,0),1)&gt;=100000,INDEX($Q$1005:$U$1005,1,MATCH(COLUMNS($Q$1006:S1006),$Q$1006:$U$1006,0))&gt;=100000), " ",IF(INDEX($Q$2:$U$1001,MATCH(ROWS($J$2:J678),$J$2:$J$1001,0),MATCH(COLUMNS($Q$1006:S1006),$Q$1006:$U$1006,0)), HYPERLINK("#",""), HYPERLINK(CONCATENATE("#metadata!", ADDRESS(INDEX($L$2:$L$1001,MATCH(ROWS($J$2:J678),$J$2:$J$1001,0),0), INDEX($Q$1004:$U$1004,1,MATCH(COLUMNS($Q$1006:S1006),$Q$1006:$U$1006,0)))),"Fix")))</f>
        <v xml:space="preserve"> </v>
      </c>
      <c r="E678" s="3" t="str">
        <f ca="1">IF(OR(INDEX($K$2:$K$1001,MATCH(ROWS($J$2:J678),$J$2:$J$1001,0),1)&gt;=100000,INDEX($Q$1005:$U$1005,1,MATCH(COLUMNS($Q$1006:T1006),$Q$1006:$U$1006,0))&gt;=100000), " ",IF(INDEX($Q$2:$U$1001,MATCH(ROWS($J$2:J678),$J$2:$J$1001,0),MATCH(COLUMNS($Q$1006:T1006),$Q$1006:$U$1006,0)), HYPERLINK("#",""), HYPERLINK(CONCATENATE("#metadata!", ADDRESS(INDEX($L$2:$L$1001,MATCH(ROWS($J$2:J678),$J$2:$J$1001,0),0), INDEX($Q$1004:$U$1004,1,MATCH(COLUMNS($Q$1006:T1006),$Q$1006:$U$1006,0)))),"Fix")))</f>
        <v xml:space="preserve"> </v>
      </c>
      <c r="F678" s="3" t="str">
        <f ca="1">IF(OR(INDEX($K$2:$K$1001,MATCH(ROWS($J$2:J678),$J$2:$J$1001,0),1)&gt;=100000,INDEX($Q$1005:$U$1005,1,MATCH(COLUMNS($Q$1006:U1006),$Q$1006:$U$1006,0))&gt;=100000), " ",IF(INDEX($Q$2:$U$1001,MATCH(ROWS($J$2:J678),$J$2:$J$1001,0),MATCH(COLUMNS($Q$1006:U1006),$Q$1006:$U$1006,0)), HYPERLINK("#",""), HYPERLINK(CONCATENATE("#metadata!", ADDRESS(INDEX($L$2:$L$1001,MATCH(ROWS($J$2:J678),$J$2:$J$1001,0),0), INDEX($Q$1004:$U$1004,1,MATCH(COLUMNS($Q$1006:U1006),$Q$1006:$U$1006,0)))),"Fix")))</f>
        <v xml:space="preserve"> </v>
      </c>
      <c r="J678">
        <v>677</v>
      </c>
      <c r="K678">
        <v>100678</v>
      </c>
      <c r="L678">
        <v>678</v>
      </c>
      <c r="M678" t="b">
        <f t="shared" si="10"/>
        <v>1</v>
      </c>
      <c r="N678" t="b">
        <f>COUNTBLANK(metadata!B678:F678)=COLUMNS(metadata!B678:F678)</f>
        <v>1</v>
      </c>
      <c r="O678" t="str">
        <v/>
      </c>
      <c r="Q678" t="b">
        <f ca="1">AND(IF(metadata!B678="",FALSE,TRUE),COUNTIF(metadata!B:B, metadata!B678) = 1,NOT(ISERROR(SUMPRODUCT(SEARCH(MID(metadata!B678,ROW(INDIRECT("1:"&amp;LEN(metadata!B678))), 1),"0123456789abcdefghijklmnopqrstuvwxyzABCDEFGHIJKLMNOPQRSTUVWXYZ.")))))</f>
        <v>0</v>
      </c>
      <c r="R678" t="b">
        <f>AND(IF(metadata!C678="",FALSE,TRUE),OR(EXACT(metadata!C678,"saline"),EXACT(metadata!C678,"non-saline")))</f>
        <v>0</v>
      </c>
      <c r="S678" t="b">
        <f>AND(IF(metadata!D678="",FALSE,TRUE),OR(EXACT(metadata!D678,"surface (non-saline)"),EXACT(metadata!D678,"aerosol (non-saline)"),EXACT(metadata!D678,"sediment (non-saline)"),EXACT(metadata!D678,"surface (saline)"),EXACT(metadata!D678,"aerosol (saline)"),EXACT(metadata!D678,"sediment (saline)")))</f>
        <v>0</v>
      </c>
      <c r="T678" t="b">
        <f>AND(IF(metadata!E678="",FALSE,TRUE),EXACT(metadata!E678,"built environment"))</f>
        <v>0</v>
      </c>
      <c r="U678" t="b">
        <f>OR(AND(IF(metadata!F678="",FALSE,TRUE),EXACT(metadata!F678,"not applicable")),AND(IF(metadata!F678="",FALSE,TRUE),EXACT(metadata!F678,"anaerobic digester content")))</f>
        <v>0</v>
      </c>
    </row>
    <row r="679" spans="1:21" x14ac:dyDescent="0.2">
      <c r="A679" s="4" t="str">
        <f ca="1">IF(B679=" "," ",HYPERLINK(CONCATENATE("#metadata!",ADDRESS(INDEX($L$2:$L$1001,MATCH(ROWS($J$2:J679),$J$2:$J$1001,0),0),1)),INDEX($O$2:$O$1001,MATCH(ROWS($J$2:J679),$J$2:$J$1001,0),0)))</f>
        <v xml:space="preserve"> </v>
      </c>
      <c r="B679" s="3" t="str">
        <f ca="1">IF(OR(INDEX($K$2:$K$1001,MATCH(ROWS($J$2:J679),$J$2:$J$1001,0),1)&gt;=100000,INDEX($Q$1005:$U$1005,1,MATCH(COLUMNS($Q$1006:Q1006),$Q$1006:$U$1006,0))&gt;=100000), " ",IF(INDEX($Q$2:$U$1001,MATCH(ROWS($J$2:J679),$J$2:$J$1001,0),MATCH(COLUMNS($Q$1006:Q1006),$Q$1006:$U$1006,0)), HYPERLINK("#",""), HYPERLINK(CONCATENATE("#metadata!", ADDRESS(INDEX($L$2:$L$1001,MATCH(ROWS($J$2:J679),$J$2:$J$1001,0),0), INDEX($Q$1004:$U$1004,1,MATCH(COLUMNS($Q$1006:Q1006),$Q$1006:$U$1006,0)))),"Fix")))</f>
        <v xml:space="preserve"> </v>
      </c>
      <c r="C679" s="3" t="str">
        <f ca="1">IF(OR(INDEX($K$2:$K$1001,MATCH(ROWS($J$2:J679),$J$2:$J$1001,0),1)&gt;=100000,INDEX($Q$1005:$U$1005,1,MATCH(COLUMNS($Q$1006:R1006),$Q$1006:$U$1006,0))&gt;=100000), " ",IF(INDEX($Q$2:$U$1001,MATCH(ROWS($J$2:J679),$J$2:$J$1001,0),MATCH(COLUMNS($Q$1006:R1006),$Q$1006:$U$1006,0)), HYPERLINK("#",""), HYPERLINK(CONCATENATE("#metadata!", ADDRESS(INDEX($L$2:$L$1001,MATCH(ROWS($J$2:J679),$J$2:$J$1001,0),0), INDEX($Q$1004:$U$1004,1,MATCH(COLUMNS($Q$1006:R1006),$Q$1006:$U$1006,0)))),"Fix")))</f>
        <v xml:space="preserve"> </v>
      </c>
      <c r="D679" s="3" t="str">
        <f ca="1">IF(OR(INDEX($K$2:$K$1001,MATCH(ROWS($J$2:J679),$J$2:$J$1001,0),1)&gt;=100000,INDEX($Q$1005:$U$1005,1,MATCH(COLUMNS($Q$1006:S1006),$Q$1006:$U$1006,0))&gt;=100000), " ",IF(INDEX($Q$2:$U$1001,MATCH(ROWS($J$2:J679),$J$2:$J$1001,0),MATCH(COLUMNS($Q$1006:S1006),$Q$1006:$U$1006,0)), HYPERLINK("#",""), HYPERLINK(CONCATENATE("#metadata!", ADDRESS(INDEX($L$2:$L$1001,MATCH(ROWS($J$2:J679),$J$2:$J$1001,0),0), INDEX($Q$1004:$U$1004,1,MATCH(COLUMNS($Q$1006:S1006),$Q$1006:$U$1006,0)))),"Fix")))</f>
        <v xml:space="preserve"> </v>
      </c>
      <c r="E679" s="3" t="str">
        <f ca="1">IF(OR(INDEX($K$2:$K$1001,MATCH(ROWS($J$2:J679),$J$2:$J$1001,0),1)&gt;=100000,INDEX($Q$1005:$U$1005,1,MATCH(COLUMNS($Q$1006:T1006),$Q$1006:$U$1006,0))&gt;=100000), " ",IF(INDEX($Q$2:$U$1001,MATCH(ROWS($J$2:J679),$J$2:$J$1001,0),MATCH(COLUMNS($Q$1006:T1006),$Q$1006:$U$1006,0)), HYPERLINK("#",""), HYPERLINK(CONCATENATE("#metadata!", ADDRESS(INDEX($L$2:$L$1001,MATCH(ROWS($J$2:J679),$J$2:$J$1001,0),0), INDEX($Q$1004:$U$1004,1,MATCH(COLUMNS($Q$1006:T1006),$Q$1006:$U$1006,0)))),"Fix")))</f>
        <v xml:space="preserve"> </v>
      </c>
      <c r="F679" s="3" t="str">
        <f ca="1">IF(OR(INDEX($K$2:$K$1001,MATCH(ROWS($J$2:J679),$J$2:$J$1001,0),1)&gt;=100000,INDEX($Q$1005:$U$1005,1,MATCH(COLUMNS($Q$1006:U1006),$Q$1006:$U$1006,0))&gt;=100000), " ",IF(INDEX($Q$2:$U$1001,MATCH(ROWS($J$2:J679),$J$2:$J$1001,0),MATCH(COLUMNS($Q$1006:U1006),$Q$1006:$U$1006,0)), HYPERLINK("#",""), HYPERLINK(CONCATENATE("#metadata!", ADDRESS(INDEX($L$2:$L$1001,MATCH(ROWS($J$2:J679),$J$2:$J$1001,0),0), INDEX($Q$1004:$U$1004,1,MATCH(COLUMNS($Q$1006:U1006),$Q$1006:$U$1006,0)))),"Fix")))</f>
        <v xml:space="preserve"> </v>
      </c>
      <c r="J679">
        <v>678</v>
      </c>
      <c r="K679">
        <v>100679</v>
      </c>
      <c r="L679">
        <v>679</v>
      </c>
      <c r="M679" t="b">
        <f t="shared" si="10"/>
        <v>1</v>
      </c>
      <c r="N679" t="b">
        <f>COUNTBLANK(metadata!B679:F679)=COLUMNS(metadata!B679:F679)</f>
        <v>1</v>
      </c>
      <c r="O679" t="str">
        <v/>
      </c>
      <c r="Q679" t="b">
        <f ca="1">AND(IF(metadata!B679="",FALSE,TRUE),COUNTIF(metadata!B:B, metadata!B679) = 1,NOT(ISERROR(SUMPRODUCT(SEARCH(MID(metadata!B679,ROW(INDIRECT("1:"&amp;LEN(metadata!B679))), 1),"0123456789abcdefghijklmnopqrstuvwxyzABCDEFGHIJKLMNOPQRSTUVWXYZ.")))))</f>
        <v>0</v>
      </c>
      <c r="R679" t="b">
        <f>AND(IF(metadata!C679="",FALSE,TRUE),OR(EXACT(metadata!C679,"saline"),EXACT(metadata!C679,"non-saline")))</f>
        <v>0</v>
      </c>
      <c r="S679" t="b">
        <f>AND(IF(metadata!D679="",FALSE,TRUE),OR(EXACT(metadata!D679,"surface (non-saline)"),EXACT(metadata!D679,"aerosol (non-saline)"),EXACT(metadata!D679,"sediment (non-saline)"),EXACT(metadata!D679,"surface (saline)"),EXACT(metadata!D679,"aerosol (saline)"),EXACT(metadata!D679,"sediment (saline)")))</f>
        <v>0</v>
      </c>
      <c r="T679" t="b">
        <f>AND(IF(metadata!E679="",FALSE,TRUE),EXACT(metadata!E679,"built environment"))</f>
        <v>0</v>
      </c>
      <c r="U679" t="b">
        <f>OR(AND(IF(metadata!F679="",FALSE,TRUE),EXACT(metadata!F679,"not applicable")),AND(IF(metadata!F679="",FALSE,TRUE),EXACT(metadata!F679,"anaerobic digester content")))</f>
        <v>0</v>
      </c>
    </row>
    <row r="680" spans="1:21" x14ac:dyDescent="0.2">
      <c r="A680" s="4" t="str">
        <f ca="1">IF(B680=" "," ",HYPERLINK(CONCATENATE("#metadata!",ADDRESS(INDEX($L$2:$L$1001,MATCH(ROWS($J$2:J680),$J$2:$J$1001,0),0),1)),INDEX($O$2:$O$1001,MATCH(ROWS($J$2:J680),$J$2:$J$1001,0),0)))</f>
        <v xml:space="preserve"> </v>
      </c>
      <c r="B680" s="3" t="str">
        <f ca="1">IF(OR(INDEX($K$2:$K$1001,MATCH(ROWS($J$2:J680),$J$2:$J$1001,0),1)&gt;=100000,INDEX($Q$1005:$U$1005,1,MATCH(COLUMNS($Q$1006:Q1006),$Q$1006:$U$1006,0))&gt;=100000), " ",IF(INDEX($Q$2:$U$1001,MATCH(ROWS($J$2:J680),$J$2:$J$1001,0),MATCH(COLUMNS($Q$1006:Q1006),$Q$1006:$U$1006,0)), HYPERLINK("#",""), HYPERLINK(CONCATENATE("#metadata!", ADDRESS(INDEX($L$2:$L$1001,MATCH(ROWS($J$2:J680),$J$2:$J$1001,0),0), INDEX($Q$1004:$U$1004,1,MATCH(COLUMNS($Q$1006:Q1006),$Q$1006:$U$1006,0)))),"Fix")))</f>
        <v xml:space="preserve"> </v>
      </c>
      <c r="C680" s="3" t="str">
        <f ca="1">IF(OR(INDEX($K$2:$K$1001,MATCH(ROWS($J$2:J680),$J$2:$J$1001,0),1)&gt;=100000,INDEX($Q$1005:$U$1005,1,MATCH(COLUMNS($Q$1006:R1006),$Q$1006:$U$1006,0))&gt;=100000), " ",IF(INDEX($Q$2:$U$1001,MATCH(ROWS($J$2:J680),$J$2:$J$1001,0),MATCH(COLUMNS($Q$1006:R1006),$Q$1006:$U$1006,0)), HYPERLINK("#",""), HYPERLINK(CONCATENATE("#metadata!", ADDRESS(INDEX($L$2:$L$1001,MATCH(ROWS($J$2:J680),$J$2:$J$1001,0),0), INDEX($Q$1004:$U$1004,1,MATCH(COLUMNS($Q$1006:R1006),$Q$1006:$U$1006,0)))),"Fix")))</f>
        <v xml:space="preserve"> </v>
      </c>
      <c r="D680" s="3" t="str">
        <f ca="1">IF(OR(INDEX($K$2:$K$1001,MATCH(ROWS($J$2:J680),$J$2:$J$1001,0),1)&gt;=100000,INDEX($Q$1005:$U$1005,1,MATCH(COLUMNS($Q$1006:S1006),$Q$1006:$U$1006,0))&gt;=100000), " ",IF(INDEX($Q$2:$U$1001,MATCH(ROWS($J$2:J680),$J$2:$J$1001,0),MATCH(COLUMNS($Q$1006:S1006),$Q$1006:$U$1006,0)), HYPERLINK("#",""), HYPERLINK(CONCATENATE("#metadata!", ADDRESS(INDEX($L$2:$L$1001,MATCH(ROWS($J$2:J680),$J$2:$J$1001,0),0), INDEX($Q$1004:$U$1004,1,MATCH(COLUMNS($Q$1006:S1006),$Q$1006:$U$1006,0)))),"Fix")))</f>
        <v xml:space="preserve"> </v>
      </c>
      <c r="E680" s="3" t="str">
        <f ca="1">IF(OR(INDEX($K$2:$K$1001,MATCH(ROWS($J$2:J680),$J$2:$J$1001,0),1)&gt;=100000,INDEX($Q$1005:$U$1005,1,MATCH(COLUMNS($Q$1006:T1006),$Q$1006:$U$1006,0))&gt;=100000), " ",IF(INDEX($Q$2:$U$1001,MATCH(ROWS($J$2:J680),$J$2:$J$1001,0),MATCH(COLUMNS($Q$1006:T1006),$Q$1006:$U$1006,0)), HYPERLINK("#",""), HYPERLINK(CONCATENATE("#metadata!", ADDRESS(INDEX($L$2:$L$1001,MATCH(ROWS($J$2:J680),$J$2:$J$1001,0),0), INDEX($Q$1004:$U$1004,1,MATCH(COLUMNS($Q$1006:T1006),$Q$1006:$U$1006,0)))),"Fix")))</f>
        <v xml:space="preserve"> </v>
      </c>
      <c r="F680" s="3" t="str">
        <f ca="1">IF(OR(INDEX($K$2:$K$1001,MATCH(ROWS($J$2:J680),$J$2:$J$1001,0),1)&gt;=100000,INDEX($Q$1005:$U$1005,1,MATCH(COLUMNS($Q$1006:U1006),$Q$1006:$U$1006,0))&gt;=100000), " ",IF(INDEX($Q$2:$U$1001,MATCH(ROWS($J$2:J680),$J$2:$J$1001,0),MATCH(COLUMNS($Q$1006:U1006),$Q$1006:$U$1006,0)), HYPERLINK("#",""), HYPERLINK(CONCATENATE("#metadata!", ADDRESS(INDEX($L$2:$L$1001,MATCH(ROWS($J$2:J680),$J$2:$J$1001,0),0), INDEX($Q$1004:$U$1004,1,MATCH(COLUMNS($Q$1006:U1006),$Q$1006:$U$1006,0)))),"Fix")))</f>
        <v xml:space="preserve"> </v>
      </c>
      <c r="J680">
        <v>679</v>
      </c>
      <c r="K680">
        <v>100680</v>
      </c>
      <c r="L680">
        <v>680</v>
      </c>
      <c r="M680" t="b">
        <f t="shared" si="10"/>
        <v>1</v>
      </c>
      <c r="N680" t="b">
        <f>COUNTBLANK(metadata!B680:F680)=COLUMNS(metadata!B680:F680)</f>
        <v>1</v>
      </c>
      <c r="O680" t="str">
        <v/>
      </c>
      <c r="Q680" t="b">
        <f ca="1">AND(IF(metadata!B680="",FALSE,TRUE),COUNTIF(metadata!B:B, metadata!B680) = 1,NOT(ISERROR(SUMPRODUCT(SEARCH(MID(metadata!B680,ROW(INDIRECT("1:"&amp;LEN(metadata!B680))), 1),"0123456789abcdefghijklmnopqrstuvwxyzABCDEFGHIJKLMNOPQRSTUVWXYZ.")))))</f>
        <v>0</v>
      </c>
      <c r="R680" t="b">
        <f>AND(IF(metadata!C680="",FALSE,TRUE),OR(EXACT(metadata!C680,"saline"),EXACT(metadata!C680,"non-saline")))</f>
        <v>0</v>
      </c>
      <c r="S680" t="b">
        <f>AND(IF(metadata!D680="",FALSE,TRUE),OR(EXACT(metadata!D680,"surface (non-saline)"),EXACT(metadata!D680,"aerosol (non-saline)"),EXACT(metadata!D680,"sediment (non-saline)"),EXACT(metadata!D680,"surface (saline)"),EXACT(metadata!D680,"aerosol (saline)"),EXACT(metadata!D680,"sediment (saline)")))</f>
        <v>0</v>
      </c>
      <c r="T680" t="b">
        <f>AND(IF(metadata!E680="",FALSE,TRUE),EXACT(metadata!E680,"built environment"))</f>
        <v>0</v>
      </c>
      <c r="U680" t="b">
        <f>OR(AND(IF(metadata!F680="",FALSE,TRUE),EXACT(metadata!F680,"not applicable")),AND(IF(metadata!F680="",FALSE,TRUE),EXACT(metadata!F680,"anaerobic digester content")))</f>
        <v>0</v>
      </c>
    </row>
    <row r="681" spans="1:21" x14ac:dyDescent="0.2">
      <c r="A681" s="4" t="str">
        <f ca="1">IF(B681=" "," ",HYPERLINK(CONCATENATE("#metadata!",ADDRESS(INDEX($L$2:$L$1001,MATCH(ROWS($J$2:J681),$J$2:$J$1001,0),0),1)),INDEX($O$2:$O$1001,MATCH(ROWS($J$2:J681),$J$2:$J$1001,0),0)))</f>
        <v xml:space="preserve"> </v>
      </c>
      <c r="B681" s="3" t="str">
        <f ca="1">IF(OR(INDEX($K$2:$K$1001,MATCH(ROWS($J$2:J681),$J$2:$J$1001,0),1)&gt;=100000,INDEX($Q$1005:$U$1005,1,MATCH(COLUMNS($Q$1006:Q1006),$Q$1006:$U$1006,0))&gt;=100000), " ",IF(INDEX($Q$2:$U$1001,MATCH(ROWS($J$2:J681),$J$2:$J$1001,0),MATCH(COLUMNS($Q$1006:Q1006),$Q$1006:$U$1006,0)), HYPERLINK("#",""), HYPERLINK(CONCATENATE("#metadata!", ADDRESS(INDEX($L$2:$L$1001,MATCH(ROWS($J$2:J681),$J$2:$J$1001,0),0), INDEX($Q$1004:$U$1004,1,MATCH(COLUMNS($Q$1006:Q1006),$Q$1006:$U$1006,0)))),"Fix")))</f>
        <v xml:space="preserve"> </v>
      </c>
      <c r="C681" s="3" t="str">
        <f ca="1">IF(OR(INDEX($K$2:$K$1001,MATCH(ROWS($J$2:J681),$J$2:$J$1001,0),1)&gt;=100000,INDEX($Q$1005:$U$1005,1,MATCH(COLUMNS($Q$1006:R1006),$Q$1006:$U$1006,0))&gt;=100000), " ",IF(INDEX($Q$2:$U$1001,MATCH(ROWS($J$2:J681),$J$2:$J$1001,0),MATCH(COLUMNS($Q$1006:R1006),$Q$1006:$U$1006,0)), HYPERLINK("#",""), HYPERLINK(CONCATENATE("#metadata!", ADDRESS(INDEX($L$2:$L$1001,MATCH(ROWS($J$2:J681),$J$2:$J$1001,0),0), INDEX($Q$1004:$U$1004,1,MATCH(COLUMNS($Q$1006:R1006),$Q$1006:$U$1006,0)))),"Fix")))</f>
        <v xml:space="preserve"> </v>
      </c>
      <c r="D681" s="3" t="str">
        <f ca="1">IF(OR(INDEX($K$2:$K$1001,MATCH(ROWS($J$2:J681),$J$2:$J$1001,0),1)&gt;=100000,INDEX($Q$1005:$U$1005,1,MATCH(COLUMNS($Q$1006:S1006),$Q$1006:$U$1006,0))&gt;=100000), " ",IF(INDEX($Q$2:$U$1001,MATCH(ROWS($J$2:J681),$J$2:$J$1001,0),MATCH(COLUMNS($Q$1006:S1006),$Q$1006:$U$1006,0)), HYPERLINK("#",""), HYPERLINK(CONCATENATE("#metadata!", ADDRESS(INDEX($L$2:$L$1001,MATCH(ROWS($J$2:J681),$J$2:$J$1001,0),0), INDEX($Q$1004:$U$1004,1,MATCH(COLUMNS($Q$1006:S1006),$Q$1006:$U$1006,0)))),"Fix")))</f>
        <v xml:space="preserve"> </v>
      </c>
      <c r="E681" s="3" t="str">
        <f ca="1">IF(OR(INDEX($K$2:$K$1001,MATCH(ROWS($J$2:J681),$J$2:$J$1001,0),1)&gt;=100000,INDEX($Q$1005:$U$1005,1,MATCH(COLUMNS($Q$1006:T1006),$Q$1006:$U$1006,0))&gt;=100000), " ",IF(INDEX($Q$2:$U$1001,MATCH(ROWS($J$2:J681),$J$2:$J$1001,0),MATCH(COLUMNS($Q$1006:T1006),$Q$1006:$U$1006,0)), HYPERLINK("#",""), HYPERLINK(CONCATENATE("#metadata!", ADDRESS(INDEX($L$2:$L$1001,MATCH(ROWS($J$2:J681),$J$2:$J$1001,0),0), INDEX($Q$1004:$U$1004,1,MATCH(COLUMNS($Q$1006:T1006),$Q$1006:$U$1006,0)))),"Fix")))</f>
        <v xml:space="preserve"> </v>
      </c>
      <c r="F681" s="3" t="str">
        <f ca="1">IF(OR(INDEX($K$2:$K$1001,MATCH(ROWS($J$2:J681),$J$2:$J$1001,0),1)&gt;=100000,INDEX($Q$1005:$U$1005,1,MATCH(COLUMNS($Q$1006:U1006),$Q$1006:$U$1006,0))&gt;=100000), " ",IF(INDEX($Q$2:$U$1001,MATCH(ROWS($J$2:J681),$J$2:$J$1001,0),MATCH(COLUMNS($Q$1006:U1006),$Q$1006:$U$1006,0)), HYPERLINK("#",""), HYPERLINK(CONCATENATE("#metadata!", ADDRESS(INDEX($L$2:$L$1001,MATCH(ROWS($J$2:J681),$J$2:$J$1001,0),0), INDEX($Q$1004:$U$1004,1,MATCH(COLUMNS($Q$1006:U1006),$Q$1006:$U$1006,0)))),"Fix")))</f>
        <v xml:space="preserve"> </v>
      </c>
      <c r="J681">
        <v>680</v>
      </c>
      <c r="K681">
        <v>100681</v>
      </c>
      <c r="L681">
        <v>681</v>
      </c>
      <c r="M681" t="b">
        <f t="shared" si="10"/>
        <v>1</v>
      </c>
      <c r="N681" t="b">
        <f>COUNTBLANK(metadata!B681:F681)=COLUMNS(metadata!B681:F681)</f>
        <v>1</v>
      </c>
      <c r="O681" t="str">
        <v/>
      </c>
      <c r="Q681" t="b">
        <f ca="1">AND(IF(metadata!B681="",FALSE,TRUE),COUNTIF(metadata!B:B, metadata!B681) = 1,NOT(ISERROR(SUMPRODUCT(SEARCH(MID(metadata!B681,ROW(INDIRECT("1:"&amp;LEN(metadata!B681))), 1),"0123456789abcdefghijklmnopqrstuvwxyzABCDEFGHIJKLMNOPQRSTUVWXYZ.")))))</f>
        <v>0</v>
      </c>
      <c r="R681" t="b">
        <f>AND(IF(metadata!C681="",FALSE,TRUE),OR(EXACT(metadata!C681,"saline"),EXACT(metadata!C681,"non-saline")))</f>
        <v>0</v>
      </c>
      <c r="S681" t="b">
        <f>AND(IF(metadata!D681="",FALSE,TRUE),OR(EXACT(metadata!D681,"surface (non-saline)"),EXACT(metadata!D681,"aerosol (non-saline)"),EXACT(metadata!D681,"sediment (non-saline)"),EXACT(metadata!D681,"surface (saline)"),EXACT(metadata!D681,"aerosol (saline)"),EXACT(metadata!D681,"sediment (saline)")))</f>
        <v>0</v>
      </c>
      <c r="T681" t="b">
        <f>AND(IF(metadata!E681="",FALSE,TRUE),EXACT(metadata!E681,"built environment"))</f>
        <v>0</v>
      </c>
      <c r="U681" t="b">
        <f>OR(AND(IF(metadata!F681="",FALSE,TRUE),EXACT(metadata!F681,"not applicable")),AND(IF(metadata!F681="",FALSE,TRUE),EXACT(metadata!F681,"anaerobic digester content")))</f>
        <v>0</v>
      </c>
    </row>
    <row r="682" spans="1:21" x14ac:dyDescent="0.2">
      <c r="A682" s="4" t="str">
        <f ca="1">IF(B682=" "," ",HYPERLINK(CONCATENATE("#metadata!",ADDRESS(INDEX($L$2:$L$1001,MATCH(ROWS($J$2:J682),$J$2:$J$1001,0),0),1)),INDEX($O$2:$O$1001,MATCH(ROWS($J$2:J682),$J$2:$J$1001,0),0)))</f>
        <v xml:space="preserve"> </v>
      </c>
      <c r="B682" s="3" t="str">
        <f ca="1">IF(OR(INDEX($K$2:$K$1001,MATCH(ROWS($J$2:J682),$J$2:$J$1001,0),1)&gt;=100000,INDEX($Q$1005:$U$1005,1,MATCH(COLUMNS($Q$1006:Q1006),$Q$1006:$U$1006,0))&gt;=100000), " ",IF(INDEX($Q$2:$U$1001,MATCH(ROWS($J$2:J682),$J$2:$J$1001,0),MATCH(COLUMNS($Q$1006:Q1006),$Q$1006:$U$1006,0)), HYPERLINK("#",""), HYPERLINK(CONCATENATE("#metadata!", ADDRESS(INDEX($L$2:$L$1001,MATCH(ROWS($J$2:J682),$J$2:$J$1001,0),0), INDEX($Q$1004:$U$1004,1,MATCH(COLUMNS($Q$1006:Q1006),$Q$1006:$U$1006,0)))),"Fix")))</f>
        <v xml:space="preserve"> </v>
      </c>
      <c r="C682" s="3" t="str">
        <f ca="1">IF(OR(INDEX($K$2:$K$1001,MATCH(ROWS($J$2:J682),$J$2:$J$1001,0),1)&gt;=100000,INDEX($Q$1005:$U$1005,1,MATCH(COLUMNS($Q$1006:R1006),$Q$1006:$U$1006,0))&gt;=100000), " ",IF(INDEX($Q$2:$U$1001,MATCH(ROWS($J$2:J682),$J$2:$J$1001,0),MATCH(COLUMNS($Q$1006:R1006),$Q$1006:$U$1006,0)), HYPERLINK("#",""), HYPERLINK(CONCATENATE("#metadata!", ADDRESS(INDEX($L$2:$L$1001,MATCH(ROWS($J$2:J682),$J$2:$J$1001,0),0), INDEX($Q$1004:$U$1004,1,MATCH(COLUMNS($Q$1006:R1006),$Q$1006:$U$1006,0)))),"Fix")))</f>
        <v xml:space="preserve"> </v>
      </c>
      <c r="D682" s="3" t="str">
        <f ca="1">IF(OR(INDEX($K$2:$K$1001,MATCH(ROWS($J$2:J682),$J$2:$J$1001,0),1)&gt;=100000,INDEX($Q$1005:$U$1005,1,MATCH(COLUMNS($Q$1006:S1006),$Q$1006:$U$1006,0))&gt;=100000), " ",IF(INDEX($Q$2:$U$1001,MATCH(ROWS($J$2:J682),$J$2:$J$1001,0),MATCH(COLUMNS($Q$1006:S1006),$Q$1006:$U$1006,0)), HYPERLINK("#",""), HYPERLINK(CONCATENATE("#metadata!", ADDRESS(INDEX($L$2:$L$1001,MATCH(ROWS($J$2:J682),$J$2:$J$1001,0),0), INDEX($Q$1004:$U$1004,1,MATCH(COLUMNS($Q$1006:S1006),$Q$1006:$U$1006,0)))),"Fix")))</f>
        <v xml:space="preserve"> </v>
      </c>
      <c r="E682" s="3" t="str">
        <f ca="1">IF(OR(INDEX($K$2:$K$1001,MATCH(ROWS($J$2:J682),$J$2:$J$1001,0),1)&gt;=100000,INDEX($Q$1005:$U$1005,1,MATCH(COLUMNS($Q$1006:T1006),$Q$1006:$U$1006,0))&gt;=100000), " ",IF(INDEX($Q$2:$U$1001,MATCH(ROWS($J$2:J682),$J$2:$J$1001,0),MATCH(COLUMNS($Q$1006:T1006),$Q$1006:$U$1006,0)), HYPERLINK("#",""), HYPERLINK(CONCATENATE("#metadata!", ADDRESS(INDEX($L$2:$L$1001,MATCH(ROWS($J$2:J682),$J$2:$J$1001,0),0), INDEX($Q$1004:$U$1004,1,MATCH(COLUMNS($Q$1006:T1006),$Q$1006:$U$1006,0)))),"Fix")))</f>
        <v xml:space="preserve"> </v>
      </c>
      <c r="F682" s="3" t="str">
        <f ca="1">IF(OR(INDEX($K$2:$K$1001,MATCH(ROWS($J$2:J682),$J$2:$J$1001,0),1)&gt;=100000,INDEX($Q$1005:$U$1005,1,MATCH(COLUMNS($Q$1006:U1006),$Q$1006:$U$1006,0))&gt;=100000), " ",IF(INDEX($Q$2:$U$1001,MATCH(ROWS($J$2:J682),$J$2:$J$1001,0),MATCH(COLUMNS($Q$1006:U1006),$Q$1006:$U$1006,0)), HYPERLINK("#",""), HYPERLINK(CONCATENATE("#metadata!", ADDRESS(INDEX($L$2:$L$1001,MATCH(ROWS($J$2:J682),$J$2:$J$1001,0),0), INDEX($Q$1004:$U$1004,1,MATCH(COLUMNS($Q$1006:U1006),$Q$1006:$U$1006,0)))),"Fix")))</f>
        <v xml:space="preserve"> </v>
      </c>
      <c r="J682">
        <v>681</v>
      </c>
      <c r="K682">
        <v>100682</v>
      </c>
      <c r="L682">
        <v>682</v>
      </c>
      <c r="M682" t="b">
        <f t="shared" si="10"/>
        <v>1</v>
      </c>
      <c r="N682" t="b">
        <f>COUNTBLANK(metadata!B682:F682)=COLUMNS(metadata!B682:F682)</f>
        <v>1</v>
      </c>
      <c r="O682" t="str">
        <v/>
      </c>
      <c r="Q682" t="b">
        <f ca="1">AND(IF(metadata!B682="",FALSE,TRUE),COUNTIF(metadata!B:B, metadata!B682) = 1,NOT(ISERROR(SUMPRODUCT(SEARCH(MID(metadata!B682,ROW(INDIRECT("1:"&amp;LEN(metadata!B682))), 1),"0123456789abcdefghijklmnopqrstuvwxyzABCDEFGHIJKLMNOPQRSTUVWXYZ.")))))</f>
        <v>0</v>
      </c>
      <c r="R682" t="b">
        <f>AND(IF(metadata!C682="",FALSE,TRUE),OR(EXACT(metadata!C682,"saline"),EXACT(metadata!C682,"non-saline")))</f>
        <v>0</v>
      </c>
      <c r="S682" t="b">
        <f>AND(IF(metadata!D682="",FALSE,TRUE),OR(EXACT(metadata!D682,"surface (non-saline)"),EXACT(metadata!D682,"aerosol (non-saline)"),EXACT(metadata!D682,"sediment (non-saline)"),EXACT(metadata!D682,"surface (saline)"),EXACT(metadata!D682,"aerosol (saline)"),EXACT(metadata!D682,"sediment (saline)")))</f>
        <v>0</v>
      </c>
      <c r="T682" t="b">
        <f>AND(IF(metadata!E682="",FALSE,TRUE),EXACT(metadata!E682,"built environment"))</f>
        <v>0</v>
      </c>
      <c r="U682" t="b">
        <f>OR(AND(IF(metadata!F682="",FALSE,TRUE),EXACT(metadata!F682,"not applicable")),AND(IF(metadata!F682="",FALSE,TRUE),EXACT(metadata!F682,"anaerobic digester content")))</f>
        <v>0</v>
      </c>
    </row>
    <row r="683" spans="1:21" x14ac:dyDescent="0.2">
      <c r="A683" s="4" t="str">
        <f ca="1">IF(B683=" "," ",HYPERLINK(CONCATENATE("#metadata!",ADDRESS(INDEX($L$2:$L$1001,MATCH(ROWS($J$2:J683),$J$2:$J$1001,0),0),1)),INDEX($O$2:$O$1001,MATCH(ROWS($J$2:J683),$J$2:$J$1001,0),0)))</f>
        <v xml:space="preserve"> </v>
      </c>
      <c r="B683" s="3" t="str">
        <f ca="1">IF(OR(INDEX($K$2:$K$1001,MATCH(ROWS($J$2:J683),$J$2:$J$1001,0),1)&gt;=100000,INDEX($Q$1005:$U$1005,1,MATCH(COLUMNS($Q$1006:Q1006),$Q$1006:$U$1006,0))&gt;=100000), " ",IF(INDEX($Q$2:$U$1001,MATCH(ROWS($J$2:J683),$J$2:$J$1001,0),MATCH(COLUMNS($Q$1006:Q1006),$Q$1006:$U$1006,0)), HYPERLINK("#",""), HYPERLINK(CONCATENATE("#metadata!", ADDRESS(INDEX($L$2:$L$1001,MATCH(ROWS($J$2:J683),$J$2:$J$1001,0),0), INDEX($Q$1004:$U$1004,1,MATCH(COLUMNS($Q$1006:Q1006),$Q$1006:$U$1006,0)))),"Fix")))</f>
        <v xml:space="preserve"> </v>
      </c>
      <c r="C683" s="3" t="str">
        <f ca="1">IF(OR(INDEX($K$2:$K$1001,MATCH(ROWS($J$2:J683),$J$2:$J$1001,0),1)&gt;=100000,INDEX($Q$1005:$U$1005,1,MATCH(COLUMNS($Q$1006:R1006),$Q$1006:$U$1006,0))&gt;=100000), " ",IF(INDEX($Q$2:$U$1001,MATCH(ROWS($J$2:J683),$J$2:$J$1001,0),MATCH(COLUMNS($Q$1006:R1006),$Q$1006:$U$1006,0)), HYPERLINK("#",""), HYPERLINK(CONCATENATE("#metadata!", ADDRESS(INDEX($L$2:$L$1001,MATCH(ROWS($J$2:J683),$J$2:$J$1001,0),0), INDEX($Q$1004:$U$1004,1,MATCH(COLUMNS($Q$1006:R1006),$Q$1006:$U$1006,0)))),"Fix")))</f>
        <v xml:space="preserve"> </v>
      </c>
      <c r="D683" s="3" t="str">
        <f ca="1">IF(OR(INDEX($K$2:$K$1001,MATCH(ROWS($J$2:J683),$J$2:$J$1001,0),1)&gt;=100000,INDEX($Q$1005:$U$1005,1,MATCH(COLUMNS($Q$1006:S1006),$Q$1006:$U$1006,0))&gt;=100000), " ",IF(INDEX($Q$2:$U$1001,MATCH(ROWS($J$2:J683),$J$2:$J$1001,0),MATCH(COLUMNS($Q$1006:S1006),$Q$1006:$U$1006,0)), HYPERLINK("#",""), HYPERLINK(CONCATENATE("#metadata!", ADDRESS(INDEX($L$2:$L$1001,MATCH(ROWS($J$2:J683),$J$2:$J$1001,0),0), INDEX($Q$1004:$U$1004,1,MATCH(COLUMNS($Q$1006:S1006),$Q$1006:$U$1006,0)))),"Fix")))</f>
        <v xml:space="preserve"> </v>
      </c>
      <c r="E683" s="3" t="str">
        <f ca="1">IF(OR(INDEX($K$2:$K$1001,MATCH(ROWS($J$2:J683),$J$2:$J$1001,0),1)&gt;=100000,INDEX($Q$1005:$U$1005,1,MATCH(COLUMNS($Q$1006:T1006),$Q$1006:$U$1006,0))&gt;=100000), " ",IF(INDEX($Q$2:$U$1001,MATCH(ROWS($J$2:J683),$J$2:$J$1001,0),MATCH(COLUMNS($Q$1006:T1006),$Q$1006:$U$1006,0)), HYPERLINK("#",""), HYPERLINK(CONCATENATE("#metadata!", ADDRESS(INDEX($L$2:$L$1001,MATCH(ROWS($J$2:J683),$J$2:$J$1001,0),0), INDEX($Q$1004:$U$1004,1,MATCH(COLUMNS($Q$1006:T1006),$Q$1006:$U$1006,0)))),"Fix")))</f>
        <v xml:space="preserve"> </v>
      </c>
      <c r="F683" s="3" t="str">
        <f ca="1">IF(OR(INDEX($K$2:$K$1001,MATCH(ROWS($J$2:J683),$J$2:$J$1001,0),1)&gt;=100000,INDEX($Q$1005:$U$1005,1,MATCH(COLUMNS($Q$1006:U1006),$Q$1006:$U$1006,0))&gt;=100000), " ",IF(INDEX($Q$2:$U$1001,MATCH(ROWS($J$2:J683),$J$2:$J$1001,0),MATCH(COLUMNS($Q$1006:U1006),$Q$1006:$U$1006,0)), HYPERLINK("#",""), HYPERLINK(CONCATENATE("#metadata!", ADDRESS(INDEX($L$2:$L$1001,MATCH(ROWS($J$2:J683),$J$2:$J$1001,0),0), INDEX($Q$1004:$U$1004,1,MATCH(COLUMNS($Q$1006:U1006),$Q$1006:$U$1006,0)))),"Fix")))</f>
        <v xml:space="preserve"> </v>
      </c>
      <c r="J683">
        <v>682</v>
      </c>
      <c r="K683">
        <v>100683</v>
      </c>
      <c r="L683">
        <v>683</v>
      </c>
      <c r="M683" t="b">
        <f t="shared" si="10"/>
        <v>1</v>
      </c>
      <c r="N683" t="b">
        <f>COUNTBLANK(metadata!B683:F683)=COLUMNS(metadata!B683:F683)</f>
        <v>1</v>
      </c>
      <c r="O683" t="str">
        <v/>
      </c>
      <c r="Q683" t="b">
        <f ca="1">AND(IF(metadata!B683="",FALSE,TRUE),COUNTIF(metadata!B:B, metadata!B683) = 1,NOT(ISERROR(SUMPRODUCT(SEARCH(MID(metadata!B683,ROW(INDIRECT("1:"&amp;LEN(metadata!B683))), 1),"0123456789abcdefghijklmnopqrstuvwxyzABCDEFGHIJKLMNOPQRSTUVWXYZ.")))))</f>
        <v>0</v>
      </c>
      <c r="R683" t="b">
        <f>AND(IF(metadata!C683="",FALSE,TRUE),OR(EXACT(metadata!C683,"saline"),EXACT(metadata!C683,"non-saline")))</f>
        <v>0</v>
      </c>
      <c r="S683" t="b">
        <f>AND(IF(metadata!D683="",FALSE,TRUE),OR(EXACT(metadata!D683,"surface (non-saline)"),EXACT(metadata!D683,"aerosol (non-saline)"),EXACT(metadata!D683,"sediment (non-saline)"),EXACT(metadata!D683,"surface (saline)"),EXACT(metadata!D683,"aerosol (saline)"),EXACT(metadata!D683,"sediment (saline)")))</f>
        <v>0</v>
      </c>
      <c r="T683" t="b">
        <f>AND(IF(metadata!E683="",FALSE,TRUE),EXACT(metadata!E683,"built environment"))</f>
        <v>0</v>
      </c>
      <c r="U683" t="b">
        <f>OR(AND(IF(metadata!F683="",FALSE,TRUE),EXACT(metadata!F683,"not applicable")),AND(IF(metadata!F683="",FALSE,TRUE),EXACT(metadata!F683,"anaerobic digester content")))</f>
        <v>0</v>
      </c>
    </row>
    <row r="684" spans="1:21" x14ac:dyDescent="0.2">
      <c r="A684" s="4" t="str">
        <f ca="1">IF(B684=" "," ",HYPERLINK(CONCATENATE("#metadata!",ADDRESS(INDEX($L$2:$L$1001,MATCH(ROWS($J$2:J684),$J$2:$J$1001,0),0),1)),INDEX($O$2:$O$1001,MATCH(ROWS($J$2:J684),$J$2:$J$1001,0),0)))</f>
        <v xml:space="preserve"> </v>
      </c>
      <c r="B684" s="3" t="str">
        <f ca="1">IF(OR(INDEX($K$2:$K$1001,MATCH(ROWS($J$2:J684),$J$2:$J$1001,0),1)&gt;=100000,INDEX($Q$1005:$U$1005,1,MATCH(COLUMNS($Q$1006:Q1006),$Q$1006:$U$1006,0))&gt;=100000), " ",IF(INDEX($Q$2:$U$1001,MATCH(ROWS($J$2:J684),$J$2:$J$1001,0),MATCH(COLUMNS($Q$1006:Q1006),$Q$1006:$U$1006,0)), HYPERLINK("#",""), HYPERLINK(CONCATENATE("#metadata!", ADDRESS(INDEX($L$2:$L$1001,MATCH(ROWS($J$2:J684),$J$2:$J$1001,0),0), INDEX($Q$1004:$U$1004,1,MATCH(COLUMNS($Q$1006:Q1006),$Q$1006:$U$1006,0)))),"Fix")))</f>
        <v xml:space="preserve"> </v>
      </c>
      <c r="C684" s="3" t="str">
        <f ca="1">IF(OR(INDEX($K$2:$K$1001,MATCH(ROWS($J$2:J684),$J$2:$J$1001,0),1)&gt;=100000,INDEX($Q$1005:$U$1005,1,MATCH(COLUMNS($Q$1006:R1006),$Q$1006:$U$1006,0))&gt;=100000), " ",IF(INDEX($Q$2:$U$1001,MATCH(ROWS($J$2:J684),$J$2:$J$1001,0),MATCH(COLUMNS($Q$1006:R1006),$Q$1006:$U$1006,0)), HYPERLINK("#",""), HYPERLINK(CONCATENATE("#metadata!", ADDRESS(INDEX($L$2:$L$1001,MATCH(ROWS($J$2:J684),$J$2:$J$1001,0),0), INDEX($Q$1004:$U$1004,1,MATCH(COLUMNS($Q$1006:R1006),$Q$1006:$U$1006,0)))),"Fix")))</f>
        <v xml:space="preserve"> </v>
      </c>
      <c r="D684" s="3" t="str">
        <f ca="1">IF(OR(INDEX($K$2:$K$1001,MATCH(ROWS($J$2:J684),$J$2:$J$1001,0),1)&gt;=100000,INDEX($Q$1005:$U$1005,1,MATCH(COLUMNS($Q$1006:S1006),$Q$1006:$U$1006,0))&gt;=100000), " ",IF(INDEX($Q$2:$U$1001,MATCH(ROWS($J$2:J684),$J$2:$J$1001,0),MATCH(COLUMNS($Q$1006:S1006),$Q$1006:$U$1006,0)), HYPERLINK("#",""), HYPERLINK(CONCATENATE("#metadata!", ADDRESS(INDEX($L$2:$L$1001,MATCH(ROWS($J$2:J684),$J$2:$J$1001,0),0), INDEX($Q$1004:$U$1004,1,MATCH(COLUMNS($Q$1006:S1006),$Q$1006:$U$1006,0)))),"Fix")))</f>
        <v xml:space="preserve"> </v>
      </c>
      <c r="E684" s="3" t="str">
        <f ca="1">IF(OR(INDEX($K$2:$K$1001,MATCH(ROWS($J$2:J684),$J$2:$J$1001,0),1)&gt;=100000,INDEX($Q$1005:$U$1005,1,MATCH(COLUMNS($Q$1006:T1006),$Q$1006:$U$1006,0))&gt;=100000), " ",IF(INDEX($Q$2:$U$1001,MATCH(ROWS($J$2:J684),$J$2:$J$1001,0),MATCH(COLUMNS($Q$1006:T1006),$Q$1006:$U$1006,0)), HYPERLINK("#",""), HYPERLINK(CONCATENATE("#metadata!", ADDRESS(INDEX($L$2:$L$1001,MATCH(ROWS($J$2:J684),$J$2:$J$1001,0),0), INDEX($Q$1004:$U$1004,1,MATCH(COLUMNS($Q$1006:T1006),$Q$1006:$U$1006,0)))),"Fix")))</f>
        <v xml:space="preserve"> </v>
      </c>
      <c r="F684" s="3" t="str">
        <f ca="1">IF(OR(INDEX($K$2:$K$1001,MATCH(ROWS($J$2:J684),$J$2:$J$1001,0),1)&gt;=100000,INDEX($Q$1005:$U$1005,1,MATCH(COLUMNS($Q$1006:U1006),$Q$1006:$U$1006,0))&gt;=100000), " ",IF(INDEX($Q$2:$U$1001,MATCH(ROWS($J$2:J684),$J$2:$J$1001,0),MATCH(COLUMNS($Q$1006:U1006),$Q$1006:$U$1006,0)), HYPERLINK("#",""), HYPERLINK(CONCATENATE("#metadata!", ADDRESS(INDEX($L$2:$L$1001,MATCH(ROWS($J$2:J684),$J$2:$J$1001,0),0), INDEX($Q$1004:$U$1004,1,MATCH(COLUMNS($Q$1006:U1006),$Q$1006:$U$1006,0)))),"Fix")))</f>
        <v xml:space="preserve"> </v>
      </c>
      <c r="J684">
        <v>683</v>
      </c>
      <c r="K684">
        <v>100684</v>
      </c>
      <c r="L684">
        <v>684</v>
      </c>
      <c r="M684" t="b">
        <f t="shared" si="10"/>
        <v>1</v>
      </c>
      <c r="N684" t="b">
        <f>COUNTBLANK(metadata!B684:F684)=COLUMNS(metadata!B684:F684)</f>
        <v>1</v>
      </c>
      <c r="O684" t="str">
        <v/>
      </c>
      <c r="Q684" t="b">
        <f ca="1">AND(IF(metadata!B684="",FALSE,TRUE),COUNTIF(metadata!B:B, metadata!B684) = 1,NOT(ISERROR(SUMPRODUCT(SEARCH(MID(metadata!B684,ROW(INDIRECT("1:"&amp;LEN(metadata!B684))), 1),"0123456789abcdefghijklmnopqrstuvwxyzABCDEFGHIJKLMNOPQRSTUVWXYZ.")))))</f>
        <v>0</v>
      </c>
      <c r="R684" t="b">
        <f>AND(IF(metadata!C684="",FALSE,TRUE),OR(EXACT(metadata!C684,"saline"),EXACT(metadata!C684,"non-saline")))</f>
        <v>0</v>
      </c>
      <c r="S684" t="b">
        <f>AND(IF(metadata!D684="",FALSE,TRUE),OR(EXACT(metadata!D684,"surface (non-saline)"),EXACT(metadata!D684,"aerosol (non-saline)"),EXACT(metadata!D684,"sediment (non-saline)"),EXACT(metadata!D684,"surface (saline)"),EXACT(metadata!D684,"aerosol (saline)"),EXACT(metadata!D684,"sediment (saline)")))</f>
        <v>0</v>
      </c>
      <c r="T684" t="b">
        <f>AND(IF(metadata!E684="",FALSE,TRUE),EXACT(metadata!E684,"built environment"))</f>
        <v>0</v>
      </c>
      <c r="U684" t="b">
        <f>OR(AND(IF(metadata!F684="",FALSE,TRUE),EXACT(metadata!F684,"not applicable")),AND(IF(metadata!F684="",FALSE,TRUE),EXACT(metadata!F684,"anaerobic digester content")))</f>
        <v>0</v>
      </c>
    </row>
    <row r="685" spans="1:21" x14ac:dyDescent="0.2">
      <c r="A685" s="4" t="str">
        <f ca="1">IF(B685=" "," ",HYPERLINK(CONCATENATE("#metadata!",ADDRESS(INDEX($L$2:$L$1001,MATCH(ROWS($J$2:J685),$J$2:$J$1001,0),0),1)),INDEX($O$2:$O$1001,MATCH(ROWS($J$2:J685),$J$2:$J$1001,0),0)))</f>
        <v xml:space="preserve"> </v>
      </c>
      <c r="B685" s="3" t="str">
        <f ca="1">IF(OR(INDEX($K$2:$K$1001,MATCH(ROWS($J$2:J685),$J$2:$J$1001,0),1)&gt;=100000,INDEX($Q$1005:$U$1005,1,MATCH(COLUMNS($Q$1006:Q1006),$Q$1006:$U$1006,0))&gt;=100000), " ",IF(INDEX($Q$2:$U$1001,MATCH(ROWS($J$2:J685),$J$2:$J$1001,0),MATCH(COLUMNS($Q$1006:Q1006),$Q$1006:$U$1006,0)), HYPERLINK("#",""), HYPERLINK(CONCATENATE("#metadata!", ADDRESS(INDEX($L$2:$L$1001,MATCH(ROWS($J$2:J685),$J$2:$J$1001,0),0), INDEX($Q$1004:$U$1004,1,MATCH(COLUMNS($Q$1006:Q1006),$Q$1006:$U$1006,0)))),"Fix")))</f>
        <v xml:space="preserve"> </v>
      </c>
      <c r="C685" s="3" t="str">
        <f ca="1">IF(OR(INDEX($K$2:$K$1001,MATCH(ROWS($J$2:J685),$J$2:$J$1001,0),1)&gt;=100000,INDEX($Q$1005:$U$1005,1,MATCH(COLUMNS($Q$1006:R1006),$Q$1006:$U$1006,0))&gt;=100000), " ",IF(INDEX($Q$2:$U$1001,MATCH(ROWS($J$2:J685),$J$2:$J$1001,0),MATCH(COLUMNS($Q$1006:R1006),$Q$1006:$U$1006,0)), HYPERLINK("#",""), HYPERLINK(CONCATENATE("#metadata!", ADDRESS(INDEX($L$2:$L$1001,MATCH(ROWS($J$2:J685),$J$2:$J$1001,0),0), INDEX($Q$1004:$U$1004,1,MATCH(COLUMNS($Q$1006:R1006),$Q$1006:$U$1006,0)))),"Fix")))</f>
        <v xml:space="preserve"> </v>
      </c>
      <c r="D685" s="3" t="str">
        <f ca="1">IF(OR(INDEX($K$2:$K$1001,MATCH(ROWS($J$2:J685),$J$2:$J$1001,0),1)&gt;=100000,INDEX($Q$1005:$U$1005,1,MATCH(COLUMNS($Q$1006:S1006),$Q$1006:$U$1006,0))&gt;=100000), " ",IF(INDEX($Q$2:$U$1001,MATCH(ROWS($J$2:J685),$J$2:$J$1001,0),MATCH(COLUMNS($Q$1006:S1006),$Q$1006:$U$1006,0)), HYPERLINK("#",""), HYPERLINK(CONCATENATE("#metadata!", ADDRESS(INDEX($L$2:$L$1001,MATCH(ROWS($J$2:J685),$J$2:$J$1001,0),0), INDEX($Q$1004:$U$1004,1,MATCH(COLUMNS($Q$1006:S1006),$Q$1006:$U$1006,0)))),"Fix")))</f>
        <v xml:space="preserve"> </v>
      </c>
      <c r="E685" s="3" t="str">
        <f ca="1">IF(OR(INDEX($K$2:$K$1001,MATCH(ROWS($J$2:J685),$J$2:$J$1001,0),1)&gt;=100000,INDEX($Q$1005:$U$1005,1,MATCH(COLUMNS($Q$1006:T1006),$Q$1006:$U$1006,0))&gt;=100000), " ",IF(INDEX($Q$2:$U$1001,MATCH(ROWS($J$2:J685),$J$2:$J$1001,0),MATCH(COLUMNS($Q$1006:T1006),$Q$1006:$U$1006,0)), HYPERLINK("#",""), HYPERLINK(CONCATENATE("#metadata!", ADDRESS(INDEX($L$2:$L$1001,MATCH(ROWS($J$2:J685),$J$2:$J$1001,0),0), INDEX($Q$1004:$U$1004,1,MATCH(COLUMNS($Q$1006:T1006),$Q$1006:$U$1006,0)))),"Fix")))</f>
        <v xml:space="preserve"> </v>
      </c>
      <c r="F685" s="3" t="str">
        <f ca="1">IF(OR(INDEX($K$2:$K$1001,MATCH(ROWS($J$2:J685),$J$2:$J$1001,0),1)&gt;=100000,INDEX($Q$1005:$U$1005,1,MATCH(COLUMNS($Q$1006:U1006),$Q$1006:$U$1006,0))&gt;=100000), " ",IF(INDEX($Q$2:$U$1001,MATCH(ROWS($J$2:J685),$J$2:$J$1001,0),MATCH(COLUMNS($Q$1006:U1006),$Q$1006:$U$1006,0)), HYPERLINK("#",""), HYPERLINK(CONCATENATE("#metadata!", ADDRESS(INDEX($L$2:$L$1001,MATCH(ROWS($J$2:J685),$J$2:$J$1001,0),0), INDEX($Q$1004:$U$1004,1,MATCH(COLUMNS($Q$1006:U1006),$Q$1006:$U$1006,0)))),"Fix")))</f>
        <v xml:space="preserve"> </v>
      </c>
      <c r="J685">
        <v>684</v>
      </c>
      <c r="K685">
        <v>100685</v>
      </c>
      <c r="L685">
        <v>685</v>
      </c>
      <c r="M685" t="b">
        <f t="shared" si="10"/>
        <v>1</v>
      </c>
      <c r="N685" t="b">
        <f>COUNTBLANK(metadata!B685:F685)=COLUMNS(metadata!B685:F685)</f>
        <v>1</v>
      </c>
      <c r="O685" t="str">
        <v/>
      </c>
      <c r="Q685" t="b">
        <f ca="1">AND(IF(metadata!B685="",FALSE,TRUE),COUNTIF(metadata!B:B, metadata!B685) = 1,NOT(ISERROR(SUMPRODUCT(SEARCH(MID(metadata!B685,ROW(INDIRECT("1:"&amp;LEN(metadata!B685))), 1),"0123456789abcdefghijklmnopqrstuvwxyzABCDEFGHIJKLMNOPQRSTUVWXYZ.")))))</f>
        <v>0</v>
      </c>
      <c r="R685" t="b">
        <f>AND(IF(metadata!C685="",FALSE,TRUE),OR(EXACT(metadata!C685,"saline"),EXACT(metadata!C685,"non-saline")))</f>
        <v>0</v>
      </c>
      <c r="S685" t="b">
        <f>AND(IF(metadata!D685="",FALSE,TRUE),OR(EXACT(metadata!D685,"surface (non-saline)"),EXACT(metadata!D685,"aerosol (non-saline)"),EXACT(metadata!D685,"sediment (non-saline)"),EXACT(metadata!D685,"surface (saline)"),EXACT(metadata!D685,"aerosol (saline)"),EXACT(metadata!D685,"sediment (saline)")))</f>
        <v>0</v>
      </c>
      <c r="T685" t="b">
        <f>AND(IF(metadata!E685="",FALSE,TRUE),EXACT(metadata!E685,"built environment"))</f>
        <v>0</v>
      </c>
      <c r="U685" t="b">
        <f>OR(AND(IF(metadata!F685="",FALSE,TRUE),EXACT(metadata!F685,"not applicable")),AND(IF(metadata!F685="",FALSE,TRUE),EXACT(metadata!F685,"anaerobic digester content")))</f>
        <v>0</v>
      </c>
    </row>
    <row r="686" spans="1:21" x14ac:dyDescent="0.2">
      <c r="A686" s="4" t="str">
        <f ca="1">IF(B686=" "," ",HYPERLINK(CONCATENATE("#metadata!",ADDRESS(INDEX($L$2:$L$1001,MATCH(ROWS($J$2:J686),$J$2:$J$1001,0),0),1)),INDEX($O$2:$O$1001,MATCH(ROWS($J$2:J686),$J$2:$J$1001,0),0)))</f>
        <v xml:space="preserve"> </v>
      </c>
      <c r="B686" s="3" t="str">
        <f ca="1">IF(OR(INDEX($K$2:$K$1001,MATCH(ROWS($J$2:J686),$J$2:$J$1001,0),1)&gt;=100000,INDEX($Q$1005:$U$1005,1,MATCH(COLUMNS($Q$1006:Q1006),$Q$1006:$U$1006,0))&gt;=100000), " ",IF(INDEX($Q$2:$U$1001,MATCH(ROWS($J$2:J686),$J$2:$J$1001,0),MATCH(COLUMNS($Q$1006:Q1006),$Q$1006:$U$1006,0)), HYPERLINK("#",""), HYPERLINK(CONCATENATE("#metadata!", ADDRESS(INDEX($L$2:$L$1001,MATCH(ROWS($J$2:J686),$J$2:$J$1001,0),0), INDEX($Q$1004:$U$1004,1,MATCH(COLUMNS($Q$1006:Q1006),$Q$1006:$U$1006,0)))),"Fix")))</f>
        <v xml:space="preserve"> </v>
      </c>
      <c r="C686" s="3" t="str">
        <f ca="1">IF(OR(INDEX($K$2:$K$1001,MATCH(ROWS($J$2:J686),$J$2:$J$1001,0),1)&gt;=100000,INDEX($Q$1005:$U$1005,1,MATCH(COLUMNS($Q$1006:R1006),$Q$1006:$U$1006,0))&gt;=100000), " ",IF(INDEX($Q$2:$U$1001,MATCH(ROWS($J$2:J686),$J$2:$J$1001,0),MATCH(COLUMNS($Q$1006:R1006),$Q$1006:$U$1006,0)), HYPERLINK("#",""), HYPERLINK(CONCATENATE("#metadata!", ADDRESS(INDEX($L$2:$L$1001,MATCH(ROWS($J$2:J686),$J$2:$J$1001,0),0), INDEX($Q$1004:$U$1004,1,MATCH(COLUMNS($Q$1006:R1006),$Q$1006:$U$1006,0)))),"Fix")))</f>
        <v xml:space="preserve"> </v>
      </c>
      <c r="D686" s="3" t="str">
        <f ca="1">IF(OR(INDEX($K$2:$K$1001,MATCH(ROWS($J$2:J686),$J$2:$J$1001,0),1)&gt;=100000,INDEX($Q$1005:$U$1005,1,MATCH(COLUMNS($Q$1006:S1006),$Q$1006:$U$1006,0))&gt;=100000), " ",IF(INDEX($Q$2:$U$1001,MATCH(ROWS($J$2:J686),$J$2:$J$1001,0),MATCH(COLUMNS($Q$1006:S1006),$Q$1006:$U$1006,0)), HYPERLINK("#",""), HYPERLINK(CONCATENATE("#metadata!", ADDRESS(INDEX($L$2:$L$1001,MATCH(ROWS($J$2:J686),$J$2:$J$1001,0),0), INDEX($Q$1004:$U$1004,1,MATCH(COLUMNS($Q$1006:S1006),$Q$1006:$U$1006,0)))),"Fix")))</f>
        <v xml:space="preserve"> </v>
      </c>
      <c r="E686" s="3" t="str">
        <f ca="1">IF(OR(INDEX($K$2:$K$1001,MATCH(ROWS($J$2:J686),$J$2:$J$1001,0),1)&gt;=100000,INDEX($Q$1005:$U$1005,1,MATCH(COLUMNS($Q$1006:T1006),$Q$1006:$U$1006,0))&gt;=100000), " ",IF(INDEX($Q$2:$U$1001,MATCH(ROWS($J$2:J686),$J$2:$J$1001,0),MATCH(COLUMNS($Q$1006:T1006),$Q$1006:$U$1006,0)), HYPERLINK("#",""), HYPERLINK(CONCATENATE("#metadata!", ADDRESS(INDEX($L$2:$L$1001,MATCH(ROWS($J$2:J686),$J$2:$J$1001,0),0), INDEX($Q$1004:$U$1004,1,MATCH(COLUMNS($Q$1006:T1006),$Q$1006:$U$1006,0)))),"Fix")))</f>
        <v xml:space="preserve"> </v>
      </c>
      <c r="F686" s="3" t="str">
        <f ca="1">IF(OR(INDEX($K$2:$K$1001,MATCH(ROWS($J$2:J686),$J$2:$J$1001,0),1)&gt;=100000,INDEX($Q$1005:$U$1005,1,MATCH(COLUMNS($Q$1006:U1006),$Q$1006:$U$1006,0))&gt;=100000), " ",IF(INDEX($Q$2:$U$1001,MATCH(ROWS($J$2:J686),$J$2:$J$1001,0),MATCH(COLUMNS($Q$1006:U1006),$Q$1006:$U$1006,0)), HYPERLINK("#",""), HYPERLINK(CONCATENATE("#metadata!", ADDRESS(INDEX($L$2:$L$1001,MATCH(ROWS($J$2:J686),$J$2:$J$1001,0),0), INDEX($Q$1004:$U$1004,1,MATCH(COLUMNS($Q$1006:U1006),$Q$1006:$U$1006,0)))),"Fix")))</f>
        <v xml:space="preserve"> </v>
      </c>
      <c r="J686">
        <v>685</v>
      </c>
      <c r="K686">
        <v>100686</v>
      </c>
      <c r="L686">
        <v>686</v>
      </c>
      <c r="M686" t="b">
        <f t="shared" si="10"/>
        <v>1</v>
      </c>
      <c r="N686" t="b">
        <f>COUNTBLANK(metadata!B686:F686)=COLUMNS(metadata!B686:F686)</f>
        <v>1</v>
      </c>
      <c r="O686" t="str">
        <v/>
      </c>
      <c r="Q686" t="b">
        <f ca="1">AND(IF(metadata!B686="",FALSE,TRUE),COUNTIF(metadata!B:B, metadata!B686) = 1,NOT(ISERROR(SUMPRODUCT(SEARCH(MID(metadata!B686,ROW(INDIRECT("1:"&amp;LEN(metadata!B686))), 1),"0123456789abcdefghijklmnopqrstuvwxyzABCDEFGHIJKLMNOPQRSTUVWXYZ.")))))</f>
        <v>0</v>
      </c>
      <c r="R686" t="b">
        <f>AND(IF(metadata!C686="",FALSE,TRUE),OR(EXACT(metadata!C686,"saline"),EXACT(metadata!C686,"non-saline")))</f>
        <v>0</v>
      </c>
      <c r="S686" t="b">
        <f>AND(IF(metadata!D686="",FALSE,TRUE),OR(EXACT(metadata!D686,"surface (non-saline)"),EXACT(metadata!D686,"aerosol (non-saline)"),EXACT(metadata!D686,"sediment (non-saline)"),EXACT(metadata!D686,"surface (saline)"),EXACT(metadata!D686,"aerosol (saline)"),EXACT(metadata!D686,"sediment (saline)")))</f>
        <v>0</v>
      </c>
      <c r="T686" t="b">
        <f>AND(IF(metadata!E686="",FALSE,TRUE),EXACT(metadata!E686,"built environment"))</f>
        <v>0</v>
      </c>
      <c r="U686" t="b">
        <f>OR(AND(IF(metadata!F686="",FALSE,TRUE),EXACT(metadata!F686,"not applicable")),AND(IF(metadata!F686="",FALSE,TRUE),EXACT(metadata!F686,"anaerobic digester content")))</f>
        <v>0</v>
      </c>
    </row>
    <row r="687" spans="1:21" x14ac:dyDescent="0.2">
      <c r="A687" s="4" t="str">
        <f ca="1">IF(B687=" "," ",HYPERLINK(CONCATENATE("#metadata!",ADDRESS(INDEX($L$2:$L$1001,MATCH(ROWS($J$2:J687),$J$2:$J$1001,0),0),1)),INDEX($O$2:$O$1001,MATCH(ROWS($J$2:J687),$J$2:$J$1001,0),0)))</f>
        <v xml:space="preserve"> </v>
      </c>
      <c r="B687" s="3" t="str">
        <f ca="1">IF(OR(INDEX($K$2:$K$1001,MATCH(ROWS($J$2:J687),$J$2:$J$1001,0),1)&gt;=100000,INDEX($Q$1005:$U$1005,1,MATCH(COLUMNS($Q$1006:Q1006),$Q$1006:$U$1006,0))&gt;=100000), " ",IF(INDEX($Q$2:$U$1001,MATCH(ROWS($J$2:J687),$J$2:$J$1001,0),MATCH(COLUMNS($Q$1006:Q1006),$Q$1006:$U$1006,0)), HYPERLINK("#",""), HYPERLINK(CONCATENATE("#metadata!", ADDRESS(INDEX($L$2:$L$1001,MATCH(ROWS($J$2:J687),$J$2:$J$1001,0),0), INDEX($Q$1004:$U$1004,1,MATCH(COLUMNS($Q$1006:Q1006),$Q$1006:$U$1006,0)))),"Fix")))</f>
        <v xml:space="preserve"> </v>
      </c>
      <c r="C687" s="3" t="str">
        <f ca="1">IF(OR(INDEX($K$2:$K$1001,MATCH(ROWS($J$2:J687),$J$2:$J$1001,0),1)&gt;=100000,INDEX($Q$1005:$U$1005,1,MATCH(COLUMNS($Q$1006:R1006),$Q$1006:$U$1006,0))&gt;=100000), " ",IF(INDEX($Q$2:$U$1001,MATCH(ROWS($J$2:J687),$J$2:$J$1001,0),MATCH(COLUMNS($Q$1006:R1006),$Q$1006:$U$1006,0)), HYPERLINK("#",""), HYPERLINK(CONCATENATE("#metadata!", ADDRESS(INDEX($L$2:$L$1001,MATCH(ROWS($J$2:J687),$J$2:$J$1001,0),0), INDEX($Q$1004:$U$1004,1,MATCH(COLUMNS($Q$1006:R1006),$Q$1006:$U$1006,0)))),"Fix")))</f>
        <v xml:space="preserve"> </v>
      </c>
      <c r="D687" s="3" t="str">
        <f ca="1">IF(OR(INDEX($K$2:$K$1001,MATCH(ROWS($J$2:J687),$J$2:$J$1001,0),1)&gt;=100000,INDEX($Q$1005:$U$1005,1,MATCH(COLUMNS($Q$1006:S1006),$Q$1006:$U$1006,0))&gt;=100000), " ",IF(INDEX($Q$2:$U$1001,MATCH(ROWS($J$2:J687),$J$2:$J$1001,0),MATCH(COLUMNS($Q$1006:S1006),$Q$1006:$U$1006,0)), HYPERLINK("#",""), HYPERLINK(CONCATENATE("#metadata!", ADDRESS(INDEX($L$2:$L$1001,MATCH(ROWS($J$2:J687),$J$2:$J$1001,0),0), INDEX($Q$1004:$U$1004,1,MATCH(COLUMNS($Q$1006:S1006),$Q$1006:$U$1006,0)))),"Fix")))</f>
        <v xml:space="preserve"> </v>
      </c>
      <c r="E687" s="3" t="str">
        <f ca="1">IF(OR(INDEX($K$2:$K$1001,MATCH(ROWS($J$2:J687),$J$2:$J$1001,0),1)&gt;=100000,INDEX($Q$1005:$U$1005,1,MATCH(COLUMNS($Q$1006:T1006),$Q$1006:$U$1006,0))&gt;=100000), " ",IF(INDEX($Q$2:$U$1001,MATCH(ROWS($J$2:J687),$J$2:$J$1001,0),MATCH(COLUMNS($Q$1006:T1006),$Q$1006:$U$1006,0)), HYPERLINK("#",""), HYPERLINK(CONCATENATE("#metadata!", ADDRESS(INDEX($L$2:$L$1001,MATCH(ROWS($J$2:J687),$J$2:$J$1001,0),0), INDEX($Q$1004:$U$1004,1,MATCH(COLUMNS($Q$1006:T1006),$Q$1006:$U$1006,0)))),"Fix")))</f>
        <v xml:space="preserve"> </v>
      </c>
      <c r="F687" s="3" t="str">
        <f ca="1">IF(OR(INDEX($K$2:$K$1001,MATCH(ROWS($J$2:J687),$J$2:$J$1001,0),1)&gt;=100000,INDEX($Q$1005:$U$1005,1,MATCH(COLUMNS($Q$1006:U1006),$Q$1006:$U$1006,0))&gt;=100000), " ",IF(INDEX($Q$2:$U$1001,MATCH(ROWS($J$2:J687),$J$2:$J$1001,0),MATCH(COLUMNS($Q$1006:U1006),$Q$1006:$U$1006,0)), HYPERLINK("#",""), HYPERLINK(CONCATENATE("#metadata!", ADDRESS(INDEX($L$2:$L$1001,MATCH(ROWS($J$2:J687),$J$2:$J$1001,0),0), INDEX($Q$1004:$U$1004,1,MATCH(COLUMNS($Q$1006:U1006),$Q$1006:$U$1006,0)))),"Fix")))</f>
        <v xml:space="preserve"> </v>
      </c>
      <c r="J687">
        <v>686</v>
      </c>
      <c r="K687">
        <v>100687</v>
      </c>
      <c r="L687">
        <v>687</v>
      </c>
      <c r="M687" t="b">
        <f t="shared" si="10"/>
        <v>1</v>
      </c>
      <c r="N687" t="b">
        <f>COUNTBLANK(metadata!B687:F687)=COLUMNS(metadata!B687:F687)</f>
        <v>1</v>
      </c>
      <c r="O687" t="str">
        <v/>
      </c>
      <c r="Q687" t="b">
        <f ca="1">AND(IF(metadata!B687="",FALSE,TRUE),COUNTIF(metadata!B:B, metadata!B687) = 1,NOT(ISERROR(SUMPRODUCT(SEARCH(MID(metadata!B687,ROW(INDIRECT("1:"&amp;LEN(metadata!B687))), 1),"0123456789abcdefghijklmnopqrstuvwxyzABCDEFGHIJKLMNOPQRSTUVWXYZ.")))))</f>
        <v>0</v>
      </c>
      <c r="R687" t="b">
        <f>AND(IF(metadata!C687="",FALSE,TRUE),OR(EXACT(metadata!C687,"saline"),EXACT(metadata!C687,"non-saline")))</f>
        <v>0</v>
      </c>
      <c r="S687" t="b">
        <f>AND(IF(metadata!D687="",FALSE,TRUE),OR(EXACT(metadata!D687,"surface (non-saline)"),EXACT(metadata!D687,"aerosol (non-saline)"),EXACT(metadata!D687,"sediment (non-saline)"),EXACT(metadata!D687,"surface (saline)"),EXACT(metadata!D687,"aerosol (saline)"),EXACT(metadata!D687,"sediment (saline)")))</f>
        <v>0</v>
      </c>
      <c r="T687" t="b">
        <f>AND(IF(metadata!E687="",FALSE,TRUE),EXACT(metadata!E687,"built environment"))</f>
        <v>0</v>
      </c>
      <c r="U687" t="b">
        <f>OR(AND(IF(metadata!F687="",FALSE,TRUE),EXACT(metadata!F687,"not applicable")),AND(IF(metadata!F687="",FALSE,TRUE),EXACT(metadata!F687,"anaerobic digester content")))</f>
        <v>0</v>
      </c>
    </row>
    <row r="688" spans="1:21" x14ac:dyDescent="0.2">
      <c r="A688" s="4" t="str">
        <f ca="1">IF(B688=" "," ",HYPERLINK(CONCATENATE("#metadata!",ADDRESS(INDEX($L$2:$L$1001,MATCH(ROWS($J$2:J688),$J$2:$J$1001,0),0),1)),INDEX($O$2:$O$1001,MATCH(ROWS($J$2:J688),$J$2:$J$1001,0),0)))</f>
        <v xml:space="preserve"> </v>
      </c>
      <c r="B688" s="3" t="str">
        <f ca="1">IF(OR(INDEX($K$2:$K$1001,MATCH(ROWS($J$2:J688),$J$2:$J$1001,0),1)&gt;=100000,INDEX($Q$1005:$U$1005,1,MATCH(COLUMNS($Q$1006:Q1006),$Q$1006:$U$1006,0))&gt;=100000), " ",IF(INDEX($Q$2:$U$1001,MATCH(ROWS($J$2:J688),$J$2:$J$1001,0),MATCH(COLUMNS($Q$1006:Q1006),$Q$1006:$U$1006,0)), HYPERLINK("#",""), HYPERLINK(CONCATENATE("#metadata!", ADDRESS(INDEX($L$2:$L$1001,MATCH(ROWS($J$2:J688),$J$2:$J$1001,0),0), INDEX($Q$1004:$U$1004,1,MATCH(COLUMNS($Q$1006:Q1006),$Q$1006:$U$1006,0)))),"Fix")))</f>
        <v xml:space="preserve"> </v>
      </c>
      <c r="C688" s="3" t="str">
        <f ca="1">IF(OR(INDEX($K$2:$K$1001,MATCH(ROWS($J$2:J688),$J$2:$J$1001,0),1)&gt;=100000,INDEX($Q$1005:$U$1005,1,MATCH(COLUMNS($Q$1006:R1006),$Q$1006:$U$1006,0))&gt;=100000), " ",IF(INDEX($Q$2:$U$1001,MATCH(ROWS($J$2:J688),$J$2:$J$1001,0),MATCH(COLUMNS($Q$1006:R1006),$Q$1006:$U$1006,0)), HYPERLINK("#",""), HYPERLINK(CONCATENATE("#metadata!", ADDRESS(INDEX($L$2:$L$1001,MATCH(ROWS($J$2:J688),$J$2:$J$1001,0),0), INDEX($Q$1004:$U$1004,1,MATCH(COLUMNS($Q$1006:R1006),$Q$1006:$U$1006,0)))),"Fix")))</f>
        <v xml:space="preserve"> </v>
      </c>
      <c r="D688" s="3" t="str">
        <f ca="1">IF(OR(INDEX($K$2:$K$1001,MATCH(ROWS($J$2:J688),$J$2:$J$1001,0),1)&gt;=100000,INDEX($Q$1005:$U$1005,1,MATCH(COLUMNS($Q$1006:S1006),$Q$1006:$U$1006,0))&gt;=100000), " ",IF(INDEX($Q$2:$U$1001,MATCH(ROWS($J$2:J688),$J$2:$J$1001,0),MATCH(COLUMNS($Q$1006:S1006),$Q$1006:$U$1006,0)), HYPERLINK("#",""), HYPERLINK(CONCATENATE("#metadata!", ADDRESS(INDEX($L$2:$L$1001,MATCH(ROWS($J$2:J688),$J$2:$J$1001,0),0), INDEX($Q$1004:$U$1004,1,MATCH(COLUMNS($Q$1006:S1006),$Q$1006:$U$1006,0)))),"Fix")))</f>
        <v xml:space="preserve"> </v>
      </c>
      <c r="E688" s="3" t="str">
        <f ca="1">IF(OR(INDEX($K$2:$K$1001,MATCH(ROWS($J$2:J688),$J$2:$J$1001,0),1)&gt;=100000,INDEX($Q$1005:$U$1005,1,MATCH(COLUMNS($Q$1006:T1006),$Q$1006:$U$1006,0))&gt;=100000), " ",IF(INDEX($Q$2:$U$1001,MATCH(ROWS($J$2:J688),$J$2:$J$1001,0),MATCH(COLUMNS($Q$1006:T1006),$Q$1006:$U$1006,0)), HYPERLINK("#",""), HYPERLINK(CONCATENATE("#metadata!", ADDRESS(INDEX($L$2:$L$1001,MATCH(ROWS($J$2:J688),$J$2:$J$1001,0),0), INDEX($Q$1004:$U$1004,1,MATCH(COLUMNS($Q$1006:T1006),$Q$1006:$U$1006,0)))),"Fix")))</f>
        <v xml:space="preserve"> </v>
      </c>
      <c r="F688" s="3" t="str">
        <f ca="1">IF(OR(INDEX($K$2:$K$1001,MATCH(ROWS($J$2:J688),$J$2:$J$1001,0),1)&gt;=100000,INDEX($Q$1005:$U$1005,1,MATCH(COLUMNS($Q$1006:U1006),$Q$1006:$U$1006,0))&gt;=100000), " ",IF(INDEX($Q$2:$U$1001,MATCH(ROWS($J$2:J688),$J$2:$J$1001,0),MATCH(COLUMNS($Q$1006:U1006),$Q$1006:$U$1006,0)), HYPERLINK("#",""), HYPERLINK(CONCATENATE("#metadata!", ADDRESS(INDEX($L$2:$L$1001,MATCH(ROWS($J$2:J688),$J$2:$J$1001,0),0), INDEX($Q$1004:$U$1004,1,MATCH(COLUMNS($Q$1006:U1006),$Q$1006:$U$1006,0)))),"Fix")))</f>
        <v xml:space="preserve"> </v>
      </c>
      <c r="J688">
        <v>687</v>
      </c>
      <c r="K688">
        <v>100688</v>
      </c>
      <c r="L688">
        <v>688</v>
      </c>
      <c r="M688" t="b">
        <f t="shared" si="10"/>
        <v>1</v>
      </c>
      <c r="N688" t="b">
        <f>COUNTBLANK(metadata!B688:F688)=COLUMNS(metadata!B688:F688)</f>
        <v>1</v>
      </c>
      <c r="O688" t="str">
        <v/>
      </c>
      <c r="Q688" t="b">
        <f ca="1">AND(IF(metadata!B688="",FALSE,TRUE),COUNTIF(metadata!B:B, metadata!B688) = 1,NOT(ISERROR(SUMPRODUCT(SEARCH(MID(metadata!B688,ROW(INDIRECT("1:"&amp;LEN(metadata!B688))), 1),"0123456789abcdefghijklmnopqrstuvwxyzABCDEFGHIJKLMNOPQRSTUVWXYZ.")))))</f>
        <v>0</v>
      </c>
      <c r="R688" t="b">
        <f>AND(IF(metadata!C688="",FALSE,TRUE),OR(EXACT(metadata!C688,"saline"),EXACT(metadata!C688,"non-saline")))</f>
        <v>0</v>
      </c>
      <c r="S688" t="b">
        <f>AND(IF(metadata!D688="",FALSE,TRUE),OR(EXACT(metadata!D688,"surface (non-saline)"),EXACT(metadata!D688,"aerosol (non-saline)"),EXACT(metadata!D688,"sediment (non-saline)"),EXACT(metadata!D688,"surface (saline)"),EXACT(metadata!D688,"aerosol (saline)"),EXACT(metadata!D688,"sediment (saline)")))</f>
        <v>0</v>
      </c>
      <c r="T688" t="b">
        <f>AND(IF(metadata!E688="",FALSE,TRUE),EXACT(metadata!E688,"built environment"))</f>
        <v>0</v>
      </c>
      <c r="U688" t="b">
        <f>OR(AND(IF(metadata!F688="",FALSE,TRUE),EXACT(metadata!F688,"not applicable")),AND(IF(metadata!F688="",FALSE,TRUE),EXACT(metadata!F688,"anaerobic digester content")))</f>
        <v>0</v>
      </c>
    </row>
    <row r="689" spans="1:21" x14ac:dyDescent="0.2">
      <c r="A689" s="4" t="str">
        <f ca="1">IF(B689=" "," ",HYPERLINK(CONCATENATE("#metadata!",ADDRESS(INDEX($L$2:$L$1001,MATCH(ROWS($J$2:J689),$J$2:$J$1001,0),0),1)),INDEX($O$2:$O$1001,MATCH(ROWS($J$2:J689),$J$2:$J$1001,0),0)))</f>
        <v xml:space="preserve"> </v>
      </c>
      <c r="B689" s="3" t="str">
        <f ca="1">IF(OR(INDEX($K$2:$K$1001,MATCH(ROWS($J$2:J689),$J$2:$J$1001,0),1)&gt;=100000,INDEX($Q$1005:$U$1005,1,MATCH(COLUMNS($Q$1006:Q1006),$Q$1006:$U$1006,0))&gt;=100000), " ",IF(INDEX($Q$2:$U$1001,MATCH(ROWS($J$2:J689),$J$2:$J$1001,0),MATCH(COLUMNS($Q$1006:Q1006),$Q$1006:$U$1006,0)), HYPERLINK("#",""), HYPERLINK(CONCATENATE("#metadata!", ADDRESS(INDEX($L$2:$L$1001,MATCH(ROWS($J$2:J689),$J$2:$J$1001,0),0), INDEX($Q$1004:$U$1004,1,MATCH(COLUMNS($Q$1006:Q1006),$Q$1006:$U$1006,0)))),"Fix")))</f>
        <v xml:space="preserve"> </v>
      </c>
      <c r="C689" s="3" t="str">
        <f ca="1">IF(OR(INDEX($K$2:$K$1001,MATCH(ROWS($J$2:J689),$J$2:$J$1001,0),1)&gt;=100000,INDEX($Q$1005:$U$1005,1,MATCH(COLUMNS($Q$1006:R1006),$Q$1006:$U$1006,0))&gt;=100000), " ",IF(INDEX($Q$2:$U$1001,MATCH(ROWS($J$2:J689),$J$2:$J$1001,0),MATCH(COLUMNS($Q$1006:R1006),$Q$1006:$U$1006,0)), HYPERLINK("#",""), HYPERLINK(CONCATENATE("#metadata!", ADDRESS(INDEX($L$2:$L$1001,MATCH(ROWS($J$2:J689),$J$2:$J$1001,0),0), INDEX($Q$1004:$U$1004,1,MATCH(COLUMNS($Q$1006:R1006),$Q$1006:$U$1006,0)))),"Fix")))</f>
        <v xml:space="preserve"> </v>
      </c>
      <c r="D689" s="3" t="str">
        <f ca="1">IF(OR(INDEX($K$2:$K$1001,MATCH(ROWS($J$2:J689),$J$2:$J$1001,0),1)&gt;=100000,INDEX($Q$1005:$U$1005,1,MATCH(COLUMNS($Q$1006:S1006),$Q$1006:$U$1006,0))&gt;=100000), " ",IF(INDEX($Q$2:$U$1001,MATCH(ROWS($J$2:J689),$J$2:$J$1001,0),MATCH(COLUMNS($Q$1006:S1006),$Q$1006:$U$1006,0)), HYPERLINK("#",""), HYPERLINK(CONCATENATE("#metadata!", ADDRESS(INDEX($L$2:$L$1001,MATCH(ROWS($J$2:J689),$J$2:$J$1001,0),0), INDEX($Q$1004:$U$1004,1,MATCH(COLUMNS($Q$1006:S1006),$Q$1006:$U$1006,0)))),"Fix")))</f>
        <v xml:space="preserve"> </v>
      </c>
      <c r="E689" s="3" t="str">
        <f ca="1">IF(OR(INDEX($K$2:$K$1001,MATCH(ROWS($J$2:J689),$J$2:$J$1001,0),1)&gt;=100000,INDEX($Q$1005:$U$1005,1,MATCH(COLUMNS($Q$1006:T1006),$Q$1006:$U$1006,0))&gt;=100000), " ",IF(INDEX($Q$2:$U$1001,MATCH(ROWS($J$2:J689),$J$2:$J$1001,0),MATCH(COLUMNS($Q$1006:T1006),$Q$1006:$U$1006,0)), HYPERLINK("#",""), HYPERLINK(CONCATENATE("#metadata!", ADDRESS(INDEX($L$2:$L$1001,MATCH(ROWS($J$2:J689),$J$2:$J$1001,0),0), INDEX($Q$1004:$U$1004,1,MATCH(COLUMNS($Q$1006:T1006),$Q$1006:$U$1006,0)))),"Fix")))</f>
        <v xml:space="preserve"> </v>
      </c>
      <c r="F689" s="3" t="str">
        <f ca="1">IF(OR(INDEX($K$2:$K$1001,MATCH(ROWS($J$2:J689),$J$2:$J$1001,0),1)&gt;=100000,INDEX($Q$1005:$U$1005,1,MATCH(COLUMNS($Q$1006:U1006),$Q$1006:$U$1006,0))&gt;=100000), " ",IF(INDEX($Q$2:$U$1001,MATCH(ROWS($J$2:J689),$J$2:$J$1001,0),MATCH(COLUMNS($Q$1006:U1006),$Q$1006:$U$1006,0)), HYPERLINK("#",""), HYPERLINK(CONCATENATE("#metadata!", ADDRESS(INDEX($L$2:$L$1001,MATCH(ROWS($J$2:J689),$J$2:$J$1001,0),0), INDEX($Q$1004:$U$1004,1,MATCH(COLUMNS($Q$1006:U1006),$Q$1006:$U$1006,0)))),"Fix")))</f>
        <v xml:space="preserve"> </v>
      </c>
      <c r="J689">
        <v>688</v>
      </c>
      <c r="K689">
        <v>100689</v>
      </c>
      <c r="L689">
        <v>689</v>
      </c>
      <c r="M689" t="b">
        <f t="shared" si="10"/>
        <v>1</v>
      </c>
      <c r="N689" t="b">
        <f>COUNTBLANK(metadata!B689:F689)=COLUMNS(metadata!B689:F689)</f>
        <v>1</v>
      </c>
      <c r="O689" t="str">
        <v/>
      </c>
      <c r="Q689" t="b">
        <f ca="1">AND(IF(metadata!B689="",FALSE,TRUE),COUNTIF(metadata!B:B, metadata!B689) = 1,NOT(ISERROR(SUMPRODUCT(SEARCH(MID(metadata!B689,ROW(INDIRECT("1:"&amp;LEN(metadata!B689))), 1),"0123456789abcdefghijklmnopqrstuvwxyzABCDEFGHIJKLMNOPQRSTUVWXYZ.")))))</f>
        <v>0</v>
      </c>
      <c r="R689" t="b">
        <f>AND(IF(metadata!C689="",FALSE,TRUE),OR(EXACT(metadata!C689,"saline"),EXACT(metadata!C689,"non-saline")))</f>
        <v>0</v>
      </c>
      <c r="S689" t="b">
        <f>AND(IF(metadata!D689="",FALSE,TRUE),OR(EXACT(metadata!D689,"surface (non-saline)"),EXACT(metadata!D689,"aerosol (non-saline)"),EXACT(metadata!D689,"sediment (non-saline)"),EXACT(metadata!D689,"surface (saline)"),EXACT(metadata!D689,"aerosol (saline)"),EXACT(metadata!D689,"sediment (saline)")))</f>
        <v>0</v>
      </c>
      <c r="T689" t="b">
        <f>AND(IF(metadata!E689="",FALSE,TRUE),EXACT(metadata!E689,"built environment"))</f>
        <v>0</v>
      </c>
      <c r="U689" t="b">
        <f>OR(AND(IF(metadata!F689="",FALSE,TRUE),EXACT(metadata!F689,"not applicable")),AND(IF(metadata!F689="",FALSE,TRUE),EXACT(metadata!F689,"anaerobic digester content")))</f>
        <v>0</v>
      </c>
    </row>
    <row r="690" spans="1:21" x14ac:dyDescent="0.2">
      <c r="A690" s="4" t="str">
        <f ca="1">IF(B690=" "," ",HYPERLINK(CONCATENATE("#metadata!",ADDRESS(INDEX($L$2:$L$1001,MATCH(ROWS($J$2:J690),$J$2:$J$1001,0),0),1)),INDEX($O$2:$O$1001,MATCH(ROWS($J$2:J690),$J$2:$J$1001,0),0)))</f>
        <v xml:space="preserve"> </v>
      </c>
      <c r="B690" s="3" t="str">
        <f ca="1">IF(OR(INDEX($K$2:$K$1001,MATCH(ROWS($J$2:J690),$J$2:$J$1001,0),1)&gt;=100000,INDEX($Q$1005:$U$1005,1,MATCH(COLUMNS($Q$1006:Q1006),$Q$1006:$U$1006,0))&gt;=100000), " ",IF(INDEX($Q$2:$U$1001,MATCH(ROWS($J$2:J690),$J$2:$J$1001,0),MATCH(COLUMNS($Q$1006:Q1006),$Q$1006:$U$1006,0)), HYPERLINK("#",""), HYPERLINK(CONCATENATE("#metadata!", ADDRESS(INDEX($L$2:$L$1001,MATCH(ROWS($J$2:J690),$J$2:$J$1001,0),0), INDEX($Q$1004:$U$1004,1,MATCH(COLUMNS($Q$1006:Q1006),$Q$1006:$U$1006,0)))),"Fix")))</f>
        <v xml:space="preserve"> </v>
      </c>
      <c r="C690" s="3" t="str">
        <f ca="1">IF(OR(INDEX($K$2:$K$1001,MATCH(ROWS($J$2:J690),$J$2:$J$1001,0),1)&gt;=100000,INDEX($Q$1005:$U$1005,1,MATCH(COLUMNS($Q$1006:R1006),$Q$1006:$U$1006,0))&gt;=100000), " ",IF(INDEX($Q$2:$U$1001,MATCH(ROWS($J$2:J690),$J$2:$J$1001,0),MATCH(COLUMNS($Q$1006:R1006),$Q$1006:$U$1006,0)), HYPERLINK("#",""), HYPERLINK(CONCATENATE("#metadata!", ADDRESS(INDEX($L$2:$L$1001,MATCH(ROWS($J$2:J690),$J$2:$J$1001,0),0), INDEX($Q$1004:$U$1004,1,MATCH(COLUMNS($Q$1006:R1006),$Q$1006:$U$1006,0)))),"Fix")))</f>
        <v xml:space="preserve"> </v>
      </c>
      <c r="D690" s="3" t="str">
        <f ca="1">IF(OR(INDEX($K$2:$K$1001,MATCH(ROWS($J$2:J690),$J$2:$J$1001,0),1)&gt;=100000,INDEX($Q$1005:$U$1005,1,MATCH(COLUMNS($Q$1006:S1006),$Q$1006:$U$1006,0))&gt;=100000), " ",IF(INDEX($Q$2:$U$1001,MATCH(ROWS($J$2:J690),$J$2:$J$1001,0),MATCH(COLUMNS($Q$1006:S1006),$Q$1006:$U$1006,0)), HYPERLINK("#",""), HYPERLINK(CONCATENATE("#metadata!", ADDRESS(INDEX($L$2:$L$1001,MATCH(ROWS($J$2:J690),$J$2:$J$1001,0),0), INDEX($Q$1004:$U$1004,1,MATCH(COLUMNS($Q$1006:S1006),$Q$1006:$U$1006,0)))),"Fix")))</f>
        <v xml:space="preserve"> </v>
      </c>
      <c r="E690" s="3" t="str">
        <f ca="1">IF(OR(INDEX($K$2:$K$1001,MATCH(ROWS($J$2:J690),$J$2:$J$1001,0),1)&gt;=100000,INDEX($Q$1005:$U$1005,1,MATCH(COLUMNS($Q$1006:T1006),$Q$1006:$U$1006,0))&gt;=100000), " ",IF(INDEX($Q$2:$U$1001,MATCH(ROWS($J$2:J690),$J$2:$J$1001,0),MATCH(COLUMNS($Q$1006:T1006),$Q$1006:$U$1006,0)), HYPERLINK("#",""), HYPERLINK(CONCATENATE("#metadata!", ADDRESS(INDEX($L$2:$L$1001,MATCH(ROWS($J$2:J690),$J$2:$J$1001,0),0), INDEX($Q$1004:$U$1004,1,MATCH(COLUMNS($Q$1006:T1006),$Q$1006:$U$1006,0)))),"Fix")))</f>
        <v xml:space="preserve"> </v>
      </c>
      <c r="F690" s="3" t="str">
        <f ca="1">IF(OR(INDEX($K$2:$K$1001,MATCH(ROWS($J$2:J690),$J$2:$J$1001,0),1)&gt;=100000,INDEX($Q$1005:$U$1005,1,MATCH(COLUMNS($Q$1006:U1006),$Q$1006:$U$1006,0))&gt;=100000), " ",IF(INDEX($Q$2:$U$1001,MATCH(ROWS($J$2:J690),$J$2:$J$1001,0),MATCH(COLUMNS($Q$1006:U1006),$Q$1006:$U$1006,0)), HYPERLINK("#",""), HYPERLINK(CONCATENATE("#metadata!", ADDRESS(INDEX($L$2:$L$1001,MATCH(ROWS($J$2:J690),$J$2:$J$1001,0),0), INDEX($Q$1004:$U$1004,1,MATCH(COLUMNS($Q$1006:U1006),$Q$1006:$U$1006,0)))),"Fix")))</f>
        <v xml:space="preserve"> </v>
      </c>
      <c r="J690">
        <v>689</v>
      </c>
      <c r="K690">
        <v>100690</v>
      </c>
      <c r="L690">
        <v>690</v>
      </c>
      <c r="M690" t="b">
        <f t="shared" si="10"/>
        <v>1</v>
      </c>
      <c r="N690" t="b">
        <f>COUNTBLANK(metadata!B690:F690)=COLUMNS(metadata!B690:F690)</f>
        <v>1</v>
      </c>
      <c r="O690" t="str">
        <v/>
      </c>
      <c r="Q690" t="b">
        <f ca="1">AND(IF(metadata!B690="",FALSE,TRUE),COUNTIF(metadata!B:B, metadata!B690) = 1,NOT(ISERROR(SUMPRODUCT(SEARCH(MID(metadata!B690,ROW(INDIRECT("1:"&amp;LEN(metadata!B690))), 1),"0123456789abcdefghijklmnopqrstuvwxyzABCDEFGHIJKLMNOPQRSTUVWXYZ.")))))</f>
        <v>0</v>
      </c>
      <c r="R690" t="b">
        <f>AND(IF(metadata!C690="",FALSE,TRUE),OR(EXACT(metadata!C690,"saline"),EXACT(metadata!C690,"non-saline")))</f>
        <v>0</v>
      </c>
      <c r="S690" t="b">
        <f>AND(IF(metadata!D690="",FALSE,TRUE),OR(EXACT(metadata!D690,"surface (non-saline)"),EXACT(metadata!D690,"aerosol (non-saline)"),EXACT(metadata!D690,"sediment (non-saline)"),EXACT(metadata!D690,"surface (saline)"),EXACT(metadata!D690,"aerosol (saline)"),EXACT(metadata!D690,"sediment (saline)")))</f>
        <v>0</v>
      </c>
      <c r="T690" t="b">
        <f>AND(IF(metadata!E690="",FALSE,TRUE),EXACT(metadata!E690,"built environment"))</f>
        <v>0</v>
      </c>
      <c r="U690" t="b">
        <f>OR(AND(IF(metadata!F690="",FALSE,TRUE),EXACT(metadata!F690,"not applicable")),AND(IF(metadata!F690="",FALSE,TRUE),EXACT(metadata!F690,"anaerobic digester content")))</f>
        <v>0</v>
      </c>
    </row>
    <row r="691" spans="1:21" x14ac:dyDescent="0.2">
      <c r="A691" s="4" t="str">
        <f ca="1">IF(B691=" "," ",HYPERLINK(CONCATENATE("#metadata!",ADDRESS(INDEX($L$2:$L$1001,MATCH(ROWS($J$2:J691),$J$2:$J$1001,0),0),1)),INDEX($O$2:$O$1001,MATCH(ROWS($J$2:J691),$J$2:$J$1001,0),0)))</f>
        <v xml:space="preserve"> </v>
      </c>
      <c r="B691" s="3" t="str">
        <f ca="1">IF(OR(INDEX($K$2:$K$1001,MATCH(ROWS($J$2:J691),$J$2:$J$1001,0),1)&gt;=100000,INDEX($Q$1005:$U$1005,1,MATCH(COLUMNS($Q$1006:Q1006),$Q$1006:$U$1006,0))&gt;=100000), " ",IF(INDEX($Q$2:$U$1001,MATCH(ROWS($J$2:J691),$J$2:$J$1001,0),MATCH(COLUMNS($Q$1006:Q1006),$Q$1006:$U$1006,0)), HYPERLINK("#",""), HYPERLINK(CONCATENATE("#metadata!", ADDRESS(INDEX($L$2:$L$1001,MATCH(ROWS($J$2:J691),$J$2:$J$1001,0),0), INDEX($Q$1004:$U$1004,1,MATCH(COLUMNS($Q$1006:Q1006),$Q$1006:$U$1006,0)))),"Fix")))</f>
        <v xml:space="preserve"> </v>
      </c>
      <c r="C691" s="3" t="str">
        <f ca="1">IF(OR(INDEX($K$2:$K$1001,MATCH(ROWS($J$2:J691),$J$2:$J$1001,0),1)&gt;=100000,INDEX($Q$1005:$U$1005,1,MATCH(COLUMNS($Q$1006:R1006),$Q$1006:$U$1006,0))&gt;=100000), " ",IF(INDEX($Q$2:$U$1001,MATCH(ROWS($J$2:J691),$J$2:$J$1001,0),MATCH(COLUMNS($Q$1006:R1006),$Q$1006:$U$1006,0)), HYPERLINK("#",""), HYPERLINK(CONCATENATE("#metadata!", ADDRESS(INDEX($L$2:$L$1001,MATCH(ROWS($J$2:J691),$J$2:$J$1001,0),0), INDEX($Q$1004:$U$1004,1,MATCH(COLUMNS($Q$1006:R1006),$Q$1006:$U$1006,0)))),"Fix")))</f>
        <v xml:space="preserve"> </v>
      </c>
      <c r="D691" s="3" t="str">
        <f ca="1">IF(OR(INDEX($K$2:$K$1001,MATCH(ROWS($J$2:J691),$J$2:$J$1001,0),1)&gt;=100000,INDEX($Q$1005:$U$1005,1,MATCH(COLUMNS($Q$1006:S1006),$Q$1006:$U$1006,0))&gt;=100000), " ",IF(INDEX($Q$2:$U$1001,MATCH(ROWS($J$2:J691),$J$2:$J$1001,0),MATCH(COLUMNS($Q$1006:S1006),$Q$1006:$U$1006,0)), HYPERLINK("#",""), HYPERLINK(CONCATENATE("#metadata!", ADDRESS(INDEX($L$2:$L$1001,MATCH(ROWS($J$2:J691),$J$2:$J$1001,0),0), INDEX($Q$1004:$U$1004,1,MATCH(COLUMNS($Q$1006:S1006),$Q$1006:$U$1006,0)))),"Fix")))</f>
        <v xml:space="preserve"> </v>
      </c>
      <c r="E691" s="3" t="str">
        <f ca="1">IF(OR(INDEX($K$2:$K$1001,MATCH(ROWS($J$2:J691),$J$2:$J$1001,0),1)&gt;=100000,INDEX($Q$1005:$U$1005,1,MATCH(COLUMNS($Q$1006:T1006),$Q$1006:$U$1006,0))&gt;=100000), " ",IF(INDEX($Q$2:$U$1001,MATCH(ROWS($J$2:J691),$J$2:$J$1001,0),MATCH(COLUMNS($Q$1006:T1006),$Q$1006:$U$1006,0)), HYPERLINK("#",""), HYPERLINK(CONCATENATE("#metadata!", ADDRESS(INDEX($L$2:$L$1001,MATCH(ROWS($J$2:J691),$J$2:$J$1001,0),0), INDEX($Q$1004:$U$1004,1,MATCH(COLUMNS($Q$1006:T1006),$Q$1006:$U$1006,0)))),"Fix")))</f>
        <v xml:space="preserve"> </v>
      </c>
      <c r="F691" s="3" t="str">
        <f ca="1">IF(OR(INDEX($K$2:$K$1001,MATCH(ROWS($J$2:J691),$J$2:$J$1001,0),1)&gt;=100000,INDEX($Q$1005:$U$1005,1,MATCH(COLUMNS($Q$1006:U1006),$Q$1006:$U$1006,0))&gt;=100000), " ",IF(INDEX($Q$2:$U$1001,MATCH(ROWS($J$2:J691),$J$2:$J$1001,0),MATCH(COLUMNS($Q$1006:U1006),$Q$1006:$U$1006,0)), HYPERLINK("#",""), HYPERLINK(CONCATENATE("#metadata!", ADDRESS(INDEX($L$2:$L$1001,MATCH(ROWS($J$2:J691),$J$2:$J$1001,0),0), INDEX($Q$1004:$U$1004,1,MATCH(COLUMNS($Q$1006:U1006),$Q$1006:$U$1006,0)))),"Fix")))</f>
        <v xml:space="preserve"> </v>
      </c>
      <c r="J691">
        <v>690</v>
      </c>
      <c r="K691">
        <v>100691</v>
      </c>
      <c r="L691">
        <v>691</v>
      </c>
      <c r="M691" t="b">
        <f t="shared" si="10"/>
        <v>1</v>
      </c>
      <c r="N691" t="b">
        <f>COUNTBLANK(metadata!B691:F691)=COLUMNS(metadata!B691:F691)</f>
        <v>1</v>
      </c>
      <c r="O691" t="str">
        <v/>
      </c>
      <c r="Q691" t="b">
        <f ca="1">AND(IF(metadata!B691="",FALSE,TRUE),COUNTIF(metadata!B:B, metadata!B691) = 1,NOT(ISERROR(SUMPRODUCT(SEARCH(MID(metadata!B691,ROW(INDIRECT("1:"&amp;LEN(metadata!B691))), 1),"0123456789abcdefghijklmnopqrstuvwxyzABCDEFGHIJKLMNOPQRSTUVWXYZ.")))))</f>
        <v>0</v>
      </c>
      <c r="R691" t="b">
        <f>AND(IF(metadata!C691="",FALSE,TRUE),OR(EXACT(metadata!C691,"saline"),EXACT(metadata!C691,"non-saline")))</f>
        <v>0</v>
      </c>
      <c r="S691" t="b">
        <f>AND(IF(metadata!D691="",FALSE,TRUE),OR(EXACT(metadata!D691,"surface (non-saline)"),EXACT(metadata!D691,"aerosol (non-saline)"),EXACT(metadata!D691,"sediment (non-saline)"),EXACT(metadata!D691,"surface (saline)"),EXACT(metadata!D691,"aerosol (saline)"),EXACT(metadata!D691,"sediment (saline)")))</f>
        <v>0</v>
      </c>
      <c r="T691" t="b">
        <f>AND(IF(metadata!E691="",FALSE,TRUE),EXACT(metadata!E691,"built environment"))</f>
        <v>0</v>
      </c>
      <c r="U691" t="b">
        <f>OR(AND(IF(metadata!F691="",FALSE,TRUE),EXACT(metadata!F691,"not applicable")),AND(IF(metadata!F691="",FALSE,TRUE),EXACT(metadata!F691,"anaerobic digester content")))</f>
        <v>0</v>
      </c>
    </row>
    <row r="692" spans="1:21" x14ac:dyDescent="0.2">
      <c r="A692" s="4" t="str">
        <f ca="1">IF(B692=" "," ",HYPERLINK(CONCATENATE("#metadata!",ADDRESS(INDEX($L$2:$L$1001,MATCH(ROWS($J$2:J692),$J$2:$J$1001,0),0),1)),INDEX($O$2:$O$1001,MATCH(ROWS($J$2:J692),$J$2:$J$1001,0),0)))</f>
        <v xml:space="preserve"> </v>
      </c>
      <c r="B692" s="3" t="str">
        <f ca="1">IF(OR(INDEX($K$2:$K$1001,MATCH(ROWS($J$2:J692),$J$2:$J$1001,0),1)&gt;=100000,INDEX($Q$1005:$U$1005,1,MATCH(COLUMNS($Q$1006:Q1006),$Q$1006:$U$1006,0))&gt;=100000), " ",IF(INDEX($Q$2:$U$1001,MATCH(ROWS($J$2:J692),$J$2:$J$1001,0),MATCH(COLUMNS($Q$1006:Q1006),$Q$1006:$U$1006,0)), HYPERLINK("#",""), HYPERLINK(CONCATENATE("#metadata!", ADDRESS(INDEX($L$2:$L$1001,MATCH(ROWS($J$2:J692),$J$2:$J$1001,0),0), INDEX($Q$1004:$U$1004,1,MATCH(COLUMNS($Q$1006:Q1006),$Q$1006:$U$1006,0)))),"Fix")))</f>
        <v xml:space="preserve"> </v>
      </c>
      <c r="C692" s="3" t="str">
        <f ca="1">IF(OR(INDEX($K$2:$K$1001,MATCH(ROWS($J$2:J692),$J$2:$J$1001,0),1)&gt;=100000,INDEX($Q$1005:$U$1005,1,MATCH(COLUMNS($Q$1006:R1006),$Q$1006:$U$1006,0))&gt;=100000), " ",IF(INDEX($Q$2:$U$1001,MATCH(ROWS($J$2:J692),$J$2:$J$1001,0),MATCH(COLUMNS($Q$1006:R1006),$Q$1006:$U$1006,0)), HYPERLINK("#",""), HYPERLINK(CONCATENATE("#metadata!", ADDRESS(INDEX($L$2:$L$1001,MATCH(ROWS($J$2:J692),$J$2:$J$1001,0),0), INDEX($Q$1004:$U$1004,1,MATCH(COLUMNS($Q$1006:R1006),$Q$1006:$U$1006,0)))),"Fix")))</f>
        <v xml:space="preserve"> </v>
      </c>
      <c r="D692" s="3" t="str">
        <f ca="1">IF(OR(INDEX($K$2:$K$1001,MATCH(ROWS($J$2:J692),$J$2:$J$1001,0),1)&gt;=100000,INDEX($Q$1005:$U$1005,1,MATCH(COLUMNS($Q$1006:S1006),$Q$1006:$U$1006,0))&gt;=100000), " ",IF(INDEX($Q$2:$U$1001,MATCH(ROWS($J$2:J692),$J$2:$J$1001,0),MATCH(COLUMNS($Q$1006:S1006),$Q$1006:$U$1006,0)), HYPERLINK("#",""), HYPERLINK(CONCATENATE("#metadata!", ADDRESS(INDEX($L$2:$L$1001,MATCH(ROWS($J$2:J692),$J$2:$J$1001,0),0), INDEX($Q$1004:$U$1004,1,MATCH(COLUMNS($Q$1006:S1006),$Q$1006:$U$1006,0)))),"Fix")))</f>
        <v xml:space="preserve"> </v>
      </c>
      <c r="E692" s="3" t="str">
        <f ca="1">IF(OR(INDEX($K$2:$K$1001,MATCH(ROWS($J$2:J692),$J$2:$J$1001,0),1)&gt;=100000,INDEX($Q$1005:$U$1005,1,MATCH(COLUMNS($Q$1006:T1006),$Q$1006:$U$1006,0))&gt;=100000), " ",IF(INDEX($Q$2:$U$1001,MATCH(ROWS($J$2:J692),$J$2:$J$1001,0),MATCH(COLUMNS($Q$1006:T1006),$Q$1006:$U$1006,0)), HYPERLINK("#",""), HYPERLINK(CONCATENATE("#metadata!", ADDRESS(INDEX($L$2:$L$1001,MATCH(ROWS($J$2:J692),$J$2:$J$1001,0),0), INDEX($Q$1004:$U$1004,1,MATCH(COLUMNS($Q$1006:T1006),$Q$1006:$U$1006,0)))),"Fix")))</f>
        <v xml:space="preserve"> </v>
      </c>
      <c r="F692" s="3" t="str">
        <f ca="1">IF(OR(INDEX($K$2:$K$1001,MATCH(ROWS($J$2:J692),$J$2:$J$1001,0),1)&gt;=100000,INDEX($Q$1005:$U$1005,1,MATCH(COLUMNS($Q$1006:U1006),$Q$1006:$U$1006,0))&gt;=100000), " ",IF(INDEX($Q$2:$U$1001,MATCH(ROWS($J$2:J692),$J$2:$J$1001,0),MATCH(COLUMNS($Q$1006:U1006),$Q$1006:$U$1006,0)), HYPERLINK("#",""), HYPERLINK(CONCATENATE("#metadata!", ADDRESS(INDEX($L$2:$L$1001,MATCH(ROWS($J$2:J692),$J$2:$J$1001,0),0), INDEX($Q$1004:$U$1004,1,MATCH(COLUMNS($Q$1006:U1006),$Q$1006:$U$1006,0)))),"Fix")))</f>
        <v xml:space="preserve"> </v>
      </c>
      <c r="J692">
        <v>691</v>
      </c>
      <c r="K692">
        <v>100692</v>
      </c>
      <c r="L692">
        <v>692</v>
      </c>
      <c r="M692" t="b">
        <f t="shared" si="10"/>
        <v>1</v>
      </c>
      <c r="N692" t="b">
        <f>COUNTBLANK(metadata!B692:F692)=COLUMNS(metadata!B692:F692)</f>
        <v>1</v>
      </c>
      <c r="O692" t="str">
        <v/>
      </c>
      <c r="Q692" t="b">
        <f ca="1">AND(IF(metadata!B692="",FALSE,TRUE),COUNTIF(metadata!B:B, metadata!B692) = 1,NOT(ISERROR(SUMPRODUCT(SEARCH(MID(metadata!B692,ROW(INDIRECT("1:"&amp;LEN(metadata!B692))), 1),"0123456789abcdefghijklmnopqrstuvwxyzABCDEFGHIJKLMNOPQRSTUVWXYZ.")))))</f>
        <v>0</v>
      </c>
      <c r="R692" t="b">
        <f>AND(IF(metadata!C692="",FALSE,TRUE),OR(EXACT(metadata!C692,"saline"),EXACT(metadata!C692,"non-saline")))</f>
        <v>0</v>
      </c>
      <c r="S692" t="b">
        <f>AND(IF(metadata!D692="",FALSE,TRUE),OR(EXACT(metadata!D692,"surface (non-saline)"),EXACT(metadata!D692,"aerosol (non-saline)"),EXACT(metadata!D692,"sediment (non-saline)"),EXACT(metadata!D692,"surface (saline)"),EXACT(metadata!D692,"aerosol (saline)"),EXACT(metadata!D692,"sediment (saline)")))</f>
        <v>0</v>
      </c>
      <c r="T692" t="b">
        <f>AND(IF(metadata!E692="",FALSE,TRUE),EXACT(metadata!E692,"built environment"))</f>
        <v>0</v>
      </c>
      <c r="U692" t="b">
        <f>OR(AND(IF(metadata!F692="",FALSE,TRUE),EXACT(metadata!F692,"not applicable")),AND(IF(metadata!F692="",FALSE,TRUE),EXACT(metadata!F692,"anaerobic digester content")))</f>
        <v>0</v>
      </c>
    </row>
    <row r="693" spans="1:21" x14ac:dyDescent="0.2">
      <c r="A693" s="4" t="str">
        <f ca="1">IF(B693=" "," ",HYPERLINK(CONCATENATE("#metadata!",ADDRESS(INDEX($L$2:$L$1001,MATCH(ROWS($J$2:J693),$J$2:$J$1001,0),0),1)),INDEX($O$2:$O$1001,MATCH(ROWS($J$2:J693),$J$2:$J$1001,0),0)))</f>
        <v xml:space="preserve"> </v>
      </c>
      <c r="B693" s="3" t="str">
        <f ca="1">IF(OR(INDEX($K$2:$K$1001,MATCH(ROWS($J$2:J693),$J$2:$J$1001,0),1)&gt;=100000,INDEX($Q$1005:$U$1005,1,MATCH(COLUMNS($Q$1006:Q1006),$Q$1006:$U$1006,0))&gt;=100000), " ",IF(INDEX($Q$2:$U$1001,MATCH(ROWS($J$2:J693),$J$2:$J$1001,0),MATCH(COLUMNS($Q$1006:Q1006),$Q$1006:$U$1006,0)), HYPERLINK("#",""), HYPERLINK(CONCATENATE("#metadata!", ADDRESS(INDEX($L$2:$L$1001,MATCH(ROWS($J$2:J693),$J$2:$J$1001,0),0), INDEX($Q$1004:$U$1004,1,MATCH(COLUMNS($Q$1006:Q1006),$Q$1006:$U$1006,0)))),"Fix")))</f>
        <v xml:space="preserve"> </v>
      </c>
      <c r="C693" s="3" t="str">
        <f ca="1">IF(OR(INDEX($K$2:$K$1001,MATCH(ROWS($J$2:J693),$J$2:$J$1001,0),1)&gt;=100000,INDEX($Q$1005:$U$1005,1,MATCH(COLUMNS($Q$1006:R1006),$Q$1006:$U$1006,0))&gt;=100000), " ",IF(INDEX($Q$2:$U$1001,MATCH(ROWS($J$2:J693),$J$2:$J$1001,0),MATCH(COLUMNS($Q$1006:R1006),$Q$1006:$U$1006,0)), HYPERLINK("#",""), HYPERLINK(CONCATENATE("#metadata!", ADDRESS(INDEX($L$2:$L$1001,MATCH(ROWS($J$2:J693),$J$2:$J$1001,0),0), INDEX($Q$1004:$U$1004,1,MATCH(COLUMNS($Q$1006:R1006),$Q$1006:$U$1006,0)))),"Fix")))</f>
        <v xml:space="preserve"> </v>
      </c>
      <c r="D693" s="3" t="str">
        <f ca="1">IF(OR(INDEX($K$2:$K$1001,MATCH(ROWS($J$2:J693),$J$2:$J$1001,0),1)&gt;=100000,INDEX($Q$1005:$U$1005,1,MATCH(COLUMNS($Q$1006:S1006),$Q$1006:$U$1006,0))&gt;=100000), " ",IF(INDEX($Q$2:$U$1001,MATCH(ROWS($J$2:J693),$J$2:$J$1001,0),MATCH(COLUMNS($Q$1006:S1006),$Q$1006:$U$1006,0)), HYPERLINK("#",""), HYPERLINK(CONCATENATE("#metadata!", ADDRESS(INDEX($L$2:$L$1001,MATCH(ROWS($J$2:J693),$J$2:$J$1001,0),0), INDEX($Q$1004:$U$1004,1,MATCH(COLUMNS($Q$1006:S1006),$Q$1006:$U$1006,0)))),"Fix")))</f>
        <v xml:space="preserve"> </v>
      </c>
      <c r="E693" s="3" t="str">
        <f ca="1">IF(OR(INDEX($K$2:$K$1001,MATCH(ROWS($J$2:J693),$J$2:$J$1001,0),1)&gt;=100000,INDEX($Q$1005:$U$1005,1,MATCH(COLUMNS($Q$1006:T1006),$Q$1006:$U$1006,0))&gt;=100000), " ",IF(INDEX($Q$2:$U$1001,MATCH(ROWS($J$2:J693),$J$2:$J$1001,0),MATCH(COLUMNS($Q$1006:T1006),$Q$1006:$U$1006,0)), HYPERLINK("#",""), HYPERLINK(CONCATENATE("#metadata!", ADDRESS(INDEX($L$2:$L$1001,MATCH(ROWS($J$2:J693),$J$2:$J$1001,0),0), INDEX($Q$1004:$U$1004,1,MATCH(COLUMNS($Q$1006:T1006),$Q$1006:$U$1006,0)))),"Fix")))</f>
        <v xml:space="preserve"> </v>
      </c>
      <c r="F693" s="3" t="str">
        <f ca="1">IF(OR(INDEX($K$2:$K$1001,MATCH(ROWS($J$2:J693),$J$2:$J$1001,0),1)&gt;=100000,INDEX($Q$1005:$U$1005,1,MATCH(COLUMNS($Q$1006:U1006),$Q$1006:$U$1006,0))&gt;=100000), " ",IF(INDEX($Q$2:$U$1001,MATCH(ROWS($J$2:J693),$J$2:$J$1001,0),MATCH(COLUMNS($Q$1006:U1006),$Q$1006:$U$1006,0)), HYPERLINK("#",""), HYPERLINK(CONCATENATE("#metadata!", ADDRESS(INDEX($L$2:$L$1001,MATCH(ROWS($J$2:J693),$J$2:$J$1001,0),0), INDEX($Q$1004:$U$1004,1,MATCH(COLUMNS($Q$1006:U1006),$Q$1006:$U$1006,0)))),"Fix")))</f>
        <v xml:space="preserve"> </v>
      </c>
      <c r="J693">
        <v>692</v>
      </c>
      <c r="K693">
        <v>100693</v>
      </c>
      <c r="L693">
        <v>693</v>
      </c>
      <c r="M693" t="b">
        <f t="shared" si="10"/>
        <v>1</v>
      </c>
      <c r="N693" t="b">
        <f>COUNTBLANK(metadata!B693:F693)=COLUMNS(metadata!B693:F693)</f>
        <v>1</v>
      </c>
      <c r="O693" t="str">
        <v/>
      </c>
      <c r="Q693" t="b">
        <f ca="1">AND(IF(metadata!B693="",FALSE,TRUE),COUNTIF(metadata!B:B, metadata!B693) = 1,NOT(ISERROR(SUMPRODUCT(SEARCH(MID(metadata!B693,ROW(INDIRECT("1:"&amp;LEN(metadata!B693))), 1),"0123456789abcdefghijklmnopqrstuvwxyzABCDEFGHIJKLMNOPQRSTUVWXYZ.")))))</f>
        <v>0</v>
      </c>
      <c r="R693" t="b">
        <f>AND(IF(metadata!C693="",FALSE,TRUE),OR(EXACT(metadata!C693,"saline"),EXACT(metadata!C693,"non-saline")))</f>
        <v>0</v>
      </c>
      <c r="S693" t="b">
        <f>AND(IF(metadata!D693="",FALSE,TRUE),OR(EXACT(metadata!D693,"surface (non-saline)"),EXACT(metadata!D693,"aerosol (non-saline)"),EXACT(metadata!D693,"sediment (non-saline)"),EXACT(metadata!D693,"surface (saline)"),EXACT(metadata!D693,"aerosol (saline)"),EXACT(metadata!D693,"sediment (saline)")))</f>
        <v>0</v>
      </c>
      <c r="T693" t="b">
        <f>AND(IF(metadata!E693="",FALSE,TRUE),EXACT(metadata!E693,"built environment"))</f>
        <v>0</v>
      </c>
      <c r="U693" t="b">
        <f>OR(AND(IF(metadata!F693="",FALSE,TRUE),EXACT(metadata!F693,"not applicable")),AND(IF(metadata!F693="",FALSE,TRUE),EXACT(metadata!F693,"anaerobic digester content")))</f>
        <v>0</v>
      </c>
    </row>
    <row r="694" spans="1:21" x14ac:dyDescent="0.2">
      <c r="A694" s="4" t="str">
        <f ca="1">IF(B694=" "," ",HYPERLINK(CONCATENATE("#metadata!",ADDRESS(INDEX($L$2:$L$1001,MATCH(ROWS($J$2:J694),$J$2:$J$1001,0),0),1)),INDEX($O$2:$O$1001,MATCH(ROWS($J$2:J694),$J$2:$J$1001,0),0)))</f>
        <v xml:space="preserve"> </v>
      </c>
      <c r="B694" s="3" t="str">
        <f ca="1">IF(OR(INDEX($K$2:$K$1001,MATCH(ROWS($J$2:J694),$J$2:$J$1001,0),1)&gt;=100000,INDEX($Q$1005:$U$1005,1,MATCH(COLUMNS($Q$1006:Q1006),$Q$1006:$U$1006,0))&gt;=100000), " ",IF(INDEX($Q$2:$U$1001,MATCH(ROWS($J$2:J694),$J$2:$J$1001,0),MATCH(COLUMNS($Q$1006:Q1006),$Q$1006:$U$1006,0)), HYPERLINK("#",""), HYPERLINK(CONCATENATE("#metadata!", ADDRESS(INDEX($L$2:$L$1001,MATCH(ROWS($J$2:J694),$J$2:$J$1001,0),0), INDEX($Q$1004:$U$1004,1,MATCH(COLUMNS($Q$1006:Q1006),$Q$1006:$U$1006,0)))),"Fix")))</f>
        <v xml:space="preserve"> </v>
      </c>
      <c r="C694" s="3" t="str">
        <f ca="1">IF(OR(INDEX($K$2:$K$1001,MATCH(ROWS($J$2:J694),$J$2:$J$1001,0),1)&gt;=100000,INDEX($Q$1005:$U$1005,1,MATCH(COLUMNS($Q$1006:R1006),$Q$1006:$U$1006,0))&gt;=100000), " ",IF(INDEX($Q$2:$U$1001,MATCH(ROWS($J$2:J694),$J$2:$J$1001,0),MATCH(COLUMNS($Q$1006:R1006),$Q$1006:$U$1006,0)), HYPERLINK("#",""), HYPERLINK(CONCATENATE("#metadata!", ADDRESS(INDEX($L$2:$L$1001,MATCH(ROWS($J$2:J694),$J$2:$J$1001,0),0), INDEX($Q$1004:$U$1004,1,MATCH(COLUMNS($Q$1006:R1006),$Q$1006:$U$1006,0)))),"Fix")))</f>
        <v xml:space="preserve"> </v>
      </c>
      <c r="D694" s="3" t="str">
        <f ca="1">IF(OR(INDEX($K$2:$K$1001,MATCH(ROWS($J$2:J694),$J$2:$J$1001,0),1)&gt;=100000,INDEX($Q$1005:$U$1005,1,MATCH(COLUMNS($Q$1006:S1006),$Q$1006:$U$1006,0))&gt;=100000), " ",IF(INDEX($Q$2:$U$1001,MATCH(ROWS($J$2:J694),$J$2:$J$1001,0),MATCH(COLUMNS($Q$1006:S1006),$Q$1006:$U$1006,0)), HYPERLINK("#",""), HYPERLINK(CONCATENATE("#metadata!", ADDRESS(INDEX($L$2:$L$1001,MATCH(ROWS($J$2:J694),$J$2:$J$1001,0),0), INDEX($Q$1004:$U$1004,1,MATCH(COLUMNS($Q$1006:S1006),$Q$1006:$U$1006,0)))),"Fix")))</f>
        <v xml:space="preserve"> </v>
      </c>
      <c r="E694" s="3" t="str">
        <f ca="1">IF(OR(INDEX($K$2:$K$1001,MATCH(ROWS($J$2:J694),$J$2:$J$1001,0),1)&gt;=100000,INDEX($Q$1005:$U$1005,1,MATCH(COLUMNS($Q$1006:T1006),$Q$1006:$U$1006,0))&gt;=100000), " ",IF(INDEX($Q$2:$U$1001,MATCH(ROWS($J$2:J694),$J$2:$J$1001,0),MATCH(COLUMNS($Q$1006:T1006),$Q$1006:$U$1006,0)), HYPERLINK("#",""), HYPERLINK(CONCATENATE("#metadata!", ADDRESS(INDEX($L$2:$L$1001,MATCH(ROWS($J$2:J694),$J$2:$J$1001,0),0), INDEX($Q$1004:$U$1004,1,MATCH(COLUMNS($Q$1006:T1006),$Q$1006:$U$1006,0)))),"Fix")))</f>
        <v xml:space="preserve"> </v>
      </c>
      <c r="F694" s="3" t="str">
        <f ca="1">IF(OR(INDEX($K$2:$K$1001,MATCH(ROWS($J$2:J694),$J$2:$J$1001,0),1)&gt;=100000,INDEX($Q$1005:$U$1005,1,MATCH(COLUMNS($Q$1006:U1006),$Q$1006:$U$1006,0))&gt;=100000), " ",IF(INDEX($Q$2:$U$1001,MATCH(ROWS($J$2:J694),$J$2:$J$1001,0),MATCH(COLUMNS($Q$1006:U1006),$Q$1006:$U$1006,0)), HYPERLINK("#",""), HYPERLINK(CONCATENATE("#metadata!", ADDRESS(INDEX($L$2:$L$1001,MATCH(ROWS($J$2:J694),$J$2:$J$1001,0),0), INDEX($Q$1004:$U$1004,1,MATCH(COLUMNS($Q$1006:U1006),$Q$1006:$U$1006,0)))),"Fix")))</f>
        <v xml:space="preserve"> </v>
      </c>
      <c r="J694">
        <v>693</v>
      </c>
      <c r="K694">
        <v>100694</v>
      </c>
      <c r="L694">
        <v>694</v>
      </c>
      <c r="M694" t="b">
        <f t="shared" si="10"/>
        <v>1</v>
      </c>
      <c r="N694" t="b">
        <f>COUNTBLANK(metadata!B694:F694)=COLUMNS(metadata!B694:F694)</f>
        <v>1</v>
      </c>
      <c r="O694" t="str">
        <v/>
      </c>
      <c r="Q694" t="b">
        <f ca="1">AND(IF(metadata!B694="",FALSE,TRUE),COUNTIF(metadata!B:B, metadata!B694) = 1,NOT(ISERROR(SUMPRODUCT(SEARCH(MID(metadata!B694,ROW(INDIRECT("1:"&amp;LEN(metadata!B694))), 1),"0123456789abcdefghijklmnopqrstuvwxyzABCDEFGHIJKLMNOPQRSTUVWXYZ.")))))</f>
        <v>0</v>
      </c>
      <c r="R694" t="b">
        <f>AND(IF(metadata!C694="",FALSE,TRUE),OR(EXACT(metadata!C694,"saline"),EXACT(metadata!C694,"non-saline")))</f>
        <v>0</v>
      </c>
      <c r="S694" t="b">
        <f>AND(IF(metadata!D694="",FALSE,TRUE),OR(EXACT(metadata!D694,"surface (non-saline)"),EXACT(metadata!D694,"aerosol (non-saline)"),EXACT(metadata!D694,"sediment (non-saline)"),EXACT(metadata!D694,"surface (saline)"),EXACT(metadata!D694,"aerosol (saline)"),EXACT(metadata!D694,"sediment (saline)")))</f>
        <v>0</v>
      </c>
      <c r="T694" t="b">
        <f>AND(IF(metadata!E694="",FALSE,TRUE),EXACT(metadata!E694,"built environment"))</f>
        <v>0</v>
      </c>
      <c r="U694" t="b">
        <f>OR(AND(IF(metadata!F694="",FALSE,TRUE),EXACT(metadata!F694,"not applicable")),AND(IF(metadata!F694="",FALSE,TRUE),EXACT(metadata!F694,"anaerobic digester content")))</f>
        <v>0</v>
      </c>
    </row>
    <row r="695" spans="1:21" x14ac:dyDescent="0.2">
      <c r="A695" s="4" t="str">
        <f ca="1">IF(B695=" "," ",HYPERLINK(CONCATENATE("#metadata!",ADDRESS(INDEX($L$2:$L$1001,MATCH(ROWS($J$2:J695),$J$2:$J$1001,0),0),1)),INDEX($O$2:$O$1001,MATCH(ROWS($J$2:J695),$J$2:$J$1001,0),0)))</f>
        <v xml:space="preserve"> </v>
      </c>
      <c r="B695" s="3" t="str">
        <f ca="1">IF(OR(INDEX($K$2:$K$1001,MATCH(ROWS($J$2:J695),$J$2:$J$1001,0),1)&gt;=100000,INDEX($Q$1005:$U$1005,1,MATCH(COLUMNS($Q$1006:Q1006),$Q$1006:$U$1006,0))&gt;=100000), " ",IF(INDEX($Q$2:$U$1001,MATCH(ROWS($J$2:J695),$J$2:$J$1001,0),MATCH(COLUMNS($Q$1006:Q1006),$Q$1006:$U$1006,0)), HYPERLINK("#",""), HYPERLINK(CONCATENATE("#metadata!", ADDRESS(INDEX($L$2:$L$1001,MATCH(ROWS($J$2:J695),$J$2:$J$1001,0),0), INDEX($Q$1004:$U$1004,1,MATCH(COLUMNS($Q$1006:Q1006),$Q$1006:$U$1006,0)))),"Fix")))</f>
        <v xml:space="preserve"> </v>
      </c>
      <c r="C695" s="3" t="str">
        <f ca="1">IF(OR(INDEX($K$2:$K$1001,MATCH(ROWS($J$2:J695),$J$2:$J$1001,0),1)&gt;=100000,INDEX($Q$1005:$U$1005,1,MATCH(COLUMNS($Q$1006:R1006),$Q$1006:$U$1006,0))&gt;=100000), " ",IF(INDEX($Q$2:$U$1001,MATCH(ROWS($J$2:J695),$J$2:$J$1001,0),MATCH(COLUMNS($Q$1006:R1006),$Q$1006:$U$1006,0)), HYPERLINK("#",""), HYPERLINK(CONCATENATE("#metadata!", ADDRESS(INDEX($L$2:$L$1001,MATCH(ROWS($J$2:J695),$J$2:$J$1001,0),0), INDEX($Q$1004:$U$1004,1,MATCH(COLUMNS($Q$1006:R1006),$Q$1006:$U$1006,0)))),"Fix")))</f>
        <v xml:space="preserve"> </v>
      </c>
      <c r="D695" s="3" t="str">
        <f ca="1">IF(OR(INDEX($K$2:$K$1001,MATCH(ROWS($J$2:J695),$J$2:$J$1001,0),1)&gt;=100000,INDEX($Q$1005:$U$1005,1,MATCH(COLUMNS($Q$1006:S1006),$Q$1006:$U$1006,0))&gt;=100000), " ",IF(INDEX($Q$2:$U$1001,MATCH(ROWS($J$2:J695),$J$2:$J$1001,0),MATCH(COLUMNS($Q$1006:S1006),$Q$1006:$U$1006,0)), HYPERLINK("#",""), HYPERLINK(CONCATENATE("#metadata!", ADDRESS(INDEX($L$2:$L$1001,MATCH(ROWS($J$2:J695),$J$2:$J$1001,0),0), INDEX($Q$1004:$U$1004,1,MATCH(COLUMNS($Q$1006:S1006),$Q$1006:$U$1006,0)))),"Fix")))</f>
        <v xml:space="preserve"> </v>
      </c>
      <c r="E695" s="3" t="str">
        <f ca="1">IF(OR(INDEX($K$2:$K$1001,MATCH(ROWS($J$2:J695),$J$2:$J$1001,0),1)&gt;=100000,INDEX($Q$1005:$U$1005,1,MATCH(COLUMNS($Q$1006:T1006),$Q$1006:$U$1006,0))&gt;=100000), " ",IF(INDEX($Q$2:$U$1001,MATCH(ROWS($J$2:J695),$J$2:$J$1001,0),MATCH(COLUMNS($Q$1006:T1006),$Q$1006:$U$1006,0)), HYPERLINK("#",""), HYPERLINK(CONCATENATE("#metadata!", ADDRESS(INDEX($L$2:$L$1001,MATCH(ROWS($J$2:J695),$J$2:$J$1001,0),0), INDEX($Q$1004:$U$1004,1,MATCH(COLUMNS($Q$1006:T1006),$Q$1006:$U$1006,0)))),"Fix")))</f>
        <v xml:space="preserve"> </v>
      </c>
      <c r="F695" s="3" t="str">
        <f ca="1">IF(OR(INDEX($K$2:$K$1001,MATCH(ROWS($J$2:J695),$J$2:$J$1001,0),1)&gt;=100000,INDEX($Q$1005:$U$1005,1,MATCH(COLUMNS($Q$1006:U1006),$Q$1006:$U$1006,0))&gt;=100000), " ",IF(INDEX($Q$2:$U$1001,MATCH(ROWS($J$2:J695),$J$2:$J$1001,0),MATCH(COLUMNS($Q$1006:U1006),$Q$1006:$U$1006,0)), HYPERLINK("#",""), HYPERLINK(CONCATENATE("#metadata!", ADDRESS(INDEX($L$2:$L$1001,MATCH(ROWS($J$2:J695),$J$2:$J$1001,0),0), INDEX($Q$1004:$U$1004,1,MATCH(COLUMNS($Q$1006:U1006),$Q$1006:$U$1006,0)))),"Fix")))</f>
        <v xml:space="preserve"> </v>
      </c>
      <c r="J695">
        <v>694</v>
      </c>
      <c r="K695">
        <v>100695</v>
      </c>
      <c r="L695">
        <v>695</v>
      </c>
      <c r="M695" t="b">
        <f t="shared" si="10"/>
        <v>1</v>
      </c>
      <c r="N695" t="b">
        <f>COUNTBLANK(metadata!B695:F695)=COLUMNS(metadata!B695:F695)</f>
        <v>1</v>
      </c>
      <c r="O695" t="str">
        <v/>
      </c>
      <c r="Q695" t="b">
        <f ca="1">AND(IF(metadata!B695="",FALSE,TRUE),COUNTIF(metadata!B:B, metadata!B695) = 1,NOT(ISERROR(SUMPRODUCT(SEARCH(MID(metadata!B695,ROW(INDIRECT("1:"&amp;LEN(metadata!B695))), 1),"0123456789abcdefghijklmnopqrstuvwxyzABCDEFGHIJKLMNOPQRSTUVWXYZ.")))))</f>
        <v>0</v>
      </c>
      <c r="R695" t="b">
        <f>AND(IF(metadata!C695="",FALSE,TRUE),OR(EXACT(metadata!C695,"saline"),EXACT(metadata!C695,"non-saline")))</f>
        <v>0</v>
      </c>
      <c r="S695" t="b">
        <f>AND(IF(metadata!D695="",FALSE,TRUE),OR(EXACT(metadata!D695,"surface (non-saline)"),EXACT(metadata!D695,"aerosol (non-saline)"),EXACT(metadata!D695,"sediment (non-saline)"),EXACT(metadata!D695,"surface (saline)"),EXACT(metadata!D695,"aerosol (saline)"),EXACT(metadata!D695,"sediment (saline)")))</f>
        <v>0</v>
      </c>
      <c r="T695" t="b">
        <f>AND(IF(metadata!E695="",FALSE,TRUE),EXACT(metadata!E695,"built environment"))</f>
        <v>0</v>
      </c>
      <c r="U695" t="b">
        <f>OR(AND(IF(metadata!F695="",FALSE,TRUE),EXACT(metadata!F695,"not applicable")),AND(IF(metadata!F695="",FALSE,TRUE),EXACT(metadata!F695,"anaerobic digester content")))</f>
        <v>0</v>
      </c>
    </row>
    <row r="696" spans="1:21" x14ac:dyDescent="0.2">
      <c r="A696" s="4" t="str">
        <f ca="1">IF(B696=" "," ",HYPERLINK(CONCATENATE("#metadata!",ADDRESS(INDEX($L$2:$L$1001,MATCH(ROWS($J$2:J696),$J$2:$J$1001,0),0),1)),INDEX($O$2:$O$1001,MATCH(ROWS($J$2:J696),$J$2:$J$1001,0),0)))</f>
        <v xml:space="preserve"> </v>
      </c>
      <c r="B696" s="3" t="str">
        <f ca="1">IF(OR(INDEX($K$2:$K$1001,MATCH(ROWS($J$2:J696),$J$2:$J$1001,0),1)&gt;=100000,INDEX($Q$1005:$U$1005,1,MATCH(COLUMNS($Q$1006:Q1006),$Q$1006:$U$1006,0))&gt;=100000), " ",IF(INDEX($Q$2:$U$1001,MATCH(ROWS($J$2:J696),$J$2:$J$1001,0),MATCH(COLUMNS($Q$1006:Q1006),$Q$1006:$U$1006,0)), HYPERLINK("#",""), HYPERLINK(CONCATENATE("#metadata!", ADDRESS(INDEX($L$2:$L$1001,MATCH(ROWS($J$2:J696),$J$2:$J$1001,0),0), INDEX($Q$1004:$U$1004,1,MATCH(COLUMNS($Q$1006:Q1006),$Q$1006:$U$1006,0)))),"Fix")))</f>
        <v xml:space="preserve"> </v>
      </c>
      <c r="C696" s="3" t="str">
        <f ca="1">IF(OR(INDEX($K$2:$K$1001,MATCH(ROWS($J$2:J696),$J$2:$J$1001,0),1)&gt;=100000,INDEX($Q$1005:$U$1005,1,MATCH(COLUMNS($Q$1006:R1006),$Q$1006:$U$1006,0))&gt;=100000), " ",IF(INDEX($Q$2:$U$1001,MATCH(ROWS($J$2:J696),$J$2:$J$1001,0),MATCH(COLUMNS($Q$1006:R1006),$Q$1006:$U$1006,0)), HYPERLINK("#",""), HYPERLINK(CONCATENATE("#metadata!", ADDRESS(INDEX($L$2:$L$1001,MATCH(ROWS($J$2:J696),$J$2:$J$1001,0),0), INDEX($Q$1004:$U$1004,1,MATCH(COLUMNS($Q$1006:R1006),$Q$1006:$U$1006,0)))),"Fix")))</f>
        <v xml:space="preserve"> </v>
      </c>
      <c r="D696" s="3" t="str">
        <f ca="1">IF(OR(INDEX($K$2:$K$1001,MATCH(ROWS($J$2:J696),$J$2:$J$1001,0),1)&gt;=100000,INDEX($Q$1005:$U$1005,1,MATCH(COLUMNS($Q$1006:S1006),$Q$1006:$U$1006,0))&gt;=100000), " ",IF(INDEX($Q$2:$U$1001,MATCH(ROWS($J$2:J696),$J$2:$J$1001,0),MATCH(COLUMNS($Q$1006:S1006),$Q$1006:$U$1006,0)), HYPERLINK("#",""), HYPERLINK(CONCATENATE("#metadata!", ADDRESS(INDEX($L$2:$L$1001,MATCH(ROWS($J$2:J696),$J$2:$J$1001,0),0), INDEX($Q$1004:$U$1004,1,MATCH(COLUMNS($Q$1006:S1006),$Q$1006:$U$1006,0)))),"Fix")))</f>
        <v xml:space="preserve"> </v>
      </c>
      <c r="E696" s="3" t="str">
        <f ca="1">IF(OR(INDEX($K$2:$K$1001,MATCH(ROWS($J$2:J696),$J$2:$J$1001,0),1)&gt;=100000,INDEX($Q$1005:$U$1005,1,MATCH(COLUMNS($Q$1006:T1006),$Q$1006:$U$1006,0))&gt;=100000), " ",IF(INDEX($Q$2:$U$1001,MATCH(ROWS($J$2:J696),$J$2:$J$1001,0),MATCH(COLUMNS($Q$1006:T1006),$Q$1006:$U$1006,0)), HYPERLINK("#",""), HYPERLINK(CONCATENATE("#metadata!", ADDRESS(INDEX($L$2:$L$1001,MATCH(ROWS($J$2:J696),$J$2:$J$1001,0),0), INDEX($Q$1004:$U$1004,1,MATCH(COLUMNS($Q$1006:T1006),$Q$1006:$U$1006,0)))),"Fix")))</f>
        <v xml:space="preserve"> </v>
      </c>
      <c r="F696" s="3" t="str">
        <f ca="1">IF(OR(INDEX($K$2:$K$1001,MATCH(ROWS($J$2:J696),$J$2:$J$1001,0),1)&gt;=100000,INDEX($Q$1005:$U$1005,1,MATCH(COLUMNS($Q$1006:U1006),$Q$1006:$U$1006,0))&gt;=100000), " ",IF(INDEX($Q$2:$U$1001,MATCH(ROWS($J$2:J696),$J$2:$J$1001,0),MATCH(COLUMNS($Q$1006:U1006),$Q$1006:$U$1006,0)), HYPERLINK("#",""), HYPERLINK(CONCATENATE("#metadata!", ADDRESS(INDEX($L$2:$L$1001,MATCH(ROWS($J$2:J696),$J$2:$J$1001,0),0), INDEX($Q$1004:$U$1004,1,MATCH(COLUMNS($Q$1006:U1006),$Q$1006:$U$1006,0)))),"Fix")))</f>
        <v xml:space="preserve"> </v>
      </c>
      <c r="J696">
        <v>695</v>
      </c>
      <c r="K696">
        <v>100696</v>
      </c>
      <c r="L696">
        <v>696</v>
      </c>
      <c r="M696" t="b">
        <f t="shared" si="10"/>
        <v>1</v>
      </c>
      <c r="N696" t="b">
        <f>COUNTBLANK(metadata!B696:F696)=COLUMNS(metadata!B696:F696)</f>
        <v>1</v>
      </c>
      <c r="O696" t="str">
        <v/>
      </c>
      <c r="Q696" t="b">
        <f ca="1">AND(IF(metadata!B696="",FALSE,TRUE),COUNTIF(metadata!B:B, metadata!B696) = 1,NOT(ISERROR(SUMPRODUCT(SEARCH(MID(metadata!B696,ROW(INDIRECT("1:"&amp;LEN(metadata!B696))), 1),"0123456789abcdefghijklmnopqrstuvwxyzABCDEFGHIJKLMNOPQRSTUVWXYZ.")))))</f>
        <v>0</v>
      </c>
      <c r="R696" t="b">
        <f>AND(IF(metadata!C696="",FALSE,TRUE),OR(EXACT(metadata!C696,"saline"),EXACT(metadata!C696,"non-saline")))</f>
        <v>0</v>
      </c>
      <c r="S696" t="b">
        <f>AND(IF(metadata!D696="",FALSE,TRUE),OR(EXACT(metadata!D696,"surface (non-saline)"),EXACT(metadata!D696,"aerosol (non-saline)"),EXACT(metadata!D696,"sediment (non-saline)"),EXACT(metadata!D696,"surface (saline)"),EXACT(metadata!D696,"aerosol (saline)"),EXACT(metadata!D696,"sediment (saline)")))</f>
        <v>0</v>
      </c>
      <c r="T696" t="b">
        <f>AND(IF(metadata!E696="",FALSE,TRUE),EXACT(metadata!E696,"built environment"))</f>
        <v>0</v>
      </c>
      <c r="U696" t="b">
        <f>OR(AND(IF(metadata!F696="",FALSE,TRUE),EXACT(metadata!F696,"not applicable")),AND(IF(metadata!F696="",FALSE,TRUE),EXACT(metadata!F696,"anaerobic digester content")))</f>
        <v>0</v>
      </c>
    </row>
    <row r="697" spans="1:21" x14ac:dyDescent="0.2">
      <c r="A697" s="4" t="str">
        <f ca="1">IF(B697=" "," ",HYPERLINK(CONCATENATE("#metadata!",ADDRESS(INDEX($L$2:$L$1001,MATCH(ROWS($J$2:J697),$J$2:$J$1001,0),0),1)),INDEX($O$2:$O$1001,MATCH(ROWS($J$2:J697),$J$2:$J$1001,0),0)))</f>
        <v xml:space="preserve"> </v>
      </c>
      <c r="B697" s="3" t="str">
        <f ca="1">IF(OR(INDEX($K$2:$K$1001,MATCH(ROWS($J$2:J697),$J$2:$J$1001,0),1)&gt;=100000,INDEX($Q$1005:$U$1005,1,MATCH(COLUMNS($Q$1006:Q1006),$Q$1006:$U$1006,0))&gt;=100000), " ",IF(INDEX($Q$2:$U$1001,MATCH(ROWS($J$2:J697),$J$2:$J$1001,0),MATCH(COLUMNS($Q$1006:Q1006),$Q$1006:$U$1006,0)), HYPERLINK("#",""), HYPERLINK(CONCATENATE("#metadata!", ADDRESS(INDEX($L$2:$L$1001,MATCH(ROWS($J$2:J697),$J$2:$J$1001,0),0), INDEX($Q$1004:$U$1004,1,MATCH(COLUMNS($Q$1006:Q1006),$Q$1006:$U$1006,0)))),"Fix")))</f>
        <v xml:space="preserve"> </v>
      </c>
      <c r="C697" s="3" t="str">
        <f ca="1">IF(OR(INDEX($K$2:$K$1001,MATCH(ROWS($J$2:J697),$J$2:$J$1001,0),1)&gt;=100000,INDEX($Q$1005:$U$1005,1,MATCH(COLUMNS($Q$1006:R1006),$Q$1006:$U$1006,0))&gt;=100000), " ",IF(INDEX($Q$2:$U$1001,MATCH(ROWS($J$2:J697),$J$2:$J$1001,0),MATCH(COLUMNS($Q$1006:R1006),$Q$1006:$U$1006,0)), HYPERLINK("#",""), HYPERLINK(CONCATENATE("#metadata!", ADDRESS(INDEX($L$2:$L$1001,MATCH(ROWS($J$2:J697),$J$2:$J$1001,0),0), INDEX($Q$1004:$U$1004,1,MATCH(COLUMNS($Q$1006:R1006),$Q$1006:$U$1006,0)))),"Fix")))</f>
        <v xml:space="preserve"> </v>
      </c>
      <c r="D697" s="3" t="str">
        <f ca="1">IF(OR(INDEX($K$2:$K$1001,MATCH(ROWS($J$2:J697),$J$2:$J$1001,0),1)&gt;=100000,INDEX($Q$1005:$U$1005,1,MATCH(COLUMNS($Q$1006:S1006),$Q$1006:$U$1006,0))&gt;=100000), " ",IF(INDEX($Q$2:$U$1001,MATCH(ROWS($J$2:J697),$J$2:$J$1001,0),MATCH(COLUMNS($Q$1006:S1006),$Q$1006:$U$1006,0)), HYPERLINK("#",""), HYPERLINK(CONCATENATE("#metadata!", ADDRESS(INDEX($L$2:$L$1001,MATCH(ROWS($J$2:J697),$J$2:$J$1001,0),0), INDEX($Q$1004:$U$1004,1,MATCH(COLUMNS($Q$1006:S1006),$Q$1006:$U$1006,0)))),"Fix")))</f>
        <v xml:space="preserve"> </v>
      </c>
      <c r="E697" s="3" t="str">
        <f ca="1">IF(OR(INDEX($K$2:$K$1001,MATCH(ROWS($J$2:J697),$J$2:$J$1001,0),1)&gt;=100000,INDEX($Q$1005:$U$1005,1,MATCH(COLUMNS($Q$1006:T1006),$Q$1006:$U$1006,0))&gt;=100000), " ",IF(INDEX($Q$2:$U$1001,MATCH(ROWS($J$2:J697),$J$2:$J$1001,0),MATCH(COLUMNS($Q$1006:T1006),$Q$1006:$U$1006,0)), HYPERLINK("#",""), HYPERLINK(CONCATENATE("#metadata!", ADDRESS(INDEX($L$2:$L$1001,MATCH(ROWS($J$2:J697),$J$2:$J$1001,0),0), INDEX($Q$1004:$U$1004,1,MATCH(COLUMNS($Q$1006:T1006),$Q$1006:$U$1006,0)))),"Fix")))</f>
        <v xml:space="preserve"> </v>
      </c>
      <c r="F697" s="3" t="str">
        <f ca="1">IF(OR(INDEX($K$2:$K$1001,MATCH(ROWS($J$2:J697),$J$2:$J$1001,0),1)&gt;=100000,INDEX($Q$1005:$U$1005,1,MATCH(COLUMNS($Q$1006:U1006),$Q$1006:$U$1006,0))&gt;=100000), " ",IF(INDEX($Q$2:$U$1001,MATCH(ROWS($J$2:J697),$J$2:$J$1001,0),MATCH(COLUMNS($Q$1006:U1006),$Q$1006:$U$1006,0)), HYPERLINK("#",""), HYPERLINK(CONCATENATE("#metadata!", ADDRESS(INDEX($L$2:$L$1001,MATCH(ROWS($J$2:J697),$J$2:$J$1001,0),0), INDEX($Q$1004:$U$1004,1,MATCH(COLUMNS($Q$1006:U1006),$Q$1006:$U$1006,0)))),"Fix")))</f>
        <v xml:space="preserve"> </v>
      </c>
      <c r="J697">
        <v>696</v>
      </c>
      <c r="K697">
        <v>100697</v>
      </c>
      <c r="L697">
        <v>697</v>
      </c>
      <c r="M697" t="b">
        <f t="shared" si="10"/>
        <v>1</v>
      </c>
      <c r="N697" t="b">
        <f>COUNTBLANK(metadata!B697:F697)=COLUMNS(metadata!B697:F697)</f>
        <v>1</v>
      </c>
      <c r="O697" t="str">
        <v/>
      </c>
      <c r="Q697" t="b">
        <f ca="1">AND(IF(metadata!B697="",FALSE,TRUE),COUNTIF(metadata!B:B, metadata!B697) = 1,NOT(ISERROR(SUMPRODUCT(SEARCH(MID(metadata!B697,ROW(INDIRECT("1:"&amp;LEN(metadata!B697))), 1),"0123456789abcdefghijklmnopqrstuvwxyzABCDEFGHIJKLMNOPQRSTUVWXYZ.")))))</f>
        <v>0</v>
      </c>
      <c r="R697" t="b">
        <f>AND(IF(metadata!C697="",FALSE,TRUE),OR(EXACT(metadata!C697,"saline"),EXACT(metadata!C697,"non-saline")))</f>
        <v>0</v>
      </c>
      <c r="S697" t="b">
        <f>AND(IF(metadata!D697="",FALSE,TRUE),OR(EXACT(metadata!D697,"surface (non-saline)"),EXACT(metadata!D697,"aerosol (non-saline)"),EXACT(metadata!D697,"sediment (non-saline)"),EXACT(metadata!D697,"surface (saline)"),EXACT(metadata!D697,"aerosol (saline)"),EXACT(metadata!D697,"sediment (saline)")))</f>
        <v>0</v>
      </c>
      <c r="T697" t="b">
        <f>AND(IF(metadata!E697="",FALSE,TRUE),EXACT(metadata!E697,"built environment"))</f>
        <v>0</v>
      </c>
      <c r="U697" t="b">
        <f>OR(AND(IF(metadata!F697="",FALSE,TRUE),EXACT(metadata!F697,"not applicable")),AND(IF(metadata!F697="",FALSE,TRUE),EXACT(metadata!F697,"anaerobic digester content")))</f>
        <v>0</v>
      </c>
    </row>
    <row r="698" spans="1:21" x14ac:dyDescent="0.2">
      <c r="A698" s="4" t="str">
        <f ca="1">IF(B698=" "," ",HYPERLINK(CONCATENATE("#metadata!",ADDRESS(INDEX($L$2:$L$1001,MATCH(ROWS($J$2:J698),$J$2:$J$1001,0),0),1)),INDEX($O$2:$O$1001,MATCH(ROWS($J$2:J698),$J$2:$J$1001,0),0)))</f>
        <v xml:space="preserve"> </v>
      </c>
      <c r="B698" s="3" t="str">
        <f ca="1">IF(OR(INDEX($K$2:$K$1001,MATCH(ROWS($J$2:J698),$J$2:$J$1001,0),1)&gt;=100000,INDEX($Q$1005:$U$1005,1,MATCH(COLUMNS($Q$1006:Q1006),$Q$1006:$U$1006,0))&gt;=100000), " ",IF(INDEX($Q$2:$U$1001,MATCH(ROWS($J$2:J698),$J$2:$J$1001,0),MATCH(COLUMNS($Q$1006:Q1006),$Q$1006:$U$1006,0)), HYPERLINK("#",""), HYPERLINK(CONCATENATE("#metadata!", ADDRESS(INDEX($L$2:$L$1001,MATCH(ROWS($J$2:J698),$J$2:$J$1001,0),0), INDEX($Q$1004:$U$1004,1,MATCH(COLUMNS($Q$1006:Q1006),$Q$1006:$U$1006,0)))),"Fix")))</f>
        <v xml:space="preserve"> </v>
      </c>
      <c r="C698" s="3" t="str">
        <f ca="1">IF(OR(INDEX($K$2:$K$1001,MATCH(ROWS($J$2:J698),$J$2:$J$1001,0),1)&gt;=100000,INDEX($Q$1005:$U$1005,1,MATCH(COLUMNS($Q$1006:R1006),$Q$1006:$U$1006,0))&gt;=100000), " ",IF(INDEX($Q$2:$U$1001,MATCH(ROWS($J$2:J698),$J$2:$J$1001,0),MATCH(COLUMNS($Q$1006:R1006),$Q$1006:$U$1006,0)), HYPERLINK("#",""), HYPERLINK(CONCATENATE("#metadata!", ADDRESS(INDEX($L$2:$L$1001,MATCH(ROWS($J$2:J698),$J$2:$J$1001,0),0), INDEX($Q$1004:$U$1004,1,MATCH(COLUMNS($Q$1006:R1006),$Q$1006:$U$1006,0)))),"Fix")))</f>
        <v xml:space="preserve"> </v>
      </c>
      <c r="D698" s="3" t="str">
        <f ca="1">IF(OR(INDEX($K$2:$K$1001,MATCH(ROWS($J$2:J698),$J$2:$J$1001,0),1)&gt;=100000,INDEX($Q$1005:$U$1005,1,MATCH(COLUMNS($Q$1006:S1006),$Q$1006:$U$1006,0))&gt;=100000), " ",IF(INDEX($Q$2:$U$1001,MATCH(ROWS($J$2:J698),$J$2:$J$1001,0),MATCH(COLUMNS($Q$1006:S1006),$Q$1006:$U$1006,0)), HYPERLINK("#",""), HYPERLINK(CONCATENATE("#metadata!", ADDRESS(INDEX($L$2:$L$1001,MATCH(ROWS($J$2:J698),$J$2:$J$1001,0),0), INDEX($Q$1004:$U$1004,1,MATCH(COLUMNS($Q$1006:S1006),$Q$1006:$U$1006,0)))),"Fix")))</f>
        <v xml:space="preserve"> </v>
      </c>
      <c r="E698" s="3" t="str">
        <f ca="1">IF(OR(INDEX($K$2:$K$1001,MATCH(ROWS($J$2:J698),$J$2:$J$1001,0),1)&gt;=100000,INDEX($Q$1005:$U$1005,1,MATCH(COLUMNS($Q$1006:T1006),$Q$1006:$U$1006,0))&gt;=100000), " ",IF(INDEX($Q$2:$U$1001,MATCH(ROWS($J$2:J698),$J$2:$J$1001,0),MATCH(COLUMNS($Q$1006:T1006),$Q$1006:$U$1006,0)), HYPERLINK("#",""), HYPERLINK(CONCATENATE("#metadata!", ADDRESS(INDEX($L$2:$L$1001,MATCH(ROWS($J$2:J698),$J$2:$J$1001,0),0), INDEX($Q$1004:$U$1004,1,MATCH(COLUMNS($Q$1006:T1006),$Q$1006:$U$1006,0)))),"Fix")))</f>
        <v xml:space="preserve"> </v>
      </c>
      <c r="F698" s="3" t="str">
        <f ca="1">IF(OR(INDEX($K$2:$K$1001,MATCH(ROWS($J$2:J698),$J$2:$J$1001,0),1)&gt;=100000,INDEX($Q$1005:$U$1005,1,MATCH(COLUMNS($Q$1006:U1006),$Q$1006:$U$1006,0))&gt;=100000), " ",IF(INDEX($Q$2:$U$1001,MATCH(ROWS($J$2:J698),$J$2:$J$1001,0),MATCH(COLUMNS($Q$1006:U1006),$Q$1006:$U$1006,0)), HYPERLINK("#",""), HYPERLINK(CONCATENATE("#metadata!", ADDRESS(INDEX($L$2:$L$1001,MATCH(ROWS($J$2:J698),$J$2:$J$1001,0),0), INDEX($Q$1004:$U$1004,1,MATCH(COLUMNS($Q$1006:U1006),$Q$1006:$U$1006,0)))),"Fix")))</f>
        <v xml:space="preserve"> </v>
      </c>
      <c r="J698">
        <v>697</v>
      </c>
      <c r="K698">
        <v>100698</v>
      </c>
      <c r="L698">
        <v>698</v>
      </c>
      <c r="M698" t="b">
        <f t="shared" si="10"/>
        <v>1</v>
      </c>
      <c r="N698" t="b">
        <f>COUNTBLANK(metadata!B698:F698)=COLUMNS(metadata!B698:F698)</f>
        <v>1</v>
      </c>
      <c r="O698" t="str">
        <v/>
      </c>
      <c r="Q698" t="b">
        <f ca="1">AND(IF(metadata!B698="",FALSE,TRUE),COUNTIF(metadata!B:B, metadata!B698) = 1,NOT(ISERROR(SUMPRODUCT(SEARCH(MID(metadata!B698,ROW(INDIRECT("1:"&amp;LEN(metadata!B698))), 1),"0123456789abcdefghijklmnopqrstuvwxyzABCDEFGHIJKLMNOPQRSTUVWXYZ.")))))</f>
        <v>0</v>
      </c>
      <c r="R698" t="b">
        <f>AND(IF(metadata!C698="",FALSE,TRUE),OR(EXACT(metadata!C698,"saline"),EXACT(metadata!C698,"non-saline")))</f>
        <v>0</v>
      </c>
      <c r="S698" t="b">
        <f>AND(IF(metadata!D698="",FALSE,TRUE),OR(EXACT(metadata!D698,"surface (non-saline)"),EXACT(metadata!D698,"aerosol (non-saline)"),EXACT(metadata!D698,"sediment (non-saline)"),EXACT(metadata!D698,"surface (saline)"),EXACT(metadata!D698,"aerosol (saline)"),EXACT(metadata!D698,"sediment (saline)")))</f>
        <v>0</v>
      </c>
      <c r="T698" t="b">
        <f>AND(IF(metadata!E698="",FALSE,TRUE),EXACT(metadata!E698,"built environment"))</f>
        <v>0</v>
      </c>
      <c r="U698" t="b">
        <f>OR(AND(IF(metadata!F698="",FALSE,TRUE),EXACT(metadata!F698,"not applicable")),AND(IF(metadata!F698="",FALSE,TRUE),EXACT(metadata!F698,"anaerobic digester content")))</f>
        <v>0</v>
      </c>
    </row>
    <row r="699" spans="1:21" x14ac:dyDescent="0.2">
      <c r="A699" s="4" t="str">
        <f ca="1">IF(B699=" "," ",HYPERLINK(CONCATENATE("#metadata!",ADDRESS(INDEX($L$2:$L$1001,MATCH(ROWS($J$2:J699),$J$2:$J$1001,0),0),1)),INDEX($O$2:$O$1001,MATCH(ROWS($J$2:J699),$J$2:$J$1001,0),0)))</f>
        <v xml:space="preserve"> </v>
      </c>
      <c r="B699" s="3" t="str">
        <f ca="1">IF(OR(INDEX($K$2:$K$1001,MATCH(ROWS($J$2:J699),$J$2:$J$1001,0),1)&gt;=100000,INDEX($Q$1005:$U$1005,1,MATCH(COLUMNS($Q$1006:Q1006),$Q$1006:$U$1006,0))&gt;=100000), " ",IF(INDEX($Q$2:$U$1001,MATCH(ROWS($J$2:J699),$J$2:$J$1001,0),MATCH(COLUMNS($Q$1006:Q1006),$Q$1006:$U$1006,0)), HYPERLINK("#",""), HYPERLINK(CONCATENATE("#metadata!", ADDRESS(INDEX($L$2:$L$1001,MATCH(ROWS($J$2:J699),$J$2:$J$1001,0),0), INDEX($Q$1004:$U$1004,1,MATCH(COLUMNS($Q$1006:Q1006),$Q$1006:$U$1006,0)))),"Fix")))</f>
        <v xml:space="preserve"> </v>
      </c>
      <c r="C699" s="3" t="str">
        <f ca="1">IF(OR(INDEX($K$2:$K$1001,MATCH(ROWS($J$2:J699),$J$2:$J$1001,0),1)&gt;=100000,INDEX($Q$1005:$U$1005,1,MATCH(COLUMNS($Q$1006:R1006),$Q$1006:$U$1006,0))&gt;=100000), " ",IF(INDEX($Q$2:$U$1001,MATCH(ROWS($J$2:J699),$J$2:$J$1001,0),MATCH(COLUMNS($Q$1006:R1006),$Q$1006:$U$1006,0)), HYPERLINK("#",""), HYPERLINK(CONCATENATE("#metadata!", ADDRESS(INDEX($L$2:$L$1001,MATCH(ROWS($J$2:J699),$J$2:$J$1001,0),0), INDEX($Q$1004:$U$1004,1,MATCH(COLUMNS($Q$1006:R1006),$Q$1006:$U$1006,0)))),"Fix")))</f>
        <v xml:space="preserve"> </v>
      </c>
      <c r="D699" s="3" t="str">
        <f ca="1">IF(OR(INDEX($K$2:$K$1001,MATCH(ROWS($J$2:J699),$J$2:$J$1001,0),1)&gt;=100000,INDEX($Q$1005:$U$1005,1,MATCH(COLUMNS($Q$1006:S1006),$Q$1006:$U$1006,0))&gt;=100000), " ",IF(INDEX($Q$2:$U$1001,MATCH(ROWS($J$2:J699),$J$2:$J$1001,0),MATCH(COLUMNS($Q$1006:S1006),$Q$1006:$U$1006,0)), HYPERLINK("#",""), HYPERLINK(CONCATENATE("#metadata!", ADDRESS(INDEX($L$2:$L$1001,MATCH(ROWS($J$2:J699),$J$2:$J$1001,0),0), INDEX($Q$1004:$U$1004,1,MATCH(COLUMNS($Q$1006:S1006),$Q$1006:$U$1006,0)))),"Fix")))</f>
        <v xml:space="preserve"> </v>
      </c>
      <c r="E699" s="3" t="str">
        <f ca="1">IF(OR(INDEX($K$2:$K$1001,MATCH(ROWS($J$2:J699),$J$2:$J$1001,0),1)&gt;=100000,INDEX($Q$1005:$U$1005,1,MATCH(COLUMNS($Q$1006:T1006),$Q$1006:$U$1006,0))&gt;=100000), " ",IF(INDEX($Q$2:$U$1001,MATCH(ROWS($J$2:J699),$J$2:$J$1001,0),MATCH(COLUMNS($Q$1006:T1006),$Q$1006:$U$1006,0)), HYPERLINK("#",""), HYPERLINK(CONCATENATE("#metadata!", ADDRESS(INDEX($L$2:$L$1001,MATCH(ROWS($J$2:J699),$J$2:$J$1001,0),0), INDEX($Q$1004:$U$1004,1,MATCH(COLUMNS($Q$1006:T1006),$Q$1006:$U$1006,0)))),"Fix")))</f>
        <v xml:space="preserve"> </v>
      </c>
      <c r="F699" s="3" t="str">
        <f ca="1">IF(OR(INDEX($K$2:$K$1001,MATCH(ROWS($J$2:J699),$J$2:$J$1001,0),1)&gt;=100000,INDEX($Q$1005:$U$1005,1,MATCH(COLUMNS($Q$1006:U1006),$Q$1006:$U$1006,0))&gt;=100000), " ",IF(INDEX($Q$2:$U$1001,MATCH(ROWS($J$2:J699),$J$2:$J$1001,0),MATCH(COLUMNS($Q$1006:U1006),$Q$1006:$U$1006,0)), HYPERLINK("#",""), HYPERLINK(CONCATENATE("#metadata!", ADDRESS(INDEX($L$2:$L$1001,MATCH(ROWS($J$2:J699),$J$2:$J$1001,0),0), INDEX($Q$1004:$U$1004,1,MATCH(COLUMNS($Q$1006:U1006),$Q$1006:$U$1006,0)))),"Fix")))</f>
        <v xml:space="preserve"> </v>
      </c>
      <c r="J699">
        <v>698</v>
      </c>
      <c r="K699">
        <v>100699</v>
      </c>
      <c r="L699">
        <v>699</v>
      </c>
      <c r="M699" t="b">
        <f t="shared" si="10"/>
        <v>1</v>
      </c>
      <c r="N699" t="b">
        <f>COUNTBLANK(metadata!B699:F699)=COLUMNS(metadata!B699:F699)</f>
        <v>1</v>
      </c>
      <c r="O699" t="str">
        <v/>
      </c>
      <c r="Q699" t="b">
        <f ca="1">AND(IF(metadata!B699="",FALSE,TRUE),COUNTIF(metadata!B:B, metadata!B699) = 1,NOT(ISERROR(SUMPRODUCT(SEARCH(MID(metadata!B699,ROW(INDIRECT("1:"&amp;LEN(metadata!B699))), 1),"0123456789abcdefghijklmnopqrstuvwxyzABCDEFGHIJKLMNOPQRSTUVWXYZ.")))))</f>
        <v>0</v>
      </c>
      <c r="R699" t="b">
        <f>AND(IF(metadata!C699="",FALSE,TRUE),OR(EXACT(metadata!C699,"saline"),EXACT(metadata!C699,"non-saline")))</f>
        <v>0</v>
      </c>
      <c r="S699" t="b">
        <f>AND(IF(metadata!D699="",FALSE,TRUE),OR(EXACT(metadata!D699,"surface (non-saline)"),EXACT(metadata!D699,"aerosol (non-saline)"),EXACT(metadata!D699,"sediment (non-saline)"),EXACT(metadata!D699,"surface (saline)"),EXACT(metadata!D699,"aerosol (saline)"),EXACT(metadata!D699,"sediment (saline)")))</f>
        <v>0</v>
      </c>
      <c r="T699" t="b">
        <f>AND(IF(metadata!E699="",FALSE,TRUE),EXACT(metadata!E699,"built environment"))</f>
        <v>0</v>
      </c>
      <c r="U699" t="b">
        <f>OR(AND(IF(metadata!F699="",FALSE,TRUE),EXACT(metadata!F699,"not applicable")),AND(IF(metadata!F699="",FALSE,TRUE),EXACT(metadata!F699,"anaerobic digester content")))</f>
        <v>0</v>
      </c>
    </row>
    <row r="700" spans="1:21" x14ac:dyDescent="0.2">
      <c r="A700" s="4" t="str">
        <f ca="1">IF(B700=" "," ",HYPERLINK(CONCATENATE("#metadata!",ADDRESS(INDEX($L$2:$L$1001,MATCH(ROWS($J$2:J700),$J$2:$J$1001,0),0),1)),INDEX($O$2:$O$1001,MATCH(ROWS($J$2:J700),$J$2:$J$1001,0),0)))</f>
        <v xml:space="preserve"> </v>
      </c>
      <c r="B700" s="3" t="str">
        <f ca="1">IF(OR(INDEX($K$2:$K$1001,MATCH(ROWS($J$2:J700),$J$2:$J$1001,0),1)&gt;=100000,INDEX($Q$1005:$U$1005,1,MATCH(COLUMNS($Q$1006:Q1006),$Q$1006:$U$1006,0))&gt;=100000), " ",IF(INDEX($Q$2:$U$1001,MATCH(ROWS($J$2:J700),$J$2:$J$1001,0),MATCH(COLUMNS($Q$1006:Q1006),$Q$1006:$U$1006,0)), HYPERLINK("#",""), HYPERLINK(CONCATENATE("#metadata!", ADDRESS(INDEX($L$2:$L$1001,MATCH(ROWS($J$2:J700),$J$2:$J$1001,0),0), INDEX($Q$1004:$U$1004,1,MATCH(COLUMNS($Q$1006:Q1006),$Q$1006:$U$1006,0)))),"Fix")))</f>
        <v xml:space="preserve"> </v>
      </c>
      <c r="C700" s="3" t="str">
        <f ca="1">IF(OR(INDEX($K$2:$K$1001,MATCH(ROWS($J$2:J700),$J$2:$J$1001,0),1)&gt;=100000,INDEX($Q$1005:$U$1005,1,MATCH(COLUMNS($Q$1006:R1006),$Q$1006:$U$1006,0))&gt;=100000), " ",IF(INDEX($Q$2:$U$1001,MATCH(ROWS($J$2:J700),$J$2:$J$1001,0),MATCH(COLUMNS($Q$1006:R1006),$Q$1006:$U$1006,0)), HYPERLINK("#",""), HYPERLINK(CONCATENATE("#metadata!", ADDRESS(INDEX($L$2:$L$1001,MATCH(ROWS($J$2:J700),$J$2:$J$1001,0),0), INDEX($Q$1004:$U$1004,1,MATCH(COLUMNS($Q$1006:R1006),$Q$1006:$U$1006,0)))),"Fix")))</f>
        <v xml:space="preserve"> </v>
      </c>
      <c r="D700" s="3" t="str">
        <f ca="1">IF(OR(INDEX($K$2:$K$1001,MATCH(ROWS($J$2:J700),$J$2:$J$1001,0),1)&gt;=100000,INDEX($Q$1005:$U$1005,1,MATCH(COLUMNS($Q$1006:S1006),$Q$1006:$U$1006,0))&gt;=100000), " ",IF(INDEX($Q$2:$U$1001,MATCH(ROWS($J$2:J700),$J$2:$J$1001,0),MATCH(COLUMNS($Q$1006:S1006),$Q$1006:$U$1006,0)), HYPERLINK("#",""), HYPERLINK(CONCATENATE("#metadata!", ADDRESS(INDEX($L$2:$L$1001,MATCH(ROWS($J$2:J700),$J$2:$J$1001,0),0), INDEX($Q$1004:$U$1004,1,MATCH(COLUMNS($Q$1006:S1006),$Q$1006:$U$1006,0)))),"Fix")))</f>
        <v xml:space="preserve"> </v>
      </c>
      <c r="E700" s="3" t="str">
        <f ca="1">IF(OR(INDEX($K$2:$K$1001,MATCH(ROWS($J$2:J700),$J$2:$J$1001,0),1)&gt;=100000,INDEX($Q$1005:$U$1005,1,MATCH(COLUMNS($Q$1006:T1006),$Q$1006:$U$1006,0))&gt;=100000), " ",IF(INDEX($Q$2:$U$1001,MATCH(ROWS($J$2:J700),$J$2:$J$1001,0),MATCH(COLUMNS($Q$1006:T1006),$Q$1006:$U$1006,0)), HYPERLINK("#",""), HYPERLINK(CONCATENATE("#metadata!", ADDRESS(INDEX($L$2:$L$1001,MATCH(ROWS($J$2:J700),$J$2:$J$1001,0),0), INDEX($Q$1004:$U$1004,1,MATCH(COLUMNS($Q$1006:T1006),$Q$1006:$U$1006,0)))),"Fix")))</f>
        <v xml:space="preserve"> </v>
      </c>
      <c r="F700" s="3" t="str">
        <f ca="1">IF(OR(INDEX($K$2:$K$1001,MATCH(ROWS($J$2:J700),$J$2:$J$1001,0),1)&gt;=100000,INDEX($Q$1005:$U$1005,1,MATCH(COLUMNS($Q$1006:U1006),$Q$1006:$U$1006,0))&gt;=100000), " ",IF(INDEX($Q$2:$U$1001,MATCH(ROWS($J$2:J700),$J$2:$J$1001,0),MATCH(COLUMNS($Q$1006:U1006),$Q$1006:$U$1006,0)), HYPERLINK("#",""), HYPERLINK(CONCATENATE("#metadata!", ADDRESS(INDEX($L$2:$L$1001,MATCH(ROWS($J$2:J700),$J$2:$J$1001,0),0), INDEX($Q$1004:$U$1004,1,MATCH(COLUMNS($Q$1006:U1006),$Q$1006:$U$1006,0)))),"Fix")))</f>
        <v xml:space="preserve"> </v>
      </c>
      <c r="J700">
        <v>699</v>
      </c>
      <c r="K700">
        <v>100700</v>
      </c>
      <c r="L700">
        <v>700</v>
      </c>
      <c r="M700" t="b">
        <f t="shared" si="10"/>
        <v>1</v>
      </c>
      <c r="N700" t="b">
        <f>COUNTBLANK(metadata!B700:F700)=COLUMNS(metadata!B700:F700)</f>
        <v>1</v>
      </c>
      <c r="O700" t="str">
        <v/>
      </c>
      <c r="Q700" t="b">
        <f ca="1">AND(IF(metadata!B700="",FALSE,TRUE),COUNTIF(metadata!B:B, metadata!B700) = 1,NOT(ISERROR(SUMPRODUCT(SEARCH(MID(metadata!B700,ROW(INDIRECT("1:"&amp;LEN(metadata!B700))), 1),"0123456789abcdefghijklmnopqrstuvwxyzABCDEFGHIJKLMNOPQRSTUVWXYZ.")))))</f>
        <v>0</v>
      </c>
      <c r="R700" t="b">
        <f>AND(IF(metadata!C700="",FALSE,TRUE),OR(EXACT(metadata!C700,"saline"),EXACT(metadata!C700,"non-saline")))</f>
        <v>0</v>
      </c>
      <c r="S700" t="b">
        <f>AND(IF(metadata!D700="",FALSE,TRUE),OR(EXACT(metadata!D700,"surface (non-saline)"),EXACT(metadata!D700,"aerosol (non-saline)"),EXACT(metadata!D700,"sediment (non-saline)"),EXACT(metadata!D700,"surface (saline)"),EXACT(metadata!D700,"aerosol (saline)"),EXACT(metadata!D700,"sediment (saline)")))</f>
        <v>0</v>
      </c>
      <c r="T700" t="b">
        <f>AND(IF(metadata!E700="",FALSE,TRUE),EXACT(metadata!E700,"built environment"))</f>
        <v>0</v>
      </c>
      <c r="U700" t="b">
        <f>OR(AND(IF(metadata!F700="",FALSE,TRUE),EXACT(metadata!F700,"not applicable")),AND(IF(metadata!F700="",FALSE,TRUE),EXACT(metadata!F700,"anaerobic digester content")))</f>
        <v>0</v>
      </c>
    </row>
    <row r="701" spans="1:21" x14ac:dyDescent="0.2">
      <c r="A701" s="4" t="str">
        <f ca="1">IF(B701=" "," ",HYPERLINK(CONCATENATE("#metadata!",ADDRESS(INDEX($L$2:$L$1001,MATCH(ROWS($J$2:J701),$J$2:$J$1001,0),0),1)),INDEX($O$2:$O$1001,MATCH(ROWS($J$2:J701),$J$2:$J$1001,0),0)))</f>
        <v xml:space="preserve"> </v>
      </c>
      <c r="B701" s="3" t="str">
        <f ca="1">IF(OR(INDEX($K$2:$K$1001,MATCH(ROWS($J$2:J701),$J$2:$J$1001,0),1)&gt;=100000,INDEX($Q$1005:$U$1005,1,MATCH(COLUMNS($Q$1006:Q1006),$Q$1006:$U$1006,0))&gt;=100000), " ",IF(INDEX($Q$2:$U$1001,MATCH(ROWS($J$2:J701),$J$2:$J$1001,0),MATCH(COLUMNS($Q$1006:Q1006),$Q$1006:$U$1006,0)), HYPERLINK("#",""), HYPERLINK(CONCATENATE("#metadata!", ADDRESS(INDEX($L$2:$L$1001,MATCH(ROWS($J$2:J701),$J$2:$J$1001,0),0), INDEX($Q$1004:$U$1004,1,MATCH(COLUMNS($Q$1006:Q1006),$Q$1006:$U$1006,0)))),"Fix")))</f>
        <v xml:space="preserve"> </v>
      </c>
      <c r="C701" s="3" t="str">
        <f ca="1">IF(OR(INDEX($K$2:$K$1001,MATCH(ROWS($J$2:J701),$J$2:$J$1001,0),1)&gt;=100000,INDEX($Q$1005:$U$1005,1,MATCH(COLUMNS($Q$1006:R1006),$Q$1006:$U$1006,0))&gt;=100000), " ",IF(INDEX($Q$2:$U$1001,MATCH(ROWS($J$2:J701),$J$2:$J$1001,0),MATCH(COLUMNS($Q$1006:R1006),$Q$1006:$U$1006,0)), HYPERLINK("#",""), HYPERLINK(CONCATENATE("#metadata!", ADDRESS(INDEX($L$2:$L$1001,MATCH(ROWS($J$2:J701),$J$2:$J$1001,0),0), INDEX($Q$1004:$U$1004,1,MATCH(COLUMNS($Q$1006:R1006),$Q$1006:$U$1006,0)))),"Fix")))</f>
        <v xml:space="preserve"> </v>
      </c>
      <c r="D701" s="3" t="str">
        <f ca="1">IF(OR(INDEX($K$2:$K$1001,MATCH(ROWS($J$2:J701),$J$2:$J$1001,0),1)&gt;=100000,INDEX($Q$1005:$U$1005,1,MATCH(COLUMNS($Q$1006:S1006),$Q$1006:$U$1006,0))&gt;=100000), " ",IF(INDEX($Q$2:$U$1001,MATCH(ROWS($J$2:J701),$J$2:$J$1001,0),MATCH(COLUMNS($Q$1006:S1006),$Q$1006:$U$1006,0)), HYPERLINK("#",""), HYPERLINK(CONCATENATE("#metadata!", ADDRESS(INDEX($L$2:$L$1001,MATCH(ROWS($J$2:J701),$J$2:$J$1001,0),0), INDEX($Q$1004:$U$1004,1,MATCH(COLUMNS($Q$1006:S1006),$Q$1006:$U$1006,0)))),"Fix")))</f>
        <v xml:space="preserve"> </v>
      </c>
      <c r="E701" s="3" t="str">
        <f ca="1">IF(OR(INDEX($K$2:$K$1001,MATCH(ROWS($J$2:J701),$J$2:$J$1001,0),1)&gt;=100000,INDEX($Q$1005:$U$1005,1,MATCH(COLUMNS($Q$1006:T1006),$Q$1006:$U$1006,0))&gt;=100000), " ",IF(INDEX($Q$2:$U$1001,MATCH(ROWS($J$2:J701),$J$2:$J$1001,0),MATCH(COLUMNS($Q$1006:T1006),$Q$1006:$U$1006,0)), HYPERLINK("#",""), HYPERLINK(CONCATENATE("#metadata!", ADDRESS(INDEX($L$2:$L$1001,MATCH(ROWS($J$2:J701),$J$2:$J$1001,0),0), INDEX($Q$1004:$U$1004,1,MATCH(COLUMNS($Q$1006:T1006),$Q$1006:$U$1006,0)))),"Fix")))</f>
        <v xml:space="preserve"> </v>
      </c>
      <c r="F701" s="3" t="str">
        <f ca="1">IF(OR(INDEX($K$2:$K$1001,MATCH(ROWS($J$2:J701),$J$2:$J$1001,0),1)&gt;=100000,INDEX($Q$1005:$U$1005,1,MATCH(COLUMNS($Q$1006:U1006),$Q$1006:$U$1006,0))&gt;=100000), " ",IF(INDEX($Q$2:$U$1001,MATCH(ROWS($J$2:J701),$J$2:$J$1001,0),MATCH(COLUMNS($Q$1006:U1006),$Q$1006:$U$1006,0)), HYPERLINK("#",""), HYPERLINK(CONCATENATE("#metadata!", ADDRESS(INDEX($L$2:$L$1001,MATCH(ROWS($J$2:J701),$J$2:$J$1001,0),0), INDEX($Q$1004:$U$1004,1,MATCH(COLUMNS($Q$1006:U1006),$Q$1006:$U$1006,0)))),"Fix")))</f>
        <v xml:space="preserve"> </v>
      </c>
      <c r="J701">
        <v>700</v>
      </c>
      <c r="K701">
        <v>100701</v>
      </c>
      <c r="L701">
        <v>701</v>
      </c>
      <c r="M701" t="b">
        <f t="shared" si="10"/>
        <v>1</v>
      </c>
      <c r="N701" t="b">
        <f>COUNTBLANK(metadata!B701:F701)=COLUMNS(metadata!B701:F701)</f>
        <v>1</v>
      </c>
      <c r="O701" t="str">
        <v/>
      </c>
      <c r="Q701" t="b">
        <f ca="1">AND(IF(metadata!B701="",FALSE,TRUE),COUNTIF(metadata!B:B, metadata!B701) = 1,NOT(ISERROR(SUMPRODUCT(SEARCH(MID(metadata!B701,ROW(INDIRECT("1:"&amp;LEN(metadata!B701))), 1),"0123456789abcdefghijklmnopqrstuvwxyzABCDEFGHIJKLMNOPQRSTUVWXYZ.")))))</f>
        <v>0</v>
      </c>
      <c r="R701" t="b">
        <f>AND(IF(metadata!C701="",FALSE,TRUE),OR(EXACT(metadata!C701,"saline"),EXACT(metadata!C701,"non-saline")))</f>
        <v>0</v>
      </c>
      <c r="S701" t="b">
        <f>AND(IF(metadata!D701="",FALSE,TRUE),OR(EXACT(metadata!D701,"surface (non-saline)"),EXACT(metadata!D701,"aerosol (non-saline)"),EXACT(metadata!D701,"sediment (non-saline)"),EXACT(metadata!D701,"surface (saline)"),EXACT(metadata!D701,"aerosol (saline)"),EXACT(metadata!D701,"sediment (saline)")))</f>
        <v>0</v>
      </c>
      <c r="T701" t="b">
        <f>AND(IF(metadata!E701="",FALSE,TRUE),EXACT(metadata!E701,"built environment"))</f>
        <v>0</v>
      </c>
      <c r="U701" t="b">
        <f>OR(AND(IF(metadata!F701="",FALSE,TRUE),EXACT(metadata!F701,"not applicable")),AND(IF(metadata!F701="",FALSE,TRUE),EXACT(metadata!F701,"anaerobic digester content")))</f>
        <v>0</v>
      </c>
    </row>
    <row r="702" spans="1:21" x14ac:dyDescent="0.2">
      <c r="A702" s="4" t="str">
        <f ca="1">IF(B702=" "," ",HYPERLINK(CONCATENATE("#metadata!",ADDRESS(INDEX($L$2:$L$1001,MATCH(ROWS($J$2:J702),$J$2:$J$1001,0),0),1)),INDEX($O$2:$O$1001,MATCH(ROWS($J$2:J702),$J$2:$J$1001,0),0)))</f>
        <v xml:space="preserve"> </v>
      </c>
      <c r="B702" s="3" t="str">
        <f ca="1">IF(OR(INDEX($K$2:$K$1001,MATCH(ROWS($J$2:J702),$J$2:$J$1001,0),1)&gt;=100000,INDEX($Q$1005:$U$1005,1,MATCH(COLUMNS($Q$1006:Q1006),$Q$1006:$U$1006,0))&gt;=100000), " ",IF(INDEX($Q$2:$U$1001,MATCH(ROWS($J$2:J702),$J$2:$J$1001,0),MATCH(COLUMNS($Q$1006:Q1006),$Q$1006:$U$1006,0)), HYPERLINK("#",""), HYPERLINK(CONCATENATE("#metadata!", ADDRESS(INDEX($L$2:$L$1001,MATCH(ROWS($J$2:J702),$J$2:$J$1001,0),0), INDEX($Q$1004:$U$1004,1,MATCH(COLUMNS($Q$1006:Q1006),$Q$1006:$U$1006,0)))),"Fix")))</f>
        <v xml:space="preserve"> </v>
      </c>
      <c r="C702" s="3" t="str">
        <f ca="1">IF(OR(INDEX($K$2:$K$1001,MATCH(ROWS($J$2:J702),$J$2:$J$1001,0),1)&gt;=100000,INDEX($Q$1005:$U$1005,1,MATCH(COLUMNS($Q$1006:R1006),$Q$1006:$U$1006,0))&gt;=100000), " ",IF(INDEX($Q$2:$U$1001,MATCH(ROWS($J$2:J702),$J$2:$J$1001,0),MATCH(COLUMNS($Q$1006:R1006),$Q$1006:$U$1006,0)), HYPERLINK("#",""), HYPERLINK(CONCATENATE("#metadata!", ADDRESS(INDEX($L$2:$L$1001,MATCH(ROWS($J$2:J702),$J$2:$J$1001,0),0), INDEX($Q$1004:$U$1004,1,MATCH(COLUMNS($Q$1006:R1006),$Q$1006:$U$1006,0)))),"Fix")))</f>
        <v xml:space="preserve"> </v>
      </c>
      <c r="D702" s="3" t="str">
        <f ca="1">IF(OR(INDEX($K$2:$K$1001,MATCH(ROWS($J$2:J702),$J$2:$J$1001,0),1)&gt;=100000,INDEX($Q$1005:$U$1005,1,MATCH(COLUMNS($Q$1006:S1006),$Q$1006:$U$1006,0))&gt;=100000), " ",IF(INDEX($Q$2:$U$1001,MATCH(ROWS($J$2:J702),$J$2:$J$1001,0),MATCH(COLUMNS($Q$1006:S1006),$Q$1006:$U$1006,0)), HYPERLINK("#",""), HYPERLINK(CONCATENATE("#metadata!", ADDRESS(INDEX($L$2:$L$1001,MATCH(ROWS($J$2:J702),$J$2:$J$1001,0),0), INDEX($Q$1004:$U$1004,1,MATCH(COLUMNS($Q$1006:S1006),$Q$1006:$U$1006,0)))),"Fix")))</f>
        <v xml:space="preserve"> </v>
      </c>
      <c r="E702" s="3" t="str">
        <f ca="1">IF(OR(INDEX($K$2:$K$1001,MATCH(ROWS($J$2:J702),$J$2:$J$1001,0),1)&gt;=100000,INDEX($Q$1005:$U$1005,1,MATCH(COLUMNS($Q$1006:T1006),$Q$1006:$U$1006,0))&gt;=100000), " ",IF(INDEX($Q$2:$U$1001,MATCH(ROWS($J$2:J702),$J$2:$J$1001,0),MATCH(COLUMNS($Q$1006:T1006),$Q$1006:$U$1006,0)), HYPERLINK("#",""), HYPERLINK(CONCATENATE("#metadata!", ADDRESS(INDEX($L$2:$L$1001,MATCH(ROWS($J$2:J702),$J$2:$J$1001,0),0), INDEX($Q$1004:$U$1004,1,MATCH(COLUMNS($Q$1006:T1006),$Q$1006:$U$1006,0)))),"Fix")))</f>
        <v xml:space="preserve"> </v>
      </c>
      <c r="F702" s="3" t="str">
        <f ca="1">IF(OR(INDEX($K$2:$K$1001,MATCH(ROWS($J$2:J702),$J$2:$J$1001,0),1)&gt;=100000,INDEX($Q$1005:$U$1005,1,MATCH(COLUMNS($Q$1006:U1006),$Q$1006:$U$1006,0))&gt;=100000), " ",IF(INDEX($Q$2:$U$1001,MATCH(ROWS($J$2:J702),$J$2:$J$1001,0),MATCH(COLUMNS($Q$1006:U1006),$Q$1006:$U$1006,0)), HYPERLINK("#",""), HYPERLINK(CONCATENATE("#metadata!", ADDRESS(INDEX($L$2:$L$1001,MATCH(ROWS($J$2:J702),$J$2:$J$1001,0),0), INDEX($Q$1004:$U$1004,1,MATCH(COLUMNS($Q$1006:U1006),$Q$1006:$U$1006,0)))),"Fix")))</f>
        <v xml:space="preserve"> </v>
      </c>
      <c r="J702">
        <v>701</v>
      </c>
      <c r="K702">
        <v>100702</v>
      </c>
      <c r="L702">
        <v>702</v>
      </c>
      <c r="M702" t="b">
        <f t="shared" si="10"/>
        <v>1</v>
      </c>
      <c r="N702" t="b">
        <f>COUNTBLANK(metadata!B702:F702)=COLUMNS(metadata!B702:F702)</f>
        <v>1</v>
      </c>
      <c r="O702" t="str">
        <v/>
      </c>
      <c r="Q702" t="b">
        <f ca="1">AND(IF(metadata!B702="",FALSE,TRUE),COUNTIF(metadata!B:B, metadata!B702) = 1,NOT(ISERROR(SUMPRODUCT(SEARCH(MID(metadata!B702,ROW(INDIRECT("1:"&amp;LEN(metadata!B702))), 1),"0123456789abcdefghijklmnopqrstuvwxyzABCDEFGHIJKLMNOPQRSTUVWXYZ.")))))</f>
        <v>0</v>
      </c>
      <c r="R702" t="b">
        <f>AND(IF(metadata!C702="",FALSE,TRUE),OR(EXACT(metadata!C702,"saline"),EXACT(metadata!C702,"non-saline")))</f>
        <v>0</v>
      </c>
      <c r="S702" t="b">
        <f>AND(IF(metadata!D702="",FALSE,TRUE),OR(EXACT(metadata!D702,"surface (non-saline)"),EXACT(metadata!D702,"aerosol (non-saline)"),EXACT(metadata!D702,"sediment (non-saline)"),EXACT(metadata!D702,"surface (saline)"),EXACT(metadata!D702,"aerosol (saline)"),EXACT(metadata!D702,"sediment (saline)")))</f>
        <v>0</v>
      </c>
      <c r="T702" t="b">
        <f>AND(IF(metadata!E702="",FALSE,TRUE),EXACT(metadata!E702,"built environment"))</f>
        <v>0</v>
      </c>
      <c r="U702" t="b">
        <f>OR(AND(IF(metadata!F702="",FALSE,TRUE),EXACT(metadata!F702,"not applicable")),AND(IF(metadata!F702="",FALSE,TRUE),EXACT(metadata!F702,"anaerobic digester content")))</f>
        <v>0</v>
      </c>
    </row>
    <row r="703" spans="1:21" x14ac:dyDescent="0.2">
      <c r="A703" s="4" t="str">
        <f ca="1">IF(B703=" "," ",HYPERLINK(CONCATENATE("#metadata!",ADDRESS(INDEX($L$2:$L$1001,MATCH(ROWS($J$2:J703),$J$2:$J$1001,0),0),1)),INDEX($O$2:$O$1001,MATCH(ROWS($J$2:J703),$J$2:$J$1001,0),0)))</f>
        <v xml:space="preserve"> </v>
      </c>
      <c r="B703" s="3" t="str">
        <f ca="1">IF(OR(INDEX($K$2:$K$1001,MATCH(ROWS($J$2:J703),$J$2:$J$1001,0),1)&gt;=100000,INDEX($Q$1005:$U$1005,1,MATCH(COLUMNS($Q$1006:Q1006),$Q$1006:$U$1006,0))&gt;=100000), " ",IF(INDEX($Q$2:$U$1001,MATCH(ROWS($J$2:J703),$J$2:$J$1001,0),MATCH(COLUMNS($Q$1006:Q1006),$Q$1006:$U$1006,0)), HYPERLINK("#",""), HYPERLINK(CONCATENATE("#metadata!", ADDRESS(INDEX($L$2:$L$1001,MATCH(ROWS($J$2:J703),$J$2:$J$1001,0),0), INDEX($Q$1004:$U$1004,1,MATCH(COLUMNS($Q$1006:Q1006),$Q$1006:$U$1006,0)))),"Fix")))</f>
        <v xml:space="preserve"> </v>
      </c>
      <c r="C703" s="3" t="str">
        <f ca="1">IF(OR(INDEX($K$2:$K$1001,MATCH(ROWS($J$2:J703),$J$2:$J$1001,0),1)&gt;=100000,INDEX($Q$1005:$U$1005,1,MATCH(COLUMNS($Q$1006:R1006),$Q$1006:$U$1006,0))&gt;=100000), " ",IF(INDEX($Q$2:$U$1001,MATCH(ROWS($J$2:J703),$J$2:$J$1001,0),MATCH(COLUMNS($Q$1006:R1006),$Q$1006:$U$1006,0)), HYPERLINK("#",""), HYPERLINK(CONCATENATE("#metadata!", ADDRESS(INDEX($L$2:$L$1001,MATCH(ROWS($J$2:J703),$J$2:$J$1001,0),0), INDEX($Q$1004:$U$1004,1,MATCH(COLUMNS($Q$1006:R1006),$Q$1006:$U$1006,0)))),"Fix")))</f>
        <v xml:space="preserve"> </v>
      </c>
      <c r="D703" s="3" t="str">
        <f ca="1">IF(OR(INDEX($K$2:$K$1001,MATCH(ROWS($J$2:J703),$J$2:$J$1001,0),1)&gt;=100000,INDEX($Q$1005:$U$1005,1,MATCH(COLUMNS($Q$1006:S1006),$Q$1006:$U$1006,0))&gt;=100000), " ",IF(INDEX($Q$2:$U$1001,MATCH(ROWS($J$2:J703),$J$2:$J$1001,0),MATCH(COLUMNS($Q$1006:S1006),$Q$1006:$U$1006,0)), HYPERLINK("#",""), HYPERLINK(CONCATENATE("#metadata!", ADDRESS(INDEX($L$2:$L$1001,MATCH(ROWS($J$2:J703),$J$2:$J$1001,0),0), INDEX($Q$1004:$U$1004,1,MATCH(COLUMNS($Q$1006:S1006),$Q$1006:$U$1006,0)))),"Fix")))</f>
        <v xml:space="preserve"> </v>
      </c>
      <c r="E703" s="3" t="str">
        <f ca="1">IF(OR(INDEX($K$2:$K$1001,MATCH(ROWS($J$2:J703),$J$2:$J$1001,0),1)&gt;=100000,INDEX($Q$1005:$U$1005,1,MATCH(COLUMNS($Q$1006:T1006),$Q$1006:$U$1006,0))&gt;=100000), " ",IF(INDEX($Q$2:$U$1001,MATCH(ROWS($J$2:J703),$J$2:$J$1001,0),MATCH(COLUMNS($Q$1006:T1006),$Q$1006:$U$1006,0)), HYPERLINK("#",""), HYPERLINK(CONCATENATE("#metadata!", ADDRESS(INDEX($L$2:$L$1001,MATCH(ROWS($J$2:J703),$J$2:$J$1001,0),0), INDEX($Q$1004:$U$1004,1,MATCH(COLUMNS($Q$1006:T1006),$Q$1006:$U$1006,0)))),"Fix")))</f>
        <v xml:space="preserve"> </v>
      </c>
      <c r="F703" s="3" t="str">
        <f ca="1">IF(OR(INDEX($K$2:$K$1001,MATCH(ROWS($J$2:J703),$J$2:$J$1001,0),1)&gt;=100000,INDEX($Q$1005:$U$1005,1,MATCH(COLUMNS($Q$1006:U1006),$Q$1006:$U$1006,0))&gt;=100000), " ",IF(INDEX($Q$2:$U$1001,MATCH(ROWS($J$2:J703),$J$2:$J$1001,0),MATCH(COLUMNS($Q$1006:U1006),$Q$1006:$U$1006,0)), HYPERLINK("#",""), HYPERLINK(CONCATENATE("#metadata!", ADDRESS(INDEX($L$2:$L$1001,MATCH(ROWS($J$2:J703),$J$2:$J$1001,0),0), INDEX($Q$1004:$U$1004,1,MATCH(COLUMNS($Q$1006:U1006),$Q$1006:$U$1006,0)))),"Fix")))</f>
        <v xml:space="preserve"> </v>
      </c>
      <c r="J703">
        <v>702</v>
      </c>
      <c r="K703">
        <v>100703</v>
      </c>
      <c r="L703">
        <v>703</v>
      </c>
      <c r="M703" t="b">
        <f t="shared" si="10"/>
        <v>1</v>
      </c>
      <c r="N703" t="b">
        <f>COUNTBLANK(metadata!B703:F703)=COLUMNS(metadata!B703:F703)</f>
        <v>1</v>
      </c>
      <c r="O703" t="str">
        <v/>
      </c>
      <c r="Q703" t="b">
        <f ca="1">AND(IF(metadata!B703="",FALSE,TRUE),COUNTIF(metadata!B:B, metadata!B703) = 1,NOT(ISERROR(SUMPRODUCT(SEARCH(MID(metadata!B703,ROW(INDIRECT("1:"&amp;LEN(metadata!B703))), 1),"0123456789abcdefghijklmnopqrstuvwxyzABCDEFGHIJKLMNOPQRSTUVWXYZ.")))))</f>
        <v>0</v>
      </c>
      <c r="R703" t="b">
        <f>AND(IF(metadata!C703="",FALSE,TRUE),OR(EXACT(metadata!C703,"saline"),EXACT(metadata!C703,"non-saline")))</f>
        <v>0</v>
      </c>
      <c r="S703" t="b">
        <f>AND(IF(metadata!D703="",FALSE,TRUE),OR(EXACT(metadata!D703,"surface (non-saline)"),EXACT(metadata!D703,"aerosol (non-saline)"),EXACT(metadata!D703,"sediment (non-saline)"),EXACT(metadata!D703,"surface (saline)"),EXACT(metadata!D703,"aerosol (saline)"),EXACT(metadata!D703,"sediment (saline)")))</f>
        <v>0</v>
      </c>
      <c r="T703" t="b">
        <f>AND(IF(metadata!E703="",FALSE,TRUE),EXACT(metadata!E703,"built environment"))</f>
        <v>0</v>
      </c>
      <c r="U703" t="b">
        <f>OR(AND(IF(metadata!F703="",FALSE,TRUE),EXACT(metadata!F703,"not applicable")),AND(IF(metadata!F703="",FALSE,TRUE),EXACT(metadata!F703,"anaerobic digester content")))</f>
        <v>0</v>
      </c>
    </row>
    <row r="704" spans="1:21" x14ac:dyDescent="0.2">
      <c r="A704" s="4" t="str">
        <f ca="1">IF(B704=" "," ",HYPERLINK(CONCATENATE("#metadata!",ADDRESS(INDEX($L$2:$L$1001,MATCH(ROWS($J$2:J704),$J$2:$J$1001,0),0),1)),INDEX($O$2:$O$1001,MATCH(ROWS($J$2:J704),$J$2:$J$1001,0),0)))</f>
        <v xml:space="preserve"> </v>
      </c>
      <c r="B704" s="3" t="str">
        <f ca="1">IF(OR(INDEX($K$2:$K$1001,MATCH(ROWS($J$2:J704),$J$2:$J$1001,0),1)&gt;=100000,INDEX($Q$1005:$U$1005,1,MATCH(COLUMNS($Q$1006:Q1006),$Q$1006:$U$1006,0))&gt;=100000), " ",IF(INDEX($Q$2:$U$1001,MATCH(ROWS($J$2:J704),$J$2:$J$1001,0),MATCH(COLUMNS($Q$1006:Q1006),$Q$1006:$U$1006,0)), HYPERLINK("#",""), HYPERLINK(CONCATENATE("#metadata!", ADDRESS(INDEX($L$2:$L$1001,MATCH(ROWS($J$2:J704),$J$2:$J$1001,0),0), INDEX($Q$1004:$U$1004,1,MATCH(COLUMNS($Q$1006:Q1006),$Q$1006:$U$1006,0)))),"Fix")))</f>
        <v xml:space="preserve"> </v>
      </c>
      <c r="C704" s="3" t="str">
        <f ca="1">IF(OR(INDEX($K$2:$K$1001,MATCH(ROWS($J$2:J704),$J$2:$J$1001,0),1)&gt;=100000,INDEX($Q$1005:$U$1005,1,MATCH(COLUMNS($Q$1006:R1006),$Q$1006:$U$1006,0))&gt;=100000), " ",IF(INDEX($Q$2:$U$1001,MATCH(ROWS($J$2:J704),$J$2:$J$1001,0),MATCH(COLUMNS($Q$1006:R1006),$Q$1006:$U$1006,0)), HYPERLINK("#",""), HYPERLINK(CONCATENATE("#metadata!", ADDRESS(INDEX($L$2:$L$1001,MATCH(ROWS($J$2:J704),$J$2:$J$1001,0),0), INDEX($Q$1004:$U$1004,1,MATCH(COLUMNS($Q$1006:R1006),$Q$1006:$U$1006,0)))),"Fix")))</f>
        <v xml:space="preserve"> </v>
      </c>
      <c r="D704" s="3" t="str">
        <f ca="1">IF(OR(INDEX($K$2:$K$1001,MATCH(ROWS($J$2:J704),$J$2:$J$1001,0),1)&gt;=100000,INDEX($Q$1005:$U$1005,1,MATCH(COLUMNS($Q$1006:S1006),$Q$1006:$U$1006,0))&gt;=100000), " ",IF(INDEX($Q$2:$U$1001,MATCH(ROWS($J$2:J704),$J$2:$J$1001,0),MATCH(COLUMNS($Q$1006:S1006),$Q$1006:$U$1006,0)), HYPERLINK("#",""), HYPERLINK(CONCATENATE("#metadata!", ADDRESS(INDEX($L$2:$L$1001,MATCH(ROWS($J$2:J704),$J$2:$J$1001,0),0), INDEX($Q$1004:$U$1004,1,MATCH(COLUMNS($Q$1006:S1006),$Q$1006:$U$1006,0)))),"Fix")))</f>
        <v xml:space="preserve"> </v>
      </c>
      <c r="E704" s="3" t="str">
        <f ca="1">IF(OR(INDEX($K$2:$K$1001,MATCH(ROWS($J$2:J704),$J$2:$J$1001,0),1)&gt;=100000,INDEX($Q$1005:$U$1005,1,MATCH(COLUMNS($Q$1006:T1006),$Q$1006:$U$1006,0))&gt;=100000), " ",IF(INDEX($Q$2:$U$1001,MATCH(ROWS($J$2:J704),$J$2:$J$1001,0),MATCH(COLUMNS($Q$1006:T1006),$Q$1006:$U$1006,0)), HYPERLINK("#",""), HYPERLINK(CONCATENATE("#metadata!", ADDRESS(INDEX($L$2:$L$1001,MATCH(ROWS($J$2:J704),$J$2:$J$1001,0),0), INDEX($Q$1004:$U$1004,1,MATCH(COLUMNS($Q$1006:T1006),$Q$1006:$U$1006,0)))),"Fix")))</f>
        <v xml:space="preserve"> </v>
      </c>
      <c r="F704" s="3" t="str">
        <f ca="1">IF(OR(INDEX($K$2:$K$1001,MATCH(ROWS($J$2:J704),$J$2:$J$1001,0),1)&gt;=100000,INDEX($Q$1005:$U$1005,1,MATCH(COLUMNS($Q$1006:U1006),$Q$1006:$U$1006,0))&gt;=100000), " ",IF(INDEX($Q$2:$U$1001,MATCH(ROWS($J$2:J704),$J$2:$J$1001,0),MATCH(COLUMNS($Q$1006:U1006),$Q$1006:$U$1006,0)), HYPERLINK("#",""), HYPERLINK(CONCATENATE("#metadata!", ADDRESS(INDEX($L$2:$L$1001,MATCH(ROWS($J$2:J704),$J$2:$J$1001,0),0), INDEX($Q$1004:$U$1004,1,MATCH(COLUMNS($Q$1006:U1006),$Q$1006:$U$1006,0)))),"Fix")))</f>
        <v xml:space="preserve"> </v>
      </c>
      <c r="J704">
        <v>703</v>
      </c>
      <c r="K704">
        <v>100704</v>
      </c>
      <c r="L704">
        <v>704</v>
      </c>
      <c r="M704" t="b">
        <f t="shared" si="10"/>
        <v>1</v>
      </c>
      <c r="N704" t="b">
        <f>COUNTBLANK(metadata!B704:F704)=COLUMNS(metadata!B704:F704)</f>
        <v>1</v>
      </c>
      <c r="O704" t="str">
        <v/>
      </c>
      <c r="Q704" t="b">
        <f ca="1">AND(IF(metadata!B704="",FALSE,TRUE),COUNTIF(metadata!B:B, metadata!B704) = 1,NOT(ISERROR(SUMPRODUCT(SEARCH(MID(metadata!B704,ROW(INDIRECT("1:"&amp;LEN(metadata!B704))), 1),"0123456789abcdefghijklmnopqrstuvwxyzABCDEFGHIJKLMNOPQRSTUVWXYZ.")))))</f>
        <v>0</v>
      </c>
      <c r="R704" t="b">
        <f>AND(IF(metadata!C704="",FALSE,TRUE),OR(EXACT(metadata!C704,"saline"),EXACT(metadata!C704,"non-saline")))</f>
        <v>0</v>
      </c>
      <c r="S704" t="b">
        <f>AND(IF(metadata!D704="",FALSE,TRUE),OR(EXACT(metadata!D704,"surface (non-saline)"),EXACT(metadata!D704,"aerosol (non-saline)"),EXACT(metadata!D704,"sediment (non-saline)"),EXACT(metadata!D704,"surface (saline)"),EXACT(metadata!D704,"aerosol (saline)"),EXACT(metadata!D704,"sediment (saline)")))</f>
        <v>0</v>
      </c>
      <c r="T704" t="b">
        <f>AND(IF(metadata!E704="",FALSE,TRUE),EXACT(metadata!E704,"built environment"))</f>
        <v>0</v>
      </c>
      <c r="U704" t="b">
        <f>OR(AND(IF(metadata!F704="",FALSE,TRUE),EXACT(metadata!F704,"not applicable")),AND(IF(metadata!F704="",FALSE,TRUE),EXACT(metadata!F704,"anaerobic digester content")))</f>
        <v>0</v>
      </c>
    </row>
    <row r="705" spans="1:21" x14ac:dyDescent="0.2">
      <c r="A705" s="4" t="str">
        <f ca="1">IF(B705=" "," ",HYPERLINK(CONCATENATE("#metadata!",ADDRESS(INDEX($L$2:$L$1001,MATCH(ROWS($J$2:J705),$J$2:$J$1001,0),0),1)),INDEX($O$2:$O$1001,MATCH(ROWS($J$2:J705),$J$2:$J$1001,0),0)))</f>
        <v xml:space="preserve"> </v>
      </c>
      <c r="B705" s="3" t="str">
        <f ca="1">IF(OR(INDEX($K$2:$K$1001,MATCH(ROWS($J$2:J705),$J$2:$J$1001,0),1)&gt;=100000,INDEX($Q$1005:$U$1005,1,MATCH(COLUMNS($Q$1006:Q1006),$Q$1006:$U$1006,0))&gt;=100000), " ",IF(INDEX($Q$2:$U$1001,MATCH(ROWS($J$2:J705),$J$2:$J$1001,0),MATCH(COLUMNS($Q$1006:Q1006),$Q$1006:$U$1006,0)), HYPERLINK("#",""), HYPERLINK(CONCATENATE("#metadata!", ADDRESS(INDEX($L$2:$L$1001,MATCH(ROWS($J$2:J705),$J$2:$J$1001,0),0), INDEX($Q$1004:$U$1004,1,MATCH(COLUMNS($Q$1006:Q1006),$Q$1006:$U$1006,0)))),"Fix")))</f>
        <v xml:space="preserve"> </v>
      </c>
      <c r="C705" s="3" t="str">
        <f ca="1">IF(OR(INDEX($K$2:$K$1001,MATCH(ROWS($J$2:J705),$J$2:$J$1001,0),1)&gt;=100000,INDEX($Q$1005:$U$1005,1,MATCH(COLUMNS($Q$1006:R1006),$Q$1006:$U$1006,0))&gt;=100000), " ",IF(INDEX($Q$2:$U$1001,MATCH(ROWS($J$2:J705),$J$2:$J$1001,0),MATCH(COLUMNS($Q$1006:R1006),$Q$1006:$U$1006,0)), HYPERLINK("#",""), HYPERLINK(CONCATENATE("#metadata!", ADDRESS(INDEX($L$2:$L$1001,MATCH(ROWS($J$2:J705),$J$2:$J$1001,0),0), INDEX($Q$1004:$U$1004,1,MATCH(COLUMNS($Q$1006:R1006),$Q$1006:$U$1006,0)))),"Fix")))</f>
        <v xml:space="preserve"> </v>
      </c>
      <c r="D705" s="3" t="str">
        <f ca="1">IF(OR(INDEX($K$2:$K$1001,MATCH(ROWS($J$2:J705),$J$2:$J$1001,0),1)&gt;=100000,INDEX($Q$1005:$U$1005,1,MATCH(COLUMNS($Q$1006:S1006),$Q$1006:$U$1006,0))&gt;=100000), " ",IF(INDEX($Q$2:$U$1001,MATCH(ROWS($J$2:J705),$J$2:$J$1001,0),MATCH(COLUMNS($Q$1006:S1006),$Q$1006:$U$1006,0)), HYPERLINK("#",""), HYPERLINK(CONCATENATE("#metadata!", ADDRESS(INDEX($L$2:$L$1001,MATCH(ROWS($J$2:J705),$J$2:$J$1001,0),0), INDEX($Q$1004:$U$1004,1,MATCH(COLUMNS($Q$1006:S1006),$Q$1006:$U$1006,0)))),"Fix")))</f>
        <v xml:space="preserve"> </v>
      </c>
      <c r="E705" s="3" t="str">
        <f ca="1">IF(OR(INDEX($K$2:$K$1001,MATCH(ROWS($J$2:J705),$J$2:$J$1001,0),1)&gt;=100000,INDEX($Q$1005:$U$1005,1,MATCH(COLUMNS($Q$1006:T1006),$Q$1006:$U$1006,0))&gt;=100000), " ",IF(INDEX($Q$2:$U$1001,MATCH(ROWS($J$2:J705),$J$2:$J$1001,0),MATCH(COLUMNS($Q$1006:T1006),$Q$1006:$U$1006,0)), HYPERLINK("#",""), HYPERLINK(CONCATENATE("#metadata!", ADDRESS(INDEX($L$2:$L$1001,MATCH(ROWS($J$2:J705),$J$2:$J$1001,0),0), INDEX($Q$1004:$U$1004,1,MATCH(COLUMNS($Q$1006:T1006),$Q$1006:$U$1006,0)))),"Fix")))</f>
        <v xml:space="preserve"> </v>
      </c>
      <c r="F705" s="3" t="str">
        <f ca="1">IF(OR(INDEX($K$2:$K$1001,MATCH(ROWS($J$2:J705),$J$2:$J$1001,0),1)&gt;=100000,INDEX($Q$1005:$U$1005,1,MATCH(COLUMNS($Q$1006:U1006),$Q$1006:$U$1006,0))&gt;=100000), " ",IF(INDEX($Q$2:$U$1001,MATCH(ROWS($J$2:J705),$J$2:$J$1001,0),MATCH(COLUMNS($Q$1006:U1006),$Q$1006:$U$1006,0)), HYPERLINK("#",""), HYPERLINK(CONCATENATE("#metadata!", ADDRESS(INDEX($L$2:$L$1001,MATCH(ROWS($J$2:J705),$J$2:$J$1001,0),0), INDEX($Q$1004:$U$1004,1,MATCH(COLUMNS($Q$1006:U1006),$Q$1006:$U$1006,0)))),"Fix")))</f>
        <v xml:space="preserve"> </v>
      </c>
      <c r="J705">
        <v>704</v>
      </c>
      <c r="K705">
        <v>100705</v>
      </c>
      <c r="L705">
        <v>705</v>
      </c>
      <c r="M705" t="b">
        <f t="shared" si="10"/>
        <v>1</v>
      </c>
      <c r="N705" t="b">
        <f>COUNTBLANK(metadata!B705:F705)=COLUMNS(metadata!B705:F705)</f>
        <v>1</v>
      </c>
      <c r="O705" t="str">
        <v/>
      </c>
      <c r="Q705" t="b">
        <f ca="1">AND(IF(metadata!B705="",FALSE,TRUE),COUNTIF(metadata!B:B, metadata!B705) = 1,NOT(ISERROR(SUMPRODUCT(SEARCH(MID(metadata!B705,ROW(INDIRECT("1:"&amp;LEN(metadata!B705))), 1),"0123456789abcdefghijklmnopqrstuvwxyzABCDEFGHIJKLMNOPQRSTUVWXYZ.")))))</f>
        <v>0</v>
      </c>
      <c r="R705" t="b">
        <f>AND(IF(metadata!C705="",FALSE,TRUE),OR(EXACT(metadata!C705,"saline"),EXACT(metadata!C705,"non-saline")))</f>
        <v>0</v>
      </c>
      <c r="S705" t="b">
        <f>AND(IF(metadata!D705="",FALSE,TRUE),OR(EXACT(metadata!D705,"surface (non-saline)"),EXACT(metadata!D705,"aerosol (non-saline)"),EXACT(metadata!D705,"sediment (non-saline)"),EXACT(metadata!D705,"surface (saline)"),EXACT(metadata!D705,"aerosol (saline)"),EXACT(metadata!D705,"sediment (saline)")))</f>
        <v>0</v>
      </c>
      <c r="T705" t="b">
        <f>AND(IF(metadata!E705="",FALSE,TRUE),EXACT(metadata!E705,"built environment"))</f>
        <v>0</v>
      </c>
      <c r="U705" t="b">
        <f>OR(AND(IF(metadata!F705="",FALSE,TRUE),EXACT(metadata!F705,"not applicable")),AND(IF(metadata!F705="",FALSE,TRUE),EXACT(metadata!F705,"anaerobic digester content")))</f>
        <v>0</v>
      </c>
    </row>
    <row r="706" spans="1:21" x14ac:dyDescent="0.2">
      <c r="A706" s="4" t="str">
        <f ca="1">IF(B706=" "," ",HYPERLINK(CONCATENATE("#metadata!",ADDRESS(INDEX($L$2:$L$1001,MATCH(ROWS($J$2:J706),$J$2:$J$1001,0),0),1)),INDEX($O$2:$O$1001,MATCH(ROWS($J$2:J706),$J$2:$J$1001,0),0)))</f>
        <v xml:space="preserve"> </v>
      </c>
      <c r="B706" s="3" t="str">
        <f ca="1">IF(OR(INDEX($K$2:$K$1001,MATCH(ROWS($J$2:J706),$J$2:$J$1001,0),1)&gt;=100000,INDEX($Q$1005:$U$1005,1,MATCH(COLUMNS($Q$1006:Q1006),$Q$1006:$U$1006,0))&gt;=100000), " ",IF(INDEX($Q$2:$U$1001,MATCH(ROWS($J$2:J706),$J$2:$J$1001,0),MATCH(COLUMNS($Q$1006:Q1006),$Q$1006:$U$1006,0)), HYPERLINK("#",""), HYPERLINK(CONCATENATE("#metadata!", ADDRESS(INDEX($L$2:$L$1001,MATCH(ROWS($J$2:J706),$J$2:$J$1001,0),0), INDEX($Q$1004:$U$1004,1,MATCH(COLUMNS($Q$1006:Q1006),$Q$1006:$U$1006,0)))),"Fix")))</f>
        <v xml:space="preserve"> </v>
      </c>
      <c r="C706" s="3" t="str">
        <f ca="1">IF(OR(INDEX($K$2:$K$1001,MATCH(ROWS($J$2:J706),$J$2:$J$1001,0),1)&gt;=100000,INDEX($Q$1005:$U$1005,1,MATCH(COLUMNS($Q$1006:R1006),$Q$1006:$U$1006,0))&gt;=100000), " ",IF(INDEX($Q$2:$U$1001,MATCH(ROWS($J$2:J706),$J$2:$J$1001,0),MATCH(COLUMNS($Q$1006:R1006),$Q$1006:$U$1006,0)), HYPERLINK("#",""), HYPERLINK(CONCATENATE("#metadata!", ADDRESS(INDEX($L$2:$L$1001,MATCH(ROWS($J$2:J706),$J$2:$J$1001,0),0), INDEX($Q$1004:$U$1004,1,MATCH(COLUMNS($Q$1006:R1006),$Q$1006:$U$1006,0)))),"Fix")))</f>
        <v xml:space="preserve"> </v>
      </c>
      <c r="D706" s="3" t="str">
        <f ca="1">IF(OR(INDEX($K$2:$K$1001,MATCH(ROWS($J$2:J706),$J$2:$J$1001,0),1)&gt;=100000,INDEX($Q$1005:$U$1005,1,MATCH(COLUMNS($Q$1006:S1006),$Q$1006:$U$1006,0))&gt;=100000), " ",IF(INDEX($Q$2:$U$1001,MATCH(ROWS($J$2:J706),$J$2:$J$1001,0),MATCH(COLUMNS($Q$1006:S1006),$Q$1006:$U$1006,0)), HYPERLINK("#",""), HYPERLINK(CONCATENATE("#metadata!", ADDRESS(INDEX($L$2:$L$1001,MATCH(ROWS($J$2:J706),$J$2:$J$1001,0),0), INDEX($Q$1004:$U$1004,1,MATCH(COLUMNS($Q$1006:S1006),$Q$1006:$U$1006,0)))),"Fix")))</f>
        <v xml:space="preserve"> </v>
      </c>
      <c r="E706" s="3" t="str">
        <f ca="1">IF(OR(INDEX($K$2:$K$1001,MATCH(ROWS($J$2:J706),$J$2:$J$1001,0),1)&gt;=100000,INDEX($Q$1005:$U$1005,1,MATCH(COLUMNS($Q$1006:T1006),$Q$1006:$U$1006,0))&gt;=100000), " ",IF(INDEX($Q$2:$U$1001,MATCH(ROWS($J$2:J706),$J$2:$J$1001,0),MATCH(COLUMNS($Q$1006:T1006),$Q$1006:$U$1006,0)), HYPERLINK("#",""), HYPERLINK(CONCATENATE("#metadata!", ADDRESS(INDEX($L$2:$L$1001,MATCH(ROWS($J$2:J706),$J$2:$J$1001,0),0), INDEX($Q$1004:$U$1004,1,MATCH(COLUMNS($Q$1006:T1006),$Q$1006:$U$1006,0)))),"Fix")))</f>
        <v xml:space="preserve"> </v>
      </c>
      <c r="F706" s="3" t="str">
        <f ca="1">IF(OR(INDEX($K$2:$K$1001,MATCH(ROWS($J$2:J706),$J$2:$J$1001,0),1)&gt;=100000,INDEX($Q$1005:$U$1005,1,MATCH(COLUMNS($Q$1006:U1006),$Q$1006:$U$1006,0))&gt;=100000), " ",IF(INDEX($Q$2:$U$1001,MATCH(ROWS($J$2:J706),$J$2:$J$1001,0),MATCH(COLUMNS($Q$1006:U1006),$Q$1006:$U$1006,0)), HYPERLINK("#",""), HYPERLINK(CONCATENATE("#metadata!", ADDRESS(INDEX($L$2:$L$1001,MATCH(ROWS($J$2:J706),$J$2:$J$1001,0),0), INDEX($Q$1004:$U$1004,1,MATCH(COLUMNS($Q$1006:U1006),$Q$1006:$U$1006,0)))),"Fix")))</f>
        <v xml:space="preserve"> </v>
      </c>
      <c r="J706">
        <v>705</v>
      </c>
      <c r="K706">
        <v>100706</v>
      </c>
      <c r="L706">
        <v>706</v>
      </c>
      <c r="M706" t="b">
        <f t="shared" ref="M706:M769" si="11">IF(N706,TRUE,AND(Q706:U706))</f>
        <v>1</v>
      </c>
      <c r="N706" t="b">
        <f>COUNTBLANK(metadata!B706:F706)=COLUMNS(metadata!B706:F706)</f>
        <v>1</v>
      </c>
      <c r="O706" t="str">
        <v/>
      </c>
      <c r="Q706" t="b">
        <f ca="1">AND(IF(metadata!B706="",FALSE,TRUE),COUNTIF(metadata!B:B, metadata!B706) = 1,NOT(ISERROR(SUMPRODUCT(SEARCH(MID(metadata!B706,ROW(INDIRECT("1:"&amp;LEN(metadata!B706))), 1),"0123456789abcdefghijklmnopqrstuvwxyzABCDEFGHIJKLMNOPQRSTUVWXYZ.")))))</f>
        <v>0</v>
      </c>
      <c r="R706" t="b">
        <f>AND(IF(metadata!C706="",FALSE,TRUE),OR(EXACT(metadata!C706,"saline"),EXACT(metadata!C706,"non-saline")))</f>
        <v>0</v>
      </c>
      <c r="S706" t="b">
        <f>AND(IF(metadata!D706="",FALSE,TRUE),OR(EXACT(metadata!D706,"surface (non-saline)"),EXACT(metadata!D706,"aerosol (non-saline)"),EXACT(metadata!D706,"sediment (non-saline)"),EXACT(metadata!D706,"surface (saline)"),EXACT(metadata!D706,"aerosol (saline)"),EXACT(metadata!D706,"sediment (saline)")))</f>
        <v>0</v>
      </c>
      <c r="T706" t="b">
        <f>AND(IF(metadata!E706="",FALSE,TRUE),EXACT(metadata!E706,"built environment"))</f>
        <v>0</v>
      </c>
      <c r="U706" t="b">
        <f>OR(AND(IF(metadata!F706="",FALSE,TRUE),EXACT(metadata!F706,"not applicable")),AND(IF(metadata!F706="",FALSE,TRUE),EXACT(metadata!F706,"anaerobic digester content")))</f>
        <v>0</v>
      </c>
    </row>
    <row r="707" spans="1:21" x14ac:dyDescent="0.2">
      <c r="A707" s="4" t="str">
        <f ca="1">IF(B707=" "," ",HYPERLINK(CONCATENATE("#metadata!",ADDRESS(INDEX($L$2:$L$1001,MATCH(ROWS($J$2:J707),$J$2:$J$1001,0),0),1)),INDEX($O$2:$O$1001,MATCH(ROWS($J$2:J707),$J$2:$J$1001,0),0)))</f>
        <v xml:space="preserve"> </v>
      </c>
      <c r="B707" s="3" t="str">
        <f ca="1">IF(OR(INDEX($K$2:$K$1001,MATCH(ROWS($J$2:J707),$J$2:$J$1001,0),1)&gt;=100000,INDEX($Q$1005:$U$1005,1,MATCH(COLUMNS($Q$1006:Q1006),$Q$1006:$U$1006,0))&gt;=100000), " ",IF(INDEX($Q$2:$U$1001,MATCH(ROWS($J$2:J707),$J$2:$J$1001,0),MATCH(COLUMNS($Q$1006:Q1006),$Q$1006:$U$1006,0)), HYPERLINK("#",""), HYPERLINK(CONCATENATE("#metadata!", ADDRESS(INDEX($L$2:$L$1001,MATCH(ROWS($J$2:J707),$J$2:$J$1001,0),0), INDEX($Q$1004:$U$1004,1,MATCH(COLUMNS($Q$1006:Q1006),$Q$1006:$U$1006,0)))),"Fix")))</f>
        <v xml:space="preserve"> </v>
      </c>
      <c r="C707" s="3" t="str">
        <f ca="1">IF(OR(INDEX($K$2:$K$1001,MATCH(ROWS($J$2:J707),$J$2:$J$1001,0),1)&gt;=100000,INDEX($Q$1005:$U$1005,1,MATCH(COLUMNS($Q$1006:R1006),$Q$1006:$U$1006,0))&gt;=100000), " ",IF(INDEX($Q$2:$U$1001,MATCH(ROWS($J$2:J707),$J$2:$J$1001,0),MATCH(COLUMNS($Q$1006:R1006),$Q$1006:$U$1006,0)), HYPERLINK("#",""), HYPERLINK(CONCATENATE("#metadata!", ADDRESS(INDEX($L$2:$L$1001,MATCH(ROWS($J$2:J707),$J$2:$J$1001,0),0), INDEX($Q$1004:$U$1004,1,MATCH(COLUMNS($Q$1006:R1006),$Q$1006:$U$1006,0)))),"Fix")))</f>
        <v xml:space="preserve"> </v>
      </c>
      <c r="D707" s="3" t="str">
        <f ca="1">IF(OR(INDEX($K$2:$K$1001,MATCH(ROWS($J$2:J707),$J$2:$J$1001,0),1)&gt;=100000,INDEX($Q$1005:$U$1005,1,MATCH(COLUMNS($Q$1006:S1006),$Q$1006:$U$1006,0))&gt;=100000), " ",IF(INDEX($Q$2:$U$1001,MATCH(ROWS($J$2:J707),$J$2:$J$1001,0),MATCH(COLUMNS($Q$1006:S1006),$Q$1006:$U$1006,0)), HYPERLINK("#",""), HYPERLINK(CONCATENATE("#metadata!", ADDRESS(INDEX($L$2:$L$1001,MATCH(ROWS($J$2:J707),$J$2:$J$1001,0),0), INDEX($Q$1004:$U$1004,1,MATCH(COLUMNS($Q$1006:S1006),$Q$1006:$U$1006,0)))),"Fix")))</f>
        <v xml:space="preserve"> </v>
      </c>
      <c r="E707" s="3" t="str">
        <f ca="1">IF(OR(INDEX($K$2:$K$1001,MATCH(ROWS($J$2:J707),$J$2:$J$1001,0),1)&gt;=100000,INDEX($Q$1005:$U$1005,1,MATCH(COLUMNS($Q$1006:T1006),$Q$1006:$U$1006,0))&gt;=100000), " ",IF(INDEX($Q$2:$U$1001,MATCH(ROWS($J$2:J707),$J$2:$J$1001,0),MATCH(COLUMNS($Q$1006:T1006),$Q$1006:$U$1006,0)), HYPERLINK("#",""), HYPERLINK(CONCATENATE("#metadata!", ADDRESS(INDEX($L$2:$L$1001,MATCH(ROWS($J$2:J707),$J$2:$J$1001,0),0), INDEX($Q$1004:$U$1004,1,MATCH(COLUMNS($Q$1006:T1006),$Q$1006:$U$1006,0)))),"Fix")))</f>
        <v xml:space="preserve"> </v>
      </c>
      <c r="F707" s="3" t="str">
        <f ca="1">IF(OR(INDEX($K$2:$K$1001,MATCH(ROWS($J$2:J707),$J$2:$J$1001,0),1)&gt;=100000,INDEX($Q$1005:$U$1005,1,MATCH(COLUMNS($Q$1006:U1006),$Q$1006:$U$1006,0))&gt;=100000), " ",IF(INDEX($Q$2:$U$1001,MATCH(ROWS($J$2:J707),$J$2:$J$1001,0),MATCH(COLUMNS($Q$1006:U1006),$Q$1006:$U$1006,0)), HYPERLINK("#",""), HYPERLINK(CONCATENATE("#metadata!", ADDRESS(INDEX($L$2:$L$1001,MATCH(ROWS($J$2:J707),$J$2:$J$1001,0),0), INDEX($Q$1004:$U$1004,1,MATCH(COLUMNS($Q$1006:U1006),$Q$1006:$U$1006,0)))),"Fix")))</f>
        <v xml:space="preserve"> </v>
      </c>
      <c r="J707">
        <v>706</v>
      </c>
      <c r="K707">
        <v>100707</v>
      </c>
      <c r="L707">
        <v>707</v>
      </c>
      <c r="M707" t="b">
        <f t="shared" si="11"/>
        <v>1</v>
      </c>
      <c r="N707" t="b">
        <f>COUNTBLANK(metadata!B707:F707)=COLUMNS(metadata!B707:F707)</f>
        <v>1</v>
      </c>
      <c r="O707" t="str">
        <v/>
      </c>
      <c r="Q707" t="b">
        <f ca="1">AND(IF(metadata!B707="",FALSE,TRUE),COUNTIF(metadata!B:B, metadata!B707) = 1,NOT(ISERROR(SUMPRODUCT(SEARCH(MID(metadata!B707,ROW(INDIRECT("1:"&amp;LEN(metadata!B707))), 1),"0123456789abcdefghijklmnopqrstuvwxyzABCDEFGHIJKLMNOPQRSTUVWXYZ.")))))</f>
        <v>0</v>
      </c>
      <c r="R707" t="b">
        <f>AND(IF(metadata!C707="",FALSE,TRUE),OR(EXACT(metadata!C707,"saline"),EXACT(metadata!C707,"non-saline")))</f>
        <v>0</v>
      </c>
      <c r="S707" t="b">
        <f>AND(IF(metadata!D707="",FALSE,TRUE),OR(EXACT(metadata!D707,"surface (non-saline)"),EXACT(metadata!D707,"aerosol (non-saline)"),EXACT(metadata!D707,"sediment (non-saline)"),EXACT(metadata!D707,"surface (saline)"),EXACT(metadata!D707,"aerosol (saline)"),EXACT(metadata!D707,"sediment (saline)")))</f>
        <v>0</v>
      </c>
      <c r="T707" t="b">
        <f>AND(IF(metadata!E707="",FALSE,TRUE),EXACT(metadata!E707,"built environment"))</f>
        <v>0</v>
      </c>
      <c r="U707" t="b">
        <f>OR(AND(IF(metadata!F707="",FALSE,TRUE),EXACT(metadata!F707,"not applicable")),AND(IF(metadata!F707="",FALSE,TRUE),EXACT(metadata!F707,"anaerobic digester content")))</f>
        <v>0</v>
      </c>
    </row>
    <row r="708" spans="1:21" x14ac:dyDescent="0.2">
      <c r="A708" s="4" t="str">
        <f ca="1">IF(B708=" "," ",HYPERLINK(CONCATENATE("#metadata!",ADDRESS(INDEX($L$2:$L$1001,MATCH(ROWS($J$2:J708),$J$2:$J$1001,0),0),1)),INDEX($O$2:$O$1001,MATCH(ROWS($J$2:J708),$J$2:$J$1001,0),0)))</f>
        <v xml:space="preserve"> </v>
      </c>
      <c r="B708" s="3" t="str">
        <f ca="1">IF(OR(INDEX($K$2:$K$1001,MATCH(ROWS($J$2:J708),$J$2:$J$1001,0),1)&gt;=100000,INDEX($Q$1005:$U$1005,1,MATCH(COLUMNS($Q$1006:Q1006),$Q$1006:$U$1006,0))&gt;=100000), " ",IF(INDEX($Q$2:$U$1001,MATCH(ROWS($J$2:J708),$J$2:$J$1001,0),MATCH(COLUMNS($Q$1006:Q1006),$Q$1006:$U$1006,0)), HYPERLINK("#",""), HYPERLINK(CONCATENATE("#metadata!", ADDRESS(INDEX($L$2:$L$1001,MATCH(ROWS($J$2:J708),$J$2:$J$1001,0),0), INDEX($Q$1004:$U$1004,1,MATCH(COLUMNS($Q$1006:Q1006),$Q$1006:$U$1006,0)))),"Fix")))</f>
        <v xml:space="preserve"> </v>
      </c>
      <c r="C708" s="3" t="str">
        <f ca="1">IF(OR(INDEX($K$2:$K$1001,MATCH(ROWS($J$2:J708),$J$2:$J$1001,0),1)&gt;=100000,INDEX($Q$1005:$U$1005,1,MATCH(COLUMNS($Q$1006:R1006),$Q$1006:$U$1006,0))&gt;=100000), " ",IF(INDEX($Q$2:$U$1001,MATCH(ROWS($J$2:J708),$J$2:$J$1001,0),MATCH(COLUMNS($Q$1006:R1006),$Q$1006:$U$1006,0)), HYPERLINK("#",""), HYPERLINK(CONCATENATE("#metadata!", ADDRESS(INDEX($L$2:$L$1001,MATCH(ROWS($J$2:J708),$J$2:$J$1001,0),0), INDEX($Q$1004:$U$1004,1,MATCH(COLUMNS($Q$1006:R1006),$Q$1006:$U$1006,0)))),"Fix")))</f>
        <v xml:space="preserve"> </v>
      </c>
      <c r="D708" s="3" t="str">
        <f ca="1">IF(OR(INDEX($K$2:$K$1001,MATCH(ROWS($J$2:J708),$J$2:$J$1001,0),1)&gt;=100000,INDEX($Q$1005:$U$1005,1,MATCH(COLUMNS($Q$1006:S1006),$Q$1006:$U$1006,0))&gt;=100000), " ",IF(INDEX($Q$2:$U$1001,MATCH(ROWS($J$2:J708),$J$2:$J$1001,0),MATCH(COLUMNS($Q$1006:S1006),$Q$1006:$U$1006,0)), HYPERLINK("#",""), HYPERLINK(CONCATENATE("#metadata!", ADDRESS(INDEX($L$2:$L$1001,MATCH(ROWS($J$2:J708),$J$2:$J$1001,0),0), INDEX($Q$1004:$U$1004,1,MATCH(COLUMNS($Q$1006:S1006),$Q$1006:$U$1006,0)))),"Fix")))</f>
        <v xml:space="preserve"> </v>
      </c>
      <c r="E708" s="3" t="str">
        <f ca="1">IF(OR(INDEX($K$2:$K$1001,MATCH(ROWS($J$2:J708),$J$2:$J$1001,0),1)&gt;=100000,INDEX($Q$1005:$U$1005,1,MATCH(COLUMNS($Q$1006:T1006),$Q$1006:$U$1006,0))&gt;=100000), " ",IF(INDEX($Q$2:$U$1001,MATCH(ROWS($J$2:J708),$J$2:$J$1001,0),MATCH(COLUMNS($Q$1006:T1006),$Q$1006:$U$1006,0)), HYPERLINK("#",""), HYPERLINK(CONCATENATE("#metadata!", ADDRESS(INDEX($L$2:$L$1001,MATCH(ROWS($J$2:J708),$J$2:$J$1001,0),0), INDEX($Q$1004:$U$1004,1,MATCH(COLUMNS($Q$1006:T1006),$Q$1006:$U$1006,0)))),"Fix")))</f>
        <v xml:space="preserve"> </v>
      </c>
      <c r="F708" s="3" t="str">
        <f ca="1">IF(OR(INDEX($K$2:$K$1001,MATCH(ROWS($J$2:J708),$J$2:$J$1001,0),1)&gt;=100000,INDEX($Q$1005:$U$1005,1,MATCH(COLUMNS($Q$1006:U1006),$Q$1006:$U$1006,0))&gt;=100000), " ",IF(INDEX($Q$2:$U$1001,MATCH(ROWS($J$2:J708),$J$2:$J$1001,0),MATCH(COLUMNS($Q$1006:U1006),$Q$1006:$U$1006,0)), HYPERLINK("#",""), HYPERLINK(CONCATENATE("#metadata!", ADDRESS(INDEX($L$2:$L$1001,MATCH(ROWS($J$2:J708),$J$2:$J$1001,0),0), INDEX($Q$1004:$U$1004,1,MATCH(COLUMNS($Q$1006:U1006),$Q$1006:$U$1006,0)))),"Fix")))</f>
        <v xml:space="preserve"> </v>
      </c>
      <c r="J708">
        <v>707</v>
      </c>
      <c r="K708">
        <v>100708</v>
      </c>
      <c r="L708">
        <v>708</v>
      </c>
      <c r="M708" t="b">
        <f t="shared" si="11"/>
        <v>1</v>
      </c>
      <c r="N708" t="b">
        <f>COUNTBLANK(metadata!B708:F708)=COLUMNS(metadata!B708:F708)</f>
        <v>1</v>
      </c>
      <c r="O708" t="str">
        <v/>
      </c>
      <c r="Q708" t="b">
        <f ca="1">AND(IF(metadata!B708="",FALSE,TRUE),COUNTIF(metadata!B:B, metadata!B708) = 1,NOT(ISERROR(SUMPRODUCT(SEARCH(MID(metadata!B708,ROW(INDIRECT("1:"&amp;LEN(metadata!B708))), 1),"0123456789abcdefghijklmnopqrstuvwxyzABCDEFGHIJKLMNOPQRSTUVWXYZ.")))))</f>
        <v>0</v>
      </c>
      <c r="R708" t="b">
        <f>AND(IF(metadata!C708="",FALSE,TRUE),OR(EXACT(metadata!C708,"saline"),EXACT(metadata!C708,"non-saline")))</f>
        <v>0</v>
      </c>
      <c r="S708" t="b">
        <f>AND(IF(metadata!D708="",FALSE,TRUE),OR(EXACT(metadata!D708,"surface (non-saline)"),EXACT(metadata!D708,"aerosol (non-saline)"),EXACT(metadata!D708,"sediment (non-saline)"),EXACT(metadata!D708,"surface (saline)"),EXACT(metadata!D708,"aerosol (saline)"),EXACT(metadata!D708,"sediment (saline)")))</f>
        <v>0</v>
      </c>
      <c r="T708" t="b">
        <f>AND(IF(metadata!E708="",FALSE,TRUE),EXACT(metadata!E708,"built environment"))</f>
        <v>0</v>
      </c>
      <c r="U708" t="b">
        <f>OR(AND(IF(metadata!F708="",FALSE,TRUE),EXACT(metadata!F708,"not applicable")),AND(IF(metadata!F708="",FALSE,TRUE),EXACT(metadata!F708,"anaerobic digester content")))</f>
        <v>0</v>
      </c>
    </row>
    <row r="709" spans="1:21" x14ac:dyDescent="0.2">
      <c r="A709" s="4" t="str">
        <f ca="1">IF(B709=" "," ",HYPERLINK(CONCATENATE("#metadata!",ADDRESS(INDEX($L$2:$L$1001,MATCH(ROWS($J$2:J709),$J$2:$J$1001,0),0),1)),INDEX($O$2:$O$1001,MATCH(ROWS($J$2:J709),$J$2:$J$1001,0),0)))</f>
        <v xml:space="preserve"> </v>
      </c>
      <c r="B709" s="3" t="str">
        <f ca="1">IF(OR(INDEX($K$2:$K$1001,MATCH(ROWS($J$2:J709),$J$2:$J$1001,0),1)&gt;=100000,INDEX($Q$1005:$U$1005,1,MATCH(COLUMNS($Q$1006:Q1006),$Q$1006:$U$1006,0))&gt;=100000), " ",IF(INDEX($Q$2:$U$1001,MATCH(ROWS($J$2:J709),$J$2:$J$1001,0),MATCH(COLUMNS($Q$1006:Q1006),$Q$1006:$U$1006,0)), HYPERLINK("#",""), HYPERLINK(CONCATENATE("#metadata!", ADDRESS(INDEX($L$2:$L$1001,MATCH(ROWS($J$2:J709),$J$2:$J$1001,0),0), INDEX($Q$1004:$U$1004,1,MATCH(COLUMNS($Q$1006:Q1006),$Q$1006:$U$1006,0)))),"Fix")))</f>
        <v xml:space="preserve"> </v>
      </c>
      <c r="C709" s="3" t="str">
        <f ca="1">IF(OR(INDEX($K$2:$K$1001,MATCH(ROWS($J$2:J709),$J$2:$J$1001,0),1)&gt;=100000,INDEX($Q$1005:$U$1005,1,MATCH(COLUMNS($Q$1006:R1006),$Q$1006:$U$1006,0))&gt;=100000), " ",IF(INDEX($Q$2:$U$1001,MATCH(ROWS($J$2:J709),$J$2:$J$1001,0),MATCH(COLUMNS($Q$1006:R1006),$Q$1006:$U$1006,0)), HYPERLINK("#",""), HYPERLINK(CONCATENATE("#metadata!", ADDRESS(INDEX($L$2:$L$1001,MATCH(ROWS($J$2:J709),$J$2:$J$1001,0),0), INDEX($Q$1004:$U$1004,1,MATCH(COLUMNS($Q$1006:R1006),$Q$1006:$U$1006,0)))),"Fix")))</f>
        <v xml:space="preserve"> </v>
      </c>
      <c r="D709" s="3" t="str">
        <f ca="1">IF(OR(INDEX($K$2:$K$1001,MATCH(ROWS($J$2:J709),$J$2:$J$1001,0),1)&gt;=100000,INDEX($Q$1005:$U$1005,1,MATCH(COLUMNS($Q$1006:S1006),$Q$1006:$U$1006,0))&gt;=100000), " ",IF(INDEX($Q$2:$U$1001,MATCH(ROWS($J$2:J709),$J$2:$J$1001,0),MATCH(COLUMNS($Q$1006:S1006),$Q$1006:$U$1006,0)), HYPERLINK("#",""), HYPERLINK(CONCATENATE("#metadata!", ADDRESS(INDEX($L$2:$L$1001,MATCH(ROWS($J$2:J709),$J$2:$J$1001,0),0), INDEX($Q$1004:$U$1004,1,MATCH(COLUMNS($Q$1006:S1006),$Q$1006:$U$1006,0)))),"Fix")))</f>
        <v xml:space="preserve"> </v>
      </c>
      <c r="E709" s="3" t="str">
        <f ca="1">IF(OR(INDEX($K$2:$K$1001,MATCH(ROWS($J$2:J709),$J$2:$J$1001,0),1)&gt;=100000,INDEX($Q$1005:$U$1005,1,MATCH(COLUMNS($Q$1006:T1006),$Q$1006:$U$1006,0))&gt;=100000), " ",IF(INDEX($Q$2:$U$1001,MATCH(ROWS($J$2:J709),$J$2:$J$1001,0),MATCH(COLUMNS($Q$1006:T1006),$Q$1006:$U$1006,0)), HYPERLINK("#",""), HYPERLINK(CONCATENATE("#metadata!", ADDRESS(INDEX($L$2:$L$1001,MATCH(ROWS($J$2:J709),$J$2:$J$1001,0),0), INDEX($Q$1004:$U$1004,1,MATCH(COLUMNS($Q$1006:T1006),$Q$1006:$U$1006,0)))),"Fix")))</f>
        <v xml:space="preserve"> </v>
      </c>
      <c r="F709" s="3" t="str">
        <f ca="1">IF(OR(INDEX($K$2:$K$1001,MATCH(ROWS($J$2:J709),$J$2:$J$1001,0),1)&gt;=100000,INDEX($Q$1005:$U$1005,1,MATCH(COLUMNS($Q$1006:U1006),$Q$1006:$U$1006,0))&gt;=100000), " ",IF(INDEX($Q$2:$U$1001,MATCH(ROWS($J$2:J709),$J$2:$J$1001,0),MATCH(COLUMNS($Q$1006:U1006),$Q$1006:$U$1006,0)), HYPERLINK("#",""), HYPERLINK(CONCATENATE("#metadata!", ADDRESS(INDEX($L$2:$L$1001,MATCH(ROWS($J$2:J709),$J$2:$J$1001,0),0), INDEX($Q$1004:$U$1004,1,MATCH(COLUMNS($Q$1006:U1006),$Q$1006:$U$1006,0)))),"Fix")))</f>
        <v xml:space="preserve"> </v>
      </c>
      <c r="J709">
        <v>708</v>
      </c>
      <c r="K709">
        <v>100709</v>
      </c>
      <c r="L709">
        <v>709</v>
      </c>
      <c r="M709" t="b">
        <f t="shared" si="11"/>
        <v>1</v>
      </c>
      <c r="N709" t="b">
        <f>COUNTBLANK(metadata!B709:F709)=COLUMNS(metadata!B709:F709)</f>
        <v>1</v>
      </c>
      <c r="O709" t="str">
        <v/>
      </c>
      <c r="Q709" t="b">
        <f ca="1">AND(IF(metadata!B709="",FALSE,TRUE),COUNTIF(metadata!B:B, metadata!B709) = 1,NOT(ISERROR(SUMPRODUCT(SEARCH(MID(metadata!B709,ROW(INDIRECT("1:"&amp;LEN(metadata!B709))), 1),"0123456789abcdefghijklmnopqrstuvwxyzABCDEFGHIJKLMNOPQRSTUVWXYZ.")))))</f>
        <v>0</v>
      </c>
      <c r="R709" t="b">
        <f>AND(IF(metadata!C709="",FALSE,TRUE),OR(EXACT(metadata!C709,"saline"),EXACT(metadata!C709,"non-saline")))</f>
        <v>0</v>
      </c>
      <c r="S709" t="b">
        <f>AND(IF(metadata!D709="",FALSE,TRUE),OR(EXACT(metadata!D709,"surface (non-saline)"),EXACT(metadata!D709,"aerosol (non-saline)"),EXACT(metadata!D709,"sediment (non-saline)"),EXACT(metadata!D709,"surface (saline)"),EXACT(metadata!D709,"aerosol (saline)"),EXACT(metadata!D709,"sediment (saline)")))</f>
        <v>0</v>
      </c>
      <c r="T709" t="b">
        <f>AND(IF(metadata!E709="",FALSE,TRUE),EXACT(metadata!E709,"built environment"))</f>
        <v>0</v>
      </c>
      <c r="U709" t="b">
        <f>OR(AND(IF(metadata!F709="",FALSE,TRUE),EXACT(metadata!F709,"not applicable")),AND(IF(metadata!F709="",FALSE,TRUE),EXACT(metadata!F709,"anaerobic digester content")))</f>
        <v>0</v>
      </c>
    </row>
    <row r="710" spans="1:21" x14ac:dyDescent="0.2">
      <c r="A710" s="4" t="str">
        <f ca="1">IF(B710=" "," ",HYPERLINK(CONCATENATE("#metadata!",ADDRESS(INDEX($L$2:$L$1001,MATCH(ROWS($J$2:J710),$J$2:$J$1001,0),0),1)),INDEX($O$2:$O$1001,MATCH(ROWS($J$2:J710),$J$2:$J$1001,0),0)))</f>
        <v xml:space="preserve"> </v>
      </c>
      <c r="B710" s="3" t="str">
        <f ca="1">IF(OR(INDEX($K$2:$K$1001,MATCH(ROWS($J$2:J710),$J$2:$J$1001,0),1)&gt;=100000,INDEX($Q$1005:$U$1005,1,MATCH(COLUMNS($Q$1006:Q1006),$Q$1006:$U$1006,0))&gt;=100000), " ",IF(INDEX($Q$2:$U$1001,MATCH(ROWS($J$2:J710),$J$2:$J$1001,0),MATCH(COLUMNS($Q$1006:Q1006),$Q$1006:$U$1006,0)), HYPERLINK("#",""), HYPERLINK(CONCATENATE("#metadata!", ADDRESS(INDEX($L$2:$L$1001,MATCH(ROWS($J$2:J710),$J$2:$J$1001,0),0), INDEX($Q$1004:$U$1004,1,MATCH(COLUMNS($Q$1006:Q1006),$Q$1006:$U$1006,0)))),"Fix")))</f>
        <v xml:space="preserve"> </v>
      </c>
      <c r="C710" s="3" t="str">
        <f ca="1">IF(OR(INDEX($K$2:$K$1001,MATCH(ROWS($J$2:J710),$J$2:$J$1001,0),1)&gt;=100000,INDEX($Q$1005:$U$1005,1,MATCH(COLUMNS($Q$1006:R1006),$Q$1006:$U$1006,0))&gt;=100000), " ",IF(INDEX($Q$2:$U$1001,MATCH(ROWS($J$2:J710),$J$2:$J$1001,0),MATCH(COLUMNS($Q$1006:R1006),$Q$1006:$U$1006,0)), HYPERLINK("#",""), HYPERLINK(CONCATENATE("#metadata!", ADDRESS(INDEX($L$2:$L$1001,MATCH(ROWS($J$2:J710),$J$2:$J$1001,0),0), INDEX($Q$1004:$U$1004,1,MATCH(COLUMNS($Q$1006:R1006),$Q$1006:$U$1006,0)))),"Fix")))</f>
        <v xml:space="preserve"> </v>
      </c>
      <c r="D710" s="3" t="str">
        <f ca="1">IF(OR(INDEX($K$2:$K$1001,MATCH(ROWS($J$2:J710),$J$2:$J$1001,0),1)&gt;=100000,INDEX($Q$1005:$U$1005,1,MATCH(COLUMNS($Q$1006:S1006),$Q$1006:$U$1006,0))&gt;=100000), " ",IF(INDEX($Q$2:$U$1001,MATCH(ROWS($J$2:J710),$J$2:$J$1001,0),MATCH(COLUMNS($Q$1006:S1006),$Q$1006:$U$1006,0)), HYPERLINK("#",""), HYPERLINK(CONCATENATE("#metadata!", ADDRESS(INDEX($L$2:$L$1001,MATCH(ROWS($J$2:J710),$J$2:$J$1001,0),0), INDEX($Q$1004:$U$1004,1,MATCH(COLUMNS($Q$1006:S1006),$Q$1006:$U$1006,0)))),"Fix")))</f>
        <v xml:space="preserve"> </v>
      </c>
      <c r="E710" s="3" t="str">
        <f ca="1">IF(OR(INDEX($K$2:$K$1001,MATCH(ROWS($J$2:J710),$J$2:$J$1001,0),1)&gt;=100000,INDEX($Q$1005:$U$1005,1,MATCH(COLUMNS($Q$1006:T1006),$Q$1006:$U$1006,0))&gt;=100000), " ",IF(INDEX($Q$2:$U$1001,MATCH(ROWS($J$2:J710),$J$2:$J$1001,0),MATCH(COLUMNS($Q$1006:T1006),$Q$1006:$U$1006,0)), HYPERLINK("#",""), HYPERLINK(CONCATENATE("#metadata!", ADDRESS(INDEX($L$2:$L$1001,MATCH(ROWS($J$2:J710),$J$2:$J$1001,0),0), INDEX($Q$1004:$U$1004,1,MATCH(COLUMNS($Q$1006:T1006),$Q$1006:$U$1006,0)))),"Fix")))</f>
        <v xml:space="preserve"> </v>
      </c>
      <c r="F710" s="3" t="str">
        <f ca="1">IF(OR(INDEX($K$2:$K$1001,MATCH(ROWS($J$2:J710),$J$2:$J$1001,0),1)&gt;=100000,INDEX($Q$1005:$U$1005,1,MATCH(COLUMNS($Q$1006:U1006),$Q$1006:$U$1006,0))&gt;=100000), " ",IF(INDEX($Q$2:$U$1001,MATCH(ROWS($J$2:J710),$J$2:$J$1001,0),MATCH(COLUMNS($Q$1006:U1006),$Q$1006:$U$1006,0)), HYPERLINK("#",""), HYPERLINK(CONCATENATE("#metadata!", ADDRESS(INDEX($L$2:$L$1001,MATCH(ROWS($J$2:J710),$J$2:$J$1001,0),0), INDEX($Q$1004:$U$1004,1,MATCH(COLUMNS($Q$1006:U1006),$Q$1006:$U$1006,0)))),"Fix")))</f>
        <v xml:space="preserve"> </v>
      </c>
      <c r="J710">
        <v>709</v>
      </c>
      <c r="K710">
        <v>100710</v>
      </c>
      <c r="L710">
        <v>710</v>
      </c>
      <c r="M710" t="b">
        <f t="shared" si="11"/>
        <v>1</v>
      </c>
      <c r="N710" t="b">
        <f>COUNTBLANK(metadata!B710:F710)=COLUMNS(metadata!B710:F710)</f>
        <v>1</v>
      </c>
      <c r="O710" t="str">
        <v/>
      </c>
      <c r="Q710" t="b">
        <f ca="1">AND(IF(metadata!B710="",FALSE,TRUE),COUNTIF(metadata!B:B, metadata!B710) = 1,NOT(ISERROR(SUMPRODUCT(SEARCH(MID(metadata!B710,ROW(INDIRECT("1:"&amp;LEN(metadata!B710))), 1),"0123456789abcdefghijklmnopqrstuvwxyzABCDEFGHIJKLMNOPQRSTUVWXYZ.")))))</f>
        <v>0</v>
      </c>
      <c r="R710" t="b">
        <f>AND(IF(metadata!C710="",FALSE,TRUE),OR(EXACT(metadata!C710,"saline"),EXACT(metadata!C710,"non-saline")))</f>
        <v>0</v>
      </c>
      <c r="S710" t="b">
        <f>AND(IF(metadata!D710="",FALSE,TRUE),OR(EXACT(metadata!D710,"surface (non-saline)"),EXACT(metadata!D710,"aerosol (non-saline)"),EXACT(metadata!D710,"sediment (non-saline)"),EXACT(metadata!D710,"surface (saline)"),EXACT(metadata!D710,"aerosol (saline)"),EXACT(metadata!D710,"sediment (saline)")))</f>
        <v>0</v>
      </c>
      <c r="T710" t="b">
        <f>AND(IF(metadata!E710="",FALSE,TRUE),EXACT(metadata!E710,"built environment"))</f>
        <v>0</v>
      </c>
      <c r="U710" t="b">
        <f>OR(AND(IF(metadata!F710="",FALSE,TRUE),EXACT(metadata!F710,"not applicable")),AND(IF(metadata!F710="",FALSE,TRUE),EXACT(metadata!F710,"anaerobic digester content")))</f>
        <v>0</v>
      </c>
    </row>
    <row r="711" spans="1:21" x14ac:dyDescent="0.2">
      <c r="A711" s="4" t="str">
        <f ca="1">IF(B711=" "," ",HYPERLINK(CONCATENATE("#metadata!",ADDRESS(INDEX($L$2:$L$1001,MATCH(ROWS($J$2:J711),$J$2:$J$1001,0),0),1)),INDEX($O$2:$O$1001,MATCH(ROWS($J$2:J711),$J$2:$J$1001,0),0)))</f>
        <v xml:space="preserve"> </v>
      </c>
      <c r="B711" s="3" t="str">
        <f ca="1">IF(OR(INDEX($K$2:$K$1001,MATCH(ROWS($J$2:J711),$J$2:$J$1001,0),1)&gt;=100000,INDEX($Q$1005:$U$1005,1,MATCH(COLUMNS($Q$1006:Q1006),$Q$1006:$U$1006,0))&gt;=100000), " ",IF(INDEX($Q$2:$U$1001,MATCH(ROWS($J$2:J711),$J$2:$J$1001,0),MATCH(COLUMNS($Q$1006:Q1006),$Q$1006:$U$1006,0)), HYPERLINK("#",""), HYPERLINK(CONCATENATE("#metadata!", ADDRESS(INDEX($L$2:$L$1001,MATCH(ROWS($J$2:J711),$J$2:$J$1001,0),0), INDEX($Q$1004:$U$1004,1,MATCH(COLUMNS($Q$1006:Q1006),$Q$1006:$U$1006,0)))),"Fix")))</f>
        <v xml:space="preserve"> </v>
      </c>
      <c r="C711" s="3" t="str">
        <f ca="1">IF(OR(INDEX($K$2:$K$1001,MATCH(ROWS($J$2:J711),$J$2:$J$1001,0),1)&gt;=100000,INDEX($Q$1005:$U$1005,1,MATCH(COLUMNS($Q$1006:R1006),$Q$1006:$U$1006,0))&gt;=100000), " ",IF(INDEX($Q$2:$U$1001,MATCH(ROWS($J$2:J711),$J$2:$J$1001,0),MATCH(COLUMNS($Q$1006:R1006),$Q$1006:$U$1006,0)), HYPERLINK("#",""), HYPERLINK(CONCATENATE("#metadata!", ADDRESS(INDEX($L$2:$L$1001,MATCH(ROWS($J$2:J711),$J$2:$J$1001,0),0), INDEX($Q$1004:$U$1004,1,MATCH(COLUMNS($Q$1006:R1006),$Q$1006:$U$1006,0)))),"Fix")))</f>
        <v xml:space="preserve"> </v>
      </c>
      <c r="D711" s="3" t="str">
        <f ca="1">IF(OR(INDEX($K$2:$K$1001,MATCH(ROWS($J$2:J711),$J$2:$J$1001,0),1)&gt;=100000,INDEX($Q$1005:$U$1005,1,MATCH(COLUMNS($Q$1006:S1006),$Q$1006:$U$1006,0))&gt;=100000), " ",IF(INDEX($Q$2:$U$1001,MATCH(ROWS($J$2:J711),$J$2:$J$1001,0),MATCH(COLUMNS($Q$1006:S1006),$Q$1006:$U$1006,0)), HYPERLINK("#",""), HYPERLINK(CONCATENATE("#metadata!", ADDRESS(INDEX($L$2:$L$1001,MATCH(ROWS($J$2:J711),$J$2:$J$1001,0),0), INDEX($Q$1004:$U$1004,1,MATCH(COLUMNS($Q$1006:S1006),$Q$1006:$U$1006,0)))),"Fix")))</f>
        <v xml:space="preserve"> </v>
      </c>
      <c r="E711" s="3" t="str">
        <f ca="1">IF(OR(INDEX($K$2:$K$1001,MATCH(ROWS($J$2:J711),$J$2:$J$1001,0),1)&gt;=100000,INDEX($Q$1005:$U$1005,1,MATCH(COLUMNS($Q$1006:T1006),$Q$1006:$U$1006,0))&gt;=100000), " ",IF(INDEX($Q$2:$U$1001,MATCH(ROWS($J$2:J711),$J$2:$J$1001,0),MATCH(COLUMNS($Q$1006:T1006),$Q$1006:$U$1006,0)), HYPERLINK("#",""), HYPERLINK(CONCATENATE("#metadata!", ADDRESS(INDEX($L$2:$L$1001,MATCH(ROWS($J$2:J711),$J$2:$J$1001,0),0), INDEX($Q$1004:$U$1004,1,MATCH(COLUMNS($Q$1006:T1006),$Q$1006:$U$1006,0)))),"Fix")))</f>
        <v xml:space="preserve"> </v>
      </c>
      <c r="F711" s="3" t="str">
        <f ca="1">IF(OR(INDEX($K$2:$K$1001,MATCH(ROWS($J$2:J711),$J$2:$J$1001,0),1)&gt;=100000,INDEX($Q$1005:$U$1005,1,MATCH(COLUMNS($Q$1006:U1006),$Q$1006:$U$1006,0))&gt;=100000), " ",IF(INDEX($Q$2:$U$1001,MATCH(ROWS($J$2:J711),$J$2:$J$1001,0),MATCH(COLUMNS($Q$1006:U1006),$Q$1006:$U$1006,0)), HYPERLINK("#",""), HYPERLINK(CONCATENATE("#metadata!", ADDRESS(INDEX($L$2:$L$1001,MATCH(ROWS($J$2:J711),$J$2:$J$1001,0),0), INDEX($Q$1004:$U$1004,1,MATCH(COLUMNS($Q$1006:U1006),$Q$1006:$U$1006,0)))),"Fix")))</f>
        <v xml:space="preserve"> </v>
      </c>
      <c r="J711">
        <v>710</v>
      </c>
      <c r="K711">
        <v>100711</v>
      </c>
      <c r="L711">
        <v>711</v>
      </c>
      <c r="M711" t="b">
        <f t="shared" si="11"/>
        <v>1</v>
      </c>
      <c r="N711" t="b">
        <f>COUNTBLANK(metadata!B711:F711)=COLUMNS(metadata!B711:F711)</f>
        <v>1</v>
      </c>
      <c r="O711" t="str">
        <v/>
      </c>
      <c r="Q711" t="b">
        <f ca="1">AND(IF(metadata!B711="",FALSE,TRUE),COUNTIF(metadata!B:B, metadata!B711) = 1,NOT(ISERROR(SUMPRODUCT(SEARCH(MID(metadata!B711,ROW(INDIRECT("1:"&amp;LEN(metadata!B711))), 1),"0123456789abcdefghijklmnopqrstuvwxyzABCDEFGHIJKLMNOPQRSTUVWXYZ.")))))</f>
        <v>0</v>
      </c>
      <c r="R711" t="b">
        <f>AND(IF(metadata!C711="",FALSE,TRUE),OR(EXACT(metadata!C711,"saline"),EXACT(metadata!C711,"non-saline")))</f>
        <v>0</v>
      </c>
      <c r="S711" t="b">
        <f>AND(IF(metadata!D711="",FALSE,TRUE),OR(EXACT(metadata!D711,"surface (non-saline)"),EXACT(metadata!D711,"aerosol (non-saline)"),EXACT(metadata!D711,"sediment (non-saline)"),EXACT(metadata!D711,"surface (saline)"),EXACT(metadata!D711,"aerosol (saline)"),EXACT(metadata!D711,"sediment (saline)")))</f>
        <v>0</v>
      </c>
      <c r="T711" t="b">
        <f>AND(IF(metadata!E711="",FALSE,TRUE),EXACT(metadata!E711,"built environment"))</f>
        <v>0</v>
      </c>
      <c r="U711" t="b">
        <f>OR(AND(IF(metadata!F711="",FALSE,TRUE),EXACT(metadata!F711,"not applicable")),AND(IF(metadata!F711="",FALSE,TRUE),EXACT(metadata!F711,"anaerobic digester content")))</f>
        <v>0</v>
      </c>
    </row>
    <row r="712" spans="1:21" x14ac:dyDescent="0.2">
      <c r="A712" s="4" t="str">
        <f ca="1">IF(B712=" "," ",HYPERLINK(CONCATENATE("#metadata!",ADDRESS(INDEX($L$2:$L$1001,MATCH(ROWS($J$2:J712),$J$2:$J$1001,0),0),1)),INDEX($O$2:$O$1001,MATCH(ROWS($J$2:J712),$J$2:$J$1001,0),0)))</f>
        <v xml:space="preserve"> </v>
      </c>
      <c r="B712" s="3" t="str">
        <f ca="1">IF(OR(INDEX($K$2:$K$1001,MATCH(ROWS($J$2:J712),$J$2:$J$1001,0),1)&gt;=100000,INDEX($Q$1005:$U$1005,1,MATCH(COLUMNS($Q$1006:Q1006),$Q$1006:$U$1006,0))&gt;=100000), " ",IF(INDEX($Q$2:$U$1001,MATCH(ROWS($J$2:J712),$J$2:$J$1001,0),MATCH(COLUMNS($Q$1006:Q1006),$Q$1006:$U$1006,0)), HYPERLINK("#",""), HYPERLINK(CONCATENATE("#metadata!", ADDRESS(INDEX($L$2:$L$1001,MATCH(ROWS($J$2:J712),$J$2:$J$1001,0),0), INDEX($Q$1004:$U$1004,1,MATCH(COLUMNS($Q$1006:Q1006),$Q$1006:$U$1006,0)))),"Fix")))</f>
        <v xml:space="preserve"> </v>
      </c>
      <c r="C712" s="3" t="str">
        <f ca="1">IF(OR(INDEX($K$2:$K$1001,MATCH(ROWS($J$2:J712),$J$2:$J$1001,0),1)&gt;=100000,INDEX($Q$1005:$U$1005,1,MATCH(COLUMNS($Q$1006:R1006),$Q$1006:$U$1006,0))&gt;=100000), " ",IF(INDEX($Q$2:$U$1001,MATCH(ROWS($J$2:J712),$J$2:$J$1001,0),MATCH(COLUMNS($Q$1006:R1006),$Q$1006:$U$1006,0)), HYPERLINK("#",""), HYPERLINK(CONCATENATE("#metadata!", ADDRESS(INDEX($L$2:$L$1001,MATCH(ROWS($J$2:J712),$J$2:$J$1001,0),0), INDEX($Q$1004:$U$1004,1,MATCH(COLUMNS($Q$1006:R1006),$Q$1006:$U$1006,0)))),"Fix")))</f>
        <v xml:space="preserve"> </v>
      </c>
      <c r="D712" s="3" t="str">
        <f ca="1">IF(OR(INDEX($K$2:$K$1001,MATCH(ROWS($J$2:J712),$J$2:$J$1001,0),1)&gt;=100000,INDEX($Q$1005:$U$1005,1,MATCH(COLUMNS($Q$1006:S1006),$Q$1006:$U$1006,0))&gt;=100000), " ",IF(INDEX($Q$2:$U$1001,MATCH(ROWS($J$2:J712),$J$2:$J$1001,0),MATCH(COLUMNS($Q$1006:S1006),$Q$1006:$U$1006,0)), HYPERLINK("#",""), HYPERLINK(CONCATENATE("#metadata!", ADDRESS(INDEX($L$2:$L$1001,MATCH(ROWS($J$2:J712),$J$2:$J$1001,0),0), INDEX($Q$1004:$U$1004,1,MATCH(COLUMNS($Q$1006:S1006),$Q$1006:$U$1006,0)))),"Fix")))</f>
        <v xml:space="preserve"> </v>
      </c>
      <c r="E712" s="3" t="str">
        <f ca="1">IF(OR(INDEX($K$2:$K$1001,MATCH(ROWS($J$2:J712),$J$2:$J$1001,0),1)&gt;=100000,INDEX($Q$1005:$U$1005,1,MATCH(COLUMNS($Q$1006:T1006),$Q$1006:$U$1006,0))&gt;=100000), " ",IF(INDEX($Q$2:$U$1001,MATCH(ROWS($J$2:J712),$J$2:$J$1001,0),MATCH(COLUMNS($Q$1006:T1006),$Q$1006:$U$1006,0)), HYPERLINK("#",""), HYPERLINK(CONCATENATE("#metadata!", ADDRESS(INDEX($L$2:$L$1001,MATCH(ROWS($J$2:J712),$J$2:$J$1001,0),0), INDEX($Q$1004:$U$1004,1,MATCH(COLUMNS($Q$1006:T1006),$Q$1006:$U$1006,0)))),"Fix")))</f>
        <v xml:space="preserve"> </v>
      </c>
      <c r="F712" s="3" t="str">
        <f ca="1">IF(OR(INDEX($K$2:$K$1001,MATCH(ROWS($J$2:J712),$J$2:$J$1001,0),1)&gt;=100000,INDEX($Q$1005:$U$1005,1,MATCH(COLUMNS($Q$1006:U1006),$Q$1006:$U$1006,0))&gt;=100000), " ",IF(INDEX($Q$2:$U$1001,MATCH(ROWS($J$2:J712),$J$2:$J$1001,0),MATCH(COLUMNS($Q$1006:U1006),$Q$1006:$U$1006,0)), HYPERLINK("#",""), HYPERLINK(CONCATENATE("#metadata!", ADDRESS(INDEX($L$2:$L$1001,MATCH(ROWS($J$2:J712),$J$2:$J$1001,0),0), INDEX($Q$1004:$U$1004,1,MATCH(COLUMNS($Q$1006:U1006),$Q$1006:$U$1006,0)))),"Fix")))</f>
        <v xml:space="preserve"> </v>
      </c>
      <c r="J712">
        <v>711</v>
      </c>
      <c r="K712">
        <v>100712</v>
      </c>
      <c r="L712">
        <v>712</v>
      </c>
      <c r="M712" t="b">
        <f t="shared" si="11"/>
        <v>1</v>
      </c>
      <c r="N712" t="b">
        <f>COUNTBLANK(metadata!B712:F712)=COLUMNS(metadata!B712:F712)</f>
        <v>1</v>
      </c>
      <c r="O712" t="str">
        <v/>
      </c>
      <c r="Q712" t="b">
        <f ca="1">AND(IF(metadata!B712="",FALSE,TRUE),COUNTIF(metadata!B:B, metadata!B712) = 1,NOT(ISERROR(SUMPRODUCT(SEARCH(MID(metadata!B712,ROW(INDIRECT("1:"&amp;LEN(metadata!B712))), 1),"0123456789abcdefghijklmnopqrstuvwxyzABCDEFGHIJKLMNOPQRSTUVWXYZ.")))))</f>
        <v>0</v>
      </c>
      <c r="R712" t="b">
        <f>AND(IF(metadata!C712="",FALSE,TRUE),OR(EXACT(metadata!C712,"saline"),EXACT(metadata!C712,"non-saline")))</f>
        <v>0</v>
      </c>
      <c r="S712" t="b">
        <f>AND(IF(metadata!D712="",FALSE,TRUE),OR(EXACT(metadata!D712,"surface (non-saline)"),EXACT(metadata!D712,"aerosol (non-saline)"),EXACT(metadata!D712,"sediment (non-saline)"),EXACT(metadata!D712,"surface (saline)"),EXACT(metadata!D712,"aerosol (saline)"),EXACT(metadata!D712,"sediment (saline)")))</f>
        <v>0</v>
      </c>
      <c r="T712" t="b">
        <f>AND(IF(metadata!E712="",FALSE,TRUE),EXACT(metadata!E712,"built environment"))</f>
        <v>0</v>
      </c>
      <c r="U712" t="b">
        <f>OR(AND(IF(metadata!F712="",FALSE,TRUE),EXACT(metadata!F712,"not applicable")),AND(IF(metadata!F712="",FALSE,TRUE),EXACT(metadata!F712,"anaerobic digester content")))</f>
        <v>0</v>
      </c>
    </row>
    <row r="713" spans="1:21" x14ac:dyDescent="0.2">
      <c r="A713" s="4" t="str">
        <f ca="1">IF(B713=" "," ",HYPERLINK(CONCATENATE("#metadata!",ADDRESS(INDEX($L$2:$L$1001,MATCH(ROWS($J$2:J713),$J$2:$J$1001,0),0),1)),INDEX($O$2:$O$1001,MATCH(ROWS($J$2:J713),$J$2:$J$1001,0),0)))</f>
        <v xml:space="preserve"> </v>
      </c>
      <c r="B713" s="3" t="str">
        <f ca="1">IF(OR(INDEX($K$2:$K$1001,MATCH(ROWS($J$2:J713),$J$2:$J$1001,0),1)&gt;=100000,INDEX($Q$1005:$U$1005,1,MATCH(COLUMNS($Q$1006:Q1006),$Q$1006:$U$1006,0))&gt;=100000), " ",IF(INDEX($Q$2:$U$1001,MATCH(ROWS($J$2:J713),$J$2:$J$1001,0),MATCH(COLUMNS($Q$1006:Q1006),$Q$1006:$U$1006,0)), HYPERLINK("#",""), HYPERLINK(CONCATENATE("#metadata!", ADDRESS(INDEX($L$2:$L$1001,MATCH(ROWS($J$2:J713),$J$2:$J$1001,0),0), INDEX($Q$1004:$U$1004,1,MATCH(COLUMNS($Q$1006:Q1006),$Q$1006:$U$1006,0)))),"Fix")))</f>
        <v xml:space="preserve"> </v>
      </c>
      <c r="C713" s="3" t="str">
        <f ca="1">IF(OR(INDEX($K$2:$K$1001,MATCH(ROWS($J$2:J713),$J$2:$J$1001,0),1)&gt;=100000,INDEX($Q$1005:$U$1005,1,MATCH(COLUMNS($Q$1006:R1006),$Q$1006:$U$1006,0))&gt;=100000), " ",IF(INDEX($Q$2:$U$1001,MATCH(ROWS($J$2:J713),$J$2:$J$1001,0),MATCH(COLUMNS($Q$1006:R1006),$Q$1006:$U$1006,0)), HYPERLINK("#",""), HYPERLINK(CONCATENATE("#metadata!", ADDRESS(INDEX($L$2:$L$1001,MATCH(ROWS($J$2:J713),$J$2:$J$1001,0),0), INDEX($Q$1004:$U$1004,1,MATCH(COLUMNS($Q$1006:R1006),$Q$1006:$U$1006,0)))),"Fix")))</f>
        <v xml:space="preserve"> </v>
      </c>
      <c r="D713" s="3" t="str">
        <f ca="1">IF(OR(INDEX($K$2:$K$1001,MATCH(ROWS($J$2:J713),$J$2:$J$1001,0),1)&gt;=100000,INDEX($Q$1005:$U$1005,1,MATCH(COLUMNS($Q$1006:S1006),$Q$1006:$U$1006,0))&gt;=100000), " ",IF(INDEX($Q$2:$U$1001,MATCH(ROWS($J$2:J713),$J$2:$J$1001,0),MATCH(COLUMNS($Q$1006:S1006),$Q$1006:$U$1006,0)), HYPERLINK("#",""), HYPERLINK(CONCATENATE("#metadata!", ADDRESS(INDEX($L$2:$L$1001,MATCH(ROWS($J$2:J713),$J$2:$J$1001,0),0), INDEX($Q$1004:$U$1004,1,MATCH(COLUMNS($Q$1006:S1006),$Q$1006:$U$1006,0)))),"Fix")))</f>
        <v xml:space="preserve"> </v>
      </c>
      <c r="E713" s="3" t="str">
        <f ca="1">IF(OR(INDEX($K$2:$K$1001,MATCH(ROWS($J$2:J713),$J$2:$J$1001,0),1)&gt;=100000,INDEX($Q$1005:$U$1005,1,MATCH(COLUMNS($Q$1006:T1006),$Q$1006:$U$1006,0))&gt;=100000), " ",IF(INDEX($Q$2:$U$1001,MATCH(ROWS($J$2:J713),$J$2:$J$1001,0),MATCH(COLUMNS($Q$1006:T1006),$Q$1006:$U$1006,0)), HYPERLINK("#",""), HYPERLINK(CONCATENATE("#metadata!", ADDRESS(INDEX($L$2:$L$1001,MATCH(ROWS($J$2:J713),$J$2:$J$1001,0),0), INDEX($Q$1004:$U$1004,1,MATCH(COLUMNS($Q$1006:T1006),$Q$1006:$U$1006,0)))),"Fix")))</f>
        <v xml:space="preserve"> </v>
      </c>
      <c r="F713" s="3" t="str">
        <f ca="1">IF(OR(INDEX($K$2:$K$1001,MATCH(ROWS($J$2:J713),$J$2:$J$1001,0),1)&gt;=100000,INDEX($Q$1005:$U$1005,1,MATCH(COLUMNS($Q$1006:U1006),$Q$1006:$U$1006,0))&gt;=100000), " ",IF(INDEX($Q$2:$U$1001,MATCH(ROWS($J$2:J713),$J$2:$J$1001,0),MATCH(COLUMNS($Q$1006:U1006),$Q$1006:$U$1006,0)), HYPERLINK("#",""), HYPERLINK(CONCATENATE("#metadata!", ADDRESS(INDEX($L$2:$L$1001,MATCH(ROWS($J$2:J713),$J$2:$J$1001,0),0), INDEX($Q$1004:$U$1004,1,MATCH(COLUMNS($Q$1006:U1006),$Q$1006:$U$1006,0)))),"Fix")))</f>
        <v xml:space="preserve"> </v>
      </c>
      <c r="J713">
        <v>712</v>
      </c>
      <c r="K713">
        <v>100713</v>
      </c>
      <c r="L713">
        <v>713</v>
      </c>
      <c r="M713" t="b">
        <f t="shared" si="11"/>
        <v>1</v>
      </c>
      <c r="N713" t="b">
        <f>COUNTBLANK(metadata!B713:F713)=COLUMNS(metadata!B713:F713)</f>
        <v>1</v>
      </c>
      <c r="O713" t="str">
        <v/>
      </c>
      <c r="Q713" t="b">
        <f ca="1">AND(IF(metadata!B713="",FALSE,TRUE),COUNTIF(metadata!B:B, metadata!B713) = 1,NOT(ISERROR(SUMPRODUCT(SEARCH(MID(metadata!B713,ROW(INDIRECT("1:"&amp;LEN(metadata!B713))), 1),"0123456789abcdefghijklmnopqrstuvwxyzABCDEFGHIJKLMNOPQRSTUVWXYZ.")))))</f>
        <v>0</v>
      </c>
      <c r="R713" t="b">
        <f>AND(IF(metadata!C713="",FALSE,TRUE),OR(EXACT(metadata!C713,"saline"),EXACT(metadata!C713,"non-saline")))</f>
        <v>0</v>
      </c>
      <c r="S713" t="b">
        <f>AND(IF(metadata!D713="",FALSE,TRUE),OR(EXACT(metadata!D713,"surface (non-saline)"),EXACT(metadata!D713,"aerosol (non-saline)"),EXACT(metadata!D713,"sediment (non-saline)"),EXACT(metadata!D713,"surface (saline)"),EXACT(metadata!D713,"aerosol (saline)"),EXACT(metadata!D713,"sediment (saline)")))</f>
        <v>0</v>
      </c>
      <c r="T713" t="b">
        <f>AND(IF(metadata!E713="",FALSE,TRUE),EXACT(metadata!E713,"built environment"))</f>
        <v>0</v>
      </c>
      <c r="U713" t="b">
        <f>OR(AND(IF(metadata!F713="",FALSE,TRUE),EXACT(metadata!F713,"not applicable")),AND(IF(metadata!F713="",FALSE,TRUE),EXACT(metadata!F713,"anaerobic digester content")))</f>
        <v>0</v>
      </c>
    </row>
    <row r="714" spans="1:21" x14ac:dyDescent="0.2">
      <c r="A714" s="4" t="str">
        <f ca="1">IF(B714=" "," ",HYPERLINK(CONCATENATE("#metadata!",ADDRESS(INDEX($L$2:$L$1001,MATCH(ROWS($J$2:J714),$J$2:$J$1001,0),0),1)),INDEX($O$2:$O$1001,MATCH(ROWS($J$2:J714),$J$2:$J$1001,0),0)))</f>
        <v xml:space="preserve"> </v>
      </c>
      <c r="B714" s="3" t="str">
        <f ca="1">IF(OR(INDEX($K$2:$K$1001,MATCH(ROWS($J$2:J714),$J$2:$J$1001,0),1)&gt;=100000,INDEX($Q$1005:$U$1005,1,MATCH(COLUMNS($Q$1006:Q1006),$Q$1006:$U$1006,0))&gt;=100000), " ",IF(INDEX($Q$2:$U$1001,MATCH(ROWS($J$2:J714),$J$2:$J$1001,0),MATCH(COLUMNS($Q$1006:Q1006),$Q$1006:$U$1006,0)), HYPERLINK("#",""), HYPERLINK(CONCATENATE("#metadata!", ADDRESS(INDEX($L$2:$L$1001,MATCH(ROWS($J$2:J714),$J$2:$J$1001,0),0), INDEX($Q$1004:$U$1004,1,MATCH(COLUMNS($Q$1006:Q1006),$Q$1006:$U$1006,0)))),"Fix")))</f>
        <v xml:space="preserve"> </v>
      </c>
      <c r="C714" s="3" t="str">
        <f ca="1">IF(OR(INDEX($K$2:$K$1001,MATCH(ROWS($J$2:J714),$J$2:$J$1001,0),1)&gt;=100000,INDEX($Q$1005:$U$1005,1,MATCH(COLUMNS($Q$1006:R1006),$Q$1006:$U$1006,0))&gt;=100000), " ",IF(INDEX($Q$2:$U$1001,MATCH(ROWS($J$2:J714),$J$2:$J$1001,0),MATCH(COLUMNS($Q$1006:R1006),$Q$1006:$U$1006,0)), HYPERLINK("#",""), HYPERLINK(CONCATENATE("#metadata!", ADDRESS(INDEX($L$2:$L$1001,MATCH(ROWS($J$2:J714),$J$2:$J$1001,0),0), INDEX($Q$1004:$U$1004,1,MATCH(COLUMNS($Q$1006:R1006),$Q$1006:$U$1006,0)))),"Fix")))</f>
        <v xml:space="preserve"> </v>
      </c>
      <c r="D714" s="3" t="str">
        <f ca="1">IF(OR(INDEX($K$2:$K$1001,MATCH(ROWS($J$2:J714),$J$2:$J$1001,0),1)&gt;=100000,INDEX($Q$1005:$U$1005,1,MATCH(COLUMNS($Q$1006:S1006),$Q$1006:$U$1006,0))&gt;=100000), " ",IF(INDEX($Q$2:$U$1001,MATCH(ROWS($J$2:J714),$J$2:$J$1001,0),MATCH(COLUMNS($Q$1006:S1006),$Q$1006:$U$1006,0)), HYPERLINK("#",""), HYPERLINK(CONCATENATE("#metadata!", ADDRESS(INDEX($L$2:$L$1001,MATCH(ROWS($J$2:J714),$J$2:$J$1001,0),0), INDEX($Q$1004:$U$1004,1,MATCH(COLUMNS($Q$1006:S1006),$Q$1006:$U$1006,0)))),"Fix")))</f>
        <v xml:space="preserve"> </v>
      </c>
      <c r="E714" s="3" t="str">
        <f ca="1">IF(OR(INDEX($K$2:$K$1001,MATCH(ROWS($J$2:J714),$J$2:$J$1001,0),1)&gt;=100000,INDEX($Q$1005:$U$1005,1,MATCH(COLUMNS($Q$1006:T1006),$Q$1006:$U$1006,0))&gt;=100000), " ",IF(INDEX($Q$2:$U$1001,MATCH(ROWS($J$2:J714),$J$2:$J$1001,0),MATCH(COLUMNS($Q$1006:T1006),$Q$1006:$U$1006,0)), HYPERLINK("#",""), HYPERLINK(CONCATENATE("#metadata!", ADDRESS(INDEX($L$2:$L$1001,MATCH(ROWS($J$2:J714),$J$2:$J$1001,0),0), INDEX($Q$1004:$U$1004,1,MATCH(COLUMNS($Q$1006:T1006),$Q$1006:$U$1006,0)))),"Fix")))</f>
        <v xml:space="preserve"> </v>
      </c>
      <c r="F714" s="3" t="str">
        <f ca="1">IF(OR(INDEX($K$2:$K$1001,MATCH(ROWS($J$2:J714),$J$2:$J$1001,0),1)&gt;=100000,INDEX($Q$1005:$U$1005,1,MATCH(COLUMNS($Q$1006:U1006),$Q$1006:$U$1006,0))&gt;=100000), " ",IF(INDEX($Q$2:$U$1001,MATCH(ROWS($J$2:J714),$J$2:$J$1001,0),MATCH(COLUMNS($Q$1006:U1006),$Q$1006:$U$1006,0)), HYPERLINK("#",""), HYPERLINK(CONCATENATE("#metadata!", ADDRESS(INDEX($L$2:$L$1001,MATCH(ROWS($J$2:J714),$J$2:$J$1001,0),0), INDEX($Q$1004:$U$1004,1,MATCH(COLUMNS($Q$1006:U1006),$Q$1006:$U$1006,0)))),"Fix")))</f>
        <v xml:space="preserve"> </v>
      </c>
      <c r="J714">
        <v>713</v>
      </c>
      <c r="K714">
        <v>100714</v>
      </c>
      <c r="L714">
        <v>714</v>
      </c>
      <c r="M714" t="b">
        <f t="shared" si="11"/>
        <v>1</v>
      </c>
      <c r="N714" t="b">
        <f>COUNTBLANK(metadata!B714:F714)=COLUMNS(metadata!B714:F714)</f>
        <v>1</v>
      </c>
      <c r="O714" t="str">
        <v/>
      </c>
      <c r="Q714" t="b">
        <f ca="1">AND(IF(metadata!B714="",FALSE,TRUE),COUNTIF(metadata!B:B, metadata!B714) = 1,NOT(ISERROR(SUMPRODUCT(SEARCH(MID(metadata!B714,ROW(INDIRECT("1:"&amp;LEN(metadata!B714))), 1),"0123456789abcdefghijklmnopqrstuvwxyzABCDEFGHIJKLMNOPQRSTUVWXYZ.")))))</f>
        <v>0</v>
      </c>
      <c r="R714" t="b">
        <f>AND(IF(metadata!C714="",FALSE,TRUE),OR(EXACT(metadata!C714,"saline"),EXACT(metadata!C714,"non-saline")))</f>
        <v>0</v>
      </c>
      <c r="S714" t="b">
        <f>AND(IF(metadata!D714="",FALSE,TRUE),OR(EXACT(metadata!D714,"surface (non-saline)"),EXACT(metadata!D714,"aerosol (non-saline)"),EXACT(metadata!D714,"sediment (non-saline)"),EXACT(metadata!D714,"surface (saline)"),EXACT(metadata!D714,"aerosol (saline)"),EXACT(metadata!D714,"sediment (saline)")))</f>
        <v>0</v>
      </c>
      <c r="T714" t="b">
        <f>AND(IF(metadata!E714="",FALSE,TRUE),EXACT(metadata!E714,"built environment"))</f>
        <v>0</v>
      </c>
      <c r="U714" t="b">
        <f>OR(AND(IF(metadata!F714="",FALSE,TRUE),EXACT(metadata!F714,"not applicable")),AND(IF(metadata!F714="",FALSE,TRUE),EXACT(metadata!F714,"anaerobic digester content")))</f>
        <v>0</v>
      </c>
    </row>
    <row r="715" spans="1:21" x14ac:dyDescent="0.2">
      <c r="A715" s="4" t="str">
        <f ca="1">IF(B715=" "," ",HYPERLINK(CONCATENATE("#metadata!",ADDRESS(INDEX($L$2:$L$1001,MATCH(ROWS($J$2:J715),$J$2:$J$1001,0),0),1)),INDEX($O$2:$O$1001,MATCH(ROWS($J$2:J715),$J$2:$J$1001,0),0)))</f>
        <v xml:space="preserve"> </v>
      </c>
      <c r="B715" s="3" t="str">
        <f ca="1">IF(OR(INDEX($K$2:$K$1001,MATCH(ROWS($J$2:J715),$J$2:$J$1001,0),1)&gt;=100000,INDEX($Q$1005:$U$1005,1,MATCH(COLUMNS($Q$1006:Q1006),$Q$1006:$U$1006,0))&gt;=100000), " ",IF(INDEX($Q$2:$U$1001,MATCH(ROWS($J$2:J715),$J$2:$J$1001,0),MATCH(COLUMNS($Q$1006:Q1006),$Q$1006:$U$1006,0)), HYPERLINK("#",""), HYPERLINK(CONCATENATE("#metadata!", ADDRESS(INDEX($L$2:$L$1001,MATCH(ROWS($J$2:J715),$J$2:$J$1001,0),0), INDEX($Q$1004:$U$1004,1,MATCH(COLUMNS($Q$1006:Q1006),$Q$1006:$U$1006,0)))),"Fix")))</f>
        <v xml:space="preserve"> </v>
      </c>
      <c r="C715" s="3" t="str">
        <f ca="1">IF(OR(INDEX($K$2:$K$1001,MATCH(ROWS($J$2:J715),$J$2:$J$1001,0),1)&gt;=100000,INDEX($Q$1005:$U$1005,1,MATCH(COLUMNS($Q$1006:R1006),$Q$1006:$U$1006,0))&gt;=100000), " ",IF(INDEX($Q$2:$U$1001,MATCH(ROWS($J$2:J715),$J$2:$J$1001,0),MATCH(COLUMNS($Q$1006:R1006),$Q$1006:$U$1006,0)), HYPERLINK("#",""), HYPERLINK(CONCATENATE("#metadata!", ADDRESS(INDEX($L$2:$L$1001,MATCH(ROWS($J$2:J715),$J$2:$J$1001,0),0), INDEX($Q$1004:$U$1004,1,MATCH(COLUMNS($Q$1006:R1006),$Q$1006:$U$1006,0)))),"Fix")))</f>
        <v xml:space="preserve"> </v>
      </c>
      <c r="D715" s="3" t="str">
        <f ca="1">IF(OR(INDEX($K$2:$K$1001,MATCH(ROWS($J$2:J715),$J$2:$J$1001,0),1)&gt;=100000,INDEX($Q$1005:$U$1005,1,MATCH(COLUMNS($Q$1006:S1006),$Q$1006:$U$1006,0))&gt;=100000), " ",IF(INDEX($Q$2:$U$1001,MATCH(ROWS($J$2:J715),$J$2:$J$1001,0),MATCH(COLUMNS($Q$1006:S1006),$Q$1006:$U$1006,0)), HYPERLINK("#",""), HYPERLINK(CONCATENATE("#metadata!", ADDRESS(INDEX($L$2:$L$1001,MATCH(ROWS($J$2:J715),$J$2:$J$1001,0),0), INDEX($Q$1004:$U$1004,1,MATCH(COLUMNS($Q$1006:S1006),$Q$1006:$U$1006,0)))),"Fix")))</f>
        <v xml:space="preserve"> </v>
      </c>
      <c r="E715" s="3" t="str">
        <f ca="1">IF(OR(INDEX($K$2:$K$1001,MATCH(ROWS($J$2:J715),$J$2:$J$1001,0),1)&gt;=100000,INDEX($Q$1005:$U$1005,1,MATCH(COLUMNS($Q$1006:T1006),$Q$1006:$U$1006,0))&gt;=100000), " ",IF(INDEX($Q$2:$U$1001,MATCH(ROWS($J$2:J715),$J$2:$J$1001,0),MATCH(COLUMNS($Q$1006:T1006),$Q$1006:$U$1006,0)), HYPERLINK("#",""), HYPERLINK(CONCATENATE("#metadata!", ADDRESS(INDEX($L$2:$L$1001,MATCH(ROWS($J$2:J715),$J$2:$J$1001,0),0), INDEX($Q$1004:$U$1004,1,MATCH(COLUMNS($Q$1006:T1006),$Q$1006:$U$1006,0)))),"Fix")))</f>
        <v xml:space="preserve"> </v>
      </c>
      <c r="F715" s="3" t="str">
        <f ca="1">IF(OR(INDEX($K$2:$K$1001,MATCH(ROWS($J$2:J715),$J$2:$J$1001,0),1)&gt;=100000,INDEX($Q$1005:$U$1005,1,MATCH(COLUMNS($Q$1006:U1006),$Q$1006:$U$1006,0))&gt;=100000), " ",IF(INDEX($Q$2:$U$1001,MATCH(ROWS($J$2:J715),$J$2:$J$1001,0),MATCH(COLUMNS($Q$1006:U1006),$Q$1006:$U$1006,0)), HYPERLINK("#",""), HYPERLINK(CONCATENATE("#metadata!", ADDRESS(INDEX($L$2:$L$1001,MATCH(ROWS($J$2:J715),$J$2:$J$1001,0),0), INDEX($Q$1004:$U$1004,1,MATCH(COLUMNS($Q$1006:U1006),$Q$1006:$U$1006,0)))),"Fix")))</f>
        <v xml:space="preserve"> </v>
      </c>
      <c r="J715">
        <v>714</v>
      </c>
      <c r="K715">
        <v>100715</v>
      </c>
      <c r="L715">
        <v>715</v>
      </c>
      <c r="M715" t="b">
        <f t="shared" si="11"/>
        <v>1</v>
      </c>
      <c r="N715" t="b">
        <f>COUNTBLANK(metadata!B715:F715)=COLUMNS(metadata!B715:F715)</f>
        <v>1</v>
      </c>
      <c r="O715" t="str">
        <v/>
      </c>
      <c r="Q715" t="b">
        <f ca="1">AND(IF(metadata!B715="",FALSE,TRUE),COUNTIF(metadata!B:B, metadata!B715) = 1,NOT(ISERROR(SUMPRODUCT(SEARCH(MID(metadata!B715,ROW(INDIRECT("1:"&amp;LEN(metadata!B715))), 1),"0123456789abcdefghijklmnopqrstuvwxyzABCDEFGHIJKLMNOPQRSTUVWXYZ.")))))</f>
        <v>0</v>
      </c>
      <c r="R715" t="b">
        <f>AND(IF(metadata!C715="",FALSE,TRUE),OR(EXACT(metadata!C715,"saline"),EXACT(metadata!C715,"non-saline")))</f>
        <v>0</v>
      </c>
      <c r="S715" t="b">
        <f>AND(IF(metadata!D715="",FALSE,TRUE),OR(EXACT(metadata!D715,"surface (non-saline)"),EXACT(metadata!D715,"aerosol (non-saline)"),EXACT(metadata!D715,"sediment (non-saline)"),EXACT(metadata!D715,"surface (saline)"),EXACT(metadata!D715,"aerosol (saline)"),EXACT(metadata!D715,"sediment (saline)")))</f>
        <v>0</v>
      </c>
      <c r="T715" t="b">
        <f>AND(IF(metadata!E715="",FALSE,TRUE),EXACT(metadata!E715,"built environment"))</f>
        <v>0</v>
      </c>
      <c r="U715" t="b">
        <f>OR(AND(IF(metadata!F715="",FALSE,TRUE),EXACT(metadata!F715,"not applicable")),AND(IF(metadata!F715="",FALSE,TRUE),EXACT(metadata!F715,"anaerobic digester content")))</f>
        <v>0</v>
      </c>
    </row>
    <row r="716" spans="1:21" x14ac:dyDescent="0.2">
      <c r="A716" s="4" t="str">
        <f ca="1">IF(B716=" "," ",HYPERLINK(CONCATENATE("#metadata!",ADDRESS(INDEX($L$2:$L$1001,MATCH(ROWS($J$2:J716),$J$2:$J$1001,0),0),1)),INDEX($O$2:$O$1001,MATCH(ROWS($J$2:J716),$J$2:$J$1001,0),0)))</f>
        <v xml:space="preserve"> </v>
      </c>
      <c r="B716" s="3" t="str">
        <f ca="1">IF(OR(INDEX($K$2:$K$1001,MATCH(ROWS($J$2:J716),$J$2:$J$1001,0),1)&gt;=100000,INDEX($Q$1005:$U$1005,1,MATCH(COLUMNS($Q$1006:Q1006),$Q$1006:$U$1006,0))&gt;=100000), " ",IF(INDEX($Q$2:$U$1001,MATCH(ROWS($J$2:J716),$J$2:$J$1001,0),MATCH(COLUMNS($Q$1006:Q1006),$Q$1006:$U$1006,0)), HYPERLINK("#",""), HYPERLINK(CONCATENATE("#metadata!", ADDRESS(INDEX($L$2:$L$1001,MATCH(ROWS($J$2:J716),$J$2:$J$1001,0),0), INDEX($Q$1004:$U$1004,1,MATCH(COLUMNS($Q$1006:Q1006),$Q$1006:$U$1006,0)))),"Fix")))</f>
        <v xml:space="preserve"> </v>
      </c>
      <c r="C716" s="3" t="str">
        <f ca="1">IF(OR(INDEX($K$2:$K$1001,MATCH(ROWS($J$2:J716),$J$2:$J$1001,0),1)&gt;=100000,INDEX($Q$1005:$U$1005,1,MATCH(COLUMNS($Q$1006:R1006),$Q$1006:$U$1006,0))&gt;=100000), " ",IF(INDEX($Q$2:$U$1001,MATCH(ROWS($J$2:J716),$J$2:$J$1001,0),MATCH(COLUMNS($Q$1006:R1006),$Q$1006:$U$1006,0)), HYPERLINK("#",""), HYPERLINK(CONCATENATE("#metadata!", ADDRESS(INDEX($L$2:$L$1001,MATCH(ROWS($J$2:J716),$J$2:$J$1001,0),0), INDEX($Q$1004:$U$1004,1,MATCH(COLUMNS($Q$1006:R1006),$Q$1006:$U$1006,0)))),"Fix")))</f>
        <v xml:space="preserve"> </v>
      </c>
      <c r="D716" s="3" t="str">
        <f ca="1">IF(OR(INDEX($K$2:$K$1001,MATCH(ROWS($J$2:J716),$J$2:$J$1001,0),1)&gt;=100000,INDEX($Q$1005:$U$1005,1,MATCH(COLUMNS($Q$1006:S1006),$Q$1006:$U$1006,0))&gt;=100000), " ",IF(INDEX($Q$2:$U$1001,MATCH(ROWS($J$2:J716),$J$2:$J$1001,0),MATCH(COLUMNS($Q$1006:S1006),$Q$1006:$U$1006,0)), HYPERLINK("#",""), HYPERLINK(CONCATENATE("#metadata!", ADDRESS(INDEX($L$2:$L$1001,MATCH(ROWS($J$2:J716),$J$2:$J$1001,0),0), INDEX($Q$1004:$U$1004,1,MATCH(COLUMNS($Q$1006:S1006),$Q$1006:$U$1006,0)))),"Fix")))</f>
        <v xml:space="preserve"> </v>
      </c>
      <c r="E716" s="3" t="str">
        <f ca="1">IF(OR(INDEX($K$2:$K$1001,MATCH(ROWS($J$2:J716),$J$2:$J$1001,0),1)&gt;=100000,INDEX($Q$1005:$U$1005,1,MATCH(COLUMNS($Q$1006:T1006),$Q$1006:$U$1006,0))&gt;=100000), " ",IF(INDEX($Q$2:$U$1001,MATCH(ROWS($J$2:J716),$J$2:$J$1001,0),MATCH(COLUMNS($Q$1006:T1006),$Q$1006:$U$1006,0)), HYPERLINK("#",""), HYPERLINK(CONCATENATE("#metadata!", ADDRESS(INDEX($L$2:$L$1001,MATCH(ROWS($J$2:J716),$J$2:$J$1001,0),0), INDEX($Q$1004:$U$1004,1,MATCH(COLUMNS($Q$1006:T1006),$Q$1006:$U$1006,0)))),"Fix")))</f>
        <v xml:space="preserve"> </v>
      </c>
      <c r="F716" s="3" t="str">
        <f ca="1">IF(OR(INDEX($K$2:$K$1001,MATCH(ROWS($J$2:J716),$J$2:$J$1001,0),1)&gt;=100000,INDEX($Q$1005:$U$1005,1,MATCH(COLUMNS($Q$1006:U1006),$Q$1006:$U$1006,0))&gt;=100000), " ",IF(INDEX($Q$2:$U$1001,MATCH(ROWS($J$2:J716),$J$2:$J$1001,0),MATCH(COLUMNS($Q$1006:U1006),$Q$1006:$U$1006,0)), HYPERLINK("#",""), HYPERLINK(CONCATENATE("#metadata!", ADDRESS(INDEX($L$2:$L$1001,MATCH(ROWS($J$2:J716),$J$2:$J$1001,0),0), INDEX($Q$1004:$U$1004,1,MATCH(COLUMNS($Q$1006:U1006),$Q$1006:$U$1006,0)))),"Fix")))</f>
        <v xml:space="preserve"> </v>
      </c>
      <c r="J716">
        <v>715</v>
      </c>
      <c r="K716">
        <v>100716</v>
      </c>
      <c r="L716">
        <v>716</v>
      </c>
      <c r="M716" t="b">
        <f t="shared" si="11"/>
        <v>1</v>
      </c>
      <c r="N716" t="b">
        <f>COUNTBLANK(metadata!B716:F716)=COLUMNS(metadata!B716:F716)</f>
        <v>1</v>
      </c>
      <c r="O716" t="str">
        <v/>
      </c>
      <c r="Q716" t="b">
        <f ca="1">AND(IF(metadata!B716="",FALSE,TRUE),COUNTIF(metadata!B:B, metadata!B716) = 1,NOT(ISERROR(SUMPRODUCT(SEARCH(MID(metadata!B716,ROW(INDIRECT("1:"&amp;LEN(metadata!B716))), 1),"0123456789abcdefghijklmnopqrstuvwxyzABCDEFGHIJKLMNOPQRSTUVWXYZ.")))))</f>
        <v>0</v>
      </c>
      <c r="R716" t="b">
        <f>AND(IF(metadata!C716="",FALSE,TRUE),OR(EXACT(metadata!C716,"saline"),EXACT(metadata!C716,"non-saline")))</f>
        <v>0</v>
      </c>
      <c r="S716" t="b">
        <f>AND(IF(metadata!D716="",FALSE,TRUE),OR(EXACT(metadata!D716,"surface (non-saline)"),EXACT(metadata!D716,"aerosol (non-saline)"),EXACT(metadata!D716,"sediment (non-saline)"),EXACT(metadata!D716,"surface (saline)"),EXACT(metadata!D716,"aerosol (saline)"),EXACT(metadata!D716,"sediment (saline)")))</f>
        <v>0</v>
      </c>
      <c r="T716" t="b">
        <f>AND(IF(metadata!E716="",FALSE,TRUE),EXACT(metadata!E716,"built environment"))</f>
        <v>0</v>
      </c>
      <c r="U716" t="b">
        <f>OR(AND(IF(metadata!F716="",FALSE,TRUE),EXACT(metadata!F716,"not applicable")),AND(IF(metadata!F716="",FALSE,TRUE),EXACT(metadata!F716,"anaerobic digester content")))</f>
        <v>0</v>
      </c>
    </row>
    <row r="717" spans="1:21" x14ac:dyDescent="0.2">
      <c r="A717" s="4" t="str">
        <f ca="1">IF(B717=" "," ",HYPERLINK(CONCATENATE("#metadata!",ADDRESS(INDEX($L$2:$L$1001,MATCH(ROWS($J$2:J717),$J$2:$J$1001,0),0),1)),INDEX($O$2:$O$1001,MATCH(ROWS($J$2:J717),$J$2:$J$1001,0),0)))</f>
        <v xml:space="preserve"> </v>
      </c>
      <c r="B717" s="3" t="str">
        <f ca="1">IF(OR(INDEX($K$2:$K$1001,MATCH(ROWS($J$2:J717),$J$2:$J$1001,0),1)&gt;=100000,INDEX($Q$1005:$U$1005,1,MATCH(COLUMNS($Q$1006:Q1006),$Q$1006:$U$1006,0))&gt;=100000), " ",IF(INDEX($Q$2:$U$1001,MATCH(ROWS($J$2:J717),$J$2:$J$1001,0),MATCH(COLUMNS($Q$1006:Q1006),$Q$1006:$U$1006,0)), HYPERLINK("#",""), HYPERLINK(CONCATENATE("#metadata!", ADDRESS(INDEX($L$2:$L$1001,MATCH(ROWS($J$2:J717),$J$2:$J$1001,0),0), INDEX($Q$1004:$U$1004,1,MATCH(COLUMNS($Q$1006:Q1006),$Q$1006:$U$1006,0)))),"Fix")))</f>
        <v xml:space="preserve"> </v>
      </c>
      <c r="C717" s="3" t="str">
        <f ca="1">IF(OR(INDEX($K$2:$K$1001,MATCH(ROWS($J$2:J717),$J$2:$J$1001,0),1)&gt;=100000,INDEX($Q$1005:$U$1005,1,MATCH(COLUMNS($Q$1006:R1006),$Q$1006:$U$1006,0))&gt;=100000), " ",IF(INDEX($Q$2:$U$1001,MATCH(ROWS($J$2:J717),$J$2:$J$1001,0),MATCH(COLUMNS($Q$1006:R1006),$Q$1006:$U$1006,0)), HYPERLINK("#",""), HYPERLINK(CONCATENATE("#metadata!", ADDRESS(INDEX($L$2:$L$1001,MATCH(ROWS($J$2:J717),$J$2:$J$1001,0),0), INDEX($Q$1004:$U$1004,1,MATCH(COLUMNS($Q$1006:R1006),$Q$1006:$U$1006,0)))),"Fix")))</f>
        <v xml:space="preserve"> </v>
      </c>
      <c r="D717" s="3" t="str">
        <f ca="1">IF(OR(INDEX($K$2:$K$1001,MATCH(ROWS($J$2:J717),$J$2:$J$1001,0),1)&gt;=100000,INDEX($Q$1005:$U$1005,1,MATCH(COLUMNS($Q$1006:S1006),$Q$1006:$U$1006,0))&gt;=100000), " ",IF(INDEX($Q$2:$U$1001,MATCH(ROWS($J$2:J717),$J$2:$J$1001,0),MATCH(COLUMNS($Q$1006:S1006),$Q$1006:$U$1006,0)), HYPERLINK("#",""), HYPERLINK(CONCATENATE("#metadata!", ADDRESS(INDEX($L$2:$L$1001,MATCH(ROWS($J$2:J717),$J$2:$J$1001,0),0), INDEX($Q$1004:$U$1004,1,MATCH(COLUMNS($Q$1006:S1006),$Q$1006:$U$1006,0)))),"Fix")))</f>
        <v xml:space="preserve"> </v>
      </c>
      <c r="E717" s="3" t="str">
        <f ca="1">IF(OR(INDEX($K$2:$K$1001,MATCH(ROWS($J$2:J717),$J$2:$J$1001,0),1)&gt;=100000,INDEX($Q$1005:$U$1005,1,MATCH(COLUMNS($Q$1006:T1006),$Q$1006:$U$1006,0))&gt;=100000), " ",IF(INDEX($Q$2:$U$1001,MATCH(ROWS($J$2:J717),$J$2:$J$1001,0),MATCH(COLUMNS($Q$1006:T1006),$Q$1006:$U$1006,0)), HYPERLINK("#",""), HYPERLINK(CONCATENATE("#metadata!", ADDRESS(INDEX($L$2:$L$1001,MATCH(ROWS($J$2:J717),$J$2:$J$1001,0),0), INDEX($Q$1004:$U$1004,1,MATCH(COLUMNS($Q$1006:T1006),$Q$1006:$U$1006,0)))),"Fix")))</f>
        <v xml:space="preserve"> </v>
      </c>
      <c r="F717" s="3" t="str">
        <f ca="1">IF(OR(INDEX($K$2:$K$1001,MATCH(ROWS($J$2:J717),$J$2:$J$1001,0),1)&gt;=100000,INDEX($Q$1005:$U$1005,1,MATCH(COLUMNS($Q$1006:U1006),$Q$1006:$U$1006,0))&gt;=100000), " ",IF(INDEX($Q$2:$U$1001,MATCH(ROWS($J$2:J717),$J$2:$J$1001,0),MATCH(COLUMNS($Q$1006:U1006),$Q$1006:$U$1006,0)), HYPERLINK("#",""), HYPERLINK(CONCATENATE("#metadata!", ADDRESS(INDEX($L$2:$L$1001,MATCH(ROWS($J$2:J717),$J$2:$J$1001,0),0), INDEX($Q$1004:$U$1004,1,MATCH(COLUMNS($Q$1006:U1006),$Q$1006:$U$1006,0)))),"Fix")))</f>
        <v xml:space="preserve"> </v>
      </c>
      <c r="J717">
        <v>716</v>
      </c>
      <c r="K717">
        <v>100717</v>
      </c>
      <c r="L717">
        <v>717</v>
      </c>
      <c r="M717" t="b">
        <f t="shared" si="11"/>
        <v>1</v>
      </c>
      <c r="N717" t="b">
        <f>COUNTBLANK(metadata!B717:F717)=COLUMNS(metadata!B717:F717)</f>
        <v>1</v>
      </c>
      <c r="O717" t="str">
        <v/>
      </c>
      <c r="Q717" t="b">
        <f ca="1">AND(IF(metadata!B717="",FALSE,TRUE),COUNTIF(metadata!B:B, metadata!B717) = 1,NOT(ISERROR(SUMPRODUCT(SEARCH(MID(metadata!B717,ROW(INDIRECT("1:"&amp;LEN(metadata!B717))), 1),"0123456789abcdefghijklmnopqrstuvwxyzABCDEFGHIJKLMNOPQRSTUVWXYZ.")))))</f>
        <v>0</v>
      </c>
      <c r="R717" t="b">
        <f>AND(IF(metadata!C717="",FALSE,TRUE),OR(EXACT(metadata!C717,"saline"),EXACT(metadata!C717,"non-saline")))</f>
        <v>0</v>
      </c>
      <c r="S717" t="b">
        <f>AND(IF(metadata!D717="",FALSE,TRUE),OR(EXACT(metadata!D717,"surface (non-saline)"),EXACT(metadata!D717,"aerosol (non-saline)"),EXACT(metadata!D717,"sediment (non-saline)"),EXACT(metadata!D717,"surface (saline)"),EXACT(metadata!D717,"aerosol (saline)"),EXACT(metadata!D717,"sediment (saline)")))</f>
        <v>0</v>
      </c>
      <c r="T717" t="b">
        <f>AND(IF(metadata!E717="",FALSE,TRUE),EXACT(metadata!E717,"built environment"))</f>
        <v>0</v>
      </c>
      <c r="U717" t="b">
        <f>OR(AND(IF(metadata!F717="",FALSE,TRUE),EXACT(metadata!F717,"not applicable")),AND(IF(metadata!F717="",FALSE,TRUE),EXACT(metadata!F717,"anaerobic digester content")))</f>
        <v>0</v>
      </c>
    </row>
    <row r="718" spans="1:21" x14ac:dyDescent="0.2">
      <c r="A718" s="4" t="str">
        <f ca="1">IF(B718=" "," ",HYPERLINK(CONCATENATE("#metadata!",ADDRESS(INDEX($L$2:$L$1001,MATCH(ROWS($J$2:J718),$J$2:$J$1001,0),0),1)),INDEX($O$2:$O$1001,MATCH(ROWS($J$2:J718),$J$2:$J$1001,0),0)))</f>
        <v xml:space="preserve"> </v>
      </c>
      <c r="B718" s="3" t="str">
        <f ca="1">IF(OR(INDEX($K$2:$K$1001,MATCH(ROWS($J$2:J718),$J$2:$J$1001,0),1)&gt;=100000,INDEX($Q$1005:$U$1005,1,MATCH(COLUMNS($Q$1006:Q1006),$Q$1006:$U$1006,0))&gt;=100000), " ",IF(INDEX($Q$2:$U$1001,MATCH(ROWS($J$2:J718),$J$2:$J$1001,0),MATCH(COLUMNS($Q$1006:Q1006),$Q$1006:$U$1006,0)), HYPERLINK("#",""), HYPERLINK(CONCATENATE("#metadata!", ADDRESS(INDEX($L$2:$L$1001,MATCH(ROWS($J$2:J718),$J$2:$J$1001,0),0), INDEX($Q$1004:$U$1004,1,MATCH(COLUMNS($Q$1006:Q1006),$Q$1006:$U$1006,0)))),"Fix")))</f>
        <v xml:space="preserve"> </v>
      </c>
      <c r="C718" s="3" t="str">
        <f ca="1">IF(OR(INDEX($K$2:$K$1001,MATCH(ROWS($J$2:J718),$J$2:$J$1001,0),1)&gt;=100000,INDEX($Q$1005:$U$1005,1,MATCH(COLUMNS($Q$1006:R1006),$Q$1006:$U$1006,0))&gt;=100000), " ",IF(INDEX($Q$2:$U$1001,MATCH(ROWS($J$2:J718),$J$2:$J$1001,0),MATCH(COLUMNS($Q$1006:R1006),$Q$1006:$U$1006,0)), HYPERLINK("#",""), HYPERLINK(CONCATENATE("#metadata!", ADDRESS(INDEX($L$2:$L$1001,MATCH(ROWS($J$2:J718),$J$2:$J$1001,0),0), INDEX($Q$1004:$U$1004,1,MATCH(COLUMNS($Q$1006:R1006),$Q$1006:$U$1006,0)))),"Fix")))</f>
        <v xml:space="preserve"> </v>
      </c>
      <c r="D718" s="3" t="str">
        <f ca="1">IF(OR(INDEX($K$2:$K$1001,MATCH(ROWS($J$2:J718),$J$2:$J$1001,0),1)&gt;=100000,INDEX($Q$1005:$U$1005,1,MATCH(COLUMNS($Q$1006:S1006),$Q$1006:$U$1006,0))&gt;=100000), " ",IF(INDEX($Q$2:$U$1001,MATCH(ROWS($J$2:J718),$J$2:$J$1001,0),MATCH(COLUMNS($Q$1006:S1006),$Q$1006:$U$1006,0)), HYPERLINK("#",""), HYPERLINK(CONCATENATE("#metadata!", ADDRESS(INDEX($L$2:$L$1001,MATCH(ROWS($J$2:J718),$J$2:$J$1001,0),0), INDEX($Q$1004:$U$1004,1,MATCH(COLUMNS($Q$1006:S1006),$Q$1006:$U$1006,0)))),"Fix")))</f>
        <v xml:space="preserve"> </v>
      </c>
      <c r="E718" s="3" t="str">
        <f ca="1">IF(OR(INDEX($K$2:$K$1001,MATCH(ROWS($J$2:J718),$J$2:$J$1001,0),1)&gt;=100000,INDEX($Q$1005:$U$1005,1,MATCH(COLUMNS($Q$1006:T1006),$Q$1006:$U$1006,0))&gt;=100000), " ",IF(INDEX($Q$2:$U$1001,MATCH(ROWS($J$2:J718),$J$2:$J$1001,0),MATCH(COLUMNS($Q$1006:T1006),$Q$1006:$U$1006,0)), HYPERLINK("#",""), HYPERLINK(CONCATENATE("#metadata!", ADDRESS(INDEX($L$2:$L$1001,MATCH(ROWS($J$2:J718),$J$2:$J$1001,0),0), INDEX($Q$1004:$U$1004,1,MATCH(COLUMNS($Q$1006:T1006),$Q$1006:$U$1006,0)))),"Fix")))</f>
        <v xml:space="preserve"> </v>
      </c>
      <c r="F718" s="3" t="str">
        <f ca="1">IF(OR(INDEX($K$2:$K$1001,MATCH(ROWS($J$2:J718),$J$2:$J$1001,0),1)&gt;=100000,INDEX($Q$1005:$U$1005,1,MATCH(COLUMNS($Q$1006:U1006),$Q$1006:$U$1006,0))&gt;=100000), " ",IF(INDEX($Q$2:$U$1001,MATCH(ROWS($J$2:J718),$J$2:$J$1001,0),MATCH(COLUMNS($Q$1006:U1006),$Q$1006:$U$1006,0)), HYPERLINK("#",""), HYPERLINK(CONCATENATE("#metadata!", ADDRESS(INDEX($L$2:$L$1001,MATCH(ROWS($J$2:J718),$J$2:$J$1001,0),0), INDEX($Q$1004:$U$1004,1,MATCH(COLUMNS($Q$1006:U1006),$Q$1006:$U$1006,0)))),"Fix")))</f>
        <v xml:space="preserve"> </v>
      </c>
      <c r="J718">
        <v>717</v>
      </c>
      <c r="K718">
        <v>100718</v>
      </c>
      <c r="L718">
        <v>718</v>
      </c>
      <c r="M718" t="b">
        <f t="shared" si="11"/>
        <v>1</v>
      </c>
      <c r="N718" t="b">
        <f>COUNTBLANK(metadata!B718:F718)=COLUMNS(metadata!B718:F718)</f>
        <v>1</v>
      </c>
      <c r="O718" t="str">
        <v/>
      </c>
      <c r="Q718" t="b">
        <f ca="1">AND(IF(metadata!B718="",FALSE,TRUE),COUNTIF(metadata!B:B, metadata!B718) = 1,NOT(ISERROR(SUMPRODUCT(SEARCH(MID(metadata!B718,ROW(INDIRECT("1:"&amp;LEN(metadata!B718))), 1),"0123456789abcdefghijklmnopqrstuvwxyzABCDEFGHIJKLMNOPQRSTUVWXYZ.")))))</f>
        <v>0</v>
      </c>
      <c r="R718" t="b">
        <f>AND(IF(metadata!C718="",FALSE,TRUE),OR(EXACT(metadata!C718,"saline"),EXACT(metadata!C718,"non-saline")))</f>
        <v>0</v>
      </c>
      <c r="S718" t="b">
        <f>AND(IF(metadata!D718="",FALSE,TRUE),OR(EXACT(metadata!D718,"surface (non-saline)"),EXACT(metadata!D718,"aerosol (non-saline)"),EXACT(metadata!D718,"sediment (non-saline)"),EXACT(metadata!D718,"surface (saline)"),EXACT(metadata!D718,"aerosol (saline)"),EXACT(metadata!D718,"sediment (saline)")))</f>
        <v>0</v>
      </c>
      <c r="T718" t="b">
        <f>AND(IF(metadata!E718="",FALSE,TRUE),EXACT(metadata!E718,"built environment"))</f>
        <v>0</v>
      </c>
      <c r="U718" t="b">
        <f>OR(AND(IF(metadata!F718="",FALSE,TRUE),EXACT(metadata!F718,"not applicable")),AND(IF(metadata!F718="",FALSE,TRUE),EXACT(metadata!F718,"anaerobic digester content")))</f>
        <v>0</v>
      </c>
    </row>
    <row r="719" spans="1:21" x14ac:dyDescent="0.2">
      <c r="A719" s="4" t="str">
        <f ca="1">IF(B719=" "," ",HYPERLINK(CONCATENATE("#metadata!",ADDRESS(INDEX($L$2:$L$1001,MATCH(ROWS($J$2:J719),$J$2:$J$1001,0),0),1)),INDEX($O$2:$O$1001,MATCH(ROWS($J$2:J719),$J$2:$J$1001,0),0)))</f>
        <v xml:space="preserve"> </v>
      </c>
      <c r="B719" s="3" t="str">
        <f ca="1">IF(OR(INDEX($K$2:$K$1001,MATCH(ROWS($J$2:J719),$J$2:$J$1001,0),1)&gt;=100000,INDEX($Q$1005:$U$1005,1,MATCH(COLUMNS($Q$1006:Q1006),$Q$1006:$U$1006,0))&gt;=100000), " ",IF(INDEX($Q$2:$U$1001,MATCH(ROWS($J$2:J719),$J$2:$J$1001,0),MATCH(COLUMNS($Q$1006:Q1006),$Q$1006:$U$1006,0)), HYPERLINK("#",""), HYPERLINK(CONCATENATE("#metadata!", ADDRESS(INDEX($L$2:$L$1001,MATCH(ROWS($J$2:J719),$J$2:$J$1001,0),0), INDEX($Q$1004:$U$1004,1,MATCH(COLUMNS($Q$1006:Q1006),$Q$1006:$U$1006,0)))),"Fix")))</f>
        <v xml:space="preserve"> </v>
      </c>
      <c r="C719" s="3" t="str">
        <f ca="1">IF(OR(INDEX($K$2:$K$1001,MATCH(ROWS($J$2:J719),$J$2:$J$1001,0),1)&gt;=100000,INDEX($Q$1005:$U$1005,1,MATCH(COLUMNS($Q$1006:R1006),$Q$1006:$U$1006,0))&gt;=100000), " ",IF(INDEX($Q$2:$U$1001,MATCH(ROWS($J$2:J719),$J$2:$J$1001,0),MATCH(COLUMNS($Q$1006:R1006),$Q$1006:$U$1006,0)), HYPERLINK("#",""), HYPERLINK(CONCATENATE("#metadata!", ADDRESS(INDEX($L$2:$L$1001,MATCH(ROWS($J$2:J719),$J$2:$J$1001,0),0), INDEX($Q$1004:$U$1004,1,MATCH(COLUMNS($Q$1006:R1006),$Q$1006:$U$1006,0)))),"Fix")))</f>
        <v xml:space="preserve"> </v>
      </c>
      <c r="D719" s="3" t="str">
        <f ca="1">IF(OR(INDEX($K$2:$K$1001,MATCH(ROWS($J$2:J719),$J$2:$J$1001,0),1)&gt;=100000,INDEX($Q$1005:$U$1005,1,MATCH(COLUMNS($Q$1006:S1006),$Q$1006:$U$1006,0))&gt;=100000), " ",IF(INDEX($Q$2:$U$1001,MATCH(ROWS($J$2:J719),$J$2:$J$1001,0),MATCH(COLUMNS($Q$1006:S1006),$Q$1006:$U$1006,0)), HYPERLINK("#",""), HYPERLINK(CONCATENATE("#metadata!", ADDRESS(INDEX($L$2:$L$1001,MATCH(ROWS($J$2:J719),$J$2:$J$1001,0),0), INDEX($Q$1004:$U$1004,1,MATCH(COLUMNS($Q$1006:S1006),$Q$1006:$U$1006,0)))),"Fix")))</f>
        <v xml:space="preserve"> </v>
      </c>
      <c r="E719" s="3" t="str">
        <f ca="1">IF(OR(INDEX($K$2:$K$1001,MATCH(ROWS($J$2:J719),$J$2:$J$1001,0),1)&gt;=100000,INDEX($Q$1005:$U$1005,1,MATCH(COLUMNS($Q$1006:T1006),$Q$1006:$U$1006,0))&gt;=100000), " ",IF(INDEX($Q$2:$U$1001,MATCH(ROWS($J$2:J719),$J$2:$J$1001,0),MATCH(COLUMNS($Q$1006:T1006),$Q$1006:$U$1006,0)), HYPERLINK("#",""), HYPERLINK(CONCATENATE("#metadata!", ADDRESS(INDEX($L$2:$L$1001,MATCH(ROWS($J$2:J719),$J$2:$J$1001,0),0), INDEX($Q$1004:$U$1004,1,MATCH(COLUMNS($Q$1006:T1006),$Q$1006:$U$1006,0)))),"Fix")))</f>
        <v xml:space="preserve"> </v>
      </c>
      <c r="F719" s="3" t="str">
        <f ca="1">IF(OR(INDEX($K$2:$K$1001,MATCH(ROWS($J$2:J719),$J$2:$J$1001,0),1)&gt;=100000,INDEX($Q$1005:$U$1005,1,MATCH(COLUMNS($Q$1006:U1006),$Q$1006:$U$1006,0))&gt;=100000), " ",IF(INDEX($Q$2:$U$1001,MATCH(ROWS($J$2:J719),$J$2:$J$1001,0),MATCH(COLUMNS($Q$1006:U1006),$Q$1006:$U$1006,0)), HYPERLINK("#",""), HYPERLINK(CONCATENATE("#metadata!", ADDRESS(INDEX($L$2:$L$1001,MATCH(ROWS($J$2:J719),$J$2:$J$1001,0),0), INDEX($Q$1004:$U$1004,1,MATCH(COLUMNS($Q$1006:U1006),$Q$1006:$U$1006,0)))),"Fix")))</f>
        <v xml:space="preserve"> </v>
      </c>
      <c r="J719">
        <v>718</v>
      </c>
      <c r="K719">
        <v>100719</v>
      </c>
      <c r="L719">
        <v>719</v>
      </c>
      <c r="M719" t="b">
        <f t="shared" si="11"/>
        <v>1</v>
      </c>
      <c r="N719" t="b">
        <f>COUNTBLANK(metadata!B719:F719)=COLUMNS(metadata!B719:F719)</f>
        <v>1</v>
      </c>
      <c r="O719" t="str">
        <v/>
      </c>
      <c r="Q719" t="b">
        <f ca="1">AND(IF(metadata!B719="",FALSE,TRUE),COUNTIF(metadata!B:B, metadata!B719) = 1,NOT(ISERROR(SUMPRODUCT(SEARCH(MID(metadata!B719,ROW(INDIRECT("1:"&amp;LEN(metadata!B719))), 1),"0123456789abcdefghijklmnopqrstuvwxyzABCDEFGHIJKLMNOPQRSTUVWXYZ.")))))</f>
        <v>0</v>
      </c>
      <c r="R719" t="b">
        <f>AND(IF(metadata!C719="",FALSE,TRUE),OR(EXACT(metadata!C719,"saline"),EXACT(metadata!C719,"non-saline")))</f>
        <v>0</v>
      </c>
      <c r="S719" t="b">
        <f>AND(IF(metadata!D719="",FALSE,TRUE),OR(EXACT(metadata!D719,"surface (non-saline)"),EXACT(metadata!D719,"aerosol (non-saline)"),EXACT(metadata!D719,"sediment (non-saline)"),EXACT(metadata!D719,"surface (saline)"),EXACT(metadata!D719,"aerosol (saline)"),EXACT(metadata!D719,"sediment (saline)")))</f>
        <v>0</v>
      </c>
      <c r="T719" t="b">
        <f>AND(IF(metadata!E719="",FALSE,TRUE),EXACT(metadata!E719,"built environment"))</f>
        <v>0</v>
      </c>
      <c r="U719" t="b">
        <f>OR(AND(IF(metadata!F719="",FALSE,TRUE),EXACT(metadata!F719,"not applicable")),AND(IF(metadata!F719="",FALSE,TRUE),EXACT(metadata!F719,"anaerobic digester content")))</f>
        <v>0</v>
      </c>
    </row>
    <row r="720" spans="1:21" x14ac:dyDescent="0.2">
      <c r="A720" s="4" t="str">
        <f ca="1">IF(B720=" "," ",HYPERLINK(CONCATENATE("#metadata!",ADDRESS(INDEX($L$2:$L$1001,MATCH(ROWS($J$2:J720),$J$2:$J$1001,0),0),1)),INDEX($O$2:$O$1001,MATCH(ROWS($J$2:J720),$J$2:$J$1001,0),0)))</f>
        <v xml:space="preserve"> </v>
      </c>
      <c r="B720" s="3" t="str">
        <f ca="1">IF(OR(INDEX($K$2:$K$1001,MATCH(ROWS($J$2:J720),$J$2:$J$1001,0),1)&gt;=100000,INDEX($Q$1005:$U$1005,1,MATCH(COLUMNS($Q$1006:Q1006),$Q$1006:$U$1006,0))&gt;=100000), " ",IF(INDEX($Q$2:$U$1001,MATCH(ROWS($J$2:J720),$J$2:$J$1001,0),MATCH(COLUMNS($Q$1006:Q1006),$Q$1006:$U$1006,0)), HYPERLINK("#",""), HYPERLINK(CONCATENATE("#metadata!", ADDRESS(INDEX($L$2:$L$1001,MATCH(ROWS($J$2:J720),$J$2:$J$1001,0),0), INDEX($Q$1004:$U$1004,1,MATCH(COLUMNS($Q$1006:Q1006),$Q$1006:$U$1006,0)))),"Fix")))</f>
        <v xml:space="preserve"> </v>
      </c>
      <c r="C720" s="3" t="str">
        <f ca="1">IF(OR(INDEX($K$2:$K$1001,MATCH(ROWS($J$2:J720),$J$2:$J$1001,0),1)&gt;=100000,INDEX($Q$1005:$U$1005,1,MATCH(COLUMNS($Q$1006:R1006),$Q$1006:$U$1006,0))&gt;=100000), " ",IF(INDEX($Q$2:$U$1001,MATCH(ROWS($J$2:J720),$J$2:$J$1001,0),MATCH(COLUMNS($Q$1006:R1006),$Q$1006:$U$1006,0)), HYPERLINK("#",""), HYPERLINK(CONCATENATE("#metadata!", ADDRESS(INDEX($L$2:$L$1001,MATCH(ROWS($J$2:J720),$J$2:$J$1001,0),0), INDEX($Q$1004:$U$1004,1,MATCH(COLUMNS($Q$1006:R1006),$Q$1006:$U$1006,0)))),"Fix")))</f>
        <v xml:space="preserve"> </v>
      </c>
      <c r="D720" s="3" t="str">
        <f ca="1">IF(OR(INDEX($K$2:$K$1001,MATCH(ROWS($J$2:J720),$J$2:$J$1001,0),1)&gt;=100000,INDEX($Q$1005:$U$1005,1,MATCH(COLUMNS($Q$1006:S1006),$Q$1006:$U$1006,0))&gt;=100000), " ",IF(INDEX($Q$2:$U$1001,MATCH(ROWS($J$2:J720),$J$2:$J$1001,0),MATCH(COLUMNS($Q$1006:S1006),$Q$1006:$U$1006,0)), HYPERLINK("#",""), HYPERLINK(CONCATENATE("#metadata!", ADDRESS(INDEX($L$2:$L$1001,MATCH(ROWS($J$2:J720),$J$2:$J$1001,0),0), INDEX($Q$1004:$U$1004,1,MATCH(COLUMNS($Q$1006:S1006),$Q$1006:$U$1006,0)))),"Fix")))</f>
        <v xml:space="preserve"> </v>
      </c>
      <c r="E720" s="3" t="str">
        <f ca="1">IF(OR(INDEX($K$2:$K$1001,MATCH(ROWS($J$2:J720),$J$2:$J$1001,0),1)&gt;=100000,INDEX($Q$1005:$U$1005,1,MATCH(COLUMNS($Q$1006:T1006),$Q$1006:$U$1006,0))&gt;=100000), " ",IF(INDEX($Q$2:$U$1001,MATCH(ROWS($J$2:J720),$J$2:$J$1001,0),MATCH(COLUMNS($Q$1006:T1006),$Q$1006:$U$1006,0)), HYPERLINK("#",""), HYPERLINK(CONCATENATE("#metadata!", ADDRESS(INDEX($L$2:$L$1001,MATCH(ROWS($J$2:J720),$J$2:$J$1001,0),0), INDEX($Q$1004:$U$1004,1,MATCH(COLUMNS($Q$1006:T1006),$Q$1006:$U$1006,0)))),"Fix")))</f>
        <v xml:space="preserve"> </v>
      </c>
      <c r="F720" s="3" t="str">
        <f ca="1">IF(OR(INDEX($K$2:$K$1001,MATCH(ROWS($J$2:J720),$J$2:$J$1001,0),1)&gt;=100000,INDEX($Q$1005:$U$1005,1,MATCH(COLUMNS($Q$1006:U1006),$Q$1006:$U$1006,0))&gt;=100000), " ",IF(INDEX($Q$2:$U$1001,MATCH(ROWS($J$2:J720),$J$2:$J$1001,0),MATCH(COLUMNS($Q$1006:U1006),$Q$1006:$U$1006,0)), HYPERLINK("#",""), HYPERLINK(CONCATENATE("#metadata!", ADDRESS(INDEX($L$2:$L$1001,MATCH(ROWS($J$2:J720),$J$2:$J$1001,0),0), INDEX($Q$1004:$U$1004,1,MATCH(COLUMNS($Q$1006:U1006),$Q$1006:$U$1006,0)))),"Fix")))</f>
        <v xml:space="preserve"> </v>
      </c>
      <c r="J720">
        <v>719</v>
      </c>
      <c r="K720">
        <v>100720</v>
      </c>
      <c r="L720">
        <v>720</v>
      </c>
      <c r="M720" t="b">
        <f t="shared" si="11"/>
        <v>1</v>
      </c>
      <c r="N720" t="b">
        <f>COUNTBLANK(metadata!B720:F720)=COLUMNS(metadata!B720:F720)</f>
        <v>1</v>
      </c>
      <c r="O720" t="str">
        <v/>
      </c>
      <c r="Q720" t="b">
        <f ca="1">AND(IF(metadata!B720="",FALSE,TRUE),COUNTIF(metadata!B:B, metadata!B720) = 1,NOT(ISERROR(SUMPRODUCT(SEARCH(MID(metadata!B720,ROW(INDIRECT("1:"&amp;LEN(metadata!B720))), 1),"0123456789abcdefghijklmnopqrstuvwxyzABCDEFGHIJKLMNOPQRSTUVWXYZ.")))))</f>
        <v>0</v>
      </c>
      <c r="R720" t="b">
        <f>AND(IF(metadata!C720="",FALSE,TRUE),OR(EXACT(metadata!C720,"saline"),EXACT(metadata!C720,"non-saline")))</f>
        <v>0</v>
      </c>
      <c r="S720" t="b">
        <f>AND(IF(metadata!D720="",FALSE,TRUE),OR(EXACT(metadata!D720,"surface (non-saline)"),EXACT(metadata!D720,"aerosol (non-saline)"),EXACT(metadata!D720,"sediment (non-saline)"),EXACT(metadata!D720,"surface (saline)"),EXACT(metadata!D720,"aerosol (saline)"),EXACT(metadata!D720,"sediment (saline)")))</f>
        <v>0</v>
      </c>
      <c r="T720" t="b">
        <f>AND(IF(metadata!E720="",FALSE,TRUE),EXACT(metadata!E720,"built environment"))</f>
        <v>0</v>
      </c>
      <c r="U720" t="b">
        <f>OR(AND(IF(metadata!F720="",FALSE,TRUE),EXACT(metadata!F720,"not applicable")),AND(IF(metadata!F720="",FALSE,TRUE),EXACT(metadata!F720,"anaerobic digester content")))</f>
        <v>0</v>
      </c>
    </row>
    <row r="721" spans="1:21" x14ac:dyDescent="0.2">
      <c r="A721" s="4" t="str">
        <f ca="1">IF(B721=" "," ",HYPERLINK(CONCATENATE("#metadata!",ADDRESS(INDEX($L$2:$L$1001,MATCH(ROWS($J$2:J721),$J$2:$J$1001,0),0),1)),INDEX($O$2:$O$1001,MATCH(ROWS($J$2:J721),$J$2:$J$1001,0),0)))</f>
        <v xml:space="preserve"> </v>
      </c>
      <c r="B721" s="3" t="str">
        <f ca="1">IF(OR(INDEX($K$2:$K$1001,MATCH(ROWS($J$2:J721),$J$2:$J$1001,0),1)&gt;=100000,INDEX($Q$1005:$U$1005,1,MATCH(COLUMNS($Q$1006:Q1006),$Q$1006:$U$1006,0))&gt;=100000), " ",IF(INDEX($Q$2:$U$1001,MATCH(ROWS($J$2:J721),$J$2:$J$1001,0),MATCH(COLUMNS($Q$1006:Q1006),$Q$1006:$U$1006,0)), HYPERLINK("#",""), HYPERLINK(CONCATENATE("#metadata!", ADDRESS(INDEX($L$2:$L$1001,MATCH(ROWS($J$2:J721),$J$2:$J$1001,0),0), INDEX($Q$1004:$U$1004,1,MATCH(COLUMNS($Q$1006:Q1006),$Q$1006:$U$1006,0)))),"Fix")))</f>
        <v xml:space="preserve"> </v>
      </c>
      <c r="C721" s="3" t="str">
        <f ca="1">IF(OR(INDEX($K$2:$K$1001,MATCH(ROWS($J$2:J721),$J$2:$J$1001,0),1)&gt;=100000,INDEX($Q$1005:$U$1005,1,MATCH(COLUMNS($Q$1006:R1006),$Q$1006:$U$1006,0))&gt;=100000), " ",IF(INDEX($Q$2:$U$1001,MATCH(ROWS($J$2:J721),$J$2:$J$1001,0),MATCH(COLUMNS($Q$1006:R1006),$Q$1006:$U$1006,0)), HYPERLINK("#",""), HYPERLINK(CONCATENATE("#metadata!", ADDRESS(INDEX($L$2:$L$1001,MATCH(ROWS($J$2:J721),$J$2:$J$1001,0),0), INDEX($Q$1004:$U$1004,1,MATCH(COLUMNS($Q$1006:R1006),$Q$1006:$U$1006,0)))),"Fix")))</f>
        <v xml:space="preserve"> </v>
      </c>
      <c r="D721" s="3" t="str">
        <f ca="1">IF(OR(INDEX($K$2:$K$1001,MATCH(ROWS($J$2:J721),$J$2:$J$1001,0),1)&gt;=100000,INDEX($Q$1005:$U$1005,1,MATCH(COLUMNS($Q$1006:S1006),$Q$1006:$U$1006,0))&gt;=100000), " ",IF(INDEX($Q$2:$U$1001,MATCH(ROWS($J$2:J721),$J$2:$J$1001,0),MATCH(COLUMNS($Q$1006:S1006),$Q$1006:$U$1006,0)), HYPERLINK("#",""), HYPERLINK(CONCATENATE("#metadata!", ADDRESS(INDEX($L$2:$L$1001,MATCH(ROWS($J$2:J721),$J$2:$J$1001,0),0), INDEX($Q$1004:$U$1004,1,MATCH(COLUMNS($Q$1006:S1006),$Q$1006:$U$1006,0)))),"Fix")))</f>
        <v xml:space="preserve"> </v>
      </c>
      <c r="E721" s="3" t="str">
        <f ca="1">IF(OR(INDEX($K$2:$K$1001,MATCH(ROWS($J$2:J721),$J$2:$J$1001,0),1)&gt;=100000,INDEX($Q$1005:$U$1005,1,MATCH(COLUMNS($Q$1006:T1006),$Q$1006:$U$1006,0))&gt;=100000), " ",IF(INDEX($Q$2:$U$1001,MATCH(ROWS($J$2:J721),$J$2:$J$1001,0),MATCH(COLUMNS($Q$1006:T1006),$Q$1006:$U$1006,0)), HYPERLINK("#",""), HYPERLINK(CONCATENATE("#metadata!", ADDRESS(INDEX($L$2:$L$1001,MATCH(ROWS($J$2:J721),$J$2:$J$1001,0),0), INDEX($Q$1004:$U$1004,1,MATCH(COLUMNS($Q$1006:T1006),$Q$1006:$U$1006,0)))),"Fix")))</f>
        <v xml:space="preserve"> </v>
      </c>
      <c r="F721" s="3" t="str">
        <f ca="1">IF(OR(INDEX($K$2:$K$1001,MATCH(ROWS($J$2:J721),$J$2:$J$1001,0),1)&gt;=100000,INDEX($Q$1005:$U$1005,1,MATCH(COLUMNS($Q$1006:U1006),$Q$1006:$U$1006,0))&gt;=100000), " ",IF(INDEX($Q$2:$U$1001,MATCH(ROWS($J$2:J721),$J$2:$J$1001,0),MATCH(COLUMNS($Q$1006:U1006),$Q$1006:$U$1006,0)), HYPERLINK("#",""), HYPERLINK(CONCATENATE("#metadata!", ADDRESS(INDEX($L$2:$L$1001,MATCH(ROWS($J$2:J721),$J$2:$J$1001,0),0), INDEX($Q$1004:$U$1004,1,MATCH(COLUMNS($Q$1006:U1006),$Q$1006:$U$1006,0)))),"Fix")))</f>
        <v xml:space="preserve"> </v>
      </c>
      <c r="J721">
        <v>720</v>
      </c>
      <c r="K721">
        <v>100721</v>
      </c>
      <c r="L721">
        <v>721</v>
      </c>
      <c r="M721" t="b">
        <f t="shared" si="11"/>
        <v>1</v>
      </c>
      <c r="N721" t="b">
        <f>COUNTBLANK(metadata!B721:F721)=COLUMNS(metadata!B721:F721)</f>
        <v>1</v>
      </c>
      <c r="O721" t="str">
        <v/>
      </c>
      <c r="Q721" t="b">
        <f ca="1">AND(IF(metadata!B721="",FALSE,TRUE),COUNTIF(metadata!B:B, metadata!B721) = 1,NOT(ISERROR(SUMPRODUCT(SEARCH(MID(metadata!B721,ROW(INDIRECT("1:"&amp;LEN(metadata!B721))), 1),"0123456789abcdefghijklmnopqrstuvwxyzABCDEFGHIJKLMNOPQRSTUVWXYZ.")))))</f>
        <v>0</v>
      </c>
      <c r="R721" t="b">
        <f>AND(IF(metadata!C721="",FALSE,TRUE),OR(EXACT(metadata!C721,"saline"),EXACT(metadata!C721,"non-saline")))</f>
        <v>0</v>
      </c>
      <c r="S721" t="b">
        <f>AND(IF(metadata!D721="",FALSE,TRUE),OR(EXACT(metadata!D721,"surface (non-saline)"),EXACT(metadata!D721,"aerosol (non-saline)"),EXACT(metadata!D721,"sediment (non-saline)"),EXACT(metadata!D721,"surface (saline)"),EXACT(metadata!D721,"aerosol (saline)"),EXACT(metadata!D721,"sediment (saline)")))</f>
        <v>0</v>
      </c>
      <c r="T721" t="b">
        <f>AND(IF(metadata!E721="",FALSE,TRUE),EXACT(metadata!E721,"built environment"))</f>
        <v>0</v>
      </c>
      <c r="U721" t="b">
        <f>OR(AND(IF(metadata!F721="",FALSE,TRUE),EXACT(metadata!F721,"not applicable")),AND(IF(metadata!F721="",FALSE,TRUE),EXACT(metadata!F721,"anaerobic digester content")))</f>
        <v>0</v>
      </c>
    </row>
    <row r="722" spans="1:21" x14ac:dyDescent="0.2">
      <c r="A722" s="4" t="str">
        <f ca="1">IF(B722=" "," ",HYPERLINK(CONCATENATE("#metadata!",ADDRESS(INDEX($L$2:$L$1001,MATCH(ROWS($J$2:J722),$J$2:$J$1001,0),0),1)),INDEX($O$2:$O$1001,MATCH(ROWS($J$2:J722),$J$2:$J$1001,0),0)))</f>
        <v xml:space="preserve"> </v>
      </c>
      <c r="B722" s="3" t="str">
        <f ca="1">IF(OR(INDEX($K$2:$K$1001,MATCH(ROWS($J$2:J722),$J$2:$J$1001,0),1)&gt;=100000,INDEX($Q$1005:$U$1005,1,MATCH(COLUMNS($Q$1006:Q1006),$Q$1006:$U$1006,0))&gt;=100000), " ",IF(INDEX($Q$2:$U$1001,MATCH(ROWS($J$2:J722),$J$2:$J$1001,0),MATCH(COLUMNS($Q$1006:Q1006),$Q$1006:$U$1006,0)), HYPERLINK("#",""), HYPERLINK(CONCATENATE("#metadata!", ADDRESS(INDEX($L$2:$L$1001,MATCH(ROWS($J$2:J722),$J$2:$J$1001,0),0), INDEX($Q$1004:$U$1004,1,MATCH(COLUMNS($Q$1006:Q1006),$Q$1006:$U$1006,0)))),"Fix")))</f>
        <v xml:space="preserve"> </v>
      </c>
      <c r="C722" s="3" t="str">
        <f ca="1">IF(OR(INDEX($K$2:$K$1001,MATCH(ROWS($J$2:J722),$J$2:$J$1001,0),1)&gt;=100000,INDEX($Q$1005:$U$1005,1,MATCH(COLUMNS($Q$1006:R1006),$Q$1006:$U$1006,0))&gt;=100000), " ",IF(INDEX($Q$2:$U$1001,MATCH(ROWS($J$2:J722),$J$2:$J$1001,0),MATCH(COLUMNS($Q$1006:R1006),$Q$1006:$U$1006,0)), HYPERLINK("#",""), HYPERLINK(CONCATENATE("#metadata!", ADDRESS(INDEX($L$2:$L$1001,MATCH(ROWS($J$2:J722),$J$2:$J$1001,0),0), INDEX($Q$1004:$U$1004,1,MATCH(COLUMNS($Q$1006:R1006),$Q$1006:$U$1006,0)))),"Fix")))</f>
        <v xml:space="preserve"> </v>
      </c>
      <c r="D722" s="3" t="str">
        <f ca="1">IF(OR(INDEX($K$2:$K$1001,MATCH(ROWS($J$2:J722),$J$2:$J$1001,0),1)&gt;=100000,INDEX($Q$1005:$U$1005,1,MATCH(COLUMNS($Q$1006:S1006),$Q$1006:$U$1006,0))&gt;=100000), " ",IF(INDEX($Q$2:$U$1001,MATCH(ROWS($J$2:J722),$J$2:$J$1001,0),MATCH(COLUMNS($Q$1006:S1006),$Q$1006:$U$1006,0)), HYPERLINK("#",""), HYPERLINK(CONCATENATE("#metadata!", ADDRESS(INDEX($L$2:$L$1001,MATCH(ROWS($J$2:J722),$J$2:$J$1001,0),0), INDEX($Q$1004:$U$1004,1,MATCH(COLUMNS($Q$1006:S1006),$Q$1006:$U$1006,0)))),"Fix")))</f>
        <v xml:space="preserve"> </v>
      </c>
      <c r="E722" s="3" t="str">
        <f ca="1">IF(OR(INDEX($K$2:$K$1001,MATCH(ROWS($J$2:J722),$J$2:$J$1001,0),1)&gt;=100000,INDEX($Q$1005:$U$1005,1,MATCH(COLUMNS($Q$1006:T1006),$Q$1006:$U$1006,0))&gt;=100000), " ",IF(INDEX($Q$2:$U$1001,MATCH(ROWS($J$2:J722),$J$2:$J$1001,0),MATCH(COLUMNS($Q$1006:T1006),$Q$1006:$U$1006,0)), HYPERLINK("#",""), HYPERLINK(CONCATENATE("#metadata!", ADDRESS(INDEX($L$2:$L$1001,MATCH(ROWS($J$2:J722),$J$2:$J$1001,0),0), INDEX($Q$1004:$U$1004,1,MATCH(COLUMNS($Q$1006:T1006),$Q$1006:$U$1006,0)))),"Fix")))</f>
        <v xml:space="preserve"> </v>
      </c>
      <c r="F722" s="3" t="str">
        <f ca="1">IF(OR(INDEX($K$2:$K$1001,MATCH(ROWS($J$2:J722),$J$2:$J$1001,0),1)&gt;=100000,INDEX($Q$1005:$U$1005,1,MATCH(COLUMNS($Q$1006:U1006),$Q$1006:$U$1006,0))&gt;=100000), " ",IF(INDEX($Q$2:$U$1001,MATCH(ROWS($J$2:J722),$J$2:$J$1001,0),MATCH(COLUMNS($Q$1006:U1006),$Q$1006:$U$1006,0)), HYPERLINK("#",""), HYPERLINK(CONCATENATE("#metadata!", ADDRESS(INDEX($L$2:$L$1001,MATCH(ROWS($J$2:J722),$J$2:$J$1001,0),0), INDEX($Q$1004:$U$1004,1,MATCH(COLUMNS($Q$1006:U1006),$Q$1006:$U$1006,0)))),"Fix")))</f>
        <v xml:space="preserve"> </v>
      </c>
      <c r="J722">
        <v>721</v>
      </c>
      <c r="K722">
        <v>100722</v>
      </c>
      <c r="L722">
        <v>722</v>
      </c>
      <c r="M722" t="b">
        <f t="shared" si="11"/>
        <v>1</v>
      </c>
      <c r="N722" t="b">
        <f>COUNTBLANK(metadata!B722:F722)=COLUMNS(metadata!B722:F722)</f>
        <v>1</v>
      </c>
      <c r="O722" t="str">
        <v/>
      </c>
      <c r="Q722" t="b">
        <f ca="1">AND(IF(metadata!B722="",FALSE,TRUE),COUNTIF(metadata!B:B, metadata!B722) = 1,NOT(ISERROR(SUMPRODUCT(SEARCH(MID(metadata!B722,ROW(INDIRECT("1:"&amp;LEN(metadata!B722))), 1),"0123456789abcdefghijklmnopqrstuvwxyzABCDEFGHIJKLMNOPQRSTUVWXYZ.")))))</f>
        <v>0</v>
      </c>
      <c r="R722" t="b">
        <f>AND(IF(metadata!C722="",FALSE,TRUE),OR(EXACT(metadata!C722,"saline"),EXACT(metadata!C722,"non-saline")))</f>
        <v>0</v>
      </c>
      <c r="S722" t="b">
        <f>AND(IF(metadata!D722="",FALSE,TRUE),OR(EXACT(metadata!D722,"surface (non-saline)"),EXACT(metadata!D722,"aerosol (non-saline)"),EXACT(metadata!D722,"sediment (non-saline)"),EXACT(metadata!D722,"surface (saline)"),EXACT(metadata!D722,"aerosol (saline)"),EXACT(metadata!D722,"sediment (saline)")))</f>
        <v>0</v>
      </c>
      <c r="T722" t="b">
        <f>AND(IF(metadata!E722="",FALSE,TRUE),EXACT(metadata!E722,"built environment"))</f>
        <v>0</v>
      </c>
      <c r="U722" t="b">
        <f>OR(AND(IF(metadata!F722="",FALSE,TRUE),EXACT(metadata!F722,"not applicable")),AND(IF(metadata!F722="",FALSE,TRUE),EXACT(metadata!F722,"anaerobic digester content")))</f>
        <v>0</v>
      </c>
    </row>
    <row r="723" spans="1:21" x14ac:dyDescent="0.2">
      <c r="A723" s="4" t="str">
        <f ca="1">IF(B723=" "," ",HYPERLINK(CONCATENATE("#metadata!",ADDRESS(INDEX($L$2:$L$1001,MATCH(ROWS($J$2:J723),$J$2:$J$1001,0),0),1)),INDEX($O$2:$O$1001,MATCH(ROWS($J$2:J723),$J$2:$J$1001,0),0)))</f>
        <v xml:space="preserve"> </v>
      </c>
      <c r="B723" s="3" t="str">
        <f ca="1">IF(OR(INDEX($K$2:$K$1001,MATCH(ROWS($J$2:J723),$J$2:$J$1001,0),1)&gt;=100000,INDEX($Q$1005:$U$1005,1,MATCH(COLUMNS($Q$1006:Q1006),$Q$1006:$U$1006,0))&gt;=100000), " ",IF(INDEX($Q$2:$U$1001,MATCH(ROWS($J$2:J723),$J$2:$J$1001,0),MATCH(COLUMNS($Q$1006:Q1006),$Q$1006:$U$1006,0)), HYPERLINK("#",""), HYPERLINK(CONCATENATE("#metadata!", ADDRESS(INDEX($L$2:$L$1001,MATCH(ROWS($J$2:J723),$J$2:$J$1001,0),0), INDEX($Q$1004:$U$1004,1,MATCH(COLUMNS($Q$1006:Q1006),$Q$1006:$U$1006,0)))),"Fix")))</f>
        <v xml:space="preserve"> </v>
      </c>
      <c r="C723" s="3" t="str">
        <f ca="1">IF(OR(INDEX($K$2:$K$1001,MATCH(ROWS($J$2:J723),$J$2:$J$1001,0),1)&gt;=100000,INDEX($Q$1005:$U$1005,1,MATCH(COLUMNS($Q$1006:R1006),$Q$1006:$U$1006,0))&gt;=100000), " ",IF(INDEX($Q$2:$U$1001,MATCH(ROWS($J$2:J723),$J$2:$J$1001,0),MATCH(COLUMNS($Q$1006:R1006),$Q$1006:$U$1006,0)), HYPERLINK("#",""), HYPERLINK(CONCATENATE("#metadata!", ADDRESS(INDEX($L$2:$L$1001,MATCH(ROWS($J$2:J723),$J$2:$J$1001,0),0), INDEX($Q$1004:$U$1004,1,MATCH(COLUMNS($Q$1006:R1006),$Q$1006:$U$1006,0)))),"Fix")))</f>
        <v xml:space="preserve"> </v>
      </c>
      <c r="D723" s="3" t="str">
        <f ca="1">IF(OR(INDEX($K$2:$K$1001,MATCH(ROWS($J$2:J723),$J$2:$J$1001,0),1)&gt;=100000,INDEX($Q$1005:$U$1005,1,MATCH(COLUMNS($Q$1006:S1006),$Q$1006:$U$1006,0))&gt;=100000), " ",IF(INDEX($Q$2:$U$1001,MATCH(ROWS($J$2:J723),$J$2:$J$1001,0),MATCH(COLUMNS($Q$1006:S1006),$Q$1006:$U$1006,0)), HYPERLINK("#",""), HYPERLINK(CONCATENATE("#metadata!", ADDRESS(INDEX($L$2:$L$1001,MATCH(ROWS($J$2:J723),$J$2:$J$1001,0),0), INDEX($Q$1004:$U$1004,1,MATCH(COLUMNS($Q$1006:S1006),$Q$1006:$U$1006,0)))),"Fix")))</f>
        <v xml:space="preserve"> </v>
      </c>
      <c r="E723" s="3" t="str">
        <f ca="1">IF(OR(INDEX($K$2:$K$1001,MATCH(ROWS($J$2:J723),$J$2:$J$1001,0),1)&gt;=100000,INDEX($Q$1005:$U$1005,1,MATCH(COLUMNS($Q$1006:T1006),$Q$1006:$U$1006,0))&gt;=100000), " ",IF(INDEX($Q$2:$U$1001,MATCH(ROWS($J$2:J723),$J$2:$J$1001,0),MATCH(COLUMNS($Q$1006:T1006),$Q$1006:$U$1006,0)), HYPERLINK("#",""), HYPERLINK(CONCATENATE("#metadata!", ADDRESS(INDEX($L$2:$L$1001,MATCH(ROWS($J$2:J723),$J$2:$J$1001,0),0), INDEX($Q$1004:$U$1004,1,MATCH(COLUMNS($Q$1006:T1006),$Q$1006:$U$1006,0)))),"Fix")))</f>
        <v xml:space="preserve"> </v>
      </c>
      <c r="F723" s="3" t="str">
        <f ca="1">IF(OR(INDEX($K$2:$K$1001,MATCH(ROWS($J$2:J723),$J$2:$J$1001,0),1)&gt;=100000,INDEX($Q$1005:$U$1005,1,MATCH(COLUMNS($Q$1006:U1006),$Q$1006:$U$1006,0))&gt;=100000), " ",IF(INDEX($Q$2:$U$1001,MATCH(ROWS($J$2:J723),$J$2:$J$1001,0),MATCH(COLUMNS($Q$1006:U1006),$Q$1006:$U$1006,0)), HYPERLINK("#",""), HYPERLINK(CONCATENATE("#metadata!", ADDRESS(INDEX($L$2:$L$1001,MATCH(ROWS($J$2:J723),$J$2:$J$1001,0),0), INDEX($Q$1004:$U$1004,1,MATCH(COLUMNS($Q$1006:U1006),$Q$1006:$U$1006,0)))),"Fix")))</f>
        <v xml:space="preserve"> </v>
      </c>
      <c r="J723">
        <v>722</v>
      </c>
      <c r="K723">
        <v>100723</v>
      </c>
      <c r="L723">
        <v>723</v>
      </c>
      <c r="M723" t="b">
        <f t="shared" si="11"/>
        <v>1</v>
      </c>
      <c r="N723" t="b">
        <f>COUNTBLANK(metadata!B723:F723)=COLUMNS(metadata!B723:F723)</f>
        <v>1</v>
      </c>
      <c r="O723" t="str">
        <v/>
      </c>
      <c r="Q723" t="b">
        <f ca="1">AND(IF(metadata!B723="",FALSE,TRUE),COUNTIF(metadata!B:B, metadata!B723) = 1,NOT(ISERROR(SUMPRODUCT(SEARCH(MID(metadata!B723,ROW(INDIRECT("1:"&amp;LEN(metadata!B723))), 1),"0123456789abcdefghijklmnopqrstuvwxyzABCDEFGHIJKLMNOPQRSTUVWXYZ.")))))</f>
        <v>0</v>
      </c>
      <c r="R723" t="b">
        <f>AND(IF(metadata!C723="",FALSE,TRUE),OR(EXACT(metadata!C723,"saline"),EXACT(metadata!C723,"non-saline")))</f>
        <v>0</v>
      </c>
      <c r="S723" t="b">
        <f>AND(IF(metadata!D723="",FALSE,TRUE),OR(EXACT(metadata!D723,"surface (non-saline)"),EXACT(metadata!D723,"aerosol (non-saline)"),EXACT(metadata!D723,"sediment (non-saline)"),EXACT(metadata!D723,"surface (saline)"),EXACT(metadata!D723,"aerosol (saline)"),EXACT(metadata!D723,"sediment (saline)")))</f>
        <v>0</v>
      </c>
      <c r="T723" t="b">
        <f>AND(IF(metadata!E723="",FALSE,TRUE),EXACT(metadata!E723,"built environment"))</f>
        <v>0</v>
      </c>
      <c r="U723" t="b">
        <f>OR(AND(IF(metadata!F723="",FALSE,TRUE),EXACT(metadata!F723,"not applicable")),AND(IF(metadata!F723="",FALSE,TRUE),EXACT(metadata!F723,"anaerobic digester content")))</f>
        <v>0</v>
      </c>
    </row>
    <row r="724" spans="1:21" x14ac:dyDescent="0.2">
      <c r="A724" s="4" t="str">
        <f ca="1">IF(B724=" "," ",HYPERLINK(CONCATENATE("#metadata!",ADDRESS(INDEX($L$2:$L$1001,MATCH(ROWS($J$2:J724),$J$2:$J$1001,0),0),1)),INDEX($O$2:$O$1001,MATCH(ROWS($J$2:J724),$J$2:$J$1001,0),0)))</f>
        <v xml:space="preserve"> </v>
      </c>
      <c r="B724" s="3" t="str">
        <f ca="1">IF(OR(INDEX($K$2:$K$1001,MATCH(ROWS($J$2:J724),$J$2:$J$1001,0),1)&gt;=100000,INDEX($Q$1005:$U$1005,1,MATCH(COLUMNS($Q$1006:Q1006),$Q$1006:$U$1006,0))&gt;=100000), " ",IF(INDEX($Q$2:$U$1001,MATCH(ROWS($J$2:J724),$J$2:$J$1001,0),MATCH(COLUMNS($Q$1006:Q1006),$Q$1006:$U$1006,0)), HYPERLINK("#",""), HYPERLINK(CONCATENATE("#metadata!", ADDRESS(INDEX($L$2:$L$1001,MATCH(ROWS($J$2:J724),$J$2:$J$1001,0),0), INDEX($Q$1004:$U$1004,1,MATCH(COLUMNS($Q$1006:Q1006),$Q$1006:$U$1006,0)))),"Fix")))</f>
        <v xml:space="preserve"> </v>
      </c>
      <c r="C724" s="3" t="str">
        <f ca="1">IF(OR(INDEX($K$2:$K$1001,MATCH(ROWS($J$2:J724),$J$2:$J$1001,0),1)&gt;=100000,INDEX($Q$1005:$U$1005,1,MATCH(COLUMNS($Q$1006:R1006),$Q$1006:$U$1006,0))&gt;=100000), " ",IF(INDEX($Q$2:$U$1001,MATCH(ROWS($J$2:J724),$J$2:$J$1001,0),MATCH(COLUMNS($Q$1006:R1006),$Q$1006:$U$1006,0)), HYPERLINK("#",""), HYPERLINK(CONCATENATE("#metadata!", ADDRESS(INDEX($L$2:$L$1001,MATCH(ROWS($J$2:J724),$J$2:$J$1001,0),0), INDEX($Q$1004:$U$1004,1,MATCH(COLUMNS($Q$1006:R1006),$Q$1006:$U$1006,0)))),"Fix")))</f>
        <v xml:space="preserve"> </v>
      </c>
      <c r="D724" s="3" t="str">
        <f ca="1">IF(OR(INDEX($K$2:$K$1001,MATCH(ROWS($J$2:J724),$J$2:$J$1001,0),1)&gt;=100000,INDEX($Q$1005:$U$1005,1,MATCH(COLUMNS($Q$1006:S1006),$Q$1006:$U$1006,0))&gt;=100000), " ",IF(INDEX($Q$2:$U$1001,MATCH(ROWS($J$2:J724),$J$2:$J$1001,0),MATCH(COLUMNS($Q$1006:S1006),$Q$1006:$U$1006,0)), HYPERLINK("#",""), HYPERLINK(CONCATENATE("#metadata!", ADDRESS(INDEX($L$2:$L$1001,MATCH(ROWS($J$2:J724),$J$2:$J$1001,0),0), INDEX($Q$1004:$U$1004,1,MATCH(COLUMNS($Q$1006:S1006),$Q$1006:$U$1006,0)))),"Fix")))</f>
        <v xml:space="preserve"> </v>
      </c>
      <c r="E724" s="3" t="str">
        <f ca="1">IF(OR(INDEX($K$2:$K$1001,MATCH(ROWS($J$2:J724),$J$2:$J$1001,0),1)&gt;=100000,INDEX($Q$1005:$U$1005,1,MATCH(COLUMNS($Q$1006:T1006),$Q$1006:$U$1006,0))&gt;=100000), " ",IF(INDEX($Q$2:$U$1001,MATCH(ROWS($J$2:J724),$J$2:$J$1001,0),MATCH(COLUMNS($Q$1006:T1006),$Q$1006:$U$1006,0)), HYPERLINK("#",""), HYPERLINK(CONCATENATE("#metadata!", ADDRESS(INDEX($L$2:$L$1001,MATCH(ROWS($J$2:J724),$J$2:$J$1001,0),0), INDEX($Q$1004:$U$1004,1,MATCH(COLUMNS($Q$1006:T1006),$Q$1006:$U$1006,0)))),"Fix")))</f>
        <v xml:space="preserve"> </v>
      </c>
      <c r="F724" s="3" t="str">
        <f ca="1">IF(OR(INDEX($K$2:$K$1001,MATCH(ROWS($J$2:J724),$J$2:$J$1001,0),1)&gt;=100000,INDEX($Q$1005:$U$1005,1,MATCH(COLUMNS($Q$1006:U1006),$Q$1006:$U$1006,0))&gt;=100000), " ",IF(INDEX($Q$2:$U$1001,MATCH(ROWS($J$2:J724),$J$2:$J$1001,0),MATCH(COLUMNS($Q$1006:U1006),$Q$1006:$U$1006,0)), HYPERLINK("#",""), HYPERLINK(CONCATENATE("#metadata!", ADDRESS(INDEX($L$2:$L$1001,MATCH(ROWS($J$2:J724),$J$2:$J$1001,0),0), INDEX($Q$1004:$U$1004,1,MATCH(COLUMNS($Q$1006:U1006),$Q$1006:$U$1006,0)))),"Fix")))</f>
        <v xml:space="preserve"> </v>
      </c>
      <c r="J724">
        <v>723</v>
      </c>
      <c r="K724">
        <v>100724</v>
      </c>
      <c r="L724">
        <v>724</v>
      </c>
      <c r="M724" t="b">
        <f t="shared" si="11"/>
        <v>1</v>
      </c>
      <c r="N724" t="b">
        <f>COUNTBLANK(metadata!B724:F724)=COLUMNS(metadata!B724:F724)</f>
        <v>1</v>
      </c>
      <c r="O724" t="str">
        <v/>
      </c>
      <c r="Q724" t="b">
        <f ca="1">AND(IF(metadata!B724="",FALSE,TRUE),COUNTIF(metadata!B:B, metadata!B724) = 1,NOT(ISERROR(SUMPRODUCT(SEARCH(MID(metadata!B724,ROW(INDIRECT("1:"&amp;LEN(metadata!B724))), 1),"0123456789abcdefghijklmnopqrstuvwxyzABCDEFGHIJKLMNOPQRSTUVWXYZ.")))))</f>
        <v>0</v>
      </c>
      <c r="R724" t="b">
        <f>AND(IF(metadata!C724="",FALSE,TRUE),OR(EXACT(metadata!C724,"saline"),EXACT(metadata!C724,"non-saline")))</f>
        <v>0</v>
      </c>
      <c r="S724" t="b">
        <f>AND(IF(metadata!D724="",FALSE,TRUE),OR(EXACT(metadata!D724,"surface (non-saline)"),EXACT(metadata!D724,"aerosol (non-saline)"),EXACT(metadata!D724,"sediment (non-saline)"),EXACT(metadata!D724,"surface (saline)"),EXACT(metadata!D724,"aerosol (saline)"),EXACT(metadata!D724,"sediment (saline)")))</f>
        <v>0</v>
      </c>
      <c r="T724" t="b">
        <f>AND(IF(metadata!E724="",FALSE,TRUE),EXACT(metadata!E724,"built environment"))</f>
        <v>0</v>
      </c>
      <c r="U724" t="b">
        <f>OR(AND(IF(metadata!F724="",FALSE,TRUE),EXACT(metadata!F724,"not applicable")),AND(IF(metadata!F724="",FALSE,TRUE),EXACT(metadata!F724,"anaerobic digester content")))</f>
        <v>0</v>
      </c>
    </row>
    <row r="725" spans="1:21" x14ac:dyDescent="0.2">
      <c r="A725" s="4" t="str">
        <f ca="1">IF(B725=" "," ",HYPERLINK(CONCATENATE("#metadata!",ADDRESS(INDEX($L$2:$L$1001,MATCH(ROWS($J$2:J725),$J$2:$J$1001,0),0),1)),INDEX($O$2:$O$1001,MATCH(ROWS($J$2:J725),$J$2:$J$1001,0),0)))</f>
        <v xml:space="preserve"> </v>
      </c>
      <c r="B725" s="3" t="str">
        <f ca="1">IF(OR(INDEX($K$2:$K$1001,MATCH(ROWS($J$2:J725),$J$2:$J$1001,0),1)&gt;=100000,INDEX($Q$1005:$U$1005,1,MATCH(COLUMNS($Q$1006:Q1006),$Q$1006:$U$1006,0))&gt;=100000), " ",IF(INDEX($Q$2:$U$1001,MATCH(ROWS($J$2:J725),$J$2:$J$1001,0),MATCH(COLUMNS($Q$1006:Q1006),$Q$1006:$U$1006,0)), HYPERLINK("#",""), HYPERLINK(CONCATENATE("#metadata!", ADDRESS(INDEX($L$2:$L$1001,MATCH(ROWS($J$2:J725),$J$2:$J$1001,0),0), INDEX($Q$1004:$U$1004,1,MATCH(COLUMNS($Q$1006:Q1006),$Q$1006:$U$1006,0)))),"Fix")))</f>
        <v xml:space="preserve"> </v>
      </c>
      <c r="C725" s="3" t="str">
        <f ca="1">IF(OR(INDEX($K$2:$K$1001,MATCH(ROWS($J$2:J725),$J$2:$J$1001,0),1)&gt;=100000,INDEX($Q$1005:$U$1005,1,MATCH(COLUMNS($Q$1006:R1006),$Q$1006:$U$1006,0))&gt;=100000), " ",IF(INDEX($Q$2:$U$1001,MATCH(ROWS($J$2:J725),$J$2:$J$1001,0),MATCH(COLUMNS($Q$1006:R1006),$Q$1006:$U$1006,0)), HYPERLINK("#",""), HYPERLINK(CONCATENATE("#metadata!", ADDRESS(INDEX($L$2:$L$1001,MATCH(ROWS($J$2:J725),$J$2:$J$1001,0),0), INDEX($Q$1004:$U$1004,1,MATCH(COLUMNS($Q$1006:R1006),$Q$1006:$U$1006,0)))),"Fix")))</f>
        <v xml:space="preserve"> </v>
      </c>
      <c r="D725" s="3" t="str">
        <f ca="1">IF(OR(INDEX($K$2:$K$1001,MATCH(ROWS($J$2:J725),$J$2:$J$1001,0),1)&gt;=100000,INDEX($Q$1005:$U$1005,1,MATCH(COLUMNS($Q$1006:S1006),$Q$1006:$U$1006,0))&gt;=100000), " ",IF(INDEX($Q$2:$U$1001,MATCH(ROWS($J$2:J725),$J$2:$J$1001,0),MATCH(COLUMNS($Q$1006:S1006),$Q$1006:$U$1006,0)), HYPERLINK("#",""), HYPERLINK(CONCATENATE("#metadata!", ADDRESS(INDEX($L$2:$L$1001,MATCH(ROWS($J$2:J725),$J$2:$J$1001,0),0), INDEX($Q$1004:$U$1004,1,MATCH(COLUMNS($Q$1006:S1006),$Q$1006:$U$1006,0)))),"Fix")))</f>
        <v xml:space="preserve"> </v>
      </c>
      <c r="E725" s="3" t="str">
        <f ca="1">IF(OR(INDEX($K$2:$K$1001,MATCH(ROWS($J$2:J725),$J$2:$J$1001,0),1)&gt;=100000,INDEX($Q$1005:$U$1005,1,MATCH(COLUMNS($Q$1006:T1006),$Q$1006:$U$1006,0))&gt;=100000), " ",IF(INDEX($Q$2:$U$1001,MATCH(ROWS($J$2:J725),$J$2:$J$1001,0),MATCH(COLUMNS($Q$1006:T1006),$Q$1006:$U$1006,0)), HYPERLINK("#",""), HYPERLINK(CONCATENATE("#metadata!", ADDRESS(INDEX($L$2:$L$1001,MATCH(ROWS($J$2:J725),$J$2:$J$1001,0),0), INDEX($Q$1004:$U$1004,1,MATCH(COLUMNS($Q$1006:T1006),$Q$1006:$U$1006,0)))),"Fix")))</f>
        <v xml:space="preserve"> </v>
      </c>
      <c r="F725" s="3" t="str">
        <f ca="1">IF(OR(INDEX($K$2:$K$1001,MATCH(ROWS($J$2:J725),$J$2:$J$1001,0),1)&gt;=100000,INDEX($Q$1005:$U$1005,1,MATCH(COLUMNS($Q$1006:U1006),$Q$1006:$U$1006,0))&gt;=100000), " ",IF(INDEX($Q$2:$U$1001,MATCH(ROWS($J$2:J725),$J$2:$J$1001,0),MATCH(COLUMNS($Q$1006:U1006),$Q$1006:$U$1006,0)), HYPERLINK("#",""), HYPERLINK(CONCATENATE("#metadata!", ADDRESS(INDEX($L$2:$L$1001,MATCH(ROWS($J$2:J725),$J$2:$J$1001,0),0), INDEX($Q$1004:$U$1004,1,MATCH(COLUMNS($Q$1006:U1006),$Q$1006:$U$1006,0)))),"Fix")))</f>
        <v xml:space="preserve"> </v>
      </c>
      <c r="J725">
        <v>724</v>
      </c>
      <c r="K725">
        <v>100725</v>
      </c>
      <c r="L725">
        <v>725</v>
      </c>
      <c r="M725" t="b">
        <f t="shared" si="11"/>
        <v>1</v>
      </c>
      <c r="N725" t="b">
        <f>COUNTBLANK(metadata!B725:F725)=COLUMNS(metadata!B725:F725)</f>
        <v>1</v>
      </c>
      <c r="O725" t="str">
        <v/>
      </c>
      <c r="Q725" t="b">
        <f ca="1">AND(IF(metadata!B725="",FALSE,TRUE),COUNTIF(metadata!B:B, metadata!B725) = 1,NOT(ISERROR(SUMPRODUCT(SEARCH(MID(metadata!B725,ROW(INDIRECT("1:"&amp;LEN(metadata!B725))), 1),"0123456789abcdefghijklmnopqrstuvwxyzABCDEFGHIJKLMNOPQRSTUVWXYZ.")))))</f>
        <v>0</v>
      </c>
      <c r="R725" t="b">
        <f>AND(IF(metadata!C725="",FALSE,TRUE),OR(EXACT(metadata!C725,"saline"),EXACT(metadata!C725,"non-saline")))</f>
        <v>0</v>
      </c>
      <c r="S725" t="b">
        <f>AND(IF(metadata!D725="",FALSE,TRUE),OR(EXACT(metadata!D725,"surface (non-saline)"),EXACT(metadata!D725,"aerosol (non-saline)"),EXACT(metadata!D725,"sediment (non-saline)"),EXACT(metadata!D725,"surface (saline)"),EXACT(metadata!D725,"aerosol (saline)"),EXACT(metadata!D725,"sediment (saline)")))</f>
        <v>0</v>
      </c>
      <c r="T725" t="b">
        <f>AND(IF(metadata!E725="",FALSE,TRUE),EXACT(metadata!E725,"built environment"))</f>
        <v>0</v>
      </c>
      <c r="U725" t="b">
        <f>OR(AND(IF(metadata!F725="",FALSE,TRUE),EXACT(metadata!F725,"not applicable")),AND(IF(metadata!F725="",FALSE,TRUE),EXACT(metadata!F725,"anaerobic digester content")))</f>
        <v>0</v>
      </c>
    </row>
    <row r="726" spans="1:21" x14ac:dyDescent="0.2">
      <c r="A726" s="4" t="str">
        <f ca="1">IF(B726=" "," ",HYPERLINK(CONCATENATE("#metadata!",ADDRESS(INDEX($L$2:$L$1001,MATCH(ROWS($J$2:J726),$J$2:$J$1001,0),0),1)),INDEX($O$2:$O$1001,MATCH(ROWS($J$2:J726),$J$2:$J$1001,0),0)))</f>
        <v xml:space="preserve"> </v>
      </c>
      <c r="B726" s="3" t="str">
        <f ca="1">IF(OR(INDEX($K$2:$K$1001,MATCH(ROWS($J$2:J726),$J$2:$J$1001,0),1)&gt;=100000,INDEX($Q$1005:$U$1005,1,MATCH(COLUMNS($Q$1006:Q1006),$Q$1006:$U$1006,0))&gt;=100000), " ",IF(INDEX($Q$2:$U$1001,MATCH(ROWS($J$2:J726),$J$2:$J$1001,0),MATCH(COLUMNS($Q$1006:Q1006),$Q$1006:$U$1006,0)), HYPERLINK("#",""), HYPERLINK(CONCATENATE("#metadata!", ADDRESS(INDEX($L$2:$L$1001,MATCH(ROWS($J$2:J726),$J$2:$J$1001,0),0), INDEX($Q$1004:$U$1004,1,MATCH(COLUMNS($Q$1006:Q1006),$Q$1006:$U$1006,0)))),"Fix")))</f>
        <v xml:space="preserve"> </v>
      </c>
      <c r="C726" s="3" t="str">
        <f ca="1">IF(OR(INDEX($K$2:$K$1001,MATCH(ROWS($J$2:J726),$J$2:$J$1001,0),1)&gt;=100000,INDEX($Q$1005:$U$1005,1,MATCH(COLUMNS($Q$1006:R1006),$Q$1006:$U$1006,0))&gt;=100000), " ",IF(INDEX($Q$2:$U$1001,MATCH(ROWS($J$2:J726),$J$2:$J$1001,0),MATCH(COLUMNS($Q$1006:R1006),$Q$1006:$U$1006,0)), HYPERLINK("#",""), HYPERLINK(CONCATENATE("#metadata!", ADDRESS(INDEX($L$2:$L$1001,MATCH(ROWS($J$2:J726),$J$2:$J$1001,0),0), INDEX($Q$1004:$U$1004,1,MATCH(COLUMNS($Q$1006:R1006),$Q$1006:$U$1006,0)))),"Fix")))</f>
        <v xml:space="preserve"> </v>
      </c>
      <c r="D726" s="3" t="str">
        <f ca="1">IF(OR(INDEX($K$2:$K$1001,MATCH(ROWS($J$2:J726),$J$2:$J$1001,0),1)&gt;=100000,INDEX($Q$1005:$U$1005,1,MATCH(COLUMNS($Q$1006:S1006),$Q$1006:$U$1006,0))&gt;=100000), " ",IF(INDEX($Q$2:$U$1001,MATCH(ROWS($J$2:J726),$J$2:$J$1001,0),MATCH(COLUMNS($Q$1006:S1006),$Q$1006:$U$1006,0)), HYPERLINK("#",""), HYPERLINK(CONCATENATE("#metadata!", ADDRESS(INDEX($L$2:$L$1001,MATCH(ROWS($J$2:J726),$J$2:$J$1001,0),0), INDEX($Q$1004:$U$1004,1,MATCH(COLUMNS($Q$1006:S1006),$Q$1006:$U$1006,0)))),"Fix")))</f>
        <v xml:space="preserve"> </v>
      </c>
      <c r="E726" s="3" t="str">
        <f ca="1">IF(OR(INDEX($K$2:$K$1001,MATCH(ROWS($J$2:J726),$J$2:$J$1001,0),1)&gt;=100000,INDEX($Q$1005:$U$1005,1,MATCH(COLUMNS($Q$1006:T1006),$Q$1006:$U$1006,0))&gt;=100000), " ",IF(INDEX($Q$2:$U$1001,MATCH(ROWS($J$2:J726),$J$2:$J$1001,0),MATCH(COLUMNS($Q$1006:T1006),$Q$1006:$U$1006,0)), HYPERLINK("#",""), HYPERLINK(CONCATENATE("#metadata!", ADDRESS(INDEX($L$2:$L$1001,MATCH(ROWS($J$2:J726),$J$2:$J$1001,0),0), INDEX($Q$1004:$U$1004,1,MATCH(COLUMNS($Q$1006:T1006),$Q$1006:$U$1006,0)))),"Fix")))</f>
        <v xml:space="preserve"> </v>
      </c>
      <c r="F726" s="3" t="str">
        <f ca="1">IF(OR(INDEX($K$2:$K$1001,MATCH(ROWS($J$2:J726),$J$2:$J$1001,0),1)&gt;=100000,INDEX($Q$1005:$U$1005,1,MATCH(COLUMNS($Q$1006:U1006),$Q$1006:$U$1006,0))&gt;=100000), " ",IF(INDEX($Q$2:$U$1001,MATCH(ROWS($J$2:J726),$J$2:$J$1001,0),MATCH(COLUMNS($Q$1006:U1006),$Q$1006:$U$1006,0)), HYPERLINK("#",""), HYPERLINK(CONCATENATE("#metadata!", ADDRESS(INDEX($L$2:$L$1001,MATCH(ROWS($J$2:J726),$J$2:$J$1001,0),0), INDEX($Q$1004:$U$1004,1,MATCH(COLUMNS($Q$1006:U1006),$Q$1006:$U$1006,0)))),"Fix")))</f>
        <v xml:space="preserve"> </v>
      </c>
      <c r="J726">
        <v>725</v>
      </c>
      <c r="K726">
        <v>100726</v>
      </c>
      <c r="L726">
        <v>726</v>
      </c>
      <c r="M726" t="b">
        <f t="shared" si="11"/>
        <v>1</v>
      </c>
      <c r="N726" t="b">
        <f>COUNTBLANK(metadata!B726:F726)=COLUMNS(metadata!B726:F726)</f>
        <v>1</v>
      </c>
      <c r="O726" t="str">
        <v/>
      </c>
      <c r="Q726" t="b">
        <f ca="1">AND(IF(metadata!B726="",FALSE,TRUE),COUNTIF(metadata!B:B, metadata!B726) = 1,NOT(ISERROR(SUMPRODUCT(SEARCH(MID(metadata!B726,ROW(INDIRECT("1:"&amp;LEN(metadata!B726))), 1),"0123456789abcdefghijklmnopqrstuvwxyzABCDEFGHIJKLMNOPQRSTUVWXYZ.")))))</f>
        <v>0</v>
      </c>
      <c r="R726" t="b">
        <f>AND(IF(metadata!C726="",FALSE,TRUE),OR(EXACT(metadata!C726,"saline"),EXACT(metadata!C726,"non-saline")))</f>
        <v>0</v>
      </c>
      <c r="S726" t="b">
        <f>AND(IF(metadata!D726="",FALSE,TRUE),OR(EXACT(metadata!D726,"surface (non-saline)"),EXACT(metadata!D726,"aerosol (non-saline)"),EXACT(metadata!D726,"sediment (non-saline)"),EXACT(metadata!D726,"surface (saline)"),EXACT(metadata!D726,"aerosol (saline)"),EXACT(metadata!D726,"sediment (saline)")))</f>
        <v>0</v>
      </c>
      <c r="T726" t="b">
        <f>AND(IF(metadata!E726="",FALSE,TRUE),EXACT(metadata!E726,"built environment"))</f>
        <v>0</v>
      </c>
      <c r="U726" t="b">
        <f>OR(AND(IF(metadata!F726="",FALSE,TRUE),EXACT(metadata!F726,"not applicable")),AND(IF(metadata!F726="",FALSE,TRUE),EXACT(metadata!F726,"anaerobic digester content")))</f>
        <v>0</v>
      </c>
    </row>
    <row r="727" spans="1:21" x14ac:dyDescent="0.2">
      <c r="A727" s="4" t="str">
        <f ca="1">IF(B727=" "," ",HYPERLINK(CONCATENATE("#metadata!",ADDRESS(INDEX($L$2:$L$1001,MATCH(ROWS($J$2:J727),$J$2:$J$1001,0),0),1)),INDEX($O$2:$O$1001,MATCH(ROWS($J$2:J727),$J$2:$J$1001,0),0)))</f>
        <v xml:space="preserve"> </v>
      </c>
      <c r="B727" s="3" t="str">
        <f ca="1">IF(OR(INDEX($K$2:$K$1001,MATCH(ROWS($J$2:J727),$J$2:$J$1001,0),1)&gt;=100000,INDEX($Q$1005:$U$1005,1,MATCH(COLUMNS($Q$1006:Q1006),$Q$1006:$U$1006,0))&gt;=100000), " ",IF(INDEX($Q$2:$U$1001,MATCH(ROWS($J$2:J727),$J$2:$J$1001,0),MATCH(COLUMNS($Q$1006:Q1006),$Q$1006:$U$1006,0)), HYPERLINK("#",""), HYPERLINK(CONCATENATE("#metadata!", ADDRESS(INDEX($L$2:$L$1001,MATCH(ROWS($J$2:J727),$J$2:$J$1001,0),0), INDEX($Q$1004:$U$1004,1,MATCH(COLUMNS($Q$1006:Q1006),$Q$1006:$U$1006,0)))),"Fix")))</f>
        <v xml:space="preserve"> </v>
      </c>
      <c r="C727" s="3" t="str">
        <f ca="1">IF(OR(INDEX($K$2:$K$1001,MATCH(ROWS($J$2:J727),$J$2:$J$1001,0),1)&gt;=100000,INDEX($Q$1005:$U$1005,1,MATCH(COLUMNS($Q$1006:R1006),$Q$1006:$U$1006,0))&gt;=100000), " ",IF(INDEX($Q$2:$U$1001,MATCH(ROWS($J$2:J727),$J$2:$J$1001,0),MATCH(COLUMNS($Q$1006:R1006),$Q$1006:$U$1006,0)), HYPERLINK("#",""), HYPERLINK(CONCATENATE("#metadata!", ADDRESS(INDEX($L$2:$L$1001,MATCH(ROWS($J$2:J727),$J$2:$J$1001,0),0), INDEX($Q$1004:$U$1004,1,MATCH(COLUMNS($Q$1006:R1006),$Q$1006:$U$1006,0)))),"Fix")))</f>
        <v xml:space="preserve"> </v>
      </c>
      <c r="D727" s="3" t="str">
        <f ca="1">IF(OR(INDEX($K$2:$K$1001,MATCH(ROWS($J$2:J727),$J$2:$J$1001,0),1)&gt;=100000,INDEX($Q$1005:$U$1005,1,MATCH(COLUMNS($Q$1006:S1006),$Q$1006:$U$1006,0))&gt;=100000), " ",IF(INDEX($Q$2:$U$1001,MATCH(ROWS($J$2:J727),$J$2:$J$1001,0),MATCH(COLUMNS($Q$1006:S1006),$Q$1006:$U$1006,0)), HYPERLINK("#",""), HYPERLINK(CONCATENATE("#metadata!", ADDRESS(INDEX($L$2:$L$1001,MATCH(ROWS($J$2:J727),$J$2:$J$1001,0),0), INDEX($Q$1004:$U$1004,1,MATCH(COLUMNS($Q$1006:S1006),$Q$1006:$U$1006,0)))),"Fix")))</f>
        <v xml:space="preserve"> </v>
      </c>
      <c r="E727" s="3" t="str">
        <f ca="1">IF(OR(INDEX($K$2:$K$1001,MATCH(ROWS($J$2:J727),$J$2:$J$1001,0),1)&gt;=100000,INDEX($Q$1005:$U$1005,1,MATCH(COLUMNS($Q$1006:T1006),$Q$1006:$U$1006,0))&gt;=100000), " ",IF(INDEX($Q$2:$U$1001,MATCH(ROWS($J$2:J727),$J$2:$J$1001,0),MATCH(COLUMNS($Q$1006:T1006),$Q$1006:$U$1006,0)), HYPERLINK("#",""), HYPERLINK(CONCATENATE("#metadata!", ADDRESS(INDEX($L$2:$L$1001,MATCH(ROWS($J$2:J727),$J$2:$J$1001,0),0), INDEX($Q$1004:$U$1004,1,MATCH(COLUMNS($Q$1006:T1006),$Q$1006:$U$1006,0)))),"Fix")))</f>
        <v xml:space="preserve"> </v>
      </c>
      <c r="F727" s="3" t="str">
        <f ca="1">IF(OR(INDEX($K$2:$K$1001,MATCH(ROWS($J$2:J727),$J$2:$J$1001,0),1)&gt;=100000,INDEX($Q$1005:$U$1005,1,MATCH(COLUMNS($Q$1006:U1006),$Q$1006:$U$1006,0))&gt;=100000), " ",IF(INDEX($Q$2:$U$1001,MATCH(ROWS($J$2:J727),$J$2:$J$1001,0),MATCH(COLUMNS($Q$1006:U1006),$Q$1006:$U$1006,0)), HYPERLINK("#",""), HYPERLINK(CONCATENATE("#metadata!", ADDRESS(INDEX($L$2:$L$1001,MATCH(ROWS($J$2:J727),$J$2:$J$1001,0),0), INDEX($Q$1004:$U$1004,1,MATCH(COLUMNS($Q$1006:U1006),$Q$1006:$U$1006,0)))),"Fix")))</f>
        <v xml:space="preserve"> </v>
      </c>
      <c r="J727">
        <v>726</v>
      </c>
      <c r="K727">
        <v>100727</v>
      </c>
      <c r="L727">
        <v>727</v>
      </c>
      <c r="M727" t="b">
        <f t="shared" si="11"/>
        <v>1</v>
      </c>
      <c r="N727" t="b">
        <f>COUNTBLANK(metadata!B727:F727)=COLUMNS(metadata!B727:F727)</f>
        <v>1</v>
      </c>
      <c r="O727" t="str">
        <v/>
      </c>
      <c r="Q727" t="b">
        <f ca="1">AND(IF(metadata!B727="",FALSE,TRUE),COUNTIF(metadata!B:B, metadata!B727) = 1,NOT(ISERROR(SUMPRODUCT(SEARCH(MID(metadata!B727,ROW(INDIRECT("1:"&amp;LEN(metadata!B727))), 1),"0123456789abcdefghijklmnopqrstuvwxyzABCDEFGHIJKLMNOPQRSTUVWXYZ.")))))</f>
        <v>0</v>
      </c>
      <c r="R727" t="b">
        <f>AND(IF(metadata!C727="",FALSE,TRUE),OR(EXACT(metadata!C727,"saline"),EXACT(metadata!C727,"non-saline")))</f>
        <v>0</v>
      </c>
      <c r="S727" t="b">
        <f>AND(IF(metadata!D727="",FALSE,TRUE),OR(EXACT(metadata!D727,"surface (non-saline)"),EXACT(metadata!D727,"aerosol (non-saline)"),EXACT(metadata!D727,"sediment (non-saline)"),EXACT(metadata!D727,"surface (saline)"),EXACT(metadata!D727,"aerosol (saline)"),EXACT(metadata!D727,"sediment (saline)")))</f>
        <v>0</v>
      </c>
      <c r="T727" t="b">
        <f>AND(IF(metadata!E727="",FALSE,TRUE),EXACT(metadata!E727,"built environment"))</f>
        <v>0</v>
      </c>
      <c r="U727" t="b">
        <f>OR(AND(IF(metadata!F727="",FALSE,TRUE),EXACT(metadata!F727,"not applicable")),AND(IF(metadata!F727="",FALSE,TRUE),EXACT(metadata!F727,"anaerobic digester content")))</f>
        <v>0</v>
      </c>
    </row>
    <row r="728" spans="1:21" x14ac:dyDescent="0.2">
      <c r="A728" s="4" t="str">
        <f ca="1">IF(B728=" "," ",HYPERLINK(CONCATENATE("#metadata!",ADDRESS(INDEX($L$2:$L$1001,MATCH(ROWS($J$2:J728),$J$2:$J$1001,0),0),1)),INDEX($O$2:$O$1001,MATCH(ROWS($J$2:J728),$J$2:$J$1001,0),0)))</f>
        <v xml:space="preserve"> </v>
      </c>
      <c r="B728" s="3" t="str">
        <f ca="1">IF(OR(INDEX($K$2:$K$1001,MATCH(ROWS($J$2:J728),$J$2:$J$1001,0),1)&gt;=100000,INDEX($Q$1005:$U$1005,1,MATCH(COLUMNS($Q$1006:Q1006),$Q$1006:$U$1006,0))&gt;=100000), " ",IF(INDEX($Q$2:$U$1001,MATCH(ROWS($J$2:J728),$J$2:$J$1001,0),MATCH(COLUMNS($Q$1006:Q1006),$Q$1006:$U$1006,0)), HYPERLINK("#",""), HYPERLINK(CONCATENATE("#metadata!", ADDRESS(INDEX($L$2:$L$1001,MATCH(ROWS($J$2:J728),$J$2:$J$1001,0),0), INDEX($Q$1004:$U$1004,1,MATCH(COLUMNS($Q$1006:Q1006),$Q$1006:$U$1006,0)))),"Fix")))</f>
        <v xml:space="preserve"> </v>
      </c>
      <c r="C728" s="3" t="str">
        <f ca="1">IF(OR(INDEX($K$2:$K$1001,MATCH(ROWS($J$2:J728),$J$2:$J$1001,0),1)&gt;=100000,INDEX($Q$1005:$U$1005,1,MATCH(COLUMNS($Q$1006:R1006),$Q$1006:$U$1006,0))&gt;=100000), " ",IF(INDEX($Q$2:$U$1001,MATCH(ROWS($J$2:J728),$J$2:$J$1001,0),MATCH(COLUMNS($Q$1006:R1006),$Q$1006:$U$1006,0)), HYPERLINK("#",""), HYPERLINK(CONCATENATE("#metadata!", ADDRESS(INDEX($L$2:$L$1001,MATCH(ROWS($J$2:J728),$J$2:$J$1001,0),0), INDEX($Q$1004:$U$1004,1,MATCH(COLUMNS($Q$1006:R1006),$Q$1006:$U$1006,0)))),"Fix")))</f>
        <v xml:space="preserve"> </v>
      </c>
      <c r="D728" s="3" t="str">
        <f ca="1">IF(OR(INDEX($K$2:$K$1001,MATCH(ROWS($J$2:J728),$J$2:$J$1001,0),1)&gt;=100000,INDEX($Q$1005:$U$1005,1,MATCH(COLUMNS($Q$1006:S1006),$Q$1006:$U$1006,0))&gt;=100000), " ",IF(INDEX($Q$2:$U$1001,MATCH(ROWS($J$2:J728),$J$2:$J$1001,0),MATCH(COLUMNS($Q$1006:S1006),$Q$1006:$U$1006,0)), HYPERLINK("#",""), HYPERLINK(CONCATENATE("#metadata!", ADDRESS(INDEX($L$2:$L$1001,MATCH(ROWS($J$2:J728),$J$2:$J$1001,0),0), INDEX($Q$1004:$U$1004,1,MATCH(COLUMNS($Q$1006:S1006),$Q$1006:$U$1006,0)))),"Fix")))</f>
        <v xml:space="preserve"> </v>
      </c>
      <c r="E728" s="3" t="str">
        <f ca="1">IF(OR(INDEX($K$2:$K$1001,MATCH(ROWS($J$2:J728),$J$2:$J$1001,0),1)&gt;=100000,INDEX($Q$1005:$U$1005,1,MATCH(COLUMNS($Q$1006:T1006),$Q$1006:$U$1006,0))&gt;=100000), " ",IF(INDEX($Q$2:$U$1001,MATCH(ROWS($J$2:J728),$J$2:$J$1001,0),MATCH(COLUMNS($Q$1006:T1006),$Q$1006:$U$1006,0)), HYPERLINK("#",""), HYPERLINK(CONCATENATE("#metadata!", ADDRESS(INDEX($L$2:$L$1001,MATCH(ROWS($J$2:J728),$J$2:$J$1001,0),0), INDEX($Q$1004:$U$1004,1,MATCH(COLUMNS($Q$1006:T1006),$Q$1006:$U$1006,0)))),"Fix")))</f>
        <v xml:space="preserve"> </v>
      </c>
      <c r="F728" s="3" t="str">
        <f ca="1">IF(OR(INDEX($K$2:$K$1001,MATCH(ROWS($J$2:J728),$J$2:$J$1001,0),1)&gt;=100000,INDEX($Q$1005:$U$1005,1,MATCH(COLUMNS($Q$1006:U1006),$Q$1006:$U$1006,0))&gt;=100000), " ",IF(INDEX($Q$2:$U$1001,MATCH(ROWS($J$2:J728),$J$2:$J$1001,0),MATCH(COLUMNS($Q$1006:U1006),$Q$1006:$U$1006,0)), HYPERLINK("#",""), HYPERLINK(CONCATENATE("#metadata!", ADDRESS(INDEX($L$2:$L$1001,MATCH(ROWS($J$2:J728),$J$2:$J$1001,0),0), INDEX($Q$1004:$U$1004,1,MATCH(COLUMNS($Q$1006:U1006),$Q$1006:$U$1006,0)))),"Fix")))</f>
        <v xml:space="preserve"> </v>
      </c>
      <c r="J728">
        <v>727</v>
      </c>
      <c r="K728">
        <v>100728</v>
      </c>
      <c r="L728">
        <v>728</v>
      </c>
      <c r="M728" t="b">
        <f t="shared" si="11"/>
        <v>1</v>
      </c>
      <c r="N728" t="b">
        <f>COUNTBLANK(metadata!B728:F728)=COLUMNS(metadata!B728:F728)</f>
        <v>1</v>
      </c>
      <c r="O728" t="str">
        <v/>
      </c>
      <c r="Q728" t="b">
        <f ca="1">AND(IF(metadata!B728="",FALSE,TRUE),COUNTIF(metadata!B:B, metadata!B728) = 1,NOT(ISERROR(SUMPRODUCT(SEARCH(MID(metadata!B728,ROW(INDIRECT("1:"&amp;LEN(metadata!B728))), 1),"0123456789abcdefghijklmnopqrstuvwxyzABCDEFGHIJKLMNOPQRSTUVWXYZ.")))))</f>
        <v>0</v>
      </c>
      <c r="R728" t="b">
        <f>AND(IF(metadata!C728="",FALSE,TRUE),OR(EXACT(metadata!C728,"saline"),EXACT(metadata!C728,"non-saline")))</f>
        <v>0</v>
      </c>
      <c r="S728" t="b">
        <f>AND(IF(metadata!D728="",FALSE,TRUE),OR(EXACT(metadata!D728,"surface (non-saline)"),EXACT(metadata!D728,"aerosol (non-saline)"),EXACT(metadata!D728,"sediment (non-saline)"),EXACT(metadata!D728,"surface (saline)"),EXACT(metadata!D728,"aerosol (saline)"),EXACT(metadata!D728,"sediment (saline)")))</f>
        <v>0</v>
      </c>
      <c r="T728" t="b">
        <f>AND(IF(metadata!E728="",FALSE,TRUE),EXACT(metadata!E728,"built environment"))</f>
        <v>0</v>
      </c>
      <c r="U728" t="b">
        <f>OR(AND(IF(metadata!F728="",FALSE,TRUE),EXACT(metadata!F728,"not applicable")),AND(IF(metadata!F728="",FALSE,TRUE),EXACT(metadata!F728,"anaerobic digester content")))</f>
        <v>0</v>
      </c>
    </row>
    <row r="729" spans="1:21" x14ac:dyDescent="0.2">
      <c r="A729" s="4" t="str">
        <f ca="1">IF(B729=" "," ",HYPERLINK(CONCATENATE("#metadata!",ADDRESS(INDEX($L$2:$L$1001,MATCH(ROWS($J$2:J729),$J$2:$J$1001,0),0),1)),INDEX($O$2:$O$1001,MATCH(ROWS($J$2:J729),$J$2:$J$1001,0),0)))</f>
        <v xml:space="preserve"> </v>
      </c>
      <c r="B729" s="3" t="str">
        <f ca="1">IF(OR(INDEX($K$2:$K$1001,MATCH(ROWS($J$2:J729),$J$2:$J$1001,0),1)&gt;=100000,INDEX($Q$1005:$U$1005,1,MATCH(COLUMNS($Q$1006:Q1006),$Q$1006:$U$1006,0))&gt;=100000), " ",IF(INDEX($Q$2:$U$1001,MATCH(ROWS($J$2:J729),$J$2:$J$1001,0),MATCH(COLUMNS($Q$1006:Q1006),$Q$1006:$U$1006,0)), HYPERLINK("#",""), HYPERLINK(CONCATENATE("#metadata!", ADDRESS(INDEX($L$2:$L$1001,MATCH(ROWS($J$2:J729),$J$2:$J$1001,0),0), INDEX($Q$1004:$U$1004,1,MATCH(COLUMNS($Q$1006:Q1006),$Q$1006:$U$1006,0)))),"Fix")))</f>
        <v xml:space="preserve"> </v>
      </c>
      <c r="C729" s="3" t="str">
        <f ca="1">IF(OR(INDEX($K$2:$K$1001,MATCH(ROWS($J$2:J729),$J$2:$J$1001,0),1)&gt;=100000,INDEX($Q$1005:$U$1005,1,MATCH(COLUMNS($Q$1006:R1006),$Q$1006:$U$1006,0))&gt;=100000), " ",IF(INDEX($Q$2:$U$1001,MATCH(ROWS($J$2:J729),$J$2:$J$1001,0),MATCH(COLUMNS($Q$1006:R1006),$Q$1006:$U$1006,0)), HYPERLINK("#",""), HYPERLINK(CONCATENATE("#metadata!", ADDRESS(INDEX($L$2:$L$1001,MATCH(ROWS($J$2:J729),$J$2:$J$1001,0),0), INDEX($Q$1004:$U$1004,1,MATCH(COLUMNS($Q$1006:R1006),$Q$1006:$U$1006,0)))),"Fix")))</f>
        <v xml:space="preserve"> </v>
      </c>
      <c r="D729" s="3" t="str">
        <f ca="1">IF(OR(INDEX($K$2:$K$1001,MATCH(ROWS($J$2:J729),$J$2:$J$1001,0),1)&gt;=100000,INDEX($Q$1005:$U$1005,1,MATCH(COLUMNS($Q$1006:S1006),$Q$1006:$U$1006,0))&gt;=100000), " ",IF(INDEX($Q$2:$U$1001,MATCH(ROWS($J$2:J729),$J$2:$J$1001,0),MATCH(COLUMNS($Q$1006:S1006),$Q$1006:$U$1006,0)), HYPERLINK("#",""), HYPERLINK(CONCATENATE("#metadata!", ADDRESS(INDEX($L$2:$L$1001,MATCH(ROWS($J$2:J729),$J$2:$J$1001,0),0), INDEX($Q$1004:$U$1004,1,MATCH(COLUMNS($Q$1006:S1006),$Q$1006:$U$1006,0)))),"Fix")))</f>
        <v xml:space="preserve"> </v>
      </c>
      <c r="E729" s="3" t="str">
        <f ca="1">IF(OR(INDEX($K$2:$K$1001,MATCH(ROWS($J$2:J729),$J$2:$J$1001,0),1)&gt;=100000,INDEX($Q$1005:$U$1005,1,MATCH(COLUMNS($Q$1006:T1006),$Q$1006:$U$1006,0))&gt;=100000), " ",IF(INDEX($Q$2:$U$1001,MATCH(ROWS($J$2:J729),$J$2:$J$1001,0),MATCH(COLUMNS($Q$1006:T1006),$Q$1006:$U$1006,0)), HYPERLINK("#",""), HYPERLINK(CONCATENATE("#metadata!", ADDRESS(INDEX($L$2:$L$1001,MATCH(ROWS($J$2:J729),$J$2:$J$1001,0),0), INDEX($Q$1004:$U$1004,1,MATCH(COLUMNS($Q$1006:T1006),$Q$1006:$U$1006,0)))),"Fix")))</f>
        <v xml:space="preserve"> </v>
      </c>
      <c r="F729" s="3" t="str">
        <f ca="1">IF(OR(INDEX($K$2:$K$1001,MATCH(ROWS($J$2:J729),$J$2:$J$1001,0),1)&gt;=100000,INDEX($Q$1005:$U$1005,1,MATCH(COLUMNS($Q$1006:U1006),$Q$1006:$U$1006,0))&gt;=100000), " ",IF(INDEX($Q$2:$U$1001,MATCH(ROWS($J$2:J729),$J$2:$J$1001,0),MATCH(COLUMNS($Q$1006:U1006),$Q$1006:$U$1006,0)), HYPERLINK("#",""), HYPERLINK(CONCATENATE("#metadata!", ADDRESS(INDEX($L$2:$L$1001,MATCH(ROWS($J$2:J729),$J$2:$J$1001,0),0), INDEX($Q$1004:$U$1004,1,MATCH(COLUMNS($Q$1006:U1006),$Q$1006:$U$1006,0)))),"Fix")))</f>
        <v xml:space="preserve"> </v>
      </c>
      <c r="J729">
        <v>728</v>
      </c>
      <c r="K729">
        <v>100729</v>
      </c>
      <c r="L729">
        <v>729</v>
      </c>
      <c r="M729" t="b">
        <f t="shared" si="11"/>
        <v>1</v>
      </c>
      <c r="N729" t="b">
        <f>COUNTBLANK(metadata!B729:F729)=COLUMNS(metadata!B729:F729)</f>
        <v>1</v>
      </c>
      <c r="O729" t="str">
        <v/>
      </c>
      <c r="Q729" t="b">
        <f ca="1">AND(IF(metadata!B729="",FALSE,TRUE),COUNTIF(metadata!B:B, metadata!B729) = 1,NOT(ISERROR(SUMPRODUCT(SEARCH(MID(metadata!B729,ROW(INDIRECT("1:"&amp;LEN(metadata!B729))), 1),"0123456789abcdefghijklmnopqrstuvwxyzABCDEFGHIJKLMNOPQRSTUVWXYZ.")))))</f>
        <v>0</v>
      </c>
      <c r="R729" t="b">
        <f>AND(IF(metadata!C729="",FALSE,TRUE),OR(EXACT(metadata!C729,"saline"),EXACT(metadata!C729,"non-saline")))</f>
        <v>0</v>
      </c>
      <c r="S729" t="b">
        <f>AND(IF(metadata!D729="",FALSE,TRUE),OR(EXACT(metadata!D729,"surface (non-saline)"),EXACT(metadata!D729,"aerosol (non-saline)"),EXACT(metadata!D729,"sediment (non-saline)"),EXACT(metadata!D729,"surface (saline)"),EXACT(metadata!D729,"aerosol (saline)"),EXACT(metadata!D729,"sediment (saline)")))</f>
        <v>0</v>
      </c>
      <c r="T729" t="b">
        <f>AND(IF(metadata!E729="",FALSE,TRUE),EXACT(metadata!E729,"built environment"))</f>
        <v>0</v>
      </c>
      <c r="U729" t="b">
        <f>OR(AND(IF(metadata!F729="",FALSE,TRUE),EXACT(metadata!F729,"not applicable")),AND(IF(metadata!F729="",FALSE,TRUE),EXACT(metadata!F729,"anaerobic digester content")))</f>
        <v>0</v>
      </c>
    </row>
    <row r="730" spans="1:21" x14ac:dyDescent="0.2">
      <c r="A730" s="4" t="str">
        <f ca="1">IF(B730=" "," ",HYPERLINK(CONCATENATE("#metadata!",ADDRESS(INDEX($L$2:$L$1001,MATCH(ROWS($J$2:J730),$J$2:$J$1001,0),0),1)),INDEX($O$2:$O$1001,MATCH(ROWS($J$2:J730),$J$2:$J$1001,0),0)))</f>
        <v xml:space="preserve"> </v>
      </c>
      <c r="B730" s="3" t="str">
        <f ca="1">IF(OR(INDEX($K$2:$K$1001,MATCH(ROWS($J$2:J730),$J$2:$J$1001,0),1)&gt;=100000,INDEX($Q$1005:$U$1005,1,MATCH(COLUMNS($Q$1006:Q1006),$Q$1006:$U$1006,0))&gt;=100000), " ",IF(INDEX($Q$2:$U$1001,MATCH(ROWS($J$2:J730),$J$2:$J$1001,0),MATCH(COLUMNS($Q$1006:Q1006),$Q$1006:$U$1006,0)), HYPERLINK("#",""), HYPERLINK(CONCATENATE("#metadata!", ADDRESS(INDEX($L$2:$L$1001,MATCH(ROWS($J$2:J730),$J$2:$J$1001,0),0), INDEX($Q$1004:$U$1004,1,MATCH(COLUMNS($Q$1006:Q1006),$Q$1006:$U$1006,0)))),"Fix")))</f>
        <v xml:space="preserve"> </v>
      </c>
      <c r="C730" s="3" t="str">
        <f ca="1">IF(OR(INDEX($K$2:$K$1001,MATCH(ROWS($J$2:J730),$J$2:$J$1001,0),1)&gt;=100000,INDEX($Q$1005:$U$1005,1,MATCH(COLUMNS($Q$1006:R1006),$Q$1006:$U$1006,0))&gt;=100000), " ",IF(INDEX($Q$2:$U$1001,MATCH(ROWS($J$2:J730),$J$2:$J$1001,0),MATCH(COLUMNS($Q$1006:R1006),$Q$1006:$U$1006,0)), HYPERLINK("#",""), HYPERLINK(CONCATENATE("#metadata!", ADDRESS(INDEX($L$2:$L$1001,MATCH(ROWS($J$2:J730),$J$2:$J$1001,0),0), INDEX($Q$1004:$U$1004,1,MATCH(COLUMNS($Q$1006:R1006),$Q$1006:$U$1006,0)))),"Fix")))</f>
        <v xml:space="preserve"> </v>
      </c>
      <c r="D730" s="3" t="str">
        <f ca="1">IF(OR(INDEX($K$2:$K$1001,MATCH(ROWS($J$2:J730),$J$2:$J$1001,0),1)&gt;=100000,INDEX($Q$1005:$U$1005,1,MATCH(COLUMNS($Q$1006:S1006),$Q$1006:$U$1006,0))&gt;=100000), " ",IF(INDEX($Q$2:$U$1001,MATCH(ROWS($J$2:J730),$J$2:$J$1001,0),MATCH(COLUMNS($Q$1006:S1006),$Q$1006:$U$1006,0)), HYPERLINK("#",""), HYPERLINK(CONCATENATE("#metadata!", ADDRESS(INDEX($L$2:$L$1001,MATCH(ROWS($J$2:J730),$J$2:$J$1001,0),0), INDEX($Q$1004:$U$1004,1,MATCH(COLUMNS($Q$1006:S1006),$Q$1006:$U$1006,0)))),"Fix")))</f>
        <v xml:space="preserve"> </v>
      </c>
      <c r="E730" s="3" t="str">
        <f ca="1">IF(OR(INDEX($K$2:$K$1001,MATCH(ROWS($J$2:J730),$J$2:$J$1001,0),1)&gt;=100000,INDEX($Q$1005:$U$1005,1,MATCH(COLUMNS($Q$1006:T1006),$Q$1006:$U$1006,0))&gt;=100000), " ",IF(INDEX($Q$2:$U$1001,MATCH(ROWS($J$2:J730),$J$2:$J$1001,0),MATCH(COLUMNS($Q$1006:T1006),$Q$1006:$U$1006,0)), HYPERLINK("#",""), HYPERLINK(CONCATENATE("#metadata!", ADDRESS(INDEX($L$2:$L$1001,MATCH(ROWS($J$2:J730),$J$2:$J$1001,0),0), INDEX($Q$1004:$U$1004,1,MATCH(COLUMNS($Q$1006:T1006),$Q$1006:$U$1006,0)))),"Fix")))</f>
        <v xml:space="preserve"> </v>
      </c>
      <c r="F730" s="3" t="str">
        <f ca="1">IF(OR(INDEX($K$2:$K$1001,MATCH(ROWS($J$2:J730),$J$2:$J$1001,0),1)&gt;=100000,INDEX($Q$1005:$U$1005,1,MATCH(COLUMNS($Q$1006:U1006),$Q$1006:$U$1006,0))&gt;=100000), " ",IF(INDEX($Q$2:$U$1001,MATCH(ROWS($J$2:J730),$J$2:$J$1001,0),MATCH(COLUMNS($Q$1006:U1006),$Q$1006:$U$1006,0)), HYPERLINK("#",""), HYPERLINK(CONCATENATE("#metadata!", ADDRESS(INDEX($L$2:$L$1001,MATCH(ROWS($J$2:J730),$J$2:$J$1001,0),0), INDEX($Q$1004:$U$1004,1,MATCH(COLUMNS($Q$1006:U1006),$Q$1006:$U$1006,0)))),"Fix")))</f>
        <v xml:space="preserve"> </v>
      </c>
      <c r="J730">
        <v>729</v>
      </c>
      <c r="K730">
        <v>100730</v>
      </c>
      <c r="L730">
        <v>730</v>
      </c>
      <c r="M730" t="b">
        <f t="shared" si="11"/>
        <v>1</v>
      </c>
      <c r="N730" t="b">
        <f>COUNTBLANK(metadata!B730:F730)=COLUMNS(metadata!B730:F730)</f>
        <v>1</v>
      </c>
      <c r="O730" t="str">
        <v/>
      </c>
      <c r="Q730" t="b">
        <f ca="1">AND(IF(metadata!B730="",FALSE,TRUE),COUNTIF(metadata!B:B, metadata!B730) = 1,NOT(ISERROR(SUMPRODUCT(SEARCH(MID(metadata!B730,ROW(INDIRECT("1:"&amp;LEN(metadata!B730))), 1),"0123456789abcdefghijklmnopqrstuvwxyzABCDEFGHIJKLMNOPQRSTUVWXYZ.")))))</f>
        <v>0</v>
      </c>
      <c r="R730" t="b">
        <f>AND(IF(metadata!C730="",FALSE,TRUE),OR(EXACT(metadata!C730,"saline"),EXACT(metadata!C730,"non-saline")))</f>
        <v>0</v>
      </c>
      <c r="S730" t="b">
        <f>AND(IF(metadata!D730="",FALSE,TRUE),OR(EXACT(metadata!D730,"surface (non-saline)"),EXACT(metadata!D730,"aerosol (non-saline)"),EXACT(metadata!D730,"sediment (non-saline)"),EXACT(metadata!D730,"surface (saline)"),EXACT(metadata!D730,"aerosol (saline)"),EXACT(metadata!D730,"sediment (saline)")))</f>
        <v>0</v>
      </c>
      <c r="T730" t="b">
        <f>AND(IF(metadata!E730="",FALSE,TRUE),EXACT(metadata!E730,"built environment"))</f>
        <v>0</v>
      </c>
      <c r="U730" t="b">
        <f>OR(AND(IF(metadata!F730="",FALSE,TRUE),EXACT(metadata!F730,"not applicable")),AND(IF(metadata!F730="",FALSE,TRUE),EXACT(metadata!F730,"anaerobic digester content")))</f>
        <v>0</v>
      </c>
    </row>
    <row r="731" spans="1:21" x14ac:dyDescent="0.2">
      <c r="A731" s="4" t="str">
        <f ca="1">IF(B731=" "," ",HYPERLINK(CONCATENATE("#metadata!",ADDRESS(INDEX($L$2:$L$1001,MATCH(ROWS($J$2:J731),$J$2:$J$1001,0),0),1)),INDEX($O$2:$O$1001,MATCH(ROWS($J$2:J731),$J$2:$J$1001,0),0)))</f>
        <v xml:space="preserve"> </v>
      </c>
      <c r="B731" s="3" t="str">
        <f ca="1">IF(OR(INDEX($K$2:$K$1001,MATCH(ROWS($J$2:J731),$J$2:$J$1001,0),1)&gt;=100000,INDEX($Q$1005:$U$1005,1,MATCH(COLUMNS($Q$1006:Q1006),$Q$1006:$U$1006,0))&gt;=100000), " ",IF(INDEX($Q$2:$U$1001,MATCH(ROWS($J$2:J731),$J$2:$J$1001,0),MATCH(COLUMNS($Q$1006:Q1006),$Q$1006:$U$1006,0)), HYPERLINK("#",""), HYPERLINK(CONCATENATE("#metadata!", ADDRESS(INDEX($L$2:$L$1001,MATCH(ROWS($J$2:J731),$J$2:$J$1001,0),0), INDEX($Q$1004:$U$1004,1,MATCH(COLUMNS($Q$1006:Q1006),$Q$1006:$U$1006,0)))),"Fix")))</f>
        <v xml:space="preserve"> </v>
      </c>
      <c r="C731" s="3" t="str">
        <f ca="1">IF(OR(INDEX($K$2:$K$1001,MATCH(ROWS($J$2:J731),$J$2:$J$1001,0),1)&gt;=100000,INDEX($Q$1005:$U$1005,1,MATCH(COLUMNS($Q$1006:R1006),$Q$1006:$U$1006,0))&gt;=100000), " ",IF(INDEX($Q$2:$U$1001,MATCH(ROWS($J$2:J731),$J$2:$J$1001,0),MATCH(COLUMNS($Q$1006:R1006),$Q$1006:$U$1006,0)), HYPERLINK("#",""), HYPERLINK(CONCATENATE("#metadata!", ADDRESS(INDEX($L$2:$L$1001,MATCH(ROWS($J$2:J731),$J$2:$J$1001,0),0), INDEX($Q$1004:$U$1004,1,MATCH(COLUMNS($Q$1006:R1006),$Q$1006:$U$1006,0)))),"Fix")))</f>
        <v xml:space="preserve"> </v>
      </c>
      <c r="D731" s="3" t="str">
        <f ca="1">IF(OR(INDEX($K$2:$K$1001,MATCH(ROWS($J$2:J731),$J$2:$J$1001,0),1)&gt;=100000,INDEX($Q$1005:$U$1005,1,MATCH(COLUMNS($Q$1006:S1006),$Q$1006:$U$1006,0))&gt;=100000), " ",IF(INDEX($Q$2:$U$1001,MATCH(ROWS($J$2:J731),$J$2:$J$1001,0),MATCH(COLUMNS($Q$1006:S1006),$Q$1006:$U$1006,0)), HYPERLINK("#",""), HYPERLINK(CONCATENATE("#metadata!", ADDRESS(INDEX($L$2:$L$1001,MATCH(ROWS($J$2:J731),$J$2:$J$1001,0),0), INDEX($Q$1004:$U$1004,1,MATCH(COLUMNS($Q$1006:S1006),$Q$1006:$U$1006,0)))),"Fix")))</f>
        <v xml:space="preserve"> </v>
      </c>
      <c r="E731" s="3" t="str">
        <f ca="1">IF(OR(INDEX($K$2:$K$1001,MATCH(ROWS($J$2:J731),$J$2:$J$1001,0),1)&gt;=100000,INDEX($Q$1005:$U$1005,1,MATCH(COLUMNS($Q$1006:T1006),$Q$1006:$U$1006,0))&gt;=100000), " ",IF(INDEX($Q$2:$U$1001,MATCH(ROWS($J$2:J731),$J$2:$J$1001,0),MATCH(COLUMNS($Q$1006:T1006),$Q$1006:$U$1006,0)), HYPERLINK("#",""), HYPERLINK(CONCATENATE("#metadata!", ADDRESS(INDEX($L$2:$L$1001,MATCH(ROWS($J$2:J731),$J$2:$J$1001,0),0), INDEX($Q$1004:$U$1004,1,MATCH(COLUMNS($Q$1006:T1006),$Q$1006:$U$1006,0)))),"Fix")))</f>
        <v xml:space="preserve"> </v>
      </c>
      <c r="F731" s="3" t="str">
        <f ca="1">IF(OR(INDEX($K$2:$K$1001,MATCH(ROWS($J$2:J731),$J$2:$J$1001,0),1)&gt;=100000,INDEX($Q$1005:$U$1005,1,MATCH(COLUMNS($Q$1006:U1006),$Q$1006:$U$1006,0))&gt;=100000), " ",IF(INDEX($Q$2:$U$1001,MATCH(ROWS($J$2:J731),$J$2:$J$1001,0),MATCH(COLUMNS($Q$1006:U1006),$Q$1006:$U$1006,0)), HYPERLINK("#",""), HYPERLINK(CONCATENATE("#metadata!", ADDRESS(INDEX($L$2:$L$1001,MATCH(ROWS($J$2:J731),$J$2:$J$1001,0),0), INDEX($Q$1004:$U$1004,1,MATCH(COLUMNS($Q$1006:U1006),$Q$1006:$U$1006,0)))),"Fix")))</f>
        <v xml:space="preserve"> </v>
      </c>
      <c r="J731">
        <v>730</v>
      </c>
      <c r="K731">
        <v>100731</v>
      </c>
      <c r="L731">
        <v>731</v>
      </c>
      <c r="M731" t="b">
        <f t="shared" si="11"/>
        <v>1</v>
      </c>
      <c r="N731" t="b">
        <f>COUNTBLANK(metadata!B731:F731)=COLUMNS(metadata!B731:F731)</f>
        <v>1</v>
      </c>
      <c r="O731" t="str">
        <v/>
      </c>
      <c r="Q731" t="b">
        <f ca="1">AND(IF(metadata!B731="",FALSE,TRUE),COUNTIF(metadata!B:B, metadata!B731) = 1,NOT(ISERROR(SUMPRODUCT(SEARCH(MID(metadata!B731,ROW(INDIRECT("1:"&amp;LEN(metadata!B731))), 1),"0123456789abcdefghijklmnopqrstuvwxyzABCDEFGHIJKLMNOPQRSTUVWXYZ.")))))</f>
        <v>0</v>
      </c>
      <c r="R731" t="b">
        <f>AND(IF(metadata!C731="",FALSE,TRUE),OR(EXACT(metadata!C731,"saline"),EXACT(metadata!C731,"non-saline")))</f>
        <v>0</v>
      </c>
      <c r="S731" t="b">
        <f>AND(IF(metadata!D731="",FALSE,TRUE),OR(EXACT(metadata!D731,"surface (non-saline)"),EXACT(metadata!D731,"aerosol (non-saline)"),EXACT(metadata!D731,"sediment (non-saline)"),EXACT(metadata!D731,"surface (saline)"),EXACT(metadata!D731,"aerosol (saline)"),EXACT(metadata!D731,"sediment (saline)")))</f>
        <v>0</v>
      </c>
      <c r="T731" t="b">
        <f>AND(IF(metadata!E731="",FALSE,TRUE),EXACT(metadata!E731,"built environment"))</f>
        <v>0</v>
      </c>
      <c r="U731" t="b">
        <f>OR(AND(IF(metadata!F731="",FALSE,TRUE),EXACT(metadata!F731,"not applicable")),AND(IF(metadata!F731="",FALSE,TRUE),EXACT(metadata!F731,"anaerobic digester content")))</f>
        <v>0</v>
      </c>
    </row>
    <row r="732" spans="1:21" x14ac:dyDescent="0.2">
      <c r="A732" s="4" t="str">
        <f ca="1">IF(B732=" "," ",HYPERLINK(CONCATENATE("#metadata!",ADDRESS(INDEX($L$2:$L$1001,MATCH(ROWS($J$2:J732),$J$2:$J$1001,0),0),1)),INDEX($O$2:$O$1001,MATCH(ROWS($J$2:J732),$J$2:$J$1001,0),0)))</f>
        <v xml:space="preserve"> </v>
      </c>
      <c r="B732" s="3" t="str">
        <f ca="1">IF(OR(INDEX($K$2:$K$1001,MATCH(ROWS($J$2:J732),$J$2:$J$1001,0),1)&gt;=100000,INDEX($Q$1005:$U$1005,1,MATCH(COLUMNS($Q$1006:Q1006),$Q$1006:$U$1006,0))&gt;=100000), " ",IF(INDEX($Q$2:$U$1001,MATCH(ROWS($J$2:J732),$J$2:$J$1001,0),MATCH(COLUMNS($Q$1006:Q1006),$Q$1006:$U$1006,0)), HYPERLINK("#",""), HYPERLINK(CONCATENATE("#metadata!", ADDRESS(INDEX($L$2:$L$1001,MATCH(ROWS($J$2:J732),$J$2:$J$1001,0),0), INDEX($Q$1004:$U$1004,1,MATCH(COLUMNS($Q$1006:Q1006),$Q$1006:$U$1006,0)))),"Fix")))</f>
        <v xml:space="preserve"> </v>
      </c>
      <c r="C732" s="3" t="str">
        <f ca="1">IF(OR(INDEX($K$2:$K$1001,MATCH(ROWS($J$2:J732),$J$2:$J$1001,0),1)&gt;=100000,INDEX($Q$1005:$U$1005,1,MATCH(COLUMNS($Q$1006:R1006),$Q$1006:$U$1006,0))&gt;=100000), " ",IF(INDEX($Q$2:$U$1001,MATCH(ROWS($J$2:J732),$J$2:$J$1001,0),MATCH(COLUMNS($Q$1006:R1006),$Q$1006:$U$1006,0)), HYPERLINK("#",""), HYPERLINK(CONCATENATE("#metadata!", ADDRESS(INDEX($L$2:$L$1001,MATCH(ROWS($J$2:J732),$J$2:$J$1001,0),0), INDEX($Q$1004:$U$1004,1,MATCH(COLUMNS($Q$1006:R1006),$Q$1006:$U$1006,0)))),"Fix")))</f>
        <v xml:space="preserve"> </v>
      </c>
      <c r="D732" s="3" t="str">
        <f ca="1">IF(OR(INDEX($K$2:$K$1001,MATCH(ROWS($J$2:J732),$J$2:$J$1001,0),1)&gt;=100000,INDEX($Q$1005:$U$1005,1,MATCH(COLUMNS($Q$1006:S1006),$Q$1006:$U$1006,0))&gt;=100000), " ",IF(INDEX($Q$2:$U$1001,MATCH(ROWS($J$2:J732),$J$2:$J$1001,0),MATCH(COLUMNS($Q$1006:S1006),$Q$1006:$U$1006,0)), HYPERLINK("#",""), HYPERLINK(CONCATENATE("#metadata!", ADDRESS(INDEX($L$2:$L$1001,MATCH(ROWS($J$2:J732),$J$2:$J$1001,0),0), INDEX($Q$1004:$U$1004,1,MATCH(COLUMNS($Q$1006:S1006),$Q$1006:$U$1006,0)))),"Fix")))</f>
        <v xml:space="preserve"> </v>
      </c>
      <c r="E732" s="3" t="str">
        <f ca="1">IF(OR(INDEX($K$2:$K$1001,MATCH(ROWS($J$2:J732),$J$2:$J$1001,0),1)&gt;=100000,INDEX($Q$1005:$U$1005,1,MATCH(COLUMNS($Q$1006:T1006),$Q$1006:$U$1006,0))&gt;=100000), " ",IF(INDEX($Q$2:$U$1001,MATCH(ROWS($J$2:J732),$J$2:$J$1001,0),MATCH(COLUMNS($Q$1006:T1006),$Q$1006:$U$1006,0)), HYPERLINK("#",""), HYPERLINK(CONCATENATE("#metadata!", ADDRESS(INDEX($L$2:$L$1001,MATCH(ROWS($J$2:J732),$J$2:$J$1001,0),0), INDEX($Q$1004:$U$1004,1,MATCH(COLUMNS($Q$1006:T1006),$Q$1006:$U$1006,0)))),"Fix")))</f>
        <v xml:space="preserve"> </v>
      </c>
      <c r="F732" s="3" t="str">
        <f ca="1">IF(OR(INDEX($K$2:$K$1001,MATCH(ROWS($J$2:J732),$J$2:$J$1001,0),1)&gt;=100000,INDEX($Q$1005:$U$1005,1,MATCH(COLUMNS($Q$1006:U1006),$Q$1006:$U$1006,0))&gt;=100000), " ",IF(INDEX($Q$2:$U$1001,MATCH(ROWS($J$2:J732),$J$2:$J$1001,0),MATCH(COLUMNS($Q$1006:U1006),$Q$1006:$U$1006,0)), HYPERLINK("#",""), HYPERLINK(CONCATENATE("#metadata!", ADDRESS(INDEX($L$2:$L$1001,MATCH(ROWS($J$2:J732),$J$2:$J$1001,0),0), INDEX($Q$1004:$U$1004,1,MATCH(COLUMNS($Q$1006:U1006),$Q$1006:$U$1006,0)))),"Fix")))</f>
        <v xml:space="preserve"> </v>
      </c>
      <c r="J732">
        <v>731</v>
      </c>
      <c r="K732">
        <v>100732</v>
      </c>
      <c r="L732">
        <v>732</v>
      </c>
      <c r="M732" t="b">
        <f t="shared" si="11"/>
        <v>1</v>
      </c>
      <c r="N732" t="b">
        <f>COUNTBLANK(metadata!B732:F732)=COLUMNS(metadata!B732:F732)</f>
        <v>1</v>
      </c>
      <c r="O732" t="str">
        <v/>
      </c>
      <c r="Q732" t="b">
        <f ca="1">AND(IF(metadata!B732="",FALSE,TRUE),COUNTIF(metadata!B:B, metadata!B732) = 1,NOT(ISERROR(SUMPRODUCT(SEARCH(MID(metadata!B732,ROW(INDIRECT("1:"&amp;LEN(metadata!B732))), 1),"0123456789abcdefghijklmnopqrstuvwxyzABCDEFGHIJKLMNOPQRSTUVWXYZ.")))))</f>
        <v>0</v>
      </c>
      <c r="R732" t="b">
        <f>AND(IF(metadata!C732="",FALSE,TRUE),OR(EXACT(metadata!C732,"saline"),EXACT(metadata!C732,"non-saline")))</f>
        <v>0</v>
      </c>
      <c r="S732" t="b">
        <f>AND(IF(metadata!D732="",FALSE,TRUE),OR(EXACT(metadata!D732,"surface (non-saline)"),EXACT(metadata!D732,"aerosol (non-saline)"),EXACT(metadata!D732,"sediment (non-saline)"),EXACT(metadata!D732,"surface (saline)"),EXACT(metadata!D732,"aerosol (saline)"),EXACT(metadata!D732,"sediment (saline)")))</f>
        <v>0</v>
      </c>
      <c r="T732" t="b">
        <f>AND(IF(metadata!E732="",FALSE,TRUE),EXACT(metadata!E732,"built environment"))</f>
        <v>0</v>
      </c>
      <c r="U732" t="b">
        <f>OR(AND(IF(metadata!F732="",FALSE,TRUE),EXACT(metadata!F732,"not applicable")),AND(IF(metadata!F732="",FALSE,TRUE),EXACT(metadata!F732,"anaerobic digester content")))</f>
        <v>0</v>
      </c>
    </row>
    <row r="733" spans="1:21" x14ac:dyDescent="0.2">
      <c r="A733" s="4" t="str">
        <f ca="1">IF(B733=" "," ",HYPERLINK(CONCATENATE("#metadata!",ADDRESS(INDEX($L$2:$L$1001,MATCH(ROWS($J$2:J733),$J$2:$J$1001,0),0),1)),INDEX($O$2:$O$1001,MATCH(ROWS($J$2:J733),$J$2:$J$1001,0),0)))</f>
        <v xml:space="preserve"> </v>
      </c>
      <c r="B733" s="3" t="str">
        <f ca="1">IF(OR(INDEX($K$2:$K$1001,MATCH(ROWS($J$2:J733),$J$2:$J$1001,0),1)&gt;=100000,INDEX($Q$1005:$U$1005,1,MATCH(COLUMNS($Q$1006:Q1006),$Q$1006:$U$1006,0))&gt;=100000), " ",IF(INDEX($Q$2:$U$1001,MATCH(ROWS($J$2:J733),$J$2:$J$1001,0),MATCH(COLUMNS($Q$1006:Q1006),$Q$1006:$U$1006,0)), HYPERLINK("#",""), HYPERLINK(CONCATENATE("#metadata!", ADDRESS(INDEX($L$2:$L$1001,MATCH(ROWS($J$2:J733),$J$2:$J$1001,0),0), INDEX($Q$1004:$U$1004,1,MATCH(COLUMNS($Q$1006:Q1006),$Q$1006:$U$1006,0)))),"Fix")))</f>
        <v xml:space="preserve"> </v>
      </c>
      <c r="C733" s="3" t="str">
        <f ca="1">IF(OR(INDEX($K$2:$K$1001,MATCH(ROWS($J$2:J733),$J$2:$J$1001,0),1)&gt;=100000,INDEX($Q$1005:$U$1005,1,MATCH(COLUMNS($Q$1006:R1006),$Q$1006:$U$1006,0))&gt;=100000), " ",IF(INDEX($Q$2:$U$1001,MATCH(ROWS($J$2:J733),$J$2:$J$1001,0),MATCH(COLUMNS($Q$1006:R1006),$Q$1006:$U$1006,0)), HYPERLINK("#",""), HYPERLINK(CONCATENATE("#metadata!", ADDRESS(INDEX($L$2:$L$1001,MATCH(ROWS($J$2:J733),$J$2:$J$1001,0),0), INDEX($Q$1004:$U$1004,1,MATCH(COLUMNS($Q$1006:R1006),$Q$1006:$U$1006,0)))),"Fix")))</f>
        <v xml:space="preserve"> </v>
      </c>
      <c r="D733" s="3" t="str">
        <f ca="1">IF(OR(INDEX($K$2:$K$1001,MATCH(ROWS($J$2:J733),$J$2:$J$1001,0),1)&gt;=100000,INDEX($Q$1005:$U$1005,1,MATCH(COLUMNS($Q$1006:S1006),$Q$1006:$U$1006,0))&gt;=100000), " ",IF(INDEX($Q$2:$U$1001,MATCH(ROWS($J$2:J733),$J$2:$J$1001,0),MATCH(COLUMNS($Q$1006:S1006),$Q$1006:$U$1006,0)), HYPERLINK("#",""), HYPERLINK(CONCATENATE("#metadata!", ADDRESS(INDEX($L$2:$L$1001,MATCH(ROWS($J$2:J733),$J$2:$J$1001,0),0), INDEX($Q$1004:$U$1004,1,MATCH(COLUMNS($Q$1006:S1006),$Q$1006:$U$1006,0)))),"Fix")))</f>
        <v xml:space="preserve"> </v>
      </c>
      <c r="E733" s="3" t="str">
        <f ca="1">IF(OR(INDEX($K$2:$K$1001,MATCH(ROWS($J$2:J733),$J$2:$J$1001,0),1)&gt;=100000,INDEX($Q$1005:$U$1005,1,MATCH(COLUMNS($Q$1006:T1006),$Q$1006:$U$1006,0))&gt;=100000), " ",IF(INDEX($Q$2:$U$1001,MATCH(ROWS($J$2:J733),$J$2:$J$1001,0),MATCH(COLUMNS($Q$1006:T1006),$Q$1006:$U$1006,0)), HYPERLINK("#",""), HYPERLINK(CONCATENATE("#metadata!", ADDRESS(INDEX($L$2:$L$1001,MATCH(ROWS($J$2:J733),$J$2:$J$1001,0),0), INDEX($Q$1004:$U$1004,1,MATCH(COLUMNS($Q$1006:T1006),$Q$1006:$U$1006,0)))),"Fix")))</f>
        <v xml:space="preserve"> </v>
      </c>
      <c r="F733" s="3" t="str">
        <f ca="1">IF(OR(INDEX($K$2:$K$1001,MATCH(ROWS($J$2:J733),$J$2:$J$1001,0),1)&gt;=100000,INDEX($Q$1005:$U$1005,1,MATCH(COLUMNS($Q$1006:U1006),$Q$1006:$U$1006,0))&gt;=100000), " ",IF(INDEX($Q$2:$U$1001,MATCH(ROWS($J$2:J733),$J$2:$J$1001,0),MATCH(COLUMNS($Q$1006:U1006),$Q$1006:$U$1006,0)), HYPERLINK("#",""), HYPERLINK(CONCATENATE("#metadata!", ADDRESS(INDEX($L$2:$L$1001,MATCH(ROWS($J$2:J733),$J$2:$J$1001,0),0), INDEX($Q$1004:$U$1004,1,MATCH(COLUMNS($Q$1006:U1006),$Q$1006:$U$1006,0)))),"Fix")))</f>
        <v xml:space="preserve"> </v>
      </c>
      <c r="J733">
        <v>732</v>
      </c>
      <c r="K733">
        <v>100733</v>
      </c>
      <c r="L733">
        <v>733</v>
      </c>
      <c r="M733" t="b">
        <f t="shared" si="11"/>
        <v>1</v>
      </c>
      <c r="N733" t="b">
        <f>COUNTBLANK(metadata!B733:F733)=COLUMNS(metadata!B733:F733)</f>
        <v>1</v>
      </c>
      <c r="O733" t="str">
        <v/>
      </c>
      <c r="Q733" t="b">
        <f ca="1">AND(IF(metadata!B733="",FALSE,TRUE),COUNTIF(metadata!B:B, metadata!B733) = 1,NOT(ISERROR(SUMPRODUCT(SEARCH(MID(metadata!B733,ROW(INDIRECT("1:"&amp;LEN(metadata!B733))), 1),"0123456789abcdefghijklmnopqrstuvwxyzABCDEFGHIJKLMNOPQRSTUVWXYZ.")))))</f>
        <v>0</v>
      </c>
      <c r="R733" t="b">
        <f>AND(IF(metadata!C733="",FALSE,TRUE),OR(EXACT(metadata!C733,"saline"),EXACT(metadata!C733,"non-saline")))</f>
        <v>0</v>
      </c>
      <c r="S733" t="b">
        <f>AND(IF(metadata!D733="",FALSE,TRUE),OR(EXACT(metadata!D733,"surface (non-saline)"),EXACT(metadata!D733,"aerosol (non-saline)"),EXACT(metadata!D733,"sediment (non-saline)"),EXACT(metadata!D733,"surface (saline)"),EXACT(metadata!D733,"aerosol (saline)"),EXACT(metadata!D733,"sediment (saline)")))</f>
        <v>0</v>
      </c>
      <c r="T733" t="b">
        <f>AND(IF(metadata!E733="",FALSE,TRUE),EXACT(metadata!E733,"built environment"))</f>
        <v>0</v>
      </c>
      <c r="U733" t="b">
        <f>OR(AND(IF(metadata!F733="",FALSE,TRUE),EXACT(metadata!F733,"not applicable")),AND(IF(metadata!F733="",FALSE,TRUE),EXACT(metadata!F733,"anaerobic digester content")))</f>
        <v>0</v>
      </c>
    </row>
    <row r="734" spans="1:21" x14ac:dyDescent="0.2">
      <c r="A734" s="4" t="str">
        <f ca="1">IF(B734=" "," ",HYPERLINK(CONCATENATE("#metadata!",ADDRESS(INDEX($L$2:$L$1001,MATCH(ROWS($J$2:J734),$J$2:$J$1001,0),0),1)),INDEX($O$2:$O$1001,MATCH(ROWS($J$2:J734),$J$2:$J$1001,0),0)))</f>
        <v xml:space="preserve"> </v>
      </c>
      <c r="B734" s="3" t="str">
        <f ca="1">IF(OR(INDEX($K$2:$K$1001,MATCH(ROWS($J$2:J734),$J$2:$J$1001,0),1)&gt;=100000,INDEX($Q$1005:$U$1005,1,MATCH(COLUMNS($Q$1006:Q1006),$Q$1006:$U$1006,0))&gt;=100000), " ",IF(INDEX($Q$2:$U$1001,MATCH(ROWS($J$2:J734),$J$2:$J$1001,0),MATCH(COLUMNS($Q$1006:Q1006),$Q$1006:$U$1006,0)), HYPERLINK("#",""), HYPERLINK(CONCATENATE("#metadata!", ADDRESS(INDEX($L$2:$L$1001,MATCH(ROWS($J$2:J734),$J$2:$J$1001,0),0), INDEX($Q$1004:$U$1004,1,MATCH(COLUMNS($Q$1006:Q1006),$Q$1006:$U$1006,0)))),"Fix")))</f>
        <v xml:space="preserve"> </v>
      </c>
      <c r="C734" s="3" t="str">
        <f ca="1">IF(OR(INDEX($K$2:$K$1001,MATCH(ROWS($J$2:J734),$J$2:$J$1001,0),1)&gt;=100000,INDEX($Q$1005:$U$1005,1,MATCH(COLUMNS($Q$1006:R1006),$Q$1006:$U$1006,0))&gt;=100000), " ",IF(INDEX($Q$2:$U$1001,MATCH(ROWS($J$2:J734),$J$2:$J$1001,0),MATCH(COLUMNS($Q$1006:R1006),$Q$1006:$U$1006,0)), HYPERLINK("#",""), HYPERLINK(CONCATENATE("#metadata!", ADDRESS(INDEX($L$2:$L$1001,MATCH(ROWS($J$2:J734),$J$2:$J$1001,0),0), INDEX($Q$1004:$U$1004,1,MATCH(COLUMNS($Q$1006:R1006),$Q$1006:$U$1006,0)))),"Fix")))</f>
        <v xml:space="preserve"> </v>
      </c>
      <c r="D734" s="3" t="str">
        <f ca="1">IF(OR(INDEX($K$2:$K$1001,MATCH(ROWS($J$2:J734),$J$2:$J$1001,0),1)&gt;=100000,INDEX($Q$1005:$U$1005,1,MATCH(COLUMNS($Q$1006:S1006),$Q$1006:$U$1006,0))&gt;=100000), " ",IF(INDEX($Q$2:$U$1001,MATCH(ROWS($J$2:J734),$J$2:$J$1001,0),MATCH(COLUMNS($Q$1006:S1006),$Q$1006:$U$1006,0)), HYPERLINK("#",""), HYPERLINK(CONCATENATE("#metadata!", ADDRESS(INDEX($L$2:$L$1001,MATCH(ROWS($J$2:J734),$J$2:$J$1001,0),0), INDEX($Q$1004:$U$1004,1,MATCH(COLUMNS($Q$1006:S1006),$Q$1006:$U$1006,0)))),"Fix")))</f>
        <v xml:space="preserve"> </v>
      </c>
      <c r="E734" s="3" t="str">
        <f ca="1">IF(OR(INDEX($K$2:$K$1001,MATCH(ROWS($J$2:J734),$J$2:$J$1001,0),1)&gt;=100000,INDEX($Q$1005:$U$1005,1,MATCH(COLUMNS($Q$1006:T1006),$Q$1006:$U$1006,0))&gt;=100000), " ",IF(INDEX($Q$2:$U$1001,MATCH(ROWS($J$2:J734),$J$2:$J$1001,0),MATCH(COLUMNS($Q$1006:T1006),$Q$1006:$U$1006,0)), HYPERLINK("#",""), HYPERLINK(CONCATENATE("#metadata!", ADDRESS(INDEX($L$2:$L$1001,MATCH(ROWS($J$2:J734),$J$2:$J$1001,0),0), INDEX($Q$1004:$U$1004,1,MATCH(COLUMNS($Q$1006:T1006),$Q$1006:$U$1006,0)))),"Fix")))</f>
        <v xml:space="preserve"> </v>
      </c>
      <c r="F734" s="3" t="str">
        <f ca="1">IF(OR(INDEX($K$2:$K$1001,MATCH(ROWS($J$2:J734),$J$2:$J$1001,0),1)&gt;=100000,INDEX($Q$1005:$U$1005,1,MATCH(COLUMNS($Q$1006:U1006),$Q$1006:$U$1006,0))&gt;=100000), " ",IF(INDEX($Q$2:$U$1001,MATCH(ROWS($J$2:J734),$J$2:$J$1001,0),MATCH(COLUMNS($Q$1006:U1006),$Q$1006:$U$1006,0)), HYPERLINK("#",""), HYPERLINK(CONCATENATE("#metadata!", ADDRESS(INDEX($L$2:$L$1001,MATCH(ROWS($J$2:J734),$J$2:$J$1001,0),0), INDEX($Q$1004:$U$1004,1,MATCH(COLUMNS($Q$1006:U1006),$Q$1006:$U$1006,0)))),"Fix")))</f>
        <v xml:space="preserve"> </v>
      </c>
      <c r="J734">
        <v>733</v>
      </c>
      <c r="K734">
        <v>100734</v>
      </c>
      <c r="L734">
        <v>734</v>
      </c>
      <c r="M734" t="b">
        <f t="shared" si="11"/>
        <v>1</v>
      </c>
      <c r="N734" t="b">
        <f>COUNTBLANK(metadata!B734:F734)=COLUMNS(metadata!B734:F734)</f>
        <v>1</v>
      </c>
      <c r="O734" t="str">
        <v/>
      </c>
      <c r="Q734" t="b">
        <f ca="1">AND(IF(metadata!B734="",FALSE,TRUE),COUNTIF(metadata!B:B, metadata!B734) = 1,NOT(ISERROR(SUMPRODUCT(SEARCH(MID(metadata!B734,ROW(INDIRECT("1:"&amp;LEN(metadata!B734))), 1),"0123456789abcdefghijklmnopqrstuvwxyzABCDEFGHIJKLMNOPQRSTUVWXYZ.")))))</f>
        <v>0</v>
      </c>
      <c r="R734" t="b">
        <f>AND(IF(metadata!C734="",FALSE,TRUE),OR(EXACT(metadata!C734,"saline"),EXACT(metadata!C734,"non-saline")))</f>
        <v>0</v>
      </c>
      <c r="S734" t="b">
        <f>AND(IF(metadata!D734="",FALSE,TRUE),OR(EXACT(metadata!D734,"surface (non-saline)"),EXACT(metadata!D734,"aerosol (non-saline)"),EXACT(metadata!D734,"sediment (non-saline)"),EXACT(metadata!D734,"surface (saline)"),EXACT(metadata!D734,"aerosol (saline)"),EXACT(metadata!D734,"sediment (saline)")))</f>
        <v>0</v>
      </c>
      <c r="T734" t="b">
        <f>AND(IF(metadata!E734="",FALSE,TRUE),EXACT(metadata!E734,"built environment"))</f>
        <v>0</v>
      </c>
      <c r="U734" t="b">
        <f>OR(AND(IF(metadata!F734="",FALSE,TRUE),EXACT(metadata!F734,"not applicable")),AND(IF(metadata!F734="",FALSE,TRUE),EXACT(metadata!F734,"anaerobic digester content")))</f>
        <v>0</v>
      </c>
    </row>
    <row r="735" spans="1:21" x14ac:dyDescent="0.2">
      <c r="A735" s="4" t="str">
        <f ca="1">IF(B735=" "," ",HYPERLINK(CONCATENATE("#metadata!",ADDRESS(INDEX($L$2:$L$1001,MATCH(ROWS($J$2:J735),$J$2:$J$1001,0),0),1)),INDEX($O$2:$O$1001,MATCH(ROWS($J$2:J735),$J$2:$J$1001,0),0)))</f>
        <v xml:space="preserve"> </v>
      </c>
      <c r="B735" s="3" t="str">
        <f ca="1">IF(OR(INDEX($K$2:$K$1001,MATCH(ROWS($J$2:J735),$J$2:$J$1001,0),1)&gt;=100000,INDEX($Q$1005:$U$1005,1,MATCH(COLUMNS($Q$1006:Q1006),$Q$1006:$U$1006,0))&gt;=100000), " ",IF(INDEX($Q$2:$U$1001,MATCH(ROWS($J$2:J735),$J$2:$J$1001,0),MATCH(COLUMNS($Q$1006:Q1006),$Q$1006:$U$1006,0)), HYPERLINK("#",""), HYPERLINK(CONCATENATE("#metadata!", ADDRESS(INDEX($L$2:$L$1001,MATCH(ROWS($J$2:J735),$J$2:$J$1001,0),0), INDEX($Q$1004:$U$1004,1,MATCH(COLUMNS($Q$1006:Q1006),$Q$1006:$U$1006,0)))),"Fix")))</f>
        <v xml:space="preserve"> </v>
      </c>
      <c r="C735" s="3" t="str">
        <f ca="1">IF(OR(INDEX($K$2:$K$1001,MATCH(ROWS($J$2:J735),$J$2:$J$1001,0),1)&gt;=100000,INDEX($Q$1005:$U$1005,1,MATCH(COLUMNS($Q$1006:R1006),$Q$1006:$U$1006,0))&gt;=100000), " ",IF(INDEX($Q$2:$U$1001,MATCH(ROWS($J$2:J735),$J$2:$J$1001,0),MATCH(COLUMNS($Q$1006:R1006),$Q$1006:$U$1006,0)), HYPERLINK("#",""), HYPERLINK(CONCATENATE("#metadata!", ADDRESS(INDEX($L$2:$L$1001,MATCH(ROWS($J$2:J735),$J$2:$J$1001,0),0), INDEX($Q$1004:$U$1004,1,MATCH(COLUMNS($Q$1006:R1006),$Q$1006:$U$1006,0)))),"Fix")))</f>
        <v xml:space="preserve"> </v>
      </c>
      <c r="D735" s="3" t="str">
        <f ca="1">IF(OR(INDEX($K$2:$K$1001,MATCH(ROWS($J$2:J735),$J$2:$J$1001,0),1)&gt;=100000,INDEX($Q$1005:$U$1005,1,MATCH(COLUMNS($Q$1006:S1006),$Q$1006:$U$1006,0))&gt;=100000), " ",IF(INDEX($Q$2:$U$1001,MATCH(ROWS($J$2:J735),$J$2:$J$1001,0),MATCH(COLUMNS($Q$1006:S1006),$Q$1006:$U$1006,0)), HYPERLINK("#",""), HYPERLINK(CONCATENATE("#metadata!", ADDRESS(INDEX($L$2:$L$1001,MATCH(ROWS($J$2:J735),$J$2:$J$1001,0),0), INDEX($Q$1004:$U$1004,1,MATCH(COLUMNS($Q$1006:S1006),$Q$1006:$U$1006,0)))),"Fix")))</f>
        <v xml:space="preserve"> </v>
      </c>
      <c r="E735" s="3" t="str">
        <f ca="1">IF(OR(INDEX($K$2:$K$1001,MATCH(ROWS($J$2:J735),$J$2:$J$1001,0),1)&gt;=100000,INDEX($Q$1005:$U$1005,1,MATCH(COLUMNS($Q$1006:T1006),$Q$1006:$U$1006,0))&gt;=100000), " ",IF(INDEX($Q$2:$U$1001,MATCH(ROWS($J$2:J735),$J$2:$J$1001,0),MATCH(COLUMNS($Q$1006:T1006),$Q$1006:$U$1006,0)), HYPERLINK("#",""), HYPERLINK(CONCATENATE("#metadata!", ADDRESS(INDEX($L$2:$L$1001,MATCH(ROWS($J$2:J735),$J$2:$J$1001,0),0), INDEX($Q$1004:$U$1004,1,MATCH(COLUMNS($Q$1006:T1006),$Q$1006:$U$1006,0)))),"Fix")))</f>
        <v xml:space="preserve"> </v>
      </c>
      <c r="F735" s="3" t="str">
        <f ca="1">IF(OR(INDEX($K$2:$K$1001,MATCH(ROWS($J$2:J735),$J$2:$J$1001,0),1)&gt;=100000,INDEX($Q$1005:$U$1005,1,MATCH(COLUMNS($Q$1006:U1006),$Q$1006:$U$1006,0))&gt;=100000), " ",IF(INDEX($Q$2:$U$1001,MATCH(ROWS($J$2:J735),$J$2:$J$1001,0),MATCH(COLUMNS($Q$1006:U1006),$Q$1006:$U$1006,0)), HYPERLINK("#",""), HYPERLINK(CONCATENATE("#metadata!", ADDRESS(INDEX($L$2:$L$1001,MATCH(ROWS($J$2:J735),$J$2:$J$1001,0),0), INDEX($Q$1004:$U$1004,1,MATCH(COLUMNS($Q$1006:U1006),$Q$1006:$U$1006,0)))),"Fix")))</f>
        <v xml:space="preserve"> </v>
      </c>
      <c r="J735">
        <v>734</v>
      </c>
      <c r="K735">
        <v>100735</v>
      </c>
      <c r="L735">
        <v>735</v>
      </c>
      <c r="M735" t="b">
        <f t="shared" si="11"/>
        <v>1</v>
      </c>
      <c r="N735" t="b">
        <f>COUNTBLANK(metadata!B735:F735)=COLUMNS(metadata!B735:F735)</f>
        <v>1</v>
      </c>
      <c r="O735" t="str">
        <v/>
      </c>
      <c r="Q735" t="b">
        <f ca="1">AND(IF(metadata!B735="",FALSE,TRUE),COUNTIF(metadata!B:B, metadata!B735) = 1,NOT(ISERROR(SUMPRODUCT(SEARCH(MID(metadata!B735,ROW(INDIRECT("1:"&amp;LEN(metadata!B735))), 1),"0123456789abcdefghijklmnopqrstuvwxyzABCDEFGHIJKLMNOPQRSTUVWXYZ.")))))</f>
        <v>0</v>
      </c>
      <c r="R735" t="b">
        <f>AND(IF(metadata!C735="",FALSE,TRUE),OR(EXACT(metadata!C735,"saline"),EXACT(metadata!C735,"non-saline")))</f>
        <v>0</v>
      </c>
      <c r="S735" t="b">
        <f>AND(IF(metadata!D735="",FALSE,TRUE),OR(EXACT(metadata!D735,"surface (non-saline)"),EXACT(metadata!D735,"aerosol (non-saline)"),EXACT(metadata!D735,"sediment (non-saline)"),EXACT(metadata!D735,"surface (saline)"),EXACT(metadata!D735,"aerosol (saline)"),EXACT(metadata!D735,"sediment (saline)")))</f>
        <v>0</v>
      </c>
      <c r="T735" t="b">
        <f>AND(IF(metadata!E735="",FALSE,TRUE),EXACT(metadata!E735,"built environment"))</f>
        <v>0</v>
      </c>
      <c r="U735" t="b">
        <f>OR(AND(IF(metadata!F735="",FALSE,TRUE),EXACT(metadata!F735,"not applicable")),AND(IF(metadata!F735="",FALSE,TRUE),EXACT(metadata!F735,"anaerobic digester content")))</f>
        <v>0</v>
      </c>
    </row>
    <row r="736" spans="1:21" x14ac:dyDescent="0.2">
      <c r="A736" s="4" t="str">
        <f ca="1">IF(B736=" "," ",HYPERLINK(CONCATENATE("#metadata!",ADDRESS(INDEX($L$2:$L$1001,MATCH(ROWS($J$2:J736),$J$2:$J$1001,0),0),1)),INDEX($O$2:$O$1001,MATCH(ROWS($J$2:J736),$J$2:$J$1001,0),0)))</f>
        <v xml:space="preserve"> </v>
      </c>
      <c r="B736" s="3" t="str">
        <f ca="1">IF(OR(INDEX($K$2:$K$1001,MATCH(ROWS($J$2:J736),$J$2:$J$1001,0),1)&gt;=100000,INDEX($Q$1005:$U$1005,1,MATCH(COLUMNS($Q$1006:Q1006),$Q$1006:$U$1006,0))&gt;=100000), " ",IF(INDEX($Q$2:$U$1001,MATCH(ROWS($J$2:J736),$J$2:$J$1001,0),MATCH(COLUMNS($Q$1006:Q1006),$Q$1006:$U$1006,0)), HYPERLINK("#",""), HYPERLINK(CONCATENATE("#metadata!", ADDRESS(INDEX($L$2:$L$1001,MATCH(ROWS($J$2:J736),$J$2:$J$1001,0),0), INDEX($Q$1004:$U$1004,1,MATCH(COLUMNS($Q$1006:Q1006),$Q$1006:$U$1006,0)))),"Fix")))</f>
        <v xml:space="preserve"> </v>
      </c>
      <c r="C736" s="3" t="str">
        <f ca="1">IF(OR(INDEX($K$2:$K$1001,MATCH(ROWS($J$2:J736),$J$2:$J$1001,0),1)&gt;=100000,INDEX($Q$1005:$U$1005,1,MATCH(COLUMNS($Q$1006:R1006),$Q$1006:$U$1006,0))&gt;=100000), " ",IF(INDEX($Q$2:$U$1001,MATCH(ROWS($J$2:J736),$J$2:$J$1001,0),MATCH(COLUMNS($Q$1006:R1006),$Q$1006:$U$1006,0)), HYPERLINK("#",""), HYPERLINK(CONCATENATE("#metadata!", ADDRESS(INDEX($L$2:$L$1001,MATCH(ROWS($J$2:J736),$J$2:$J$1001,0),0), INDEX($Q$1004:$U$1004,1,MATCH(COLUMNS($Q$1006:R1006),$Q$1006:$U$1006,0)))),"Fix")))</f>
        <v xml:space="preserve"> </v>
      </c>
      <c r="D736" s="3" t="str">
        <f ca="1">IF(OR(INDEX($K$2:$K$1001,MATCH(ROWS($J$2:J736),$J$2:$J$1001,0),1)&gt;=100000,INDEX($Q$1005:$U$1005,1,MATCH(COLUMNS($Q$1006:S1006),$Q$1006:$U$1006,0))&gt;=100000), " ",IF(INDEX($Q$2:$U$1001,MATCH(ROWS($J$2:J736),$J$2:$J$1001,0),MATCH(COLUMNS($Q$1006:S1006),$Q$1006:$U$1006,0)), HYPERLINK("#",""), HYPERLINK(CONCATENATE("#metadata!", ADDRESS(INDEX($L$2:$L$1001,MATCH(ROWS($J$2:J736),$J$2:$J$1001,0),0), INDEX($Q$1004:$U$1004,1,MATCH(COLUMNS($Q$1006:S1006),$Q$1006:$U$1006,0)))),"Fix")))</f>
        <v xml:space="preserve"> </v>
      </c>
      <c r="E736" s="3" t="str">
        <f ca="1">IF(OR(INDEX($K$2:$K$1001,MATCH(ROWS($J$2:J736),$J$2:$J$1001,0),1)&gt;=100000,INDEX($Q$1005:$U$1005,1,MATCH(COLUMNS($Q$1006:T1006),$Q$1006:$U$1006,0))&gt;=100000), " ",IF(INDEX($Q$2:$U$1001,MATCH(ROWS($J$2:J736),$J$2:$J$1001,0),MATCH(COLUMNS($Q$1006:T1006),$Q$1006:$U$1006,0)), HYPERLINK("#",""), HYPERLINK(CONCATENATE("#metadata!", ADDRESS(INDEX($L$2:$L$1001,MATCH(ROWS($J$2:J736),$J$2:$J$1001,0),0), INDEX($Q$1004:$U$1004,1,MATCH(COLUMNS($Q$1006:T1006),$Q$1006:$U$1006,0)))),"Fix")))</f>
        <v xml:space="preserve"> </v>
      </c>
      <c r="F736" s="3" t="str">
        <f ca="1">IF(OR(INDEX($K$2:$K$1001,MATCH(ROWS($J$2:J736),$J$2:$J$1001,0),1)&gt;=100000,INDEX($Q$1005:$U$1005,1,MATCH(COLUMNS($Q$1006:U1006),$Q$1006:$U$1006,0))&gt;=100000), " ",IF(INDEX($Q$2:$U$1001,MATCH(ROWS($J$2:J736),$J$2:$J$1001,0),MATCH(COLUMNS($Q$1006:U1006),$Q$1006:$U$1006,0)), HYPERLINK("#",""), HYPERLINK(CONCATENATE("#metadata!", ADDRESS(INDEX($L$2:$L$1001,MATCH(ROWS($J$2:J736),$J$2:$J$1001,0),0), INDEX($Q$1004:$U$1004,1,MATCH(COLUMNS($Q$1006:U1006),$Q$1006:$U$1006,0)))),"Fix")))</f>
        <v xml:space="preserve"> </v>
      </c>
      <c r="J736">
        <v>735</v>
      </c>
      <c r="K736">
        <v>100736</v>
      </c>
      <c r="L736">
        <v>736</v>
      </c>
      <c r="M736" t="b">
        <f t="shared" si="11"/>
        <v>1</v>
      </c>
      <c r="N736" t="b">
        <f>COUNTBLANK(metadata!B736:F736)=COLUMNS(metadata!B736:F736)</f>
        <v>1</v>
      </c>
      <c r="O736" t="str">
        <v/>
      </c>
      <c r="Q736" t="b">
        <f ca="1">AND(IF(metadata!B736="",FALSE,TRUE),COUNTIF(metadata!B:B, metadata!B736) = 1,NOT(ISERROR(SUMPRODUCT(SEARCH(MID(metadata!B736,ROW(INDIRECT("1:"&amp;LEN(metadata!B736))), 1),"0123456789abcdefghijklmnopqrstuvwxyzABCDEFGHIJKLMNOPQRSTUVWXYZ.")))))</f>
        <v>0</v>
      </c>
      <c r="R736" t="b">
        <f>AND(IF(metadata!C736="",FALSE,TRUE),OR(EXACT(metadata!C736,"saline"),EXACT(metadata!C736,"non-saline")))</f>
        <v>0</v>
      </c>
      <c r="S736" t="b">
        <f>AND(IF(metadata!D736="",FALSE,TRUE),OR(EXACT(metadata!D736,"surface (non-saline)"),EXACT(metadata!D736,"aerosol (non-saline)"),EXACT(metadata!D736,"sediment (non-saline)"),EXACT(metadata!D736,"surface (saline)"),EXACT(metadata!D736,"aerosol (saline)"),EXACT(metadata!D736,"sediment (saline)")))</f>
        <v>0</v>
      </c>
      <c r="T736" t="b">
        <f>AND(IF(metadata!E736="",FALSE,TRUE),EXACT(metadata!E736,"built environment"))</f>
        <v>0</v>
      </c>
      <c r="U736" t="b">
        <f>OR(AND(IF(metadata!F736="",FALSE,TRUE),EXACT(metadata!F736,"not applicable")),AND(IF(metadata!F736="",FALSE,TRUE),EXACT(metadata!F736,"anaerobic digester content")))</f>
        <v>0</v>
      </c>
    </row>
    <row r="737" spans="1:21" x14ac:dyDescent="0.2">
      <c r="A737" s="4" t="str">
        <f ca="1">IF(B737=" "," ",HYPERLINK(CONCATENATE("#metadata!",ADDRESS(INDEX($L$2:$L$1001,MATCH(ROWS($J$2:J737),$J$2:$J$1001,0),0),1)),INDEX($O$2:$O$1001,MATCH(ROWS($J$2:J737),$J$2:$J$1001,0),0)))</f>
        <v xml:space="preserve"> </v>
      </c>
      <c r="B737" s="3" t="str">
        <f ca="1">IF(OR(INDEX($K$2:$K$1001,MATCH(ROWS($J$2:J737),$J$2:$J$1001,0),1)&gt;=100000,INDEX($Q$1005:$U$1005,1,MATCH(COLUMNS($Q$1006:Q1006),$Q$1006:$U$1006,0))&gt;=100000), " ",IF(INDEX($Q$2:$U$1001,MATCH(ROWS($J$2:J737),$J$2:$J$1001,0),MATCH(COLUMNS($Q$1006:Q1006),$Q$1006:$U$1006,0)), HYPERLINK("#",""), HYPERLINK(CONCATENATE("#metadata!", ADDRESS(INDEX($L$2:$L$1001,MATCH(ROWS($J$2:J737),$J$2:$J$1001,0),0), INDEX($Q$1004:$U$1004,1,MATCH(COLUMNS($Q$1006:Q1006),$Q$1006:$U$1006,0)))),"Fix")))</f>
        <v xml:space="preserve"> </v>
      </c>
      <c r="C737" s="3" t="str">
        <f ca="1">IF(OR(INDEX($K$2:$K$1001,MATCH(ROWS($J$2:J737),$J$2:$J$1001,0),1)&gt;=100000,INDEX($Q$1005:$U$1005,1,MATCH(COLUMNS($Q$1006:R1006),$Q$1006:$U$1006,0))&gt;=100000), " ",IF(INDEX($Q$2:$U$1001,MATCH(ROWS($J$2:J737),$J$2:$J$1001,0),MATCH(COLUMNS($Q$1006:R1006),$Q$1006:$U$1006,0)), HYPERLINK("#",""), HYPERLINK(CONCATENATE("#metadata!", ADDRESS(INDEX($L$2:$L$1001,MATCH(ROWS($J$2:J737),$J$2:$J$1001,0),0), INDEX($Q$1004:$U$1004,1,MATCH(COLUMNS($Q$1006:R1006),$Q$1006:$U$1006,0)))),"Fix")))</f>
        <v xml:space="preserve"> </v>
      </c>
      <c r="D737" s="3" t="str">
        <f ca="1">IF(OR(INDEX($K$2:$K$1001,MATCH(ROWS($J$2:J737),$J$2:$J$1001,0),1)&gt;=100000,INDEX($Q$1005:$U$1005,1,MATCH(COLUMNS($Q$1006:S1006),$Q$1006:$U$1006,0))&gt;=100000), " ",IF(INDEX($Q$2:$U$1001,MATCH(ROWS($J$2:J737),$J$2:$J$1001,0),MATCH(COLUMNS($Q$1006:S1006),$Q$1006:$U$1006,0)), HYPERLINK("#",""), HYPERLINK(CONCATENATE("#metadata!", ADDRESS(INDEX($L$2:$L$1001,MATCH(ROWS($J$2:J737),$J$2:$J$1001,0),0), INDEX($Q$1004:$U$1004,1,MATCH(COLUMNS($Q$1006:S1006),$Q$1006:$U$1006,0)))),"Fix")))</f>
        <v xml:space="preserve"> </v>
      </c>
      <c r="E737" s="3" t="str">
        <f ca="1">IF(OR(INDEX($K$2:$K$1001,MATCH(ROWS($J$2:J737),$J$2:$J$1001,0),1)&gt;=100000,INDEX($Q$1005:$U$1005,1,MATCH(COLUMNS($Q$1006:T1006),$Q$1006:$U$1006,0))&gt;=100000), " ",IF(INDEX($Q$2:$U$1001,MATCH(ROWS($J$2:J737),$J$2:$J$1001,0),MATCH(COLUMNS($Q$1006:T1006),$Q$1006:$U$1006,0)), HYPERLINK("#",""), HYPERLINK(CONCATENATE("#metadata!", ADDRESS(INDEX($L$2:$L$1001,MATCH(ROWS($J$2:J737),$J$2:$J$1001,0),0), INDEX($Q$1004:$U$1004,1,MATCH(COLUMNS($Q$1006:T1006),$Q$1006:$U$1006,0)))),"Fix")))</f>
        <v xml:space="preserve"> </v>
      </c>
      <c r="F737" s="3" t="str">
        <f ca="1">IF(OR(INDEX($K$2:$K$1001,MATCH(ROWS($J$2:J737),$J$2:$J$1001,0),1)&gt;=100000,INDEX($Q$1005:$U$1005,1,MATCH(COLUMNS($Q$1006:U1006),$Q$1006:$U$1006,0))&gt;=100000), " ",IF(INDEX($Q$2:$U$1001,MATCH(ROWS($J$2:J737),$J$2:$J$1001,0),MATCH(COLUMNS($Q$1006:U1006),$Q$1006:$U$1006,0)), HYPERLINK("#",""), HYPERLINK(CONCATENATE("#metadata!", ADDRESS(INDEX($L$2:$L$1001,MATCH(ROWS($J$2:J737),$J$2:$J$1001,0),0), INDEX($Q$1004:$U$1004,1,MATCH(COLUMNS($Q$1006:U1006),$Q$1006:$U$1006,0)))),"Fix")))</f>
        <v xml:space="preserve"> </v>
      </c>
      <c r="J737">
        <v>736</v>
      </c>
      <c r="K737">
        <v>100737</v>
      </c>
      <c r="L737">
        <v>737</v>
      </c>
      <c r="M737" t="b">
        <f t="shared" si="11"/>
        <v>1</v>
      </c>
      <c r="N737" t="b">
        <f>COUNTBLANK(metadata!B737:F737)=COLUMNS(metadata!B737:F737)</f>
        <v>1</v>
      </c>
      <c r="O737" t="str">
        <v/>
      </c>
      <c r="Q737" t="b">
        <f ca="1">AND(IF(metadata!B737="",FALSE,TRUE),COUNTIF(metadata!B:B, metadata!B737) = 1,NOT(ISERROR(SUMPRODUCT(SEARCH(MID(metadata!B737,ROW(INDIRECT("1:"&amp;LEN(metadata!B737))), 1),"0123456789abcdefghijklmnopqrstuvwxyzABCDEFGHIJKLMNOPQRSTUVWXYZ.")))))</f>
        <v>0</v>
      </c>
      <c r="R737" t="b">
        <f>AND(IF(metadata!C737="",FALSE,TRUE),OR(EXACT(metadata!C737,"saline"),EXACT(metadata!C737,"non-saline")))</f>
        <v>0</v>
      </c>
      <c r="S737" t="b">
        <f>AND(IF(metadata!D737="",FALSE,TRUE),OR(EXACT(metadata!D737,"surface (non-saline)"),EXACT(metadata!D737,"aerosol (non-saline)"),EXACT(metadata!D737,"sediment (non-saline)"),EXACT(metadata!D737,"surface (saline)"),EXACT(metadata!D737,"aerosol (saline)"),EXACT(metadata!D737,"sediment (saline)")))</f>
        <v>0</v>
      </c>
      <c r="T737" t="b">
        <f>AND(IF(metadata!E737="",FALSE,TRUE),EXACT(metadata!E737,"built environment"))</f>
        <v>0</v>
      </c>
      <c r="U737" t="b">
        <f>OR(AND(IF(metadata!F737="",FALSE,TRUE),EXACT(metadata!F737,"not applicable")),AND(IF(metadata!F737="",FALSE,TRUE),EXACT(metadata!F737,"anaerobic digester content")))</f>
        <v>0</v>
      </c>
    </row>
    <row r="738" spans="1:21" x14ac:dyDescent="0.2">
      <c r="A738" s="4" t="str">
        <f ca="1">IF(B738=" "," ",HYPERLINK(CONCATENATE("#metadata!",ADDRESS(INDEX($L$2:$L$1001,MATCH(ROWS($J$2:J738),$J$2:$J$1001,0),0),1)),INDEX($O$2:$O$1001,MATCH(ROWS($J$2:J738),$J$2:$J$1001,0),0)))</f>
        <v xml:space="preserve"> </v>
      </c>
      <c r="B738" s="3" t="str">
        <f ca="1">IF(OR(INDEX($K$2:$K$1001,MATCH(ROWS($J$2:J738),$J$2:$J$1001,0),1)&gt;=100000,INDEX($Q$1005:$U$1005,1,MATCH(COLUMNS($Q$1006:Q1006),$Q$1006:$U$1006,0))&gt;=100000), " ",IF(INDEX($Q$2:$U$1001,MATCH(ROWS($J$2:J738),$J$2:$J$1001,0),MATCH(COLUMNS($Q$1006:Q1006),$Q$1006:$U$1006,0)), HYPERLINK("#",""), HYPERLINK(CONCATENATE("#metadata!", ADDRESS(INDEX($L$2:$L$1001,MATCH(ROWS($J$2:J738),$J$2:$J$1001,0),0), INDEX($Q$1004:$U$1004,1,MATCH(COLUMNS($Q$1006:Q1006),$Q$1006:$U$1006,0)))),"Fix")))</f>
        <v xml:space="preserve"> </v>
      </c>
      <c r="C738" s="3" t="str">
        <f ca="1">IF(OR(INDEX($K$2:$K$1001,MATCH(ROWS($J$2:J738),$J$2:$J$1001,0),1)&gt;=100000,INDEX($Q$1005:$U$1005,1,MATCH(COLUMNS($Q$1006:R1006),$Q$1006:$U$1006,0))&gt;=100000), " ",IF(INDEX($Q$2:$U$1001,MATCH(ROWS($J$2:J738),$J$2:$J$1001,0),MATCH(COLUMNS($Q$1006:R1006),$Q$1006:$U$1006,0)), HYPERLINK("#",""), HYPERLINK(CONCATENATE("#metadata!", ADDRESS(INDEX($L$2:$L$1001,MATCH(ROWS($J$2:J738),$J$2:$J$1001,0),0), INDEX($Q$1004:$U$1004,1,MATCH(COLUMNS($Q$1006:R1006),$Q$1006:$U$1006,0)))),"Fix")))</f>
        <v xml:space="preserve"> </v>
      </c>
      <c r="D738" s="3" t="str">
        <f ca="1">IF(OR(INDEX($K$2:$K$1001,MATCH(ROWS($J$2:J738),$J$2:$J$1001,0),1)&gt;=100000,INDEX($Q$1005:$U$1005,1,MATCH(COLUMNS($Q$1006:S1006),$Q$1006:$U$1006,0))&gt;=100000), " ",IF(INDEX($Q$2:$U$1001,MATCH(ROWS($J$2:J738),$J$2:$J$1001,0),MATCH(COLUMNS($Q$1006:S1006),$Q$1006:$U$1006,0)), HYPERLINK("#",""), HYPERLINK(CONCATENATE("#metadata!", ADDRESS(INDEX($L$2:$L$1001,MATCH(ROWS($J$2:J738),$J$2:$J$1001,0),0), INDEX($Q$1004:$U$1004,1,MATCH(COLUMNS($Q$1006:S1006),$Q$1006:$U$1006,0)))),"Fix")))</f>
        <v xml:space="preserve"> </v>
      </c>
      <c r="E738" s="3" t="str">
        <f ca="1">IF(OR(INDEX($K$2:$K$1001,MATCH(ROWS($J$2:J738),$J$2:$J$1001,0),1)&gt;=100000,INDEX($Q$1005:$U$1005,1,MATCH(COLUMNS($Q$1006:T1006),$Q$1006:$U$1006,0))&gt;=100000), " ",IF(INDEX($Q$2:$U$1001,MATCH(ROWS($J$2:J738),$J$2:$J$1001,0),MATCH(COLUMNS($Q$1006:T1006),$Q$1006:$U$1006,0)), HYPERLINK("#",""), HYPERLINK(CONCATENATE("#metadata!", ADDRESS(INDEX($L$2:$L$1001,MATCH(ROWS($J$2:J738),$J$2:$J$1001,0),0), INDEX($Q$1004:$U$1004,1,MATCH(COLUMNS($Q$1006:T1006),$Q$1006:$U$1006,0)))),"Fix")))</f>
        <v xml:space="preserve"> </v>
      </c>
      <c r="F738" s="3" t="str">
        <f ca="1">IF(OR(INDEX($K$2:$K$1001,MATCH(ROWS($J$2:J738),$J$2:$J$1001,0),1)&gt;=100000,INDEX($Q$1005:$U$1005,1,MATCH(COLUMNS($Q$1006:U1006),$Q$1006:$U$1006,0))&gt;=100000), " ",IF(INDEX($Q$2:$U$1001,MATCH(ROWS($J$2:J738),$J$2:$J$1001,0),MATCH(COLUMNS($Q$1006:U1006),$Q$1006:$U$1006,0)), HYPERLINK("#",""), HYPERLINK(CONCATENATE("#metadata!", ADDRESS(INDEX($L$2:$L$1001,MATCH(ROWS($J$2:J738),$J$2:$J$1001,0),0), INDEX($Q$1004:$U$1004,1,MATCH(COLUMNS($Q$1006:U1006),$Q$1006:$U$1006,0)))),"Fix")))</f>
        <v xml:space="preserve"> </v>
      </c>
      <c r="J738">
        <v>737</v>
      </c>
      <c r="K738">
        <v>100738</v>
      </c>
      <c r="L738">
        <v>738</v>
      </c>
      <c r="M738" t="b">
        <f t="shared" si="11"/>
        <v>1</v>
      </c>
      <c r="N738" t="b">
        <f>COUNTBLANK(metadata!B738:F738)=COLUMNS(metadata!B738:F738)</f>
        <v>1</v>
      </c>
      <c r="O738" t="str">
        <v/>
      </c>
      <c r="Q738" t="b">
        <f ca="1">AND(IF(metadata!B738="",FALSE,TRUE),COUNTIF(metadata!B:B, metadata!B738) = 1,NOT(ISERROR(SUMPRODUCT(SEARCH(MID(metadata!B738,ROW(INDIRECT("1:"&amp;LEN(metadata!B738))), 1),"0123456789abcdefghijklmnopqrstuvwxyzABCDEFGHIJKLMNOPQRSTUVWXYZ.")))))</f>
        <v>0</v>
      </c>
      <c r="R738" t="b">
        <f>AND(IF(metadata!C738="",FALSE,TRUE),OR(EXACT(metadata!C738,"saline"),EXACT(metadata!C738,"non-saline")))</f>
        <v>0</v>
      </c>
      <c r="S738" t="b">
        <f>AND(IF(metadata!D738="",FALSE,TRUE),OR(EXACT(metadata!D738,"surface (non-saline)"),EXACT(metadata!D738,"aerosol (non-saline)"),EXACT(metadata!D738,"sediment (non-saline)"),EXACT(metadata!D738,"surface (saline)"),EXACT(metadata!D738,"aerosol (saline)"),EXACT(metadata!D738,"sediment (saline)")))</f>
        <v>0</v>
      </c>
      <c r="T738" t="b">
        <f>AND(IF(metadata!E738="",FALSE,TRUE),EXACT(metadata!E738,"built environment"))</f>
        <v>0</v>
      </c>
      <c r="U738" t="b">
        <f>OR(AND(IF(metadata!F738="",FALSE,TRUE),EXACT(metadata!F738,"not applicable")),AND(IF(metadata!F738="",FALSE,TRUE),EXACT(metadata!F738,"anaerobic digester content")))</f>
        <v>0</v>
      </c>
    </row>
    <row r="739" spans="1:21" x14ac:dyDescent="0.2">
      <c r="A739" s="4" t="str">
        <f ca="1">IF(B739=" "," ",HYPERLINK(CONCATENATE("#metadata!",ADDRESS(INDEX($L$2:$L$1001,MATCH(ROWS($J$2:J739),$J$2:$J$1001,0),0),1)),INDEX($O$2:$O$1001,MATCH(ROWS($J$2:J739),$J$2:$J$1001,0),0)))</f>
        <v xml:space="preserve"> </v>
      </c>
      <c r="B739" s="3" t="str">
        <f ca="1">IF(OR(INDEX($K$2:$K$1001,MATCH(ROWS($J$2:J739),$J$2:$J$1001,0),1)&gt;=100000,INDEX($Q$1005:$U$1005,1,MATCH(COLUMNS($Q$1006:Q1006),$Q$1006:$U$1006,0))&gt;=100000), " ",IF(INDEX($Q$2:$U$1001,MATCH(ROWS($J$2:J739),$J$2:$J$1001,0),MATCH(COLUMNS($Q$1006:Q1006),$Q$1006:$U$1006,0)), HYPERLINK("#",""), HYPERLINK(CONCATENATE("#metadata!", ADDRESS(INDEX($L$2:$L$1001,MATCH(ROWS($J$2:J739),$J$2:$J$1001,0),0), INDEX($Q$1004:$U$1004,1,MATCH(COLUMNS($Q$1006:Q1006),$Q$1006:$U$1006,0)))),"Fix")))</f>
        <v xml:space="preserve"> </v>
      </c>
      <c r="C739" s="3" t="str">
        <f ca="1">IF(OR(INDEX($K$2:$K$1001,MATCH(ROWS($J$2:J739),$J$2:$J$1001,0),1)&gt;=100000,INDEX($Q$1005:$U$1005,1,MATCH(COLUMNS($Q$1006:R1006),$Q$1006:$U$1006,0))&gt;=100000), " ",IF(INDEX($Q$2:$U$1001,MATCH(ROWS($J$2:J739),$J$2:$J$1001,0),MATCH(COLUMNS($Q$1006:R1006),$Q$1006:$U$1006,0)), HYPERLINK("#",""), HYPERLINK(CONCATENATE("#metadata!", ADDRESS(INDEX($L$2:$L$1001,MATCH(ROWS($J$2:J739),$J$2:$J$1001,0),0), INDEX($Q$1004:$U$1004,1,MATCH(COLUMNS($Q$1006:R1006),$Q$1006:$U$1006,0)))),"Fix")))</f>
        <v xml:space="preserve"> </v>
      </c>
      <c r="D739" s="3" t="str">
        <f ca="1">IF(OR(INDEX($K$2:$K$1001,MATCH(ROWS($J$2:J739),$J$2:$J$1001,0),1)&gt;=100000,INDEX($Q$1005:$U$1005,1,MATCH(COLUMNS($Q$1006:S1006),$Q$1006:$U$1006,0))&gt;=100000), " ",IF(INDEX($Q$2:$U$1001,MATCH(ROWS($J$2:J739),$J$2:$J$1001,0),MATCH(COLUMNS($Q$1006:S1006),$Q$1006:$U$1006,0)), HYPERLINK("#",""), HYPERLINK(CONCATENATE("#metadata!", ADDRESS(INDEX($L$2:$L$1001,MATCH(ROWS($J$2:J739),$J$2:$J$1001,0),0), INDEX($Q$1004:$U$1004,1,MATCH(COLUMNS($Q$1006:S1006),$Q$1006:$U$1006,0)))),"Fix")))</f>
        <v xml:space="preserve"> </v>
      </c>
      <c r="E739" s="3" t="str">
        <f ca="1">IF(OR(INDEX($K$2:$K$1001,MATCH(ROWS($J$2:J739),$J$2:$J$1001,0),1)&gt;=100000,INDEX($Q$1005:$U$1005,1,MATCH(COLUMNS($Q$1006:T1006),$Q$1006:$U$1006,0))&gt;=100000), " ",IF(INDEX($Q$2:$U$1001,MATCH(ROWS($J$2:J739),$J$2:$J$1001,0),MATCH(COLUMNS($Q$1006:T1006),$Q$1006:$U$1006,0)), HYPERLINK("#",""), HYPERLINK(CONCATENATE("#metadata!", ADDRESS(INDEX($L$2:$L$1001,MATCH(ROWS($J$2:J739),$J$2:$J$1001,0),0), INDEX($Q$1004:$U$1004,1,MATCH(COLUMNS($Q$1006:T1006),$Q$1006:$U$1006,0)))),"Fix")))</f>
        <v xml:space="preserve"> </v>
      </c>
      <c r="F739" s="3" t="str">
        <f ca="1">IF(OR(INDEX($K$2:$K$1001,MATCH(ROWS($J$2:J739),$J$2:$J$1001,0),1)&gt;=100000,INDEX($Q$1005:$U$1005,1,MATCH(COLUMNS($Q$1006:U1006),$Q$1006:$U$1006,0))&gt;=100000), " ",IF(INDEX($Q$2:$U$1001,MATCH(ROWS($J$2:J739),$J$2:$J$1001,0),MATCH(COLUMNS($Q$1006:U1006),$Q$1006:$U$1006,0)), HYPERLINK("#",""), HYPERLINK(CONCATENATE("#metadata!", ADDRESS(INDEX($L$2:$L$1001,MATCH(ROWS($J$2:J739),$J$2:$J$1001,0),0), INDEX($Q$1004:$U$1004,1,MATCH(COLUMNS($Q$1006:U1006),$Q$1006:$U$1006,0)))),"Fix")))</f>
        <v xml:space="preserve"> </v>
      </c>
      <c r="J739">
        <v>738</v>
      </c>
      <c r="K739">
        <v>100739</v>
      </c>
      <c r="L739">
        <v>739</v>
      </c>
      <c r="M739" t="b">
        <f t="shared" si="11"/>
        <v>1</v>
      </c>
      <c r="N739" t="b">
        <f>COUNTBLANK(metadata!B739:F739)=COLUMNS(metadata!B739:F739)</f>
        <v>1</v>
      </c>
      <c r="O739" t="str">
        <v/>
      </c>
      <c r="Q739" t="b">
        <f ca="1">AND(IF(metadata!B739="",FALSE,TRUE),COUNTIF(metadata!B:B, metadata!B739) = 1,NOT(ISERROR(SUMPRODUCT(SEARCH(MID(metadata!B739,ROW(INDIRECT("1:"&amp;LEN(metadata!B739))), 1),"0123456789abcdefghijklmnopqrstuvwxyzABCDEFGHIJKLMNOPQRSTUVWXYZ.")))))</f>
        <v>0</v>
      </c>
      <c r="R739" t="b">
        <f>AND(IF(metadata!C739="",FALSE,TRUE),OR(EXACT(metadata!C739,"saline"),EXACT(metadata!C739,"non-saline")))</f>
        <v>0</v>
      </c>
      <c r="S739" t="b">
        <f>AND(IF(metadata!D739="",FALSE,TRUE),OR(EXACT(metadata!D739,"surface (non-saline)"),EXACT(metadata!D739,"aerosol (non-saline)"),EXACT(metadata!D739,"sediment (non-saline)"),EXACT(metadata!D739,"surface (saline)"),EXACT(metadata!D739,"aerosol (saline)"),EXACT(metadata!D739,"sediment (saline)")))</f>
        <v>0</v>
      </c>
      <c r="T739" t="b">
        <f>AND(IF(metadata!E739="",FALSE,TRUE),EXACT(metadata!E739,"built environment"))</f>
        <v>0</v>
      </c>
      <c r="U739" t="b">
        <f>OR(AND(IF(metadata!F739="",FALSE,TRUE),EXACT(metadata!F739,"not applicable")),AND(IF(metadata!F739="",FALSE,TRUE),EXACT(metadata!F739,"anaerobic digester content")))</f>
        <v>0</v>
      </c>
    </row>
    <row r="740" spans="1:21" x14ac:dyDescent="0.2">
      <c r="A740" s="4" t="str">
        <f ca="1">IF(B740=" "," ",HYPERLINK(CONCATENATE("#metadata!",ADDRESS(INDEX($L$2:$L$1001,MATCH(ROWS($J$2:J740),$J$2:$J$1001,0),0),1)),INDEX($O$2:$O$1001,MATCH(ROWS($J$2:J740),$J$2:$J$1001,0),0)))</f>
        <v xml:space="preserve"> </v>
      </c>
      <c r="B740" s="3" t="str">
        <f ca="1">IF(OR(INDEX($K$2:$K$1001,MATCH(ROWS($J$2:J740),$J$2:$J$1001,0),1)&gt;=100000,INDEX($Q$1005:$U$1005,1,MATCH(COLUMNS($Q$1006:Q1006),$Q$1006:$U$1006,0))&gt;=100000), " ",IF(INDEX($Q$2:$U$1001,MATCH(ROWS($J$2:J740),$J$2:$J$1001,0),MATCH(COLUMNS($Q$1006:Q1006),$Q$1006:$U$1006,0)), HYPERLINK("#",""), HYPERLINK(CONCATENATE("#metadata!", ADDRESS(INDEX($L$2:$L$1001,MATCH(ROWS($J$2:J740),$J$2:$J$1001,0),0), INDEX($Q$1004:$U$1004,1,MATCH(COLUMNS($Q$1006:Q1006),$Q$1006:$U$1006,0)))),"Fix")))</f>
        <v xml:space="preserve"> </v>
      </c>
      <c r="C740" s="3" t="str">
        <f ca="1">IF(OR(INDEX($K$2:$K$1001,MATCH(ROWS($J$2:J740),$J$2:$J$1001,0),1)&gt;=100000,INDEX($Q$1005:$U$1005,1,MATCH(COLUMNS($Q$1006:R1006),$Q$1006:$U$1006,0))&gt;=100000), " ",IF(INDEX($Q$2:$U$1001,MATCH(ROWS($J$2:J740),$J$2:$J$1001,0),MATCH(COLUMNS($Q$1006:R1006),$Q$1006:$U$1006,0)), HYPERLINK("#",""), HYPERLINK(CONCATENATE("#metadata!", ADDRESS(INDEX($L$2:$L$1001,MATCH(ROWS($J$2:J740),$J$2:$J$1001,0),0), INDEX($Q$1004:$U$1004,1,MATCH(COLUMNS($Q$1006:R1006),$Q$1006:$U$1006,0)))),"Fix")))</f>
        <v xml:space="preserve"> </v>
      </c>
      <c r="D740" s="3" t="str">
        <f ca="1">IF(OR(INDEX($K$2:$K$1001,MATCH(ROWS($J$2:J740),$J$2:$J$1001,0),1)&gt;=100000,INDEX($Q$1005:$U$1005,1,MATCH(COLUMNS($Q$1006:S1006),$Q$1006:$U$1006,0))&gt;=100000), " ",IF(INDEX($Q$2:$U$1001,MATCH(ROWS($J$2:J740),$J$2:$J$1001,0),MATCH(COLUMNS($Q$1006:S1006),$Q$1006:$U$1006,0)), HYPERLINK("#",""), HYPERLINK(CONCATENATE("#metadata!", ADDRESS(INDEX($L$2:$L$1001,MATCH(ROWS($J$2:J740),$J$2:$J$1001,0),0), INDEX($Q$1004:$U$1004,1,MATCH(COLUMNS($Q$1006:S1006),$Q$1006:$U$1006,0)))),"Fix")))</f>
        <v xml:space="preserve"> </v>
      </c>
      <c r="E740" s="3" t="str">
        <f ca="1">IF(OR(INDEX($K$2:$K$1001,MATCH(ROWS($J$2:J740),$J$2:$J$1001,0),1)&gt;=100000,INDEX($Q$1005:$U$1005,1,MATCH(COLUMNS($Q$1006:T1006),$Q$1006:$U$1006,0))&gt;=100000), " ",IF(INDEX($Q$2:$U$1001,MATCH(ROWS($J$2:J740),$J$2:$J$1001,0),MATCH(COLUMNS($Q$1006:T1006),$Q$1006:$U$1006,0)), HYPERLINK("#",""), HYPERLINK(CONCATENATE("#metadata!", ADDRESS(INDEX($L$2:$L$1001,MATCH(ROWS($J$2:J740),$J$2:$J$1001,0),0), INDEX($Q$1004:$U$1004,1,MATCH(COLUMNS($Q$1006:T1006),$Q$1006:$U$1006,0)))),"Fix")))</f>
        <v xml:space="preserve"> </v>
      </c>
      <c r="F740" s="3" t="str">
        <f ca="1">IF(OR(INDEX($K$2:$K$1001,MATCH(ROWS($J$2:J740),$J$2:$J$1001,0),1)&gt;=100000,INDEX($Q$1005:$U$1005,1,MATCH(COLUMNS($Q$1006:U1006),$Q$1006:$U$1006,0))&gt;=100000), " ",IF(INDEX($Q$2:$U$1001,MATCH(ROWS($J$2:J740),$J$2:$J$1001,0),MATCH(COLUMNS($Q$1006:U1006),$Q$1006:$U$1006,0)), HYPERLINK("#",""), HYPERLINK(CONCATENATE("#metadata!", ADDRESS(INDEX($L$2:$L$1001,MATCH(ROWS($J$2:J740),$J$2:$J$1001,0),0), INDEX($Q$1004:$U$1004,1,MATCH(COLUMNS($Q$1006:U1006),$Q$1006:$U$1006,0)))),"Fix")))</f>
        <v xml:space="preserve"> </v>
      </c>
      <c r="J740">
        <v>739</v>
      </c>
      <c r="K740">
        <v>100740</v>
      </c>
      <c r="L740">
        <v>740</v>
      </c>
      <c r="M740" t="b">
        <f t="shared" si="11"/>
        <v>1</v>
      </c>
      <c r="N740" t="b">
        <f>COUNTBLANK(metadata!B740:F740)=COLUMNS(metadata!B740:F740)</f>
        <v>1</v>
      </c>
      <c r="O740" t="str">
        <v/>
      </c>
      <c r="Q740" t="b">
        <f ca="1">AND(IF(metadata!B740="",FALSE,TRUE),COUNTIF(metadata!B:B, metadata!B740) = 1,NOT(ISERROR(SUMPRODUCT(SEARCH(MID(metadata!B740,ROW(INDIRECT("1:"&amp;LEN(metadata!B740))), 1),"0123456789abcdefghijklmnopqrstuvwxyzABCDEFGHIJKLMNOPQRSTUVWXYZ.")))))</f>
        <v>0</v>
      </c>
      <c r="R740" t="b">
        <f>AND(IF(metadata!C740="",FALSE,TRUE),OR(EXACT(metadata!C740,"saline"),EXACT(metadata!C740,"non-saline")))</f>
        <v>0</v>
      </c>
      <c r="S740" t="b">
        <f>AND(IF(metadata!D740="",FALSE,TRUE),OR(EXACT(metadata!D740,"surface (non-saline)"),EXACT(metadata!D740,"aerosol (non-saline)"),EXACT(metadata!D740,"sediment (non-saline)"),EXACT(metadata!D740,"surface (saline)"),EXACT(metadata!D740,"aerosol (saline)"),EXACT(metadata!D740,"sediment (saline)")))</f>
        <v>0</v>
      </c>
      <c r="T740" t="b">
        <f>AND(IF(metadata!E740="",FALSE,TRUE),EXACT(metadata!E740,"built environment"))</f>
        <v>0</v>
      </c>
      <c r="U740" t="b">
        <f>OR(AND(IF(metadata!F740="",FALSE,TRUE),EXACT(metadata!F740,"not applicable")),AND(IF(metadata!F740="",FALSE,TRUE),EXACT(metadata!F740,"anaerobic digester content")))</f>
        <v>0</v>
      </c>
    </row>
    <row r="741" spans="1:21" x14ac:dyDescent="0.2">
      <c r="A741" s="4" t="str">
        <f ca="1">IF(B741=" "," ",HYPERLINK(CONCATENATE("#metadata!",ADDRESS(INDEX($L$2:$L$1001,MATCH(ROWS($J$2:J741),$J$2:$J$1001,0),0),1)),INDEX($O$2:$O$1001,MATCH(ROWS($J$2:J741),$J$2:$J$1001,0),0)))</f>
        <v xml:space="preserve"> </v>
      </c>
      <c r="B741" s="3" t="str">
        <f ca="1">IF(OR(INDEX($K$2:$K$1001,MATCH(ROWS($J$2:J741),$J$2:$J$1001,0),1)&gt;=100000,INDEX($Q$1005:$U$1005,1,MATCH(COLUMNS($Q$1006:Q1006),$Q$1006:$U$1006,0))&gt;=100000), " ",IF(INDEX($Q$2:$U$1001,MATCH(ROWS($J$2:J741),$J$2:$J$1001,0),MATCH(COLUMNS($Q$1006:Q1006),$Q$1006:$U$1006,0)), HYPERLINK("#",""), HYPERLINK(CONCATENATE("#metadata!", ADDRESS(INDEX($L$2:$L$1001,MATCH(ROWS($J$2:J741),$J$2:$J$1001,0),0), INDEX($Q$1004:$U$1004,1,MATCH(COLUMNS($Q$1006:Q1006),$Q$1006:$U$1006,0)))),"Fix")))</f>
        <v xml:space="preserve"> </v>
      </c>
      <c r="C741" s="3" t="str">
        <f ca="1">IF(OR(INDEX($K$2:$K$1001,MATCH(ROWS($J$2:J741),$J$2:$J$1001,0),1)&gt;=100000,INDEX($Q$1005:$U$1005,1,MATCH(COLUMNS($Q$1006:R1006),$Q$1006:$U$1006,0))&gt;=100000), " ",IF(INDEX($Q$2:$U$1001,MATCH(ROWS($J$2:J741),$J$2:$J$1001,0),MATCH(COLUMNS($Q$1006:R1006),$Q$1006:$U$1006,0)), HYPERLINK("#",""), HYPERLINK(CONCATENATE("#metadata!", ADDRESS(INDEX($L$2:$L$1001,MATCH(ROWS($J$2:J741),$J$2:$J$1001,0),0), INDEX($Q$1004:$U$1004,1,MATCH(COLUMNS($Q$1006:R1006),$Q$1006:$U$1006,0)))),"Fix")))</f>
        <v xml:space="preserve"> </v>
      </c>
      <c r="D741" s="3" t="str">
        <f ca="1">IF(OR(INDEX($K$2:$K$1001,MATCH(ROWS($J$2:J741),$J$2:$J$1001,0),1)&gt;=100000,INDEX($Q$1005:$U$1005,1,MATCH(COLUMNS($Q$1006:S1006),$Q$1006:$U$1006,0))&gt;=100000), " ",IF(INDEX($Q$2:$U$1001,MATCH(ROWS($J$2:J741),$J$2:$J$1001,0),MATCH(COLUMNS($Q$1006:S1006),$Q$1006:$U$1006,0)), HYPERLINK("#",""), HYPERLINK(CONCATENATE("#metadata!", ADDRESS(INDEX($L$2:$L$1001,MATCH(ROWS($J$2:J741),$J$2:$J$1001,0),0), INDEX($Q$1004:$U$1004,1,MATCH(COLUMNS($Q$1006:S1006),$Q$1006:$U$1006,0)))),"Fix")))</f>
        <v xml:space="preserve"> </v>
      </c>
      <c r="E741" s="3" t="str">
        <f ca="1">IF(OR(INDEX($K$2:$K$1001,MATCH(ROWS($J$2:J741),$J$2:$J$1001,0),1)&gt;=100000,INDEX($Q$1005:$U$1005,1,MATCH(COLUMNS($Q$1006:T1006),$Q$1006:$U$1006,0))&gt;=100000), " ",IF(INDEX($Q$2:$U$1001,MATCH(ROWS($J$2:J741),$J$2:$J$1001,0),MATCH(COLUMNS($Q$1006:T1006),$Q$1006:$U$1006,0)), HYPERLINK("#",""), HYPERLINK(CONCATENATE("#metadata!", ADDRESS(INDEX($L$2:$L$1001,MATCH(ROWS($J$2:J741),$J$2:$J$1001,0),0), INDEX($Q$1004:$U$1004,1,MATCH(COLUMNS($Q$1006:T1006),$Q$1006:$U$1006,0)))),"Fix")))</f>
        <v xml:space="preserve"> </v>
      </c>
      <c r="F741" s="3" t="str">
        <f ca="1">IF(OR(INDEX($K$2:$K$1001,MATCH(ROWS($J$2:J741),$J$2:$J$1001,0),1)&gt;=100000,INDEX($Q$1005:$U$1005,1,MATCH(COLUMNS($Q$1006:U1006),$Q$1006:$U$1006,0))&gt;=100000), " ",IF(INDEX($Q$2:$U$1001,MATCH(ROWS($J$2:J741),$J$2:$J$1001,0),MATCH(COLUMNS($Q$1006:U1006),$Q$1006:$U$1006,0)), HYPERLINK("#",""), HYPERLINK(CONCATENATE("#metadata!", ADDRESS(INDEX($L$2:$L$1001,MATCH(ROWS($J$2:J741),$J$2:$J$1001,0),0), INDEX($Q$1004:$U$1004,1,MATCH(COLUMNS($Q$1006:U1006),$Q$1006:$U$1006,0)))),"Fix")))</f>
        <v xml:space="preserve"> </v>
      </c>
      <c r="J741">
        <v>740</v>
      </c>
      <c r="K741">
        <v>100741</v>
      </c>
      <c r="L741">
        <v>741</v>
      </c>
      <c r="M741" t="b">
        <f t="shared" si="11"/>
        <v>1</v>
      </c>
      <c r="N741" t="b">
        <f>COUNTBLANK(metadata!B741:F741)=COLUMNS(metadata!B741:F741)</f>
        <v>1</v>
      </c>
      <c r="O741" t="str">
        <v/>
      </c>
      <c r="Q741" t="b">
        <f ca="1">AND(IF(metadata!B741="",FALSE,TRUE),COUNTIF(metadata!B:B, metadata!B741) = 1,NOT(ISERROR(SUMPRODUCT(SEARCH(MID(metadata!B741,ROW(INDIRECT("1:"&amp;LEN(metadata!B741))), 1),"0123456789abcdefghijklmnopqrstuvwxyzABCDEFGHIJKLMNOPQRSTUVWXYZ.")))))</f>
        <v>0</v>
      </c>
      <c r="R741" t="b">
        <f>AND(IF(metadata!C741="",FALSE,TRUE),OR(EXACT(metadata!C741,"saline"),EXACT(metadata!C741,"non-saline")))</f>
        <v>0</v>
      </c>
      <c r="S741" t="b">
        <f>AND(IF(metadata!D741="",FALSE,TRUE),OR(EXACT(metadata!D741,"surface (non-saline)"),EXACT(metadata!D741,"aerosol (non-saline)"),EXACT(metadata!D741,"sediment (non-saline)"),EXACT(metadata!D741,"surface (saline)"),EXACT(metadata!D741,"aerosol (saline)"),EXACT(metadata!D741,"sediment (saline)")))</f>
        <v>0</v>
      </c>
      <c r="T741" t="b">
        <f>AND(IF(metadata!E741="",FALSE,TRUE),EXACT(metadata!E741,"built environment"))</f>
        <v>0</v>
      </c>
      <c r="U741" t="b">
        <f>OR(AND(IF(metadata!F741="",FALSE,TRUE),EXACT(metadata!F741,"not applicable")),AND(IF(metadata!F741="",FALSE,TRUE),EXACT(metadata!F741,"anaerobic digester content")))</f>
        <v>0</v>
      </c>
    </row>
    <row r="742" spans="1:21" x14ac:dyDescent="0.2">
      <c r="A742" s="4" t="str">
        <f ca="1">IF(B742=" "," ",HYPERLINK(CONCATENATE("#metadata!",ADDRESS(INDEX($L$2:$L$1001,MATCH(ROWS($J$2:J742),$J$2:$J$1001,0),0),1)),INDEX($O$2:$O$1001,MATCH(ROWS($J$2:J742),$J$2:$J$1001,0),0)))</f>
        <v xml:space="preserve"> </v>
      </c>
      <c r="B742" s="3" t="str">
        <f ca="1">IF(OR(INDEX($K$2:$K$1001,MATCH(ROWS($J$2:J742),$J$2:$J$1001,0),1)&gt;=100000,INDEX($Q$1005:$U$1005,1,MATCH(COLUMNS($Q$1006:Q1006),$Q$1006:$U$1006,0))&gt;=100000), " ",IF(INDEX($Q$2:$U$1001,MATCH(ROWS($J$2:J742),$J$2:$J$1001,0),MATCH(COLUMNS($Q$1006:Q1006),$Q$1006:$U$1006,0)), HYPERLINK("#",""), HYPERLINK(CONCATENATE("#metadata!", ADDRESS(INDEX($L$2:$L$1001,MATCH(ROWS($J$2:J742),$J$2:$J$1001,0),0), INDEX($Q$1004:$U$1004,1,MATCH(COLUMNS($Q$1006:Q1006),$Q$1006:$U$1006,0)))),"Fix")))</f>
        <v xml:space="preserve"> </v>
      </c>
      <c r="C742" s="3" t="str">
        <f ca="1">IF(OR(INDEX($K$2:$K$1001,MATCH(ROWS($J$2:J742),$J$2:$J$1001,0),1)&gt;=100000,INDEX($Q$1005:$U$1005,1,MATCH(COLUMNS($Q$1006:R1006),$Q$1006:$U$1006,0))&gt;=100000), " ",IF(INDEX($Q$2:$U$1001,MATCH(ROWS($J$2:J742),$J$2:$J$1001,0),MATCH(COLUMNS($Q$1006:R1006),$Q$1006:$U$1006,0)), HYPERLINK("#",""), HYPERLINK(CONCATENATE("#metadata!", ADDRESS(INDEX($L$2:$L$1001,MATCH(ROWS($J$2:J742),$J$2:$J$1001,0),0), INDEX($Q$1004:$U$1004,1,MATCH(COLUMNS($Q$1006:R1006),$Q$1006:$U$1006,0)))),"Fix")))</f>
        <v xml:space="preserve"> </v>
      </c>
      <c r="D742" s="3" t="str">
        <f ca="1">IF(OR(INDEX($K$2:$K$1001,MATCH(ROWS($J$2:J742),$J$2:$J$1001,0),1)&gt;=100000,INDEX($Q$1005:$U$1005,1,MATCH(COLUMNS($Q$1006:S1006),$Q$1006:$U$1006,0))&gt;=100000), " ",IF(INDEX($Q$2:$U$1001,MATCH(ROWS($J$2:J742),$J$2:$J$1001,0),MATCH(COLUMNS($Q$1006:S1006),$Q$1006:$U$1006,0)), HYPERLINK("#",""), HYPERLINK(CONCATENATE("#metadata!", ADDRESS(INDEX($L$2:$L$1001,MATCH(ROWS($J$2:J742),$J$2:$J$1001,0),0), INDEX($Q$1004:$U$1004,1,MATCH(COLUMNS($Q$1006:S1006),$Q$1006:$U$1006,0)))),"Fix")))</f>
        <v xml:space="preserve"> </v>
      </c>
      <c r="E742" s="3" t="str">
        <f ca="1">IF(OR(INDEX($K$2:$K$1001,MATCH(ROWS($J$2:J742),$J$2:$J$1001,0),1)&gt;=100000,INDEX($Q$1005:$U$1005,1,MATCH(COLUMNS($Q$1006:T1006),$Q$1006:$U$1006,0))&gt;=100000), " ",IF(INDEX($Q$2:$U$1001,MATCH(ROWS($J$2:J742),$J$2:$J$1001,0),MATCH(COLUMNS($Q$1006:T1006),$Q$1006:$U$1006,0)), HYPERLINK("#",""), HYPERLINK(CONCATENATE("#metadata!", ADDRESS(INDEX($L$2:$L$1001,MATCH(ROWS($J$2:J742),$J$2:$J$1001,0),0), INDEX($Q$1004:$U$1004,1,MATCH(COLUMNS($Q$1006:T1006),$Q$1006:$U$1006,0)))),"Fix")))</f>
        <v xml:space="preserve"> </v>
      </c>
      <c r="F742" s="3" t="str">
        <f ca="1">IF(OR(INDEX($K$2:$K$1001,MATCH(ROWS($J$2:J742),$J$2:$J$1001,0),1)&gt;=100000,INDEX($Q$1005:$U$1005,1,MATCH(COLUMNS($Q$1006:U1006),$Q$1006:$U$1006,0))&gt;=100000), " ",IF(INDEX($Q$2:$U$1001,MATCH(ROWS($J$2:J742),$J$2:$J$1001,0),MATCH(COLUMNS($Q$1006:U1006),$Q$1006:$U$1006,0)), HYPERLINK("#",""), HYPERLINK(CONCATENATE("#metadata!", ADDRESS(INDEX($L$2:$L$1001,MATCH(ROWS($J$2:J742),$J$2:$J$1001,0),0), INDEX($Q$1004:$U$1004,1,MATCH(COLUMNS($Q$1006:U1006),$Q$1006:$U$1006,0)))),"Fix")))</f>
        <v xml:space="preserve"> </v>
      </c>
      <c r="J742">
        <v>741</v>
      </c>
      <c r="K742">
        <v>100742</v>
      </c>
      <c r="L742">
        <v>742</v>
      </c>
      <c r="M742" t="b">
        <f t="shared" si="11"/>
        <v>1</v>
      </c>
      <c r="N742" t="b">
        <f>COUNTBLANK(metadata!B742:F742)=COLUMNS(metadata!B742:F742)</f>
        <v>1</v>
      </c>
      <c r="O742" t="str">
        <v/>
      </c>
      <c r="Q742" t="b">
        <f ca="1">AND(IF(metadata!B742="",FALSE,TRUE),COUNTIF(metadata!B:B, metadata!B742) = 1,NOT(ISERROR(SUMPRODUCT(SEARCH(MID(metadata!B742,ROW(INDIRECT("1:"&amp;LEN(metadata!B742))), 1),"0123456789abcdefghijklmnopqrstuvwxyzABCDEFGHIJKLMNOPQRSTUVWXYZ.")))))</f>
        <v>0</v>
      </c>
      <c r="R742" t="b">
        <f>AND(IF(metadata!C742="",FALSE,TRUE),OR(EXACT(metadata!C742,"saline"),EXACT(metadata!C742,"non-saline")))</f>
        <v>0</v>
      </c>
      <c r="S742" t="b">
        <f>AND(IF(metadata!D742="",FALSE,TRUE),OR(EXACT(metadata!D742,"surface (non-saline)"),EXACT(metadata!D742,"aerosol (non-saline)"),EXACT(metadata!D742,"sediment (non-saline)"),EXACT(metadata!D742,"surface (saline)"),EXACT(metadata!D742,"aerosol (saline)"),EXACT(metadata!D742,"sediment (saline)")))</f>
        <v>0</v>
      </c>
      <c r="T742" t="b">
        <f>AND(IF(metadata!E742="",FALSE,TRUE),EXACT(metadata!E742,"built environment"))</f>
        <v>0</v>
      </c>
      <c r="U742" t="b">
        <f>OR(AND(IF(metadata!F742="",FALSE,TRUE),EXACT(metadata!F742,"not applicable")),AND(IF(metadata!F742="",FALSE,TRUE),EXACT(metadata!F742,"anaerobic digester content")))</f>
        <v>0</v>
      </c>
    </row>
    <row r="743" spans="1:21" x14ac:dyDescent="0.2">
      <c r="A743" s="4" t="str">
        <f ca="1">IF(B743=" "," ",HYPERLINK(CONCATENATE("#metadata!",ADDRESS(INDEX($L$2:$L$1001,MATCH(ROWS($J$2:J743),$J$2:$J$1001,0),0),1)),INDEX($O$2:$O$1001,MATCH(ROWS($J$2:J743),$J$2:$J$1001,0),0)))</f>
        <v xml:space="preserve"> </v>
      </c>
      <c r="B743" s="3" t="str">
        <f ca="1">IF(OR(INDEX($K$2:$K$1001,MATCH(ROWS($J$2:J743),$J$2:$J$1001,0),1)&gt;=100000,INDEX($Q$1005:$U$1005,1,MATCH(COLUMNS($Q$1006:Q1006),$Q$1006:$U$1006,0))&gt;=100000), " ",IF(INDEX($Q$2:$U$1001,MATCH(ROWS($J$2:J743),$J$2:$J$1001,0),MATCH(COLUMNS($Q$1006:Q1006),$Q$1006:$U$1006,0)), HYPERLINK("#",""), HYPERLINK(CONCATENATE("#metadata!", ADDRESS(INDEX($L$2:$L$1001,MATCH(ROWS($J$2:J743),$J$2:$J$1001,0),0), INDEX($Q$1004:$U$1004,1,MATCH(COLUMNS($Q$1006:Q1006),$Q$1006:$U$1006,0)))),"Fix")))</f>
        <v xml:space="preserve"> </v>
      </c>
      <c r="C743" s="3" t="str">
        <f ca="1">IF(OR(INDEX($K$2:$K$1001,MATCH(ROWS($J$2:J743),$J$2:$J$1001,0),1)&gt;=100000,INDEX($Q$1005:$U$1005,1,MATCH(COLUMNS($Q$1006:R1006),$Q$1006:$U$1006,0))&gt;=100000), " ",IF(INDEX($Q$2:$U$1001,MATCH(ROWS($J$2:J743),$J$2:$J$1001,0),MATCH(COLUMNS($Q$1006:R1006),$Q$1006:$U$1006,0)), HYPERLINK("#",""), HYPERLINK(CONCATENATE("#metadata!", ADDRESS(INDEX($L$2:$L$1001,MATCH(ROWS($J$2:J743),$J$2:$J$1001,0),0), INDEX($Q$1004:$U$1004,1,MATCH(COLUMNS($Q$1006:R1006),$Q$1006:$U$1006,0)))),"Fix")))</f>
        <v xml:space="preserve"> </v>
      </c>
      <c r="D743" s="3" t="str">
        <f ca="1">IF(OR(INDEX($K$2:$K$1001,MATCH(ROWS($J$2:J743),$J$2:$J$1001,0),1)&gt;=100000,INDEX($Q$1005:$U$1005,1,MATCH(COLUMNS($Q$1006:S1006),$Q$1006:$U$1006,0))&gt;=100000), " ",IF(INDEX($Q$2:$U$1001,MATCH(ROWS($J$2:J743),$J$2:$J$1001,0),MATCH(COLUMNS($Q$1006:S1006),$Q$1006:$U$1006,0)), HYPERLINK("#",""), HYPERLINK(CONCATENATE("#metadata!", ADDRESS(INDEX($L$2:$L$1001,MATCH(ROWS($J$2:J743),$J$2:$J$1001,0),0), INDEX($Q$1004:$U$1004,1,MATCH(COLUMNS($Q$1006:S1006),$Q$1006:$U$1006,0)))),"Fix")))</f>
        <v xml:space="preserve"> </v>
      </c>
      <c r="E743" s="3" t="str">
        <f ca="1">IF(OR(INDEX($K$2:$K$1001,MATCH(ROWS($J$2:J743),$J$2:$J$1001,0),1)&gt;=100000,INDEX($Q$1005:$U$1005,1,MATCH(COLUMNS($Q$1006:T1006),$Q$1006:$U$1006,0))&gt;=100000), " ",IF(INDEX($Q$2:$U$1001,MATCH(ROWS($J$2:J743),$J$2:$J$1001,0),MATCH(COLUMNS($Q$1006:T1006),$Q$1006:$U$1006,0)), HYPERLINK("#",""), HYPERLINK(CONCATENATE("#metadata!", ADDRESS(INDEX($L$2:$L$1001,MATCH(ROWS($J$2:J743),$J$2:$J$1001,0),0), INDEX($Q$1004:$U$1004,1,MATCH(COLUMNS($Q$1006:T1006),$Q$1006:$U$1006,0)))),"Fix")))</f>
        <v xml:space="preserve"> </v>
      </c>
      <c r="F743" s="3" t="str">
        <f ca="1">IF(OR(INDEX($K$2:$K$1001,MATCH(ROWS($J$2:J743),$J$2:$J$1001,0),1)&gt;=100000,INDEX($Q$1005:$U$1005,1,MATCH(COLUMNS($Q$1006:U1006),$Q$1006:$U$1006,0))&gt;=100000), " ",IF(INDEX($Q$2:$U$1001,MATCH(ROWS($J$2:J743),$J$2:$J$1001,0),MATCH(COLUMNS($Q$1006:U1006),$Q$1006:$U$1006,0)), HYPERLINK("#",""), HYPERLINK(CONCATENATE("#metadata!", ADDRESS(INDEX($L$2:$L$1001,MATCH(ROWS($J$2:J743),$J$2:$J$1001,0),0), INDEX($Q$1004:$U$1004,1,MATCH(COLUMNS($Q$1006:U1006),$Q$1006:$U$1006,0)))),"Fix")))</f>
        <v xml:space="preserve"> </v>
      </c>
      <c r="J743">
        <v>742</v>
      </c>
      <c r="K743">
        <v>100743</v>
      </c>
      <c r="L743">
        <v>743</v>
      </c>
      <c r="M743" t="b">
        <f t="shared" si="11"/>
        <v>1</v>
      </c>
      <c r="N743" t="b">
        <f>COUNTBLANK(metadata!B743:F743)=COLUMNS(metadata!B743:F743)</f>
        <v>1</v>
      </c>
      <c r="O743" t="str">
        <v/>
      </c>
      <c r="Q743" t="b">
        <f ca="1">AND(IF(metadata!B743="",FALSE,TRUE),COUNTIF(metadata!B:B, metadata!B743) = 1,NOT(ISERROR(SUMPRODUCT(SEARCH(MID(metadata!B743,ROW(INDIRECT("1:"&amp;LEN(metadata!B743))), 1),"0123456789abcdefghijklmnopqrstuvwxyzABCDEFGHIJKLMNOPQRSTUVWXYZ.")))))</f>
        <v>0</v>
      </c>
      <c r="R743" t="b">
        <f>AND(IF(metadata!C743="",FALSE,TRUE),OR(EXACT(metadata!C743,"saline"),EXACT(metadata!C743,"non-saline")))</f>
        <v>0</v>
      </c>
      <c r="S743" t="b">
        <f>AND(IF(metadata!D743="",FALSE,TRUE),OR(EXACT(metadata!D743,"surface (non-saline)"),EXACT(metadata!D743,"aerosol (non-saline)"),EXACT(metadata!D743,"sediment (non-saline)"),EXACT(metadata!D743,"surface (saline)"),EXACT(metadata!D743,"aerosol (saline)"),EXACT(metadata!D743,"sediment (saline)")))</f>
        <v>0</v>
      </c>
      <c r="T743" t="b">
        <f>AND(IF(metadata!E743="",FALSE,TRUE),EXACT(metadata!E743,"built environment"))</f>
        <v>0</v>
      </c>
      <c r="U743" t="b">
        <f>OR(AND(IF(metadata!F743="",FALSE,TRUE),EXACT(metadata!F743,"not applicable")),AND(IF(metadata!F743="",FALSE,TRUE),EXACT(metadata!F743,"anaerobic digester content")))</f>
        <v>0</v>
      </c>
    </row>
    <row r="744" spans="1:21" x14ac:dyDescent="0.2">
      <c r="A744" s="4" t="str">
        <f ca="1">IF(B744=" "," ",HYPERLINK(CONCATENATE("#metadata!",ADDRESS(INDEX($L$2:$L$1001,MATCH(ROWS($J$2:J744),$J$2:$J$1001,0),0),1)),INDEX($O$2:$O$1001,MATCH(ROWS($J$2:J744),$J$2:$J$1001,0),0)))</f>
        <v xml:space="preserve"> </v>
      </c>
      <c r="B744" s="3" t="str">
        <f ca="1">IF(OR(INDEX($K$2:$K$1001,MATCH(ROWS($J$2:J744),$J$2:$J$1001,0),1)&gt;=100000,INDEX($Q$1005:$U$1005,1,MATCH(COLUMNS($Q$1006:Q1006),$Q$1006:$U$1006,0))&gt;=100000), " ",IF(INDEX($Q$2:$U$1001,MATCH(ROWS($J$2:J744),$J$2:$J$1001,0),MATCH(COLUMNS($Q$1006:Q1006),$Q$1006:$U$1006,0)), HYPERLINK("#",""), HYPERLINK(CONCATENATE("#metadata!", ADDRESS(INDEX($L$2:$L$1001,MATCH(ROWS($J$2:J744),$J$2:$J$1001,0),0), INDEX($Q$1004:$U$1004,1,MATCH(COLUMNS($Q$1006:Q1006),$Q$1006:$U$1006,0)))),"Fix")))</f>
        <v xml:space="preserve"> </v>
      </c>
      <c r="C744" s="3" t="str">
        <f ca="1">IF(OR(INDEX($K$2:$K$1001,MATCH(ROWS($J$2:J744),$J$2:$J$1001,0),1)&gt;=100000,INDEX($Q$1005:$U$1005,1,MATCH(COLUMNS($Q$1006:R1006),$Q$1006:$U$1006,0))&gt;=100000), " ",IF(INDEX($Q$2:$U$1001,MATCH(ROWS($J$2:J744),$J$2:$J$1001,0),MATCH(COLUMNS($Q$1006:R1006),$Q$1006:$U$1006,0)), HYPERLINK("#",""), HYPERLINK(CONCATENATE("#metadata!", ADDRESS(INDEX($L$2:$L$1001,MATCH(ROWS($J$2:J744),$J$2:$J$1001,0),0), INDEX($Q$1004:$U$1004,1,MATCH(COLUMNS($Q$1006:R1006),$Q$1006:$U$1006,0)))),"Fix")))</f>
        <v xml:space="preserve"> </v>
      </c>
      <c r="D744" s="3" t="str">
        <f ca="1">IF(OR(INDEX($K$2:$K$1001,MATCH(ROWS($J$2:J744),$J$2:$J$1001,0),1)&gt;=100000,INDEX($Q$1005:$U$1005,1,MATCH(COLUMNS($Q$1006:S1006),$Q$1006:$U$1006,0))&gt;=100000), " ",IF(INDEX($Q$2:$U$1001,MATCH(ROWS($J$2:J744),$J$2:$J$1001,0),MATCH(COLUMNS($Q$1006:S1006),$Q$1006:$U$1006,0)), HYPERLINK("#",""), HYPERLINK(CONCATENATE("#metadata!", ADDRESS(INDEX($L$2:$L$1001,MATCH(ROWS($J$2:J744),$J$2:$J$1001,0),0), INDEX($Q$1004:$U$1004,1,MATCH(COLUMNS($Q$1006:S1006),$Q$1006:$U$1006,0)))),"Fix")))</f>
        <v xml:space="preserve"> </v>
      </c>
      <c r="E744" s="3" t="str">
        <f ca="1">IF(OR(INDEX($K$2:$K$1001,MATCH(ROWS($J$2:J744),$J$2:$J$1001,0),1)&gt;=100000,INDEX($Q$1005:$U$1005,1,MATCH(COLUMNS($Q$1006:T1006),$Q$1006:$U$1006,0))&gt;=100000), " ",IF(INDEX($Q$2:$U$1001,MATCH(ROWS($J$2:J744),$J$2:$J$1001,0),MATCH(COLUMNS($Q$1006:T1006),$Q$1006:$U$1006,0)), HYPERLINK("#",""), HYPERLINK(CONCATENATE("#metadata!", ADDRESS(INDEX($L$2:$L$1001,MATCH(ROWS($J$2:J744),$J$2:$J$1001,0),0), INDEX($Q$1004:$U$1004,1,MATCH(COLUMNS($Q$1006:T1006),$Q$1006:$U$1006,0)))),"Fix")))</f>
        <v xml:space="preserve"> </v>
      </c>
      <c r="F744" s="3" t="str">
        <f ca="1">IF(OR(INDEX($K$2:$K$1001,MATCH(ROWS($J$2:J744),$J$2:$J$1001,0),1)&gt;=100000,INDEX($Q$1005:$U$1005,1,MATCH(COLUMNS($Q$1006:U1006),$Q$1006:$U$1006,0))&gt;=100000), " ",IF(INDEX($Q$2:$U$1001,MATCH(ROWS($J$2:J744),$J$2:$J$1001,0),MATCH(COLUMNS($Q$1006:U1006),$Q$1006:$U$1006,0)), HYPERLINK("#",""), HYPERLINK(CONCATENATE("#metadata!", ADDRESS(INDEX($L$2:$L$1001,MATCH(ROWS($J$2:J744),$J$2:$J$1001,0),0), INDEX($Q$1004:$U$1004,1,MATCH(COLUMNS($Q$1006:U1006),$Q$1006:$U$1006,0)))),"Fix")))</f>
        <v xml:space="preserve"> </v>
      </c>
      <c r="J744">
        <v>743</v>
      </c>
      <c r="K744">
        <v>100744</v>
      </c>
      <c r="L744">
        <v>744</v>
      </c>
      <c r="M744" t="b">
        <f t="shared" si="11"/>
        <v>1</v>
      </c>
      <c r="N744" t="b">
        <f>COUNTBLANK(metadata!B744:F744)=COLUMNS(metadata!B744:F744)</f>
        <v>1</v>
      </c>
      <c r="O744" t="str">
        <v/>
      </c>
      <c r="Q744" t="b">
        <f ca="1">AND(IF(metadata!B744="",FALSE,TRUE),COUNTIF(metadata!B:B, metadata!B744) = 1,NOT(ISERROR(SUMPRODUCT(SEARCH(MID(metadata!B744,ROW(INDIRECT("1:"&amp;LEN(metadata!B744))), 1),"0123456789abcdefghijklmnopqrstuvwxyzABCDEFGHIJKLMNOPQRSTUVWXYZ.")))))</f>
        <v>0</v>
      </c>
      <c r="R744" t="b">
        <f>AND(IF(metadata!C744="",FALSE,TRUE),OR(EXACT(metadata!C744,"saline"),EXACT(metadata!C744,"non-saline")))</f>
        <v>0</v>
      </c>
      <c r="S744" t="b">
        <f>AND(IF(metadata!D744="",FALSE,TRUE),OR(EXACT(metadata!D744,"surface (non-saline)"),EXACT(metadata!D744,"aerosol (non-saline)"),EXACT(metadata!D744,"sediment (non-saline)"),EXACT(metadata!D744,"surface (saline)"),EXACT(metadata!D744,"aerosol (saline)"),EXACT(metadata!D744,"sediment (saline)")))</f>
        <v>0</v>
      </c>
      <c r="T744" t="b">
        <f>AND(IF(metadata!E744="",FALSE,TRUE),EXACT(metadata!E744,"built environment"))</f>
        <v>0</v>
      </c>
      <c r="U744" t="b">
        <f>OR(AND(IF(metadata!F744="",FALSE,TRUE),EXACT(metadata!F744,"not applicable")),AND(IF(metadata!F744="",FALSE,TRUE),EXACT(metadata!F744,"anaerobic digester content")))</f>
        <v>0</v>
      </c>
    </row>
    <row r="745" spans="1:21" x14ac:dyDescent="0.2">
      <c r="A745" s="4" t="str">
        <f ca="1">IF(B745=" "," ",HYPERLINK(CONCATENATE("#metadata!",ADDRESS(INDEX($L$2:$L$1001,MATCH(ROWS($J$2:J745),$J$2:$J$1001,0),0),1)),INDEX($O$2:$O$1001,MATCH(ROWS($J$2:J745),$J$2:$J$1001,0),0)))</f>
        <v xml:space="preserve"> </v>
      </c>
      <c r="B745" s="3" t="str">
        <f ca="1">IF(OR(INDEX($K$2:$K$1001,MATCH(ROWS($J$2:J745),$J$2:$J$1001,0),1)&gt;=100000,INDEX($Q$1005:$U$1005,1,MATCH(COLUMNS($Q$1006:Q1006),$Q$1006:$U$1006,0))&gt;=100000), " ",IF(INDEX($Q$2:$U$1001,MATCH(ROWS($J$2:J745),$J$2:$J$1001,0),MATCH(COLUMNS($Q$1006:Q1006),$Q$1006:$U$1006,0)), HYPERLINK("#",""), HYPERLINK(CONCATENATE("#metadata!", ADDRESS(INDEX($L$2:$L$1001,MATCH(ROWS($J$2:J745),$J$2:$J$1001,0),0), INDEX($Q$1004:$U$1004,1,MATCH(COLUMNS($Q$1006:Q1006),$Q$1006:$U$1006,0)))),"Fix")))</f>
        <v xml:space="preserve"> </v>
      </c>
      <c r="C745" s="3" t="str">
        <f ca="1">IF(OR(INDEX($K$2:$K$1001,MATCH(ROWS($J$2:J745),$J$2:$J$1001,0),1)&gt;=100000,INDEX($Q$1005:$U$1005,1,MATCH(COLUMNS($Q$1006:R1006),$Q$1006:$U$1006,0))&gt;=100000), " ",IF(INDEX($Q$2:$U$1001,MATCH(ROWS($J$2:J745),$J$2:$J$1001,0),MATCH(COLUMNS($Q$1006:R1006),$Q$1006:$U$1006,0)), HYPERLINK("#",""), HYPERLINK(CONCATENATE("#metadata!", ADDRESS(INDEX($L$2:$L$1001,MATCH(ROWS($J$2:J745),$J$2:$J$1001,0),0), INDEX($Q$1004:$U$1004,1,MATCH(COLUMNS($Q$1006:R1006),$Q$1006:$U$1006,0)))),"Fix")))</f>
        <v xml:space="preserve"> </v>
      </c>
      <c r="D745" s="3" t="str">
        <f ca="1">IF(OR(INDEX($K$2:$K$1001,MATCH(ROWS($J$2:J745),$J$2:$J$1001,0),1)&gt;=100000,INDEX($Q$1005:$U$1005,1,MATCH(COLUMNS($Q$1006:S1006),$Q$1006:$U$1006,0))&gt;=100000), " ",IF(INDEX($Q$2:$U$1001,MATCH(ROWS($J$2:J745),$J$2:$J$1001,0),MATCH(COLUMNS($Q$1006:S1006),$Q$1006:$U$1006,0)), HYPERLINK("#",""), HYPERLINK(CONCATENATE("#metadata!", ADDRESS(INDEX($L$2:$L$1001,MATCH(ROWS($J$2:J745),$J$2:$J$1001,0),0), INDEX($Q$1004:$U$1004,1,MATCH(COLUMNS($Q$1006:S1006),$Q$1006:$U$1006,0)))),"Fix")))</f>
        <v xml:space="preserve"> </v>
      </c>
      <c r="E745" s="3" t="str">
        <f ca="1">IF(OR(INDEX($K$2:$K$1001,MATCH(ROWS($J$2:J745),$J$2:$J$1001,0),1)&gt;=100000,INDEX($Q$1005:$U$1005,1,MATCH(COLUMNS($Q$1006:T1006),$Q$1006:$U$1006,0))&gt;=100000), " ",IF(INDEX($Q$2:$U$1001,MATCH(ROWS($J$2:J745),$J$2:$J$1001,0),MATCH(COLUMNS($Q$1006:T1006),$Q$1006:$U$1006,0)), HYPERLINK("#",""), HYPERLINK(CONCATENATE("#metadata!", ADDRESS(INDEX($L$2:$L$1001,MATCH(ROWS($J$2:J745),$J$2:$J$1001,0),0), INDEX($Q$1004:$U$1004,1,MATCH(COLUMNS($Q$1006:T1006),$Q$1006:$U$1006,0)))),"Fix")))</f>
        <v xml:space="preserve"> </v>
      </c>
      <c r="F745" s="3" t="str">
        <f ca="1">IF(OR(INDEX($K$2:$K$1001,MATCH(ROWS($J$2:J745),$J$2:$J$1001,0),1)&gt;=100000,INDEX($Q$1005:$U$1005,1,MATCH(COLUMNS($Q$1006:U1006),$Q$1006:$U$1006,0))&gt;=100000), " ",IF(INDEX($Q$2:$U$1001,MATCH(ROWS($J$2:J745),$J$2:$J$1001,0),MATCH(COLUMNS($Q$1006:U1006),$Q$1006:$U$1006,0)), HYPERLINK("#",""), HYPERLINK(CONCATENATE("#metadata!", ADDRESS(INDEX($L$2:$L$1001,MATCH(ROWS($J$2:J745),$J$2:$J$1001,0),0), INDEX($Q$1004:$U$1004,1,MATCH(COLUMNS($Q$1006:U1006),$Q$1006:$U$1006,0)))),"Fix")))</f>
        <v xml:space="preserve"> </v>
      </c>
      <c r="J745">
        <v>744</v>
      </c>
      <c r="K745">
        <v>100745</v>
      </c>
      <c r="L745">
        <v>745</v>
      </c>
      <c r="M745" t="b">
        <f t="shared" si="11"/>
        <v>1</v>
      </c>
      <c r="N745" t="b">
        <f>COUNTBLANK(metadata!B745:F745)=COLUMNS(metadata!B745:F745)</f>
        <v>1</v>
      </c>
      <c r="O745" t="str">
        <v/>
      </c>
      <c r="Q745" t="b">
        <f ca="1">AND(IF(metadata!B745="",FALSE,TRUE),COUNTIF(metadata!B:B, metadata!B745) = 1,NOT(ISERROR(SUMPRODUCT(SEARCH(MID(metadata!B745,ROW(INDIRECT("1:"&amp;LEN(metadata!B745))), 1),"0123456789abcdefghijklmnopqrstuvwxyzABCDEFGHIJKLMNOPQRSTUVWXYZ.")))))</f>
        <v>0</v>
      </c>
      <c r="R745" t="b">
        <f>AND(IF(metadata!C745="",FALSE,TRUE),OR(EXACT(metadata!C745,"saline"),EXACT(metadata!C745,"non-saline")))</f>
        <v>0</v>
      </c>
      <c r="S745" t="b">
        <f>AND(IF(metadata!D745="",FALSE,TRUE),OR(EXACT(metadata!D745,"surface (non-saline)"),EXACT(metadata!D745,"aerosol (non-saline)"),EXACT(metadata!D745,"sediment (non-saline)"),EXACT(metadata!D745,"surface (saline)"),EXACT(metadata!D745,"aerosol (saline)"),EXACT(metadata!D745,"sediment (saline)")))</f>
        <v>0</v>
      </c>
      <c r="T745" t="b">
        <f>AND(IF(metadata!E745="",FALSE,TRUE),EXACT(metadata!E745,"built environment"))</f>
        <v>0</v>
      </c>
      <c r="U745" t="b">
        <f>OR(AND(IF(metadata!F745="",FALSE,TRUE),EXACT(metadata!F745,"not applicable")),AND(IF(metadata!F745="",FALSE,TRUE),EXACT(metadata!F745,"anaerobic digester content")))</f>
        <v>0</v>
      </c>
    </row>
    <row r="746" spans="1:21" x14ac:dyDescent="0.2">
      <c r="A746" s="4" t="str">
        <f ca="1">IF(B746=" "," ",HYPERLINK(CONCATENATE("#metadata!",ADDRESS(INDEX($L$2:$L$1001,MATCH(ROWS($J$2:J746),$J$2:$J$1001,0),0),1)),INDEX($O$2:$O$1001,MATCH(ROWS($J$2:J746),$J$2:$J$1001,0),0)))</f>
        <v xml:space="preserve"> </v>
      </c>
      <c r="B746" s="3" t="str">
        <f ca="1">IF(OR(INDEX($K$2:$K$1001,MATCH(ROWS($J$2:J746),$J$2:$J$1001,0),1)&gt;=100000,INDEX($Q$1005:$U$1005,1,MATCH(COLUMNS($Q$1006:Q1006),$Q$1006:$U$1006,0))&gt;=100000), " ",IF(INDEX($Q$2:$U$1001,MATCH(ROWS($J$2:J746),$J$2:$J$1001,0),MATCH(COLUMNS($Q$1006:Q1006),$Q$1006:$U$1006,0)), HYPERLINK("#",""), HYPERLINK(CONCATENATE("#metadata!", ADDRESS(INDEX($L$2:$L$1001,MATCH(ROWS($J$2:J746),$J$2:$J$1001,0),0), INDEX($Q$1004:$U$1004,1,MATCH(COLUMNS($Q$1006:Q1006),$Q$1006:$U$1006,0)))),"Fix")))</f>
        <v xml:space="preserve"> </v>
      </c>
      <c r="C746" s="3" t="str">
        <f ca="1">IF(OR(INDEX($K$2:$K$1001,MATCH(ROWS($J$2:J746),$J$2:$J$1001,0),1)&gt;=100000,INDEX($Q$1005:$U$1005,1,MATCH(COLUMNS($Q$1006:R1006),$Q$1006:$U$1006,0))&gt;=100000), " ",IF(INDEX($Q$2:$U$1001,MATCH(ROWS($J$2:J746),$J$2:$J$1001,0),MATCH(COLUMNS($Q$1006:R1006),$Q$1006:$U$1006,0)), HYPERLINK("#",""), HYPERLINK(CONCATENATE("#metadata!", ADDRESS(INDEX($L$2:$L$1001,MATCH(ROWS($J$2:J746),$J$2:$J$1001,0),0), INDEX($Q$1004:$U$1004,1,MATCH(COLUMNS($Q$1006:R1006),$Q$1006:$U$1006,0)))),"Fix")))</f>
        <v xml:space="preserve"> </v>
      </c>
      <c r="D746" s="3" t="str">
        <f ca="1">IF(OR(INDEX($K$2:$K$1001,MATCH(ROWS($J$2:J746),$J$2:$J$1001,0),1)&gt;=100000,INDEX($Q$1005:$U$1005,1,MATCH(COLUMNS($Q$1006:S1006),$Q$1006:$U$1006,0))&gt;=100000), " ",IF(INDEX($Q$2:$U$1001,MATCH(ROWS($J$2:J746),$J$2:$J$1001,0),MATCH(COLUMNS($Q$1006:S1006),$Q$1006:$U$1006,0)), HYPERLINK("#",""), HYPERLINK(CONCATENATE("#metadata!", ADDRESS(INDEX($L$2:$L$1001,MATCH(ROWS($J$2:J746),$J$2:$J$1001,0),0), INDEX($Q$1004:$U$1004,1,MATCH(COLUMNS($Q$1006:S1006),$Q$1006:$U$1006,0)))),"Fix")))</f>
        <v xml:space="preserve"> </v>
      </c>
      <c r="E746" s="3" t="str">
        <f ca="1">IF(OR(INDEX($K$2:$K$1001,MATCH(ROWS($J$2:J746),$J$2:$J$1001,0),1)&gt;=100000,INDEX($Q$1005:$U$1005,1,MATCH(COLUMNS($Q$1006:T1006),$Q$1006:$U$1006,0))&gt;=100000), " ",IF(INDEX($Q$2:$U$1001,MATCH(ROWS($J$2:J746),$J$2:$J$1001,0),MATCH(COLUMNS($Q$1006:T1006),$Q$1006:$U$1006,0)), HYPERLINK("#",""), HYPERLINK(CONCATENATE("#metadata!", ADDRESS(INDEX($L$2:$L$1001,MATCH(ROWS($J$2:J746),$J$2:$J$1001,0),0), INDEX($Q$1004:$U$1004,1,MATCH(COLUMNS($Q$1006:T1006),$Q$1006:$U$1006,0)))),"Fix")))</f>
        <v xml:space="preserve"> </v>
      </c>
      <c r="F746" s="3" t="str">
        <f ca="1">IF(OR(INDEX($K$2:$K$1001,MATCH(ROWS($J$2:J746),$J$2:$J$1001,0),1)&gt;=100000,INDEX($Q$1005:$U$1005,1,MATCH(COLUMNS($Q$1006:U1006),$Q$1006:$U$1006,0))&gt;=100000), " ",IF(INDEX($Q$2:$U$1001,MATCH(ROWS($J$2:J746),$J$2:$J$1001,0),MATCH(COLUMNS($Q$1006:U1006),$Q$1006:$U$1006,0)), HYPERLINK("#",""), HYPERLINK(CONCATENATE("#metadata!", ADDRESS(INDEX($L$2:$L$1001,MATCH(ROWS($J$2:J746),$J$2:$J$1001,0),0), INDEX($Q$1004:$U$1004,1,MATCH(COLUMNS($Q$1006:U1006),$Q$1006:$U$1006,0)))),"Fix")))</f>
        <v xml:space="preserve"> </v>
      </c>
      <c r="J746">
        <v>745</v>
      </c>
      <c r="K746">
        <v>100746</v>
      </c>
      <c r="L746">
        <v>746</v>
      </c>
      <c r="M746" t="b">
        <f t="shared" si="11"/>
        <v>1</v>
      </c>
      <c r="N746" t="b">
        <f>COUNTBLANK(metadata!B746:F746)=COLUMNS(metadata!B746:F746)</f>
        <v>1</v>
      </c>
      <c r="O746" t="str">
        <v/>
      </c>
      <c r="Q746" t="b">
        <f ca="1">AND(IF(metadata!B746="",FALSE,TRUE),COUNTIF(metadata!B:B, metadata!B746) = 1,NOT(ISERROR(SUMPRODUCT(SEARCH(MID(metadata!B746,ROW(INDIRECT("1:"&amp;LEN(metadata!B746))), 1),"0123456789abcdefghijklmnopqrstuvwxyzABCDEFGHIJKLMNOPQRSTUVWXYZ.")))))</f>
        <v>0</v>
      </c>
      <c r="R746" t="b">
        <f>AND(IF(metadata!C746="",FALSE,TRUE),OR(EXACT(metadata!C746,"saline"),EXACT(metadata!C746,"non-saline")))</f>
        <v>0</v>
      </c>
      <c r="S746" t="b">
        <f>AND(IF(metadata!D746="",FALSE,TRUE),OR(EXACT(metadata!D746,"surface (non-saline)"),EXACT(metadata!D746,"aerosol (non-saline)"),EXACT(metadata!D746,"sediment (non-saline)"),EXACT(metadata!D746,"surface (saline)"),EXACT(metadata!D746,"aerosol (saline)"),EXACT(metadata!D746,"sediment (saline)")))</f>
        <v>0</v>
      </c>
      <c r="T746" t="b">
        <f>AND(IF(metadata!E746="",FALSE,TRUE),EXACT(metadata!E746,"built environment"))</f>
        <v>0</v>
      </c>
      <c r="U746" t="b">
        <f>OR(AND(IF(metadata!F746="",FALSE,TRUE),EXACT(metadata!F746,"not applicable")),AND(IF(metadata!F746="",FALSE,TRUE),EXACT(metadata!F746,"anaerobic digester content")))</f>
        <v>0</v>
      </c>
    </row>
    <row r="747" spans="1:21" x14ac:dyDescent="0.2">
      <c r="A747" s="4" t="str">
        <f ca="1">IF(B747=" "," ",HYPERLINK(CONCATENATE("#metadata!",ADDRESS(INDEX($L$2:$L$1001,MATCH(ROWS($J$2:J747),$J$2:$J$1001,0),0),1)),INDEX($O$2:$O$1001,MATCH(ROWS($J$2:J747),$J$2:$J$1001,0),0)))</f>
        <v xml:space="preserve"> </v>
      </c>
      <c r="B747" s="3" t="str">
        <f ca="1">IF(OR(INDEX($K$2:$K$1001,MATCH(ROWS($J$2:J747),$J$2:$J$1001,0),1)&gt;=100000,INDEX($Q$1005:$U$1005,1,MATCH(COLUMNS($Q$1006:Q1006),$Q$1006:$U$1006,0))&gt;=100000), " ",IF(INDEX($Q$2:$U$1001,MATCH(ROWS($J$2:J747),$J$2:$J$1001,0),MATCH(COLUMNS($Q$1006:Q1006),$Q$1006:$U$1006,0)), HYPERLINK("#",""), HYPERLINK(CONCATENATE("#metadata!", ADDRESS(INDEX($L$2:$L$1001,MATCH(ROWS($J$2:J747),$J$2:$J$1001,0),0), INDEX($Q$1004:$U$1004,1,MATCH(COLUMNS($Q$1006:Q1006),$Q$1006:$U$1006,0)))),"Fix")))</f>
        <v xml:space="preserve"> </v>
      </c>
      <c r="C747" s="3" t="str">
        <f ca="1">IF(OR(INDEX($K$2:$K$1001,MATCH(ROWS($J$2:J747),$J$2:$J$1001,0),1)&gt;=100000,INDEX($Q$1005:$U$1005,1,MATCH(COLUMNS($Q$1006:R1006),$Q$1006:$U$1006,0))&gt;=100000), " ",IF(INDEX($Q$2:$U$1001,MATCH(ROWS($J$2:J747),$J$2:$J$1001,0),MATCH(COLUMNS($Q$1006:R1006),$Q$1006:$U$1006,0)), HYPERLINK("#",""), HYPERLINK(CONCATENATE("#metadata!", ADDRESS(INDEX($L$2:$L$1001,MATCH(ROWS($J$2:J747),$J$2:$J$1001,0),0), INDEX($Q$1004:$U$1004,1,MATCH(COLUMNS($Q$1006:R1006),$Q$1006:$U$1006,0)))),"Fix")))</f>
        <v xml:space="preserve"> </v>
      </c>
      <c r="D747" s="3" t="str">
        <f ca="1">IF(OR(INDEX($K$2:$K$1001,MATCH(ROWS($J$2:J747),$J$2:$J$1001,0),1)&gt;=100000,INDEX($Q$1005:$U$1005,1,MATCH(COLUMNS($Q$1006:S1006),$Q$1006:$U$1006,0))&gt;=100000), " ",IF(INDEX($Q$2:$U$1001,MATCH(ROWS($J$2:J747),$J$2:$J$1001,0),MATCH(COLUMNS($Q$1006:S1006),$Q$1006:$U$1006,0)), HYPERLINK("#",""), HYPERLINK(CONCATENATE("#metadata!", ADDRESS(INDEX($L$2:$L$1001,MATCH(ROWS($J$2:J747),$J$2:$J$1001,0),0), INDEX($Q$1004:$U$1004,1,MATCH(COLUMNS($Q$1006:S1006),$Q$1006:$U$1006,0)))),"Fix")))</f>
        <v xml:space="preserve"> </v>
      </c>
      <c r="E747" s="3" t="str">
        <f ca="1">IF(OR(INDEX($K$2:$K$1001,MATCH(ROWS($J$2:J747),$J$2:$J$1001,0),1)&gt;=100000,INDEX($Q$1005:$U$1005,1,MATCH(COLUMNS($Q$1006:T1006),$Q$1006:$U$1006,0))&gt;=100000), " ",IF(INDEX($Q$2:$U$1001,MATCH(ROWS($J$2:J747),$J$2:$J$1001,0),MATCH(COLUMNS($Q$1006:T1006),$Q$1006:$U$1006,0)), HYPERLINK("#",""), HYPERLINK(CONCATENATE("#metadata!", ADDRESS(INDEX($L$2:$L$1001,MATCH(ROWS($J$2:J747),$J$2:$J$1001,0),0), INDEX($Q$1004:$U$1004,1,MATCH(COLUMNS($Q$1006:T1006),$Q$1006:$U$1006,0)))),"Fix")))</f>
        <v xml:space="preserve"> </v>
      </c>
      <c r="F747" s="3" t="str">
        <f ca="1">IF(OR(INDEX($K$2:$K$1001,MATCH(ROWS($J$2:J747),$J$2:$J$1001,0),1)&gt;=100000,INDEX($Q$1005:$U$1005,1,MATCH(COLUMNS($Q$1006:U1006),$Q$1006:$U$1006,0))&gt;=100000), " ",IF(INDEX($Q$2:$U$1001,MATCH(ROWS($J$2:J747),$J$2:$J$1001,0),MATCH(COLUMNS($Q$1006:U1006),$Q$1006:$U$1006,0)), HYPERLINK("#",""), HYPERLINK(CONCATENATE("#metadata!", ADDRESS(INDEX($L$2:$L$1001,MATCH(ROWS($J$2:J747),$J$2:$J$1001,0),0), INDEX($Q$1004:$U$1004,1,MATCH(COLUMNS($Q$1006:U1006),$Q$1006:$U$1006,0)))),"Fix")))</f>
        <v xml:space="preserve"> </v>
      </c>
      <c r="J747">
        <v>746</v>
      </c>
      <c r="K747">
        <v>100747</v>
      </c>
      <c r="L747">
        <v>747</v>
      </c>
      <c r="M747" t="b">
        <f t="shared" si="11"/>
        <v>1</v>
      </c>
      <c r="N747" t="b">
        <f>COUNTBLANK(metadata!B747:F747)=COLUMNS(metadata!B747:F747)</f>
        <v>1</v>
      </c>
      <c r="O747" t="str">
        <v/>
      </c>
      <c r="Q747" t="b">
        <f ca="1">AND(IF(metadata!B747="",FALSE,TRUE),COUNTIF(metadata!B:B, metadata!B747) = 1,NOT(ISERROR(SUMPRODUCT(SEARCH(MID(metadata!B747,ROW(INDIRECT("1:"&amp;LEN(metadata!B747))), 1),"0123456789abcdefghijklmnopqrstuvwxyzABCDEFGHIJKLMNOPQRSTUVWXYZ.")))))</f>
        <v>0</v>
      </c>
      <c r="R747" t="b">
        <f>AND(IF(metadata!C747="",FALSE,TRUE),OR(EXACT(metadata!C747,"saline"),EXACT(metadata!C747,"non-saline")))</f>
        <v>0</v>
      </c>
      <c r="S747" t="b">
        <f>AND(IF(metadata!D747="",FALSE,TRUE),OR(EXACT(metadata!D747,"surface (non-saline)"),EXACT(metadata!D747,"aerosol (non-saline)"),EXACT(metadata!D747,"sediment (non-saline)"),EXACT(metadata!D747,"surface (saline)"),EXACT(metadata!D747,"aerosol (saline)"),EXACT(metadata!D747,"sediment (saline)")))</f>
        <v>0</v>
      </c>
      <c r="T747" t="b">
        <f>AND(IF(metadata!E747="",FALSE,TRUE),EXACT(metadata!E747,"built environment"))</f>
        <v>0</v>
      </c>
      <c r="U747" t="b">
        <f>OR(AND(IF(metadata!F747="",FALSE,TRUE),EXACT(metadata!F747,"not applicable")),AND(IF(metadata!F747="",FALSE,TRUE),EXACT(metadata!F747,"anaerobic digester content")))</f>
        <v>0</v>
      </c>
    </row>
    <row r="748" spans="1:21" x14ac:dyDescent="0.2">
      <c r="A748" s="4" t="str">
        <f ca="1">IF(B748=" "," ",HYPERLINK(CONCATENATE("#metadata!",ADDRESS(INDEX($L$2:$L$1001,MATCH(ROWS($J$2:J748),$J$2:$J$1001,0),0),1)),INDEX($O$2:$O$1001,MATCH(ROWS($J$2:J748),$J$2:$J$1001,0),0)))</f>
        <v xml:space="preserve"> </v>
      </c>
      <c r="B748" s="3" t="str">
        <f ca="1">IF(OR(INDEX($K$2:$K$1001,MATCH(ROWS($J$2:J748),$J$2:$J$1001,0),1)&gt;=100000,INDEX($Q$1005:$U$1005,1,MATCH(COLUMNS($Q$1006:Q1006),$Q$1006:$U$1006,0))&gt;=100000), " ",IF(INDEX($Q$2:$U$1001,MATCH(ROWS($J$2:J748),$J$2:$J$1001,0),MATCH(COLUMNS($Q$1006:Q1006),$Q$1006:$U$1006,0)), HYPERLINK("#",""), HYPERLINK(CONCATENATE("#metadata!", ADDRESS(INDEX($L$2:$L$1001,MATCH(ROWS($J$2:J748),$J$2:$J$1001,0),0), INDEX($Q$1004:$U$1004,1,MATCH(COLUMNS($Q$1006:Q1006),$Q$1006:$U$1006,0)))),"Fix")))</f>
        <v xml:space="preserve"> </v>
      </c>
      <c r="C748" s="3" t="str">
        <f ca="1">IF(OR(INDEX($K$2:$K$1001,MATCH(ROWS($J$2:J748),$J$2:$J$1001,0),1)&gt;=100000,INDEX($Q$1005:$U$1005,1,MATCH(COLUMNS($Q$1006:R1006),$Q$1006:$U$1006,0))&gt;=100000), " ",IF(INDEX($Q$2:$U$1001,MATCH(ROWS($J$2:J748),$J$2:$J$1001,0),MATCH(COLUMNS($Q$1006:R1006),$Q$1006:$U$1006,0)), HYPERLINK("#",""), HYPERLINK(CONCATENATE("#metadata!", ADDRESS(INDEX($L$2:$L$1001,MATCH(ROWS($J$2:J748),$J$2:$J$1001,0),0), INDEX($Q$1004:$U$1004,1,MATCH(COLUMNS($Q$1006:R1006),$Q$1006:$U$1006,0)))),"Fix")))</f>
        <v xml:space="preserve"> </v>
      </c>
      <c r="D748" s="3" t="str">
        <f ca="1">IF(OR(INDEX($K$2:$K$1001,MATCH(ROWS($J$2:J748),$J$2:$J$1001,0),1)&gt;=100000,INDEX($Q$1005:$U$1005,1,MATCH(COLUMNS($Q$1006:S1006),$Q$1006:$U$1006,0))&gt;=100000), " ",IF(INDEX($Q$2:$U$1001,MATCH(ROWS($J$2:J748),$J$2:$J$1001,0),MATCH(COLUMNS($Q$1006:S1006),$Q$1006:$U$1006,0)), HYPERLINK("#",""), HYPERLINK(CONCATENATE("#metadata!", ADDRESS(INDEX($L$2:$L$1001,MATCH(ROWS($J$2:J748),$J$2:$J$1001,0),0), INDEX($Q$1004:$U$1004,1,MATCH(COLUMNS($Q$1006:S1006),$Q$1006:$U$1006,0)))),"Fix")))</f>
        <v xml:space="preserve"> </v>
      </c>
      <c r="E748" s="3" t="str">
        <f ca="1">IF(OR(INDEX($K$2:$K$1001,MATCH(ROWS($J$2:J748),$J$2:$J$1001,0),1)&gt;=100000,INDEX($Q$1005:$U$1005,1,MATCH(COLUMNS($Q$1006:T1006),$Q$1006:$U$1006,0))&gt;=100000), " ",IF(INDEX($Q$2:$U$1001,MATCH(ROWS($J$2:J748),$J$2:$J$1001,0),MATCH(COLUMNS($Q$1006:T1006),$Q$1006:$U$1006,0)), HYPERLINK("#",""), HYPERLINK(CONCATENATE("#metadata!", ADDRESS(INDEX($L$2:$L$1001,MATCH(ROWS($J$2:J748),$J$2:$J$1001,0),0), INDEX($Q$1004:$U$1004,1,MATCH(COLUMNS($Q$1006:T1006),$Q$1006:$U$1006,0)))),"Fix")))</f>
        <v xml:space="preserve"> </v>
      </c>
      <c r="F748" s="3" t="str">
        <f ca="1">IF(OR(INDEX($K$2:$K$1001,MATCH(ROWS($J$2:J748),$J$2:$J$1001,0),1)&gt;=100000,INDEX($Q$1005:$U$1005,1,MATCH(COLUMNS($Q$1006:U1006),$Q$1006:$U$1006,0))&gt;=100000), " ",IF(INDEX($Q$2:$U$1001,MATCH(ROWS($J$2:J748),$J$2:$J$1001,0),MATCH(COLUMNS($Q$1006:U1006),$Q$1006:$U$1006,0)), HYPERLINK("#",""), HYPERLINK(CONCATENATE("#metadata!", ADDRESS(INDEX($L$2:$L$1001,MATCH(ROWS($J$2:J748),$J$2:$J$1001,0),0), INDEX($Q$1004:$U$1004,1,MATCH(COLUMNS($Q$1006:U1006),$Q$1006:$U$1006,0)))),"Fix")))</f>
        <v xml:space="preserve"> </v>
      </c>
      <c r="J748">
        <v>747</v>
      </c>
      <c r="K748">
        <v>100748</v>
      </c>
      <c r="L748">
        <v>748</v>
      </c>
      <c r="M748" t="b">
        <f t="shared" si="11"/>
        <v>1</v>
      </c>
      <c r="N748" t="b">
        <f>COUNTBLANK(metadata!B748:F748)=COLUMNS(metadata!B748:F748)</f>
        <v>1</v>
      </c>
      <c r="O748" t="str">
        <v/>
      </c>
      <c r="Q748" t="b">
        <f ca="1">AND(IF(metadata!B748="",FALSE,TRUE),COUNTIF(metadata!B:B, metadata!B748) = 1,NOT(ISERROR(SUMPRODUCT(SEARCH(MID(metadata!B748,ROW(INDIRECT("1:"&amp;LEN(metadata!B748))), 1),"0123456789abcdefghijklmnopqrstuvwxyzABCDEFGHIJKLMNOPQRSTUVWXYZ.")))))</f>
        <v>0</v>
      </c>
      <c r="R748" t="b">
        <f>AND(IF(metadata!C748="",FALSE,TRUE),OR(EXACT(metadata!C748,"saline"),EXACT(metadata!C748,"non-saline")))</f>
        <v>0</v>
      </c>
      <c r="S748" t="b">
        <f>AND(IF(metadata!D748="",FALSE,TRUE),OR(EXACT(metadata!D748,"surface (non-saline)"),EXACT(metadata!D748,"aerosol (non-saline)"),EXACT(metadata!D748,"sediment (non-saline)"),EXACT(metadata!D748,"surface (saline)"),EXACT(metadata!D748,"aerosol (saline)"),EXACT(metadata!D748,"sediment (saline)")))</f>
        <v>0</v>
      </c>
      <c r="T748" t="b">
        <f>AND(IF(metadata!E748="",FALSE,TRUE),EXACT(metadata!E748,"built environment"))</f>
        <v>0</v>
      </c>
      <c r="U748" t="b">
        <f>OR(AND(IF(metadata!F748="",FALSE,TRUE),EXACT(metadata!F748,"not applicable")),AND(IF(metadata!F748="",FALSE,TRUE),EXACT(metadata!F748,"anaerobic digester content")))</f>
        <v>0</v>
      </c>
    </row>
    <row r="749" spans="1:21" x14ac:dyDescent="0.2">
      <c r="A749" s="4" t="str">
        <f ca="1">IF(B749=" "," ",HYPERLINK(CONCATENATE("#metadata!",ADDRESS(INDEX($L$2:$L$1001,MATCH(ROWS($J$2:J749),$J$2:$J$1001,0),0),1)),INDEX($O$2:$O$1001,MATCH(ROWS($J$2:J749),$J$2:$J$1001,0),0)))</f>
        <v xml:space="preserve"> </v>
      </c>
      <c r="B749" s="3" t="str">
        <f ca="1">IF(OR(INDEX($K$2:$K$1001,MATCH(ROWS($J$2:J749),$J$2:$J$1001,0),1)&gt;=100000,INDEX($Q$1005:$U$1005,1,MATCH(COLUMNS($Q$1006:Q1006),$Q$1006:$U$1006,0))&gt;=100000), " ",IF(INDEX($Q$2:$U$1001,MATCH(ROWS($J$2:J749),$J$2:$J$1001,0),MATCH(COLUMNS($Q$1006:Q1006),$Q$1006:$U$1006,0)), HYPERLINK("#",""), HYPERLINK(CONCATENATE("#metadata!", ADDRESS(INDEX($L$2:$L$1001,MATCH(ROWS($J$2:J749),$J$2:$J$1001,0),0), INDEX($Q$1004:$U$1004,1,MATCH(COLUMNS($Q$1006:Q1006),$Q$1006:$U$1006,0)))),"Fix")))</f>
        <v xml:space="preserve"> </v>
      </c>
      <c r="C749" s="3" t="str">
        <f ca="1">IF(OR(INDEX($K$2:$K$1001,MATCH(ROWS($J$2:J749),$J$2:$J$1001,0),1)&gt;=100000,INDEX($Q$1005:$U$1005,1,MATCH(COLUMNS($Q$1006:R1006),$Q$1006:$U$1006,0))&gt;=100000), " ",IF(INDEX($Q$2:$U$1001,MATCH(ROWS($J$2:J749),$J$2:$J$1001,0),MATCH(COLUMNS($Q$1006:R1006),$Q$1006:$U$1006,0)), HYPERLINK("#",""), HYPERLINK(CONCATENATE("#metadata!", ADDRESS(INDEX($L$2:$L$1001,MATCH(ROWS($J$2:J749),$J$2:$J$1001,0),0), INDEX($Q$1004:$U$1004,1,MATCH(COLUMNS($Q$1006:R1006),$Q$1006:$U$1006,0)))),"Fix")))</f>
        <v xml:space="preserve"> </v>
      </c>
      <c r="D749" s="3" t="str">
        <f ca="1">IF(OR(INDEX($K$2:$K$1001,MATCH(ROWS($J$2:J749),$J$2:$J$1001,0),1)&gt;=100000,INDEX($Q$1005:$U$1005,1,MATCH(COLUMNS($Q$1006:S1006),$Q$1006:$U$1006,0))&gt;=100000), " ",IF(INDEX($Q$2:$U$1001,MATCH(ROWS($J$2:J749),$J$2:$J$1001,0),MATCH(COLUMNS($Q$1006:S1006),$Q$1006:$U$1006,0)), HYPERLINK("#",""), HYPERLINK(CONCATENATE("#metadata!", ADDRESS(INDEX($L$2:$L$1001,MATCH(ROWS($J$2:J749),$J$2:$J$1001,0),0), INDEX($Q$1004:$U$1004,1,MATCH(COLUMNS($Q$1006:S1006),$Q$1006:$U$1006,0)))),"Fix")))</f>
        <v xml:space="preserve"> </v>
      </c>
      <c r="E749" s="3" t="str">
        <f ca="1">IF(OR(INDEX($K$2:$K$1001,MATCH(ROWS($J$2:J749),$J$2:$J$1001,0),1)&gt;=100000,INDEX($Q$1005:$U$1005,1,MATCH(COLUMNS($Q$1006:T1006),$Q$1006:$U$1006,0))&gt;=100000), " ",IF(INDEX($Q$2:$U$1001,MATCH(ROWS($J$2:J749),$J$2:$J$1001,0),MATCH(COLUMNS($Q$1006:T1006),$Q$1006:$U$1006,0)), HYPERLINK("#",""), HYPERLINK(CONCATENATE("#metadata!", ADDRESS(INDEX($L$2:$L$1001,MATCH(ROWS($J$2:J749),$J$2:$J$1001,0),0), INDEX($Q$1004:$U$1004,1,MATCH(COLUMNS($Q$1006:T1006),$Q$1006:$U$1006,0)))),"Fix")))</f>
        <v xml:space="preserve"> </v>
      </c>
      <c r="F749" s="3" t="str">
        <f ca="1">IF(OR(INDEX($K$2:$K$1001,MATCH(ROWS($J$2:J749),$J$2:$J$1001,0),1)&gt;=100000,INDEX($Q$1005:$U$1005,1,MATCH(COLUMNS($Q$1006:U1006),$Q$1006:$U$1006,0))&gt;=100000), " ",IF(INDEX($Q$2:$U$1001,MATCH(ROWS($J$2:J749),$J$2:$J$1001,0),MATCH(COLUMNS($Q$1006:U1006),$Q$1006:$U$1006,0)), HYPERLINK("#",""), HYPERLINK(CONCATENATE("#metadata!", ADDRESS(INDEX($L$2:$L$1001,MATCH(ROWS($J$2:J749),$J$2:$J$1001,0),0), INDEX($Q$1004:$U$1004,1,MATCH(COLUMNS($Q$1006:U1006),$Q$1006:$U$1006,0)))),"Fix")))</f>
        <v xml:space="preserve"> </v>
      </c>
      <c r="J749">
        <v>748</v>
      </c>
      <c r="K749">
        <v>100749</v>
      </c>
      <c r="L749">
        <v>749</v>
      </c>
      <c r="M749" t="b">
        <f t="shared" si="11"/>
        <v>1</v>
      </c>
      <c r="N749" t="b">
        <f>COUNTBLANK(metadata!B749:F749)=COLUMNS(metadata!B749:F749)</f>
        <v>1</v>
      </c>
      <c r="O749" t="str">
        <v/>
      </c>
      <c r="Q749" t="b">
        <f ca="1">AND(IF(metadata!B749="",FALSE,TRUE),COUNTIF(metadata!B:B, metadata!B749) = 1,NOT(ISERROR(SUMPRODUCT(SEARCH(MID(metadata!B749,ROW(INDIRECT("1:"&amp;LEN(metadata!B749))), 1),"0123456789abcdefghijklmnopqrstuvwxyzABCDEFGHIJKLMNOPQRSTUVWXYZ.")))))</f>
        <v>0</v>
      </c>
      <c r="R749" t="b">
        <f>AND(IF(metadata!C749="",FALSE,TRUE),OR(EXACT(metadata!C749,"saline"),EXACT(metadata!C749,"non-saline")))</f>
        <v>0</v>
      </c>
      <c r="S749" t="b">
        <f>AND(IF(metadata!D749="",FALSE,TRUE),OR(EXACT(metadata!D749,"surface (non-saline)"),EXACT(metadata!D749,"aerosol (non-saline)"),EXACT(metadata!D749,"sediment (non-saline)"),EXACT(metadata!D749,"surface (saline)"),EXACT(metadata!D749,"aerosol (saline)"),EXACT(metadata!D749,"sediment (saline)")))</f>
        <v>0</v>
      </c>
      <c r="T749" t="b">
        <f>AND(IF(metadata!E749="",FALSE,TRUE),EXACT(metadata!E749,"built environment"))</f>
        <v>0</v>
      </c>
      <c r="U749" t="b">
        <f>OR(AND(IF(metadata!F749="",FALSE,TRUE),EXACT(metadata!F749,"not applicable")),AND(IF(metadata!F749="",FALSE,TRUE),EXACT(metadata!F749,"anaerobic digester content")))</f>
        <v>0</v>
      </c>
    </row>
    <row r="750" spans="1:21" x14ac:dyDescent="0.2">
      <c r="A750" s="4" t="str">
        <f ca="1">IF(B750=" "," ",HYPERLINK(CONCATENATE("#metadata!",ADDRESS(INDEX($L$2:$L$1001,MATCH(ROWS($J$2:J750),$J$2:$J$1001,0),0),1)),INDEX($O$2:$O$1001,MATCH(ROWS($J$2:J750),$J$2:$J$1001,0),0)))</f>
        <v xml:space="preserve"> </v>
      </c>
      <c r="B750" s="3" t="str">
        <f ca="1">IF(OR(INDEX($K$2:$K$1001,MATCH(ROWS($J$2:J750),$J$2:$J$1001,0),1)&gt;=100000,INDEX($Q$1005:$U$1005,1,MATCH(COLUMNS($Q$1006:Q1006),$Q$1006:$U$1006,0))&gt;=100000), " ",IF(INDEX($Q$2:$U$1001,MATCH(ROWS($J$2:J750),$J$2:$J$1001,0),MATCH(COLUMNS($Q$1006:Q1006),$Q$1006:$U$1006,0)), HYPERLINK("#",""), HYPERLINK(CONCATENATE("#metadata!", ADDRESS(INDEX($L$2:$L$1001,MATCH(ROWS($J$2:J750),$J$2:$J$1001,0),0), INDEX($Q$1004:$U$1004,1,MATCH(COLUMNS($Q$1006:Q1006),$Q$1006:$U$1006,0)))),"Fix")))</f>
        <v xml:space="preserve"> </v>
      </c>
      <c r="C750" s="3" t="str">
        <f ca="1">IF(OR(INDEX($K$2:$K$1001,MATCH(ROWS($J$2:J750),$J$2:$J$1001,0),1)&gt;=100000,INDEX($Q$1005:$U$1005,1,MATCH(COLUMNS($Q$1006:R1006),$Q$1006:$U$1006,0))&gt;=100000), " ",IF(INDEX($Q$2:$U$1001,MATCH(ROWS($J$2:J750),$J$2:$J$1001,0),MATCH(COLUMNS($Q$1006:R1006),$Q$1006:$U$1006,0)), HYPERLINK("#",""), HYPERLINK(CONCATENATE("#metadata!", ADDRESS(INDEX($L$2:$L$1001,MATCH(ROWS($J$2:J750),$J$2:$J$1001,0),0), INDEX($Q$1004:$U$1004,1,MATCH(COLUMNS($Q$1006:R1006),$Q$1006:$U$1006,0)))),"Fix")))</f>
        <v xml:space="preserve"> </v>
      </c>
      <c r="D750" s="3" t="str">
        <f ca="1">IF(OR(INDEX($K$2:$K$1001,MATCH(ROWS($J$2:J750),$J$2:$J$1001,0),1)&gt;=100000,INDEX($Q$1005:$U$1005,1,MATCH(COLUMNS($Q$1006:S1006),$Q$1006:$U$1006,0))&gt;=100000), " ",IF(INDEX($Q$2:$U$1001,MATCH(ROWS($J$2:J750),$J$2:$J$1001,0),MATCH(COLUMNS($Q$1006:S1006),$Q$1006:$U$1006,0)), HYPERLINK("#",""), HYPERLINK(CONCATENATE("#metadata!", ADDRESS(INDEX($L$2:$L$1001,MATCH(ROWS($J$2:J750),$J$2:$J$1001,0),0), INDEX($Q$1004:$U$1004,1,MATCH(COLUMNS($Q$1006:S1006),$Q$1006:$U$1006,0)))),"Fix")))</f>
        <v xml:space="preserve"> </v>
      </c>
      <c r="E750" s="3" t="str">
        <f ca="1">IF(OR(INDEX($K$2:$K$1001,MATCH(ROWS($J$2:J750),$J$2:$J$1001,0),1)&gt;=100000,INDEX($Q$1005:$U$1005,1,MATCH(COLUMNS($Q$1006:T1006),$Q$1006:$U$1006,0))&gt;=100000), " ",IF(INDEX($Q$2:$U$1001,MATCH(ROWS($J$2:J750),$J$2:$J$1001,0),MATCH(COLUMNS($Q$1006:T1006),$Q$1006:$U$1006,0)), HYPERLINK("#",""), HYPERLINK(CONCATENATE("#metadata!", ADDRESS(INDEX($L$2:$L$1001,MATCH(ROWS($J$2:J750),$J$2:$J$1001,0),0), INDEX($Q$1004:$U$1004,1,MATCH(COLUMNS($Q$1006:T1006),$Q$1006:$U$1006,0)))),"Fix")))</f>
        <v xml:space="preserve"> </v>
      </c>
      <c r="F750" s="3" t="str">
        <f ca="1">IF(OR(INDEX($K$2:$K$1001,MATCH(ROWS($J$2:J750),$J$2:$J$1001,0),1)&gt;=100000,INDEX($Q$1005:$U$1005,1,MATCH(COLUMNS($Q$1006:U1006),$Q$1006:$U$1006,0))&gt;=100000), " ",IF(INDEX($Q$2:$U$1001,MATCH(ROWS($J$2:J750),$J$2:$J$1001,0),MATCH(COLUMNS($Q$1006:U1006),$Q$1006:$U$1006,0)), HYPERLINK("#",""), HYPERLINK(CONCATENATE("#metadata!", ADDRESS(INDEX($L$2:$L$1001,MATCH(ROWS($J$2:J750),$J$2:$J$1001,0),0), INDEX($Q$1004:$U$1004,1,MATCH(COLUMNS($Q$1006:U1006),$Q$1006:$U$1006,0)))),"Fix")))</f>
        <v xml:space="preserve"> </v>
      </c>
      <c r="J750">
        <v>749</v>
      </c>
      <c r="K750">
        <v>100750</v>
      </c>
      <c r="L750">
        <v>750</v>
      </c>
      <c r="M750" t="b">
        <f t="shared" si="11"/>
        <v>1</v>
      </c>
      <c r="N750" t="b">
        <f>COUNTBLANK(metadata!B750:F750)=COLUMNS(metadata!B750:F750)</f>
        <v>1</v>
      </c>
      <c r="O750" t="str">
        <v/>
      </c>
      <c r="Q750" t="b">
        <f ca="1">AND(IF(metadata!B750="",FALSE,TRUE),COUNTIF(metadata!B:B, metadata!B750) = 1,NOT(ISERROR(SUMPRODUCT(SEARCH(MID(metadata!B750,ROW(INDIRECT("1:"&amp;LEN(metadata!B750))), 1),"0123456789abcdefghijklmnopqrstuvwxyzABCDEFGHIJKLMNOPQRSTUVWXYZ.")))))</f>
        <v>0</v>
      </c>
      <c r="R750" t="b">
        <f>AND(IF(metadata!C750="",FALSE,TRUE),OR(EXACT(metadata!C750,"saline"),EXACT(metadata!C750,"non-saline")))</f>
        <v>0</v>
      </c>
      <c r="S750" t="b">
        <f>AND(IF(metadata!D750="",FALSE,TRUE),OR(EXACT(metadata!D750,"surface (non-saline)"),EXACT(metadata!D750,"aerosol (non-saline)"),EXACT(metadata!D750,"sediment (non-saline)"),EXACT(metadata!D750,"surface (saline)"),EXACT(metadata!D750,"aerosol (saline)"),EXACT(metadata!D750,"sediment (saline)")))</f>
        <v>0</v>
      </c>
      <c r="T750" t="b">
        <f>AND(IF(metadata!E750="",FALSE,TRUE),EXACT(metadata!E750,"built environment"))</f>
        <v>0</v>
      </c>
      <c r="U750" t="b">
        <f>OR(AND(IF(metadata!F750="",FALSE,TRUE),EXACT(metadata!F750,"not applicable")),AND(IF(metadata!F750="",FALSE,TRUE),EXACT(metadata!F750,"anaerobic digester content")))</f>
        <v>0</v>
      </c>
    </row>
    <row r="751" spans="1:21" x14ac:dyDescent="0.2">
      <c r="A751" s="4" t="str">
        <f ca="1">IF(B751=" "," ",HYPERLINK(CONCATENATE("#metadata!",ADDRESS(INDEX($L$2:$L$1001,MATCH(ROWS($J$2:J751),$J$2:$J$1001,0),0),1)),INDEX($O$2:$O$1001,MATCH(ROWS($J$2:J751),$J$2:$J$1001,0),0)))</f>
        <v xml:space="preserve"> </v>
      </c>
      <c r="B751" s="3" t="str">
        <f ca="1">IF(OR(INDEX($K$2:$K$1001,MATCH(ROWS($J$2:J751),$J$2:$J$1001,0),1)&gt;=100000,INDEX($Q$1005:$U$1005,1,MATCH(COLUMNS($Q$1006:Q1006),$Q$1006:$U$1006,0))&gt;=100000), " ",IF(INDEX($Q$2:$U$1001,MATCH(ROWS($J$2:J751),$J$2:$J$1001,0),MATCH(COLUMNS($Q$1006:Q1006),$Q$1006:$U$1006,0)), HYPERLINK("#",""), HYPERLINK(CONCATENATE("#metadata!", ADDRESS(INDEX($L$2:$L$1001,MATCH(ROWS($J$2:J751),$J$2:$J$1001,0),0), INDEX($Q$1004:$U$1004,1,MATCH(COLUMNS($Q$1006:Q1006),$Q$1006:$U$1006,0)))),"Fix")))</f>
        <v xml:space="preserve"> </v>
      </c>
      <c r="C751" s="3" t="str">
        <f ca="1">IF(OR(INDEX($K$2:$K$1001,MATCH(ROWS($J$2:J751),$J$2:$J$1001,0),1)&gt;=100000,INDEX($Q$1005:$U$1005,1,MATCH(COLUMNS($Q$1006:R1006),$Q$1006:$U$1006,0))&gt;=100000), " ",IF(INDEX($Q$2:$U$1001,MATCH(ROWS($J$2:J751),$J$2:$J$1001,0),MATCH(COLUMNS($Q$1006:R1006),$Q$1006:$U$1006,0)), HYPERLINK("#",""), HYPERLINK(CONCATENATE("#metadata!", ADDRESS(INDEX($L$2:$L$1001,MATCH(ROWS($J$2:J751),$J$2:$J$1001,0),0), INDEX($Q$1004:$U$1004,1,MATCH(COLUMNS($Q$1006:R1006),$Q$1006:$U$1006,0)))),"Fix")))</f>
        <v xml:space="preserve"> </v>
      </c>
      <c r="D751" s="3" t="str">
        <f ca="1">IF(OR(INDEX($K$2:$K$1001,MATCH(ROWS($J$2:J751),$J$2:$J$1001,0),1)&gt;=100000,INDEX($Q$1005:$U$1005,1,MATCH(COLUMNS($Q$1006:S1006),$Q$1006:$U$1006,0))&gt;=100000), " ",IF(INDEX($Q$2:$U$1001,MATCH(ROWS($J$2:J751),$J$2:$J$1001,0),MATCH(COLUMNS($Q$1006:S1006),$Q$1006:$U$1006,0)), HYPERLINK("#",""), HYPERLINK(CONCATENATE("#metadata!", ADDRESS(INDEX($L$2:$L$1001,MATCH(ROWS($J$2:J751),$J$2:$J$1001,0),0), INDEX($Q$1004:$U$1004,1,MATCH(COLUMNS($Q$1006:S1006),$Q$1006:$U$1006,0)))),"Fix")))</f>
        <v xml:space="preserve"> </v>
      </c>
      <c r="E751" s="3" t="str">
        <f ca="1">IF(OR(INDEX($K$2:$K$1001,MATCH(ROWS($J$2:J751),$J$2:$J$1001,0),1)&gt;=100000,INDEX($Q$1005:$U$1005,1,MATCH(COLUMNS($Q$1006:T1006),$Q$1006:$U$1006,0))&gt;=100000), " ",IF(INDEX($Q$2:$U$1001,MATCH(ROWS($J$2:J751),$J$2:$J$1001,0),MATCH(COLUMNS($Q$1006:T1006),$Q$1006:$U$1006,0)), HYPERLINK("#",""), HYPERLINK(CONCATENATE("#metadata!", ADDRESS(INDEX($L$2:$L$1001,MATCH(ROWS($J$2:J751),$J$2:$J$1001,0),0), INDEX($Q$1004:$U$1004,1,MATCH(COLUMNS($Q$1006:T1006),$Q$1006:$U$1006,0)))),"Fix")))</f>
        <v xml:space="preserve"> </v>
      </c>
      <c r="F751" s="3" t="str">
        <f ca="1">IF(OR(INDEX($K$2:$K$1001,MATCH(ROWS($J$2:J751),$J$2:$J$1001,0),1)&gt;=100000,INDEX($Q$1005:$U$1005,1,MATCH(COLUMNS($Q$1006:U1006),$Q$1006:$U$1006,0))&gt;=100000), " ",IF(INDEX($Q$2:$U$1001,MATCH(ROWS($J$2:J751),$J$2:$J$1001,0),MATCH(COLUMNS($Q$1006:U1006),$Q$1006:$U$1006,0)), HYPERLINK("#",""), HYPERLINK(CONCATENATE("#metadata!", ADDRESS(INDEX($L$2:$L$1001,MATCH(ROWS($J$2:J751),$J$2:$J$1001,0),0), INDEX($Q$1004:$U$1004,1,MATCH(COLUMNS($Q$1006:U1006),$Q$1006:$U$1006,0)))),"Fix")))</f>
        <v xml:space="preserve"> </v>
      </c>
      <c r="J751">
        <v>750</v>
      </c>
      <c r="K751">
        <v>100751</v>
      </c>
      <c r="L751">
        <v>751</v>
      </c>
      <c r="M751" t="b">
        <f t="shared" si="11"/>
        <v>1</v>
      </c>
      <c r="N751" t="b">
        <f>COUNTBLANK(metadata!B751:F751)=COLUMNS(metadata!B751:F751)</f>
        <v>1</v>
      </c>
      <c r="O751" t="str">
        <v/>
      </c>
      <c r="Q751" t="b">
        <f ca="1">AND(IF(metadata!B751="",FALSE,TRUE),COUNTIF(metadata!B:B, metadata!B751) = 1,NOT(ISERROR(SUMPRODUCT(SEARCH(MID(metadata!B751,ROW(INDIRECT("1:"&amp;LEN(metadata!B751))), 1),"0123456789abcdefghijklmnopqrstuvwxyzABCDEFGHIJKLMNOPQRSTUVWXYZ.")))))</f>
        <v>0</v>
      </c>
      <c r="R751" t="b">
        <f>AND(IF(metadata!C751="",FALSE,TRUE),OR(EXACT(metadata!C751,"saline"),EXACT(metadata!C751,"non-saline")))</f>
        <v>0</v>
      </c>
      <c r="S751" t="b">
        <f>AND(IF(metadata!D751="",FALSE,TRUE),OR(EXACT(metadata!D751,"surface (non-saline)"),EXACT(metadata!D751,"aerosol (non-saline)"),EXACT(metadata!D751,"sediment (non-saline)"),EXACT(metadata!D751,"surface (saline)"),EXACT(metadata!D751,"aerosol (saline)"),EXACT(metadata!D751,"sediment (saline)")))</f>
        <v>0</v>
      </c>
      <c r="T751" t="b">
        <f>AND(IF(metadata!E751="",FALSE,TRUE),EXACT(metadata!E751,"built environment"))</f>
        <v>0</v>
      </c>
      <c r="U751" t="b">
        <f>OR(AND(IF(metadata!F751="",FALSE,TRUE),EXACT(metadata!F751,"not applicable")),AND(IF(metadata!F751="",FALSE,TRUE),EXACT(metadata!F751,"anaerobic digester content")))</f>
        <v>0</v>
      </c>
    </row>
    <row r="752" spans="1:21" x14ac:dyDescent="0.2">
      <c r="A752" s="4" t="str">
        <f ca="1">IF(B752=" "," ",HYPERLINK(CONCATENATE("#metadata!",ADDRESS(INDEX($L$2:$L$1001,MATCH(ROWS($J$2:J752),$J$2:$J$1001,0),0),1)),INDEX($O$2:$O$1001,MATCH(ROWS($J$2:J752),$J$2:$J$1001,0),0)))</f>
        <v xml:space="preserve"> </v>
      </c>
      <c r="B752" s="3" t="str">
        <f ca="1">IF(OR(INDEX($K$2:$K$1001,MATCH(ROWS($J$2:J752),$J$2:$J$1001,0),1)&gt;=100000,INDEX($Q$1005:$U$1005,1,MATCH(COLUMNS($Q$1006:Q1006),$Q$1006:$U$1006,0))&gt;=100000), " ",IF(INDEX($Q$2:$U$1001,MATCH(ROWS($J$2:J752),$J$2:$J$1001,0),MATCH(COLUMNS($Q$1006:Q1006),$Q$1006:$U$1006,0)), HYPERLINK("#",""), HYPERLINK(CONCATENATE("#metadata!", ADDRESS(INDEX($L$2:$L$1001,MATCH(ROWS($J$2:J752),$J$2:$J$1001,0),0), INDEX($Q$1004:$U$1004,1,MATCH(COLUMNS($Q$1006:Q1006),$Q$1006:$U$1006,0)))),"Fix")))</f>
        <v xml:space="preserve"> </v>
      </c>
      <c r="C752" s="3" t="str">
        <f ca="1">IF(OR(INDEX($K$2:$K$1001,MATCH(ROWS($J$2:J752),$J$2:$J$1001,0),1)&gt;=100000,INDEX($Q$1005:$U$1005,1,MATCH(COLUMNS($Q$1006:R1006),$Q$1006:$U$1006,0))&gt;=100000), " ",IF(INDEX($Q$2:$U$1001,MATCH(ROWS($J$2:J752),$J$2:$J$1001,0),MATCH(COLUMNS($Q$1006:R1006),$Q$1006:$U$1006,0)), HYPERLINK("#",""), HYPERLINK(CONCATENATE("#metadata!", ADDRESS(INDEX($L$2:$L$1001,MATCH(ROWS($J$2:J752),$J$2:$J$1001,0),0), INDEX($Q$1004:$U$1004,1,MATCH(COLUMNS($Q$1006:R1006),$Q$1006:$U$1006,0)))),"Fix")))</f>
        <v xml:space="preserve"> </v>
      </c>
      <c r="D752" s="3" t="str">
        <f ca="1">IF(OR(INDEX($K$2:$K$1001,MATCH(ROWS($J$2:J752),$J$2:$J$1001,0),1)&gt;=100000,INDEX($Q$1005:$U$1005,1,MATCH(COLUMNS($Q$1006:S1006),$Q$1006:$U$1006,0))&gt;=100000), " ",IF(INDEX($Q$2:$U$1001,MATCH(ROWS($J$2:J752),$J$2:$J$1001,0),MATCH(COLUMNS($Q$1006:S1006),$Q$1006:$U$1006,0)), HYPERLINK("#",""), HYPERLINK(CONCATENATE("#metadata!", ADDRESS(INDEX($L$2:$L$1001,MATCH(ROWS($J$2:J752),$J$2:$J$1001,0),0), INDEX($Q$1004:$U$1004,1,MATCH(COLUMNS($Q$1006:S1006),$Q$1006:$U$1006,0)))),"Fix")))</f>
        <v xml:space="preserve"> </v>
      </c>
      <c r="E752" s="3" t="str">
        <f ca="1">IF(OR(INDEX($K$2:$K$1001,MATCH(ROWS($J$2:J752),$J$2:$J$1001,0),1)&gt;=100000,INDEX($Q$1005:$U$1005,1,MATCH(COLUMNS($Q$1006:T1006),$Q$1006:$U$1006,0))&gt;=100000), " ",IF(INDEX($Q$2:$U$1001,MATCH(ROWS($J$2:J752),$J$2:$J$1001,0),MATCH(COLUMNS($Q$1006:T1006),$Q$1006:$U$1006,0)), HYPERLINK("#",""), HYPERLINK(CONCATENATE("#metadata!", ADDRESS(INDEX($L$2:$L$1001,MATCH(ROWS($J$2:J752),$J$2:$J$1001,0),0), INDEX($Q$1004:$U$1004,1,MATCH(COLUMNS($Q$1006:T1006),$Q$1006:$U$1006,0)))),"Fix")))</f>
        <v xml:space="preserve"> </v>
      </c>
      <c r="F752" s="3" t="str">
        <f ca="1">IF(OR(INDEX($K$2:$K$1001,MATCH(ROWS($J$2:J752),$J$2:$J$1001,0),1)&gt;=100000,INDEX($Q$1005:$U$1005,1,MATCH(COLUMNS($Q$1006:U1006),$Q$1006:$U$1006,0))&gt;=100000), " ",IF(INDEX($Q$2:$U$1001,MATCH(ROWS($J$2:J752),$J$2:$J$1001,0),MATCH(COLUMNS($Q$1006:U1006),$Q$1006:$U$1006,0)), HYPERLINK("#",""), HYPERLINK(CONCATENATE("#metadata!", ADDRESS(INDEX($L$2:$L$1001,MATCH(ROWS($J$2:J752),$J$2:$J$1001,0),0), INDEX($Q$1004:$U$1004,1,MATCH(COLUMNS($Q$1006:U1006),$Q$1006:$U$1006,0)))),"Fix")))</f>
        <v xml:space="preserve"> </v>
      </c>
      <c r="J752">
        <v>751</v>
      </c>
      <c r="K752">
        <v>100752</v>
      </c>
      <c r="L752">
        <v>752</v>
      </c>
      <c r="M752" t="b">
        <f t="shared" si="11"/>
        <v>1</v>
      </c>
      <c r="N752" t="b">
        <f>COUNTBLANK(metadata!B752:F752)=COLUMNS(metadata!B752:F752)</f>
        <v>1</v>
      </c>
      <c r="O752" t="str">
        <v/>
      </c>
      <c r="Q752" t="b">
        <f ca="1">AND(IF(metadata!B752="",FALSE,TRUE),COUNTIF(metadata!B:B, metadata!B752) = 1,NOT(ISERROR(SUMPRODUCT(SEARCH(MID(metadata!B752,ROW(INDIRECT("1:"&amp;LEN(metadata!B752))), 1),"0123456789abcdefghijklmnopqrstuvwxyzABCDEFGHIJKLMNOPQRSTUVWXYZ.")))))</f>
        <v>0</v>
      </c>
      <c r="R752" t="b">
        <f>AND(IF(metadata!C752="",FALSE,TRUE),OR(EXACT(metadata!C752,"saline"),EXACT(metadata!C752,"non-saline")))</f>
        <v>0</v>
      </c>
      <c r="S752" t="b">
        <f>AND(IF(metadata!D752="",FALSE,TRUE),OR(EXACT(metadata!D752,"surface (non-saline)"),EXACT(metadata!D752,"aerosol (non-saline)"),EXACT(metadata!D752,"sediment (non-saline)"),EXACT(metadata!D752,"surface (saline)"),EXACT(metadata!D752,"aerosol (saline)"),EXACT(metadata!D752,"sediment (saline)")))</f>
        <v>0</v>
      </c>
      <c r="T752" t="b">
        <f>AND(IF(metadata!E752="",FALSE,TRUE),EXACT(metadata!E752,"built environment"))</f>
        <v>0</v>
      </c>
      <c r="U752" t="b">
        <f>OR(AND(IF(metadata!F752="",FALSE,TRUE),EXACT(metadata!F752,"not applicable")),AND(IF(metadata!F752="",FALSE,TRUE),EXACT(metadata!F752,"anaerobic digester content")))</f>
        <v>0</v>
      </c>
    </row>
    <row r="753" spans="1:21" x14ac:dyDescent="0.2">
      <c r="A753" s="4" t="str">
        <f ca="1">IF(B753=" "," ",HYPERLINK(CONCATENATE("#metadata!",ADDRESS(INDEX($L$2:$L$1001,MATCH(ROWS($J$2:J753),$J$2:$J$1001,0),0),1)),INDEX($O$2:$O$1001,MATCH(ROWS($J$2:J753),$J$2:$J$1001,0),0)))</f>
        <v xml:space="preserve"> </v>
      </c>
      <c r="B753" s="3" t="str">
        <f ca="1">IF(OR(INDEX($K$2:$K$1001,MATCH(ROWS($J$2:J753),$J$2:$J$1001,0),1)&gt;=100000,INDEX($Q$1005:$U$1005,1,MATCH(COLUMNS($Q$1006:Q1006),$Q$1006:$U$1006,0))&gt;=100000), " ",IF(INDEX($Q$2:$U$1001,MATCH(ROWS($J$2:J753),$J$2:$J$1001,0),MATCH(COLUMNS($Q$1006:Q1006),$Q$1006:$U$1006,0)), HYPERLINK("#",""), HYPERLINK(CONCATENATE("#metadata!", ADDRESS(INDEX($L$2:$L$1001,MATCH(ROWS($J$2:J753),$J$2:$J$1001,0),0), INDEX($Q$1004:$U$1004,1,MATCH(COLUMNS($Q$1006:Q1006),$Q$1006:$U$1006,0)))),"Fix")))</f>
        <v xml:space="preserve"> </v>
      </c>
      <c r="C753" s="3" t="str">
        <f ca="1">IF(OR(INDEX($K$2:$K$1001,MATCH(ROWS($J$2:J753),$J$2:$J$1001,0),1)&gt;=100000,INDEX($Q$1005:$U$1005,1,MATCH(COLUMNS($Q$1006:R1006),$Q$1006:$U$1006,0))&gt;=100000), " ",IF(INDEX($Q$2:$U$1001,MATCH(ROWS($J$2:J753),$J$2:$J$1001,0),MATCH(COLUMNS($Q$1006:R1006),$Q$1006:$U$1006,0)), HYPERLINK("#",""), HYPERLINK(CONCATENATE("#metadata!", ADDRESS(INDEX($L$2:$L$1001,MATCH(ROWS($J$2:J753),$J$2:$J$1001,0),0), INDEX($Q$1004:$U$1004,1,MATCH(COLUMNS($Q$1006:R1006),$Q$1006:$U$1006,0)))),"Fix")))</f>
        <v xml:space="preserve"> </v>
      </c>
      <c r="D753" s="3" t="str">
        <f ca="1">IF(OR(INDEX($K$2:$K$1001,MATCH(ROWS($J$2:J753),$J$2:$J$1001,0),1)&gt;=100000,INDEX($Q$1005:$U$1005,1,MATCH(COLUMNS($Q$1006:S1006),$Q$1006:$U$1006,0))&gt;=100000), " ",IF(INDEX($Q$2:$U$1001,MATCH(ROWS($J$2:J753),$J$2:$J$1001,0),MATCH(COLUMNS($Q$1006:S1006),$Q$1006:$U$1006,0)), HYPERLINK("#",""), HYPERLINK(CONCATENATE("#metadata!", ADDRESS(INDEX($L$2:$L$1001,MATCH(ROWS($J$2:J753),$J$2:$J$1001,0),0), INDEX($Q$1004:$U$1004,1,MATCH(COLUMNS($Q$1006:S1006),$Q$1006:$U$1006,0)))),"Fix")))</f>
        <v xml:space="preserve"> </v>
      </c>
      <c r="E753" s="3" t="str">
        <f ca="1">IF(OR(INDEX($K$2:$K$1001,MATCH(ROWS($J$2:J753),$J$2:$J$1001,0),1)&gt;=100000,INDEX($Q$1005:$U$1005,1,MATCH(COLUMNS($Q$1006:T1006),$Q$1006:$U$1006,0))&gt;=100000), " ",IF(INDEX($Q$2:$U$1001,MATCH(ROWS($J$2:J753),$J$2:$J$1001,0),MATCH(COLUMNS($Q$1006:T1006),$Q$1006:$U$1006,0)), HYPERLINK("#",""), HYPERLINK(CONCATENATE("#metadata!", ADDRESS(INDEX($L$2:$L$1001,MATCH(ROWS($J$2:J753),$J$2:$J$1001,0),0), INDEX($Q$1004:$U$1004,1,MATCH(COLUMNS($Q$1006:T1006),$Q$1006:$U$1006,0)))),"Fix")))</f>
        <v xml:space="preserve"> </v>
      </c>
      <c r="F753" s="3" t="str">
        <f ca="1">IF(OR(INDEX($K$2:$K$1001,MATCH(ROWS($J$2:J753),$J$2:$J$1001,0),1)&gt;=100000,INDEX($Q$1005:$U$1005,1,MATCH(COLUMNS($Q$1006:U1006),$Q$1006:$U$1006,0))&gt;=100000), " ",IF(INDEX($Q$2:$U$1001,MATCH(ROWS($J$2:J753),$J$2:$J$1001,0),MATCH(COLUMNS($Q$1006:U1006),$Q$1006:$U$1006,0)), HYPERLINK("#",""), HYPERLINK(CONCATENATE("#metadata!", ADDRESS(INDEX($L$2:$L$1001,MATCH(ROWS($J$2:J753),$J$2:$J$1001,0),0), INDEX($Q$1004:$U$1004,1,MATCH(COLUMNS($Q$1006:U1006),$Q$1006:$U$1006,0)))),"Fix")))</f>
        <v xml:space="preserve"> </v>
      </c>
      <c r="J753">
        <v>752</v>
      </c>
      <c r="K753">
        <v>100753</v>
      </c>
      <c r="L753">
        <v>753</v>
      </c>
      <c r="M753" t="b">
        <f t="shared" si="11"/>
        <v>1</v>
      </c>
      <c r="N753" t="b">
        <f>COUNTBLANK(metadata!B753:F753)=COLUMNS(metadata!B753:F753)</f>
        <v>1</v>
      </c>
      <c r="O753" t="str">
        <v/>
      </c>
      <c r="Q753" t="b">
        <f ca="1">AND(IF(metadata!B753="",FALSE,TRUE),COUNTIF(metadata!B:B, metadata!B753) = 1,NOT(ISERROR(SUMPRODUCT(SEARCH(MID(metadata!B753,ROW(INDIRECT("1:"&amp;LEN(metadata!B753))), 1),"0123456789abcdefghijklmnopqrstuvwxyzABCDEFGHIJKLMNOPQRSTUVWXYZ.")))))</f>
        <v>0</v>
      </c>
      <c r="R753" t="b">
        <f>AND(IF(metadata!C753="",FALSE,TRUE),OR(EXACT(metadata!C753,"saline"),EXACT(metadata!C753,"non-saline")))</f>
        <v>0</v>
      </c>
      <c r="S753" t="b">
        <f>AND(IF(metadata!D753="",FALSE,TRUE),OR(EXACT(metadata!D753,"surface (non-saline)"),EXACT(metadata!D753,"aerosol (non-saline)"),EXACT(metadata!D753,"sediment (non-saline)"),EXACT(metadata!D753,"surface (saline)"),EXACT(metadata!D753,"aerosol (saline)"),EXACT(metadata!D753,"sediment (saline)")))</f>
        <v>0</v>
      </c>
      <c r="T753" t="b">
        <f>AND(IF(metadata!E753="",FALSE,TRUE),EXACT(metadata!E753,"built environment"))</f>
        <v>0</v>
      </c>
      <c r="U753" t="b">
        <f>OR(AND(IF(metadata!F753="",FALSE,TRUE),EXACT(metadata!F753,"not applicable")),AND(IF(metadata!F753="",FALSE,TRUE),EXACT(metadata!F753,"anaerobic digester content")))</f>
        <v>0</v>
      </c>
    </row>
    <row r="754" spans="1:21" x14ac:dyDescent="0.2">
      <c r="A754" s="4" t="str">
        <f ca="1">IF(B754=" "," ",HYPERLINK(CONCATENATE("#metadata!",ADDRESS(INDEX($L$2:$L$1001,MATCH(ROWS($J$2:J754),$J$2:$J$1001,0),0),1)),INDEX($O$2:$O$1001,MATCH(ROWS($J$2:J754),$J$2:$J$1001,0),0)))</f>
        <v xml:space="preserve"> </v>
      </c>
      <c r="B754" s="3" t="str">
        <f ca="1">IF(OR(INDEX($K$2:$K$1001,MATCH(ROWS($J$2:J754),$J$2:$J$1001,0),1)&gt;=100000,INDEX($Q$1005:$U$1005,1,MATCH(COLUMNS($Q$1006:Q1006),$Q$1006:$U$1006,0))&gt;=100000), " ",IF(INDEX($Q$2:$U$1001,MATCH(ROWS($J$2:J754),$J$2:$J$1001,0),MATCH(COLUMNS($Q$1006:Q1006),$Q$1006:$U$1006,0)), HYPERLINK("#",""), HYPERLINK(CONCATENATE("#metadata!", ADDRESS(INDEX($L$2:$L$1001,MATCH(ROWS($J$2:J754),$J$2:$J$1001,0),0), INDEX($Q$1004:$U$1004,1,MATCH(COLUMNS($Q$1006:Q1006),$Q$1006:$U$1006,0)))),"Fix")))</f>
        <v xml:space="preserve"> </v>
      </c>
      <c r="C754" s="3" t="str">
        <f ca="1">IF(OR(INDEX($K$2:$K$1001,MATCH(ROWS($J$2:J754),$J$2:$J$1001,0),1)&gt;=100000,INDEX($Q$1005:$U$1005,1,MATCH(COLUMNS($Q$1006:R1006),$Q$1006:$U$1006,0))&gt;=100000), " ",IF(INDEX($Q$2:$U$1001,MATCH(ROWS($J$2:J754),$J$2:$J$1001,0),MATCH(COLUMNS($Q$1006:R1006),$Q$1006:$U$1006,0)), HYPERLINK("#",""), HYPERLINK(CONCATENATE("#metadata!", ADDRESS(INDEX($L$2:$L$1001,MATCH(ROWS($J$2:J754),$J$2:$J$1001,0),0), INDEX($Q$1004:$U$1004,1,MATCH(COLUMNS($Q$1006:R1006),$Q$1006:$U$1006,0)))),"Fix")))</f>
        <v xml:space="preserve"> </v>
      </c>
      <c r="D754" s="3" t="str">
        <f ca="1">IF(OR(INDEX($K$2:$K$1001,MATCH(ROWS($J$2:J754),$J$2:$J$1001,0),1)&gt;=100000,INDEX($Q$1005:$U$1005,1,MATCH(COLUMNS($Q$1006:S1006),$Q$1006:$U$1006,0))&gt;=100000), " ",IF(INDEX($Q$2:$U$1001,MATCH(ROWS($J$2:J754),$J$2:$J$1001,0),MATCH(COLUMNS($Q$1006:S1006),$Q$1006:$U$1006,0)), HYPERLINK("#",""), HYPERLINK(CONCATENATE("#metadata!", ADDRESS(INDEX($L$2:$L$1001,MATCH(ROWS($J$2:J754),$J$2:$J$1001,0),0), INDEX($Q$1004:$U$1004,1,MATCH(COLUMNS($Q$1006:S1006),$Q$1006:$U$1006,0)))),"Fix")))</f>
        <v xml:space="preserve"> </v>
      </c>
      <c r="E754" s="3" t="str">
        <f ca="1">IF(OR(INDEX($K$2:$K$1001,MATCH(ROWS($J$2:J754),$J$2:$J$1001,0),1)&gt;=100000,INDEX($Q$1005:$U$1005,1,MATCH(COLUMNS($Q$1006:T1006),$Q$1006:$U$1006,0))&gt;=100000), " ",IF(INDEX($Q$2:$U$1001,MATCH(ROWS($J$2:J754),$J$2:$J$1001,0),MATCH(COLUMNS($Q$1006:T1006),$Q$1006:$U$1006,0)), HYPERLINK("#",""), HYPERLINK(CONCATENATE("#metadata!", ADDRESS(INDEX($L$2:$L$1001,MATCH(ROWS($J$2:J754),$J$2:$J$1001,0),0), INDEX($Q$1004:$U$1004,1,MATCH(COLUMNS($Q$1006:T1006),$Q$1006:$U$1006,0)))),"Fix")))</f>
        <v xml:space="preserve"> </v>
      </c>
      <c r="F754" s="3" t="str">
        <f ca="1">IF(OR(INDEX($K$2:$K$1001,MATCH(ROWS($J$2:J754),$J$2:$J$1001,0),1)&gt;=100000,INDEX($Q$1005:$U$1005,1,MATCH(COLUMNS($Q$1006:U1006),$Q$1006:$U$1006,0))&gt;=100000), " ",IF(INDEX($Q$2:$U$1001,MATCH(ROWS($J$2:J754),$J$2:$J$1001,0),MATCH(COLUMNS($Q$1006:U1006),$Q$1006:$U$1006,0)), HYPERLINK("#",""), HYPERLINK(CONCATENATE("#metadata!", ADDRESS(INDEX($L$2:$L$1001,MATCH(ROWS($J$2:J754),$J$2:$J$1001,0),0), INDEX($Q$1004:$U$1004,1,MATCH(COLUMNS($Q$1006:U1006),$Q$1006:$U$1006,0)))),"Fix")))</f>
        <v xml:space="preserve"> </v>
      </c>
      <c r="J754">
        <v>753</v>
      </c>
      <c r="K754">
        <v>100754</v>
      </c>
      <c r="L754">
        <v>754</v>
      </c>
      <c r="M754" t="b">
        <f t="shared" si="11"/>
        <v>1</v>
      </c>
      <c r="N754" t="b">
        <f>COUNTBLANK(metadata!B754:F754)=COLUMNS(metadata!B754:F754)</f>
        <v>1</v>
      </c>
      <c r="O754" t="str">
        <v/>
      </c>
      <c r="Q754" t="b">
        <f ca="1">AND(IF(metadata!B754="",FALSE,TRUE),COUNTIF(metadata!B:B, metadata!B754) = 1,NOT(ISERROR(SUMPRODUCT(SEARCH(MID(metadata!B754,ROW(INDIRECT("1:"&amp;LEN(metadata!B754))), 1),"0123456789abcdefghijklmnopqrstuvwxyzABCDEFGHIJKLMNOPQRSTUVWXYZ.")))))</f>
        <v>0</v>
      </c>
      <c r="R754" t="b">
        <f>AND(IF(metadata!C754="",FALSE,TRUE),OR(EXACT(metadata!C754,"saline"),EXACT(metadata!C754,"non-saline")))</f>
        <v>0</v>
      </c>
      <c r="S754" t="b">
        <f>AND(IF(metadata!D754="",FALSE,TRUE),OR(EXACT(metadata!D754,"surface (non-saline)"),EXACT(metadata!D754,"aerosol (non-saline)"),EXACT(metadata!D754,"sediment (non-saline)"),EXACT(metadata!D754,"surface (saline)"),EXACT(metadata!D754,"aerosol (saline)"),EXACT(metadata!D754,"sediment (saline)")))</f>
        <v>0</v>
      </c>
      <c r="T754" t="b">
        <f>AND(IF(metadata!E754="",FALSE,TRUE),EXACT(metadata!E754,"built environment"))</f>
        <v>0</v>
      </c>
      <c r="U754" t="b">
        <f>OR(AND(IF(metadata!F754="",FALSE,TRUE),EXACT(metadata!F754,"not applicable")),AND(IF(metadata!F754="",FALSE,TRUE),EXACT(metadata!F754,"anaerobic digester content")))</f>
        <v>0</v>
      </c>
    </row>
    <row r="755" spans="1:21" x14ac:dyDescent="0.2">
      <c r="A755" s="4" t="str">
        <f ca="1">IF(B755=" "," ",HYPERLINK(CONCATENATE("#metadata!",ADDRESS(INDEX($L$2:$L$1001,MATCH(ROWS($J$2:J755),$J$2:$J$1001,0),0),1)),INDEX($O$2:$O$1001,MATCH(ROWS($J$2:J755),$J$2:$J$1001,0),0)))</f>
        <v xml:space="preserve"> </v>
      </c>
      <c r="B755" s="3" t="str">
        <f ca="1">IF(OR(INDEX($K$2:$K$1001,MATCH(ROWS($J$2:J755),$J$2:$J$1001,0),1)&gt;=100000,INDEX($Q$1005:$U$1005,1,MATCH(COLUMNS($Q$1006:Q1006),$Q$1006:$U$1006,0))&gt;=100000), " ",IF(INDEX($Q$2:$U$1001,MATCH(ROWS($J$2:J755),$J$2:$J$1001,0),MATCH(COLUMNS($Q$1006:Q1006),$Q$1006:$U$1006,0)), HYPERLINK("#",""), HYPERLINK(CONCATENATE("#metadata!", ADDRESS(INDEX($L$2:$L$1001,MATCH(ROWS($J$2:J755),$J$2:$J$1001,0),0), INDEX($Q$1004:$U$1004,1,MATCH(COLUMNS($Q$1006:Q1006),$Q$1006:$U$1006,0)))),"Fix")))</f>
        <v xml:space="preserve"> </v>
      </c>
      <c r="C755" s="3" t="str">
        <f ca="1">IF(OR(INDEX($K$2:$K$1001,MATCH(ROWS($J$2:J755),$J$2:$J$1001,0),1)&gt;=100000,INDEX($Q$1005:$U$1005,1,MATCH(COLUMNS($Q$1006:R1006),$Q$1006:$U$1006,0))&gt;=100000), " ",IF(INDEX($Q$2:$U$1001,MATCH(ROWS($J$2:J755),$J$2:$J$1001,0),MATCH(COLUMNS($Q$1006:R1006),$Q$1006:$U$1006,0)), HYPERLINK("#",""), HYPERLINK(CONCATENATE("#metadata!", ADDRESS(INDEX($L$2:$L$1001,MATCH(ROWS($J$2:J755),$J$2:$J$1001,0),0), INDEX($Q$1004:$U$1004,1,MATCH(COLUMNS($Q$1006:R1006),$Q$1006:$U$1006,0)))),"Fix")))</f>
        <v xml:space="preserve"> </v>
      </c>
      <c r="D755" s="3" t="str">
        <f ca="1">IF(OR(INDEX($K$2:$K$1001,MATCH(ROWS($J$2:J755),$J$2:$J$1001,0),1)&gt;=100000,INDEX($Q$1005:$U$1005,1,MATCH(COLUMNS($Q$1006:S1006),$Q$1006:$U$1006,0))&gt;=100000), " ",IF(INDEX($Q$2:$U$1001,MATCH(ROWS($J$2:J755),$J$2:$J$1001,0),MATCH(COLUMNS($Q$1006:S1006),$Q$1006:$U$1006,0)), HYPERLINK("#",""), HYPERLINK(CONCATENATE("#metadata!", ADDRESS(INDEX($L$2:$L$1001,MATCH(ROWS($J$2:J755),$J$2:$J$1001,0),0), INDEX($Q$1004:$U$1004,1,MATCH(COLUMNS($Q$1006:S1006),$Q$1006:$U$1006,0)))),"Fix")))</f>
        <v xml:space="preserve"> </v>
      </c>
      <c r="E755" s="3" t="str">
        <f ca="1">IF(OR(INDEX($K$2:$K$1001,MATCH(ROWS($J$2:J755),$J$2:$J$1001,0),1)&gt;=100000,INDEX($Q$1005:$U$1005,1,MATCH(COLUMNS($Q$1006:T1006),$Q$1006:$U$1006,0))&gt;=100000), " ",IF(INDEX($Q$2:$U$1001,MATCH(ROWS($J$2:J755),$J$2:$J$1001,0),MATCH(COLUMNS($Q$1006:T1006),$Q$1006:$U$1006,0)), HYPERLINK("#",""), HYPERLINK(CONCATENATE("#metadata!", ADDRESS(INDEX($L$2:$L$1001,MATCH(ROWS($J$2:J755),$J$2:$J$1001,0),0), INDEX($Q$1004:$U$1004,1,MATCH(COLUMNS($Q$1006:T1006),$Q$1006:$U$1006,0)))),"Fix")))</f>
        <v xml:space="preserve"> </v>
      </c>
      <c r="F755" s="3" t="str">
        <f ca="1">IF(OR(INDEX($K$2:$K$1001,MATCH(ROWS($J$2:J755),$J$2:$J$1001,0),1)&gt;=100000,INDEX($Q$1005:$U$1005,1,MATCH(COLUMNS($Q$1006:U1006),$Q$1006:$U$1006,0))&gt;=100000), " ",IF(INDEX($Q$2:$U$1001,MATCH(ROWS($J$2:J755),$J$2:$J$1001,0),MATCH(COLUMNS($Q$1006:U1006),$Q$1006:$U$1006,0)), HYPERLINK("#",""), HYPERLINK(CONCATENATE("#metadata!", ADDRESS(INDEX($L$2:$L$1001,MATCH(ROWS($J$2:J755),$J$2:$J$1001,0),0), INDEX($Q$1004:$U$1004,1,MATCH(COLUMNS($Q$1006:U1006),$Q$1006:$U$1006,0)))),"Fix")))</f>
        <v xml:space="preserve"> </v>
      </c>
      <c r="J755">
        <v>754</v>
      </c>
      <c r="K755">
        <v>100755</v>
      </c>
      <c r="L755">
        <v>755</v>
      </c>
      <c r="M755" t="b">
        <f t="shared" si="11"/>
        <v>1</v>
      </c>
      <c r="N755" t="b">
        <f>COUNTBLANK(metadata!B755:F755)=COLUMNS(metadata!B755:F755)</f>
        <v>1</v>
      </c>
      <c r="O755" t="str">
        <v/>
      </c>
      <c r="Q755" t="b">
        <f ca="1">AND(IF(metadata!B755="",FALSE,TRUE),COUNTIF(metadata!B:B, metadata!B755) = 1,NOT(ISERROR(SUMPRODUCT(SEARCH(MID(metadata!B755,ROW(INDIRECT("1:"&amp;LEN(metadata!B755))), 1),"0123456789abcdefghijklmnopqrstuvwxyzABCDEFGHIJKLMNOPQRSTUVWXYZ.")))))</f>
        <v>0</v>
      </c>
      <c r="R755" t="b">
        <f>AND(IF(metadata!C755="",FALSE,TRUE),OR(EXACT(metadata!C755,"saline"),EXACT(metadata!C755,"non-saline")))</f>
        <v>0</v>
      </c>
      <c r="S755" t="b">
        <f>AND(IF(metadata!D755="",FALSE,TRUE),OR(EXACT(metadata!D755,"surface (non-saline)"),EXACT(metadata!D755,"aerosol (non-saline)"),EXACT(metadata!D755,"sediment (non-saline)"),EXACT(metadata!D755,"surface (saline)"),EXACT(metadata!D755,"aerosol (saline)"),EXACT(metadata!D755,"sediment (saline)")))</f>
        <v>0</v>
      </c>
      <c r="T755" t="b">
        <f>AND(IF(metadata!E755="",FALSE,TRUE),EXACT(metadata!E755,"built environment"))</f>
        <v>0</v>
      </c>
      <c r="U755" t="b">
        <f>OR(AND(IF(metadata!F755="",FALSE,TRUE),EXACT(metadata!F755,"not applicable")),AND(IF(metadata!F755="",FALSE,TRUE),EXACT(metadata!F755,"anaerobic digester content")))</f>
        <v>0</v>
      </c>
    </row>
    <row r="756" spans="1:21" x14ac:dyDescent="0.2">
      <c r="A756" s="4" t="str">
        <f ca="1">IF(B756=" "," ",HYPERLINK(CONCATENATE("#metadata!",ADDRESS(INDEX($L$2:$L$1001,MATCH(ROWS($J$2:J756),$J$2:$J$1001,0),0),1)),INDEX($O$2:$O$1001,MATCH(ROWS($J$2:J756),$J$2:$J$1001,0),0)))</f>
        <v xml:space="preserve"> </v>
      </c>
      <c r="B756" s="3" t="str">
        <f ca="1">IF(OR(INDEX($K$2:$K$1001,MATCH(ROWS($J$2:J756),$J$2:$J$1001,0),1)&gt;=100000,INDEX($Q$1005:$U$1005,1,MATCH(COLUMNS($Q$1006:Q1006),$Q$1006:$U$1006,0))&gt;=100000), " ",IF(INDEX($Q$2:$U$1001,MATCH(ROWS($J$2:J756),$J$2:$J$1001,0),MATCH(COLUMNS($Q$1006:Q1006),$Q$1006:$U$1006,0)), HYPERLINK("#",""), HYPERLINK(CONCATENATE("#metadata!", ADDRESS(INDEX($L$2:$L$1001,MATCH(ROWS($J$2:J756),$J$2:$J$1001,0),0), INDEX($Q$1004:$U$1004,1,MATCH(COLUMNS($Q$1006:Q1006),$Q$1006:$U$1006,0)))),"Fix")))</f>
        <v xml:space="preserve"> </v>
      </c>
      <c r="C756" s="3" t="str">
        <f ca="1">IF(OR(INDEX($K$2:$K$1001,MATCH(ROWS($J$2:J756),$J$2:$J$1001,0),1)&gt;=100000,INDEX($Q$1005:$U$1005,1,MATCH(COLUMNS($Q$1006:R1006),$Q$1006:$U$1006,0))&gt;=100000), " ",IF(INDEX($Q$2:$U$1001,MATCH(ROWS($J$2:J756),$J$2:$J$1001,0),MATCH(COLUMNS($Q$1006:R1006),$Q$1006:$U$1006,0)), HYPERLINK("#",""), HYPERLINK(CONCATENATE("#metadata!", ADDRESS(INDEX($L$2:$L$1001,MATCH(ROWS($J$2:J756),$J$2:$J$1001,0),0), INDEX($Q$1004:$U$1004,1,MATCH(COLUMNS($Q$1006:R1006),$Q$1006:$U$1006,0)))),"Fix")))</f>
        <v xml:space="preserve"> </v>
      </c>
      <c r="D756" s="3" t="str">
        <f ca="1">IF(OR(INDEX($K$2:$K$1001,MATCH(ROWS($J$2:J756),$J$2:$J$1001,0),1)&gt;=100000,INDEX($Q$1005:$U$1005,1,MATCH(COLUMNS($Q$1006:S1006),$Q$1006:$U$1006,0))&gt;=100000), " ",IF(INDEX($Q$2:$U$1001,MATCH(ROWS($J$2:J756),$J$2:$J$1001,0),MATCH(COLUMNS($Q$1006:S1006),$Q$1006:$U$1006,0)), HYPERLINK("#",""), HYPERLINK(CONCATENATE("#metadata!", ADDRESS(INDEX($L$2:$L$1001,MATCH(ROWS($J$2:J756),$J$2:$J$1001,0),0), INDEX($Q$1004:$U$1004,1,MATCH(COLUMNS($Q$1006:S1006),$Q$1006:$U$1006,0)))),"Fix")))</f>
        <v xml:space="preserve"> </v>
      </c>
      <c r="E756" s="3" t="str">
        <f ca="1">IF(OR(INDEX($K$2:$K$1001,MATCH(ROWS($J$2:J756),$J$2:$J$1001,0),1)&gt;=100000,INDEX($Q$1005:$U$1005,1,MATCH(COLUMNS($Q$1006:T1006),$Q$1006:$U$1006,0))&gt;=100000), " ",IF(INDEX($Q$2:$U$1001,MATCH(ROWS($J$2:J756),$J$2:$J$1001,0),MATCH(COLUMNS($Q$1006:T1006),$Q$1006:$U$1006,0)), HYPERLINK("#",""), HYPERLINK(CONCATENATE("#metadata!", ADDRESS(INDEX($L$2:$L$1001,MATCH(ROWS($J$2:J756),$J$2:$J$1001,0),0), INDEX($Q$1004:$U$1004,1,MATCH(COLUMNS($Q$1006:T1006),$Q$1006:$U$1006,0)))),"Fix")))</f>
        <v xml:space="preserve"> </v>
      </c>
      <c r="F756" s="3" t="str">
        <f ca="1">IF(OR(INDEX($K$2:$K$1001,MATCH(ROWS($J$2:J756),$J$2:$J$1001,0),1)&gt;=100000,INDEX($Q$1005:$U$1005,1,MATCH(COLUMNS($Q$1006:U1006),$Q$1006:$U$1006,0))&gt;=100000), " ",IF(INDEX($Q$2:$U$1001,MATCH(ROWS($J$2:J756),$J$2:$J$1001,0),MATCH(COLUMNS($Q$1006:U1006),$Q$1006:$U$1006,0)), HYPERLINK("#",""), HYPERLINK(CONCATENATE("#metadata!", ADDRESS(INDEX($L$2:$L$1001,MATCH(ROWS($J$2:J756),$J$2:$J$1001,0),0), INDEX($Q$1004:$U$1004,1,MATCH(COLUMNS($Q$1006:U1006),$Q$1006:$U$1006,0)))),"Fix")))</f>
        <v xml:space="preserve"> </v>
      </c>
      <c r="J756">
        <v>755</v>
      </c>
      <c r="K756">
        <v>100756</v>
      </c>
      <c r="L756">
        <v>756</v>
      </c>
      <c r="M756" t="b">
        <f t="shared" si="11"/>
        <v>1</v>
      </c>
      <c r="N756" t="b">
        <f>COUNTBLANK(metadata!B756:F756)=COLUMNS(metadata!B756:F756)</f>
        <v>1</v>
      </c>
      <c r="O756" t="str">
        <v/>
      </c>
      <c r="Q756" t="b">
        <f ca="1">AND(IF(metadata!B756="",FALSE,TRUE),COUNTIF(metadata!B:B, metadata!B756) = 1,NOT(ISERROR(SUMPRODUCT(SEARCH(MID(metadata!B756,ROW(INDIRECT("1:"&amp;LEN(metadata!B756))), 1),"0123456789abcdefghijklmnopqrstuvwxyzABCDEFGHIJKLMNOPQRSTUVWXYZ.")))))</f>
        <v>0</v>
      </c>
      <c r="R756" t="b">
        <f>AND(IF(metadata!C756="",FALSE,TRUE),OR(EXACT(metadata!C756,"saline"),EXACT(metadata!C756,"non-saline")))</f>
        <v>0</v>
      </c>
      <c r="S756" t="b">
        <f>AND(IF(metadata!D756="",FALSE,TRUE),OR(EXACT(metadata!D756,"surface (non-saline)"),EXACT(metadata!D756,"aerosol (non-saline)"),EXACT(metadata!D756,"sediment (non-saline)"),EXACT(metadata!D756,"surface (saline)"),EXACT(metadata!D756,"aerosol (saline)"),EXACT(metadata!D756,"sediment (saline)")))</f>
        <v>0</v>
      </c>
      <c r="T756" t="b">
        <f>AND(IF(metadata!E756="",FALSE,TRUE),EXACT(metadata!E756,"built environment"))</f>
        <v>0</v>
      </c>
      <c r="U756" t="b">
        <f>OR(AND(IF(metadata!F756="",FALSE,TRUE),EXACT(metadata!F756,"not applicable")),AND(IF(metadata!F756="",FALSE,TRUE),EXACT(metadata!F756,"anaerobic digester content")))</f>
        <v>0</v>
      </c>
    </row>
    <row r="757" spans="1:21" x14ac:dyDescent="0.2">
      <c r="A757" s="4" t="str">
        <f ca="1">IF(B757=" "," ",HYPERLINK(CONCATENATE("#metadata!",ADDRESS(INDEX($L$2:$L$1001,MATCH(ROWS($J$2:J757),$J$2:$J$1001,0),0),1)),INDEX($O$2:$O$1001,MATCH(ROWS($J$2:J757),$J$2:$J$1001,0),0)))</f>
        <v xml:space="preserve"> </v>
      </c>
      <c r="B757" s="3" t="str">
        <f ca="1">IF(OR(INDEX($K$2:$K$1001,MATCH(ROWS($J$2:J757),$J$2:$J$1001,0),1)&gt;=100000,INDEX($Q$1005:$U$1005,1,MATCH(COLUMNS($Q$1006:Q1006),$Q$1006:$U$1006,0))&gt;=100000), " ",IF(INDEX($Q$2:$U$1001,MATCH(ROWS($J$2:J757),$J$2:$J$1001,0),MATCH(COLUMNS($Q$1006:Q1006),$Q$1006:$U$1006,0)), HYPERLINK("#",""), HYPERLINK(CONCATENATE("#metadata!", ADDRESS(INDEX($L$2:$L$1001,MATCH(ROWS($J$2:J757),$J$2:$J$1001,0),0), INDEX($Q$1004:$U$1004,1,MATCH(COLUMNS($Q$1006:Q1006),$Q$1006:$U$1006,0)))),"Fix")))</f>
        <v xml:space="preserve"> </v>
      </c>
      <c r="C757" s="3" t="str">
        <f ca="1">IF(OR(INDEX($K$2:$K$1001,MATCH(ROWS($J$2:J757),$J$2:$J$1001,0),1)&gt;=100000,INDEX($Q$1005:$U$1005,1,MATCH(COLUMNS($Q$1006:R1006),$Q$1006:$U$1006,0))&gt;=100000), " ",IF(INDEX($Q$2:$U$1001,MATCH(ROWS($J$2:J757),$J$2:$J$1001,0),MATCH(COLUMNS($Q$1006:R1006),$Q$1006:$U$1006,0)), HYPERLINK("#",""), HYPERLINK(CONCATENATE("#metadata!", ADDRESS(INDEX($L$2:$L$1001,MATCH(ROWS($J$2:J757),$J$2:$J$1001,0),0), INDEX($Q$1004:$U$1004,1,MATCH(COLUMNS($Q$1006:R1006),$Q$1006:$U$1006,0)))),"Fix")))</f>
        <v xml:space="preserve"> </v>
      </c>
      <c r="D757" s="3" t="str">
        <f ca="1">IF(OR(INDEX($K$2:$K$1001,MATCH(ROWS($J$2:J757),$J$2:$J$1001,0),1)&gt;=100000,INDEX($Q$1005:$U$1005,1,MATCH(COLUMNS($Q$1006:S1006),$Q$1006:$U$1006,0))&gt;=100000), " ",IF(INDEX($Q$2:$U$1001,MATCH(ROWS($J$2:J757),$J$2:$J$1001,0),MATCH(COLUMNS($Q$1006:S1006),$Q$1006:$U$1006,0)), HYPERLINK("#",""), HYPERLINK(CONCATENATE("#metadata!", ADDRESS(INDEX($L$2:$L$1001,MATCH(ROWS($J$2:J757),$J$2:$J$1001,0),0), INDEX($Q$1004:$U$1004,1,MATCH(COLUMNS($Q$1006:S1006),$Q$1006:$U$1006,0)))),"Fix")))</f>
        <v xml:space="preserve"> </v>
      </c>
      <c r="E757" s="3" t="str">
        <f ca="1">IF(OR(INDEX($K$2:$K$1001,MATCH(ROWS($J$2:J757),$J$2:$J$1001,0),1)&gt;=100000,INDEX($Q$1005:$U$1005,1,MATCH(COLUMNS($Q$1006:T1006),$Q$1006:$U$1006,0))&gt;=100000), " ",IF(INDEX($Q$2:$U$1001,MATCH(ROWS($J$2:J757),$J$2:$J$1001,0),MATCH(COLUMNS($Q$1006:T1006),$Q$1006:$U$1006,0)), HYPERLINK("#",""), HYPERLINK(CONCATENATE("#metadata!", ADDRESS(INDEX($L$2:$L$1001,MATCH(ROWS($J$2:J757),$J$2:$J$1001,0),0), INDEX($Q$1004:$U$1004,1,MATCH(COLUMNS($Q$1006:T1006),$Q$1006:$U$1006,0)))),"Fix")))</f>
        <v xml:space="preserve"> </v>
      </c>
      <c r="F757" s="3" t="str">
        <f ca="1">IF(OR(INDEX($K$2:$K$1001,MATCH(ROWS($J$2:J757),$J$2:$J$1001,0),1)&gt;=100000,INDEX($Q$1005:$U$1005,1,MATCH(COLUMNS($Q$1006:U1006),$Q$1006:$U$1006,0))&gt;=100000), " ",IF(INDEX($Q$2:$U$1001,MATCH(ROWS($J$2:J757),$J$2:$J$1001,0),MATCH(COLUMNS($Q$1006:U1006),$Q$1006:$U$1006,0)), HYPERLINK("#",""), HYPERLINK(CONCATENATE("#metadata!", ADDRESS(INDEX($L$2:$L$1001,MATCH(ROWS($J$2:J757),$J$2:$J$1001,0),0), INDEX($Q$1004:$U$1004,1,MATCH(COLUMNS($Q$1006:U1006),$Q$1006:$U$1006,0)))),"Fix")))</f>
        <v xml:space="preserve"> </v>
      </c>
      <c r="J757">
        <v>756</v>
      </c>
      <c r="K757">
        <v>100757</v>
      </c>
      <c r="L757">
        <v>757</v>
      </c>
      <c r="M757" t="b">
        <f t="shared" si="11"/>
        <v>1</v>
      </c>
      <c r="N757" t="b">
        <f>COUNTBLANK(metadata!B757:F757)=COLUMNS(metadata!B757:F757)</f>
        <v>1</v>
      </c>
      <c r="O757" t="str">
        <v/>
      </c>
      <c r="Q757" t="b">
        <f ca="1">AND(IF(metadata!B757="",FALSE,TRUE),COUNTIF(metadata!B:B, metadata!B757) = 1,NOT(ISERROR(SUMPRODUCT(SEARCH(MID(metadata!B757,ROW(INDIRECT("1:"&amp;LEN(metadata!B757))), 1),"0123456789abcdefghijklmnopqrstuvwxyzABCDEFGHIJKLMNOPQRSTUVWXYZ.")))))</f>
        <v>0</v>
      </c>
      <c r="R757" t="b">
        <f>AND(IF(metadata!C757="",FALSE,TRUE),OR(EXACT(metadata!C757,"saline"),EXACT(metadata!C757,"non-saline")))</f>
        <v>0</v>
      </c>
      <c r="S757" t="b">
        <f>AND(IF(metadata!D757="",FALSE,TRUE),OR(EXACT(metadata!D757,"surface (non-saline)"),EXACT(metadata!D757,"aerosol (non-saline)"),EXACT(metadata!D757,"sediment (non-saline)"),EXACT(metadata!D757,"surface (saline)"),EXACT(metadata!D757,"aerosol (saline)"),EXACT(metadata!D757,"sediment (saline)")))</f>
        <v>0</v>
      </c>
      <c r="T757" t="b">
        <f>AND(IF(metadata!E757="",FALSE,TRUE),EXACT(metadata!E757,"built environment"))</f>
        <v>0</v>
      </c>
      <c r="U757" t="b">
        <f>OR(AND(IF(metadata!F757="",FALSE,TRUE),EXACT(metadata!F757,"not applicable")),AND(IF(metadata!F757="",FALSE,TRUE),EXACT(metadata!F757,"anaerobic digester content")))</f>
        <v>0</v>
      </c>
    </row>
    <row r="758" spans="1:21" x14ac:dyDescent="0.2">
      <c r="A758" s="4" t="str">
        <f ca="1">IF(B758=" "," ",HYPERLINK(CONCATENATE("#metadata!",ADDRESS(INDEX($L$2:$L$1001,MATCH(ROWS($J$2:J758),$J$2:$J$1001,0),0),1)),INDEX($O$2:$O$1001,MATCH(ROWS($J$2:J758),$J$2:$J$1001,0),0)))</f>
        <v xml:space="preserve"> </v>
      </c>
      <c r="B758" s="3" t="str">
        <f ca="1">IF(OR(INDEX($K$2:$K$1001,MATCH(ROWS($J$2:J758),$J$2:$J$1001,0),1)&gt;=100000,INDEX($Q$1005:$U$1005,1,MATCH(COLUMNS($Q$1006:Q1006),$Q$1006:$U$1006,0))&gt;=100000), " ",IF(INDEX($Q$2:$U$1001,MATCH(ROWS($J$2:J758),$J$2:$J$1001,0),MATCH(COLUMNS($Q$1006:Q1006),$Q$1006:$U$1006,0)), HYPERLINK("#",""), HYPERLINK(CONCATENATE("#metadata!", ADDRESS(INDEX($L$2:$L$1001,MATCH(ROWS($J$2:J758),$J$2:$J$1001,0),0), INDEX($Q$1004:$U$1004,1,MATCH(COLUMNS($Q$1006:Q1006),$Q$1006:$U$1006,0)))),"Fix")))</f>
        <v xml:space="preserve"> </v>
      </c>
      <c r="C758" s="3" t="str">
        <f ca="1">IF(OR(INDEX($K$2:$K$1001,MATCH(ROWS($J$2:J758),$J$2:$J$1001,0),1)&gt;=100000,INDEX($Q$1005:$U$1005,1,MATCH(COLUMNS($Q$1006:R1006),$Q$1006:$U$1006,0))&gt;=100000), " ",IF(INDEX($Q$2:$U$1001,MATCH(ROWS($J$2:J758),$J$2:$J$1001,0),MATCH(COLUMNS($Q$1006:R1006),$Q$1006:$U$1006,0)), HYPERLINK("#",""), HYPERLINK(CONCATENATE("#metadata!", ADDRESS(INDEX($L$2:$L$1001,MATCH(ROWS($J$2:J758),$J$2:$J$1001,0),0), INDEX($Q$1004:$U$1004,1,MATCH(COLUMNS($Q$1006:R1006),$Q$1006:$U$1006,0)))),"Fix")))</f>
        <v xml:space="preserve"> </v>
      </c>
      <c r="D758" s="3" t="str">
        <f ca="1">IF(OR(INDEX($K$2:$K$1001,MATCH(ROWS($J$2:J758),$J$2:$J$1001,0),1)&gt;=100000,INDEX($Q$1005:$U$1005,1,MATCH(COLUMNS($Q$1006:S1006),$Q$1006:$U$1006,0))&gt;=100000), " ",IF(INDEX($Q$2:$U$1001,MATCH(ROWS($J$2:J758),$J$2:$J$1001,0),MATCH(COLUMNS($Q$1006:S1006),$Q$1006:$U$1006,0)), HYPERLINK("#",""), HYPERLINK(CONCATENATE("#metadata!", ADDRESS(INDEX($L$2:$L$1001,MATCH(ROWS($J$2:J758),$J$2:$J$1001,0),0), INDEX($Q$1004:$U$1004,1,MATCH(COLUMNS($Q$1006:S1006),$Q$1006:$U$1006,0)))),"Fix")))</f>
        <v xml:space="preserve"> </v>
      </c>
      <c r="E758" s="3" t="str">
        <f ca="1">IF(OR(INDEX($K$2:$K$1001,MATCH(ROWS($J$2:J758),$J$2:$J$1001,0),1)&gt;=100000,INDEX($Q$1005:$U$1005,1,MATCH(COLUMNS($Q$1006:T1006),$Q$1006:$U$1006,0))&gt;=100000), " ",IF(INDEX($Q$2:$U$1001,MATCH(ROWS($J$2:J758),$J$2:$J$1001,0),MATCH(COLUMNS($Q$1006:T1006),$Q$1006:$U$1006,0)), HYPERLINK("#",""), HYPERLINK(CONCATENATE("#metadata!", ADDRESS(INDEX($L$2:$L$1001,MATCH(ROWS($J$2:J758),$J$2:$J$1001,0),0), INDEX($Q$1004:$U$1004,1,MATCH(COLUMNS($Q$1006:T1006),$Q$1006:$U$1006,0)))),"Fix")))</f>
        <v xml:space="preserve"> </v>
      </c>
      <c r="F758" s="3" t="str">
        <f ca="1">IF(OR(INDEX($K$2:$K$1001,MATCH(ROWS($J$2:J758),$J$2:$J$1001,0),1)&gt;=100000,INDEX($Q$1005:$U$1005,1,MATCH(COLUMNS($Q$1006:U1006),$Q$1006:$U$1006,0))&gt;=100000), " ",IF(INDEX($Q$2:$U$1001,MATCH(ROWS($J$2:J758),$J$2:$J$1001,0),MATCH(COLUMNS($Q$1006:U1006),$Q$1006:$U$1006,0)), HYPERLINK("#",""), HYPERLINK(CONCATENATE("#metadata!", ADDRESS(INDEX($L$2:$L$1001,MATCH(ROWS($J$2:J758),$J$2:$J$1001,0),0), INDEX($Q$1004:$U$1004,1,MATCH(COLUMNS($Q$1006:U1006),$Q$1006:$U$1006,0)))),"Fix")))</f>
        <v xml:space="preserve"> </v>
      </c>
      <c r="J758">
        <v>757</v>
      </c>
      <c r="K758">
        <v>100758</v>
      </c>
      <c r="L758">
        <v>758</v>
      </c>
      <c r="M758" t="b">
        <f t="shared" si="11"/>
        <v>1</v>
      </c>
      <c r="N758" t="b">
        <f>COUNTBLANK(metadata!B758:F758)=COLUMNS(metadata!B758:F758)</f>
        <v>1</v>
      </c>
      <c r="O758" t="str">
        <v/>
      </c>
      <c r="Q758" t="b">
        <f ca="1">AND(IF(metadata!B758="",FALSE,TRUE),COUNTIF(metadata!B:B, metadata!B758) = 1,NOT(ISERROR(SUMPRODUCT(SEARCH(MID(metadata!B758,ROW(INDIRECT("1:"&amp;LEN(metadata!B758))), 1),"0123456789abcdefghijklmnopqrstuvwxyzABCDEFGHIJKLMNOPQRSTUVWXYZ.")))))</f>
        <v>0</v>
      </c>
      <c r="R758" t="b">
        <f>AND(IF(metadata!C758="",FALSE,TRUE),OR(EXACT(metadata!C758,"saline"),EXACT(metadata!C758,"non-saline")))</f>
        <v>0</v>
      </c>
      <c r="S758" t="b">
        <f>AND(IF(metadata!D758="",FALSE,TRUE),OR(EXACT(metadata!D758,"surface (non-saline)"),EXACT(metadata!D758,"aerosol (non-saline)"),EXACT(metadata!D758,"sediment (non-saline)"),EXACT(metadata!D758,"surface (saline)"),EXACT(metadata!D758,"aerosol (saline)"),EXACT(metadata!D758,"sediment (saline)")))</f>
        <v>0</v>
      </c>
      <c r="T758" t="b">
        <f>AND(IF(metadata!E758="",FALSE,TRUE),EXACT(metadata!E758,"built environment"))</f>
        <v>0</v>
      </c>
      <c r="U758" t="b">
        <f>OR(AND(IF(metadata!F758="",FALSE,TRUE),EXACT(metadata!F758,"not applicable")),AND(IF(metadata!F758="",FALSE,TRUE),EXACT(metadata!F758,"anaerobic digester content")))</f>
        <v>0</v>
      </c>
    </row>
    <row r="759" spans="1:21" x14ac:dyDescent="0.2">
      <c r="A759" s="4" t="str">
        <f ca="1">IF(B759=" "," ",HYPERLINK(CONCATENATE("#metadata!",ADDRESS(INDEX($L$2:$L$1001,MATCH(ROWS($J$2:J759),$J$2:$J$1001,0),0),1)),INDEX($O$2:$O$1001,MATCH(ROWS($J$2:J759),$J$2:$J$1001,0),0)))</f>
        <v xml:space="preserve"> </v>
      </c>
      <c r="B759" s="3" t="str">
        <f ca="1">IF(OR(INDEX($K$2:$K$1001,MATCH(ROWS($J$2:J759),$J$2:$J$1001,0),1)&gt;=100000,INDEX($Q$1005:$U$1005,1,MATCH(COLUMNS($Q$1006:Q1006),$Q$1006:$U$1006,0))&gt;=100000), " ",IF(INDEX($Q$2:$U$1001,MATCH(ROWS($J$2:J759),$J$2:$J$1001,0),MATCH(COLUMNS($Q$1006:Q1006),$Q$1006:$U$1006,0)), HYPERLINK("#",""), HYPERLINK(CONCATENATE("#metadata!", ADDRESS(INDEX($L$2:$L$1001,MATCH(ROWS($J$2:J759),$J$2:$J$1001,0),0), INDEX($Q$1004:$U$1004,1,MATCH(COLUMNS($Q$1006:Q1006),$Q$1006:$U$1006,0)))),"Fix")))</f>
        <v xml:space="preserve"> </v>
      </c>
      <c r="C759" s="3" t="str">
        <f ca="1">IF(OR(INDEX($K$2:$K$1001,MATCH(ROWS($J$2:J759),$J$2:$J$1001,0),1)&gt;=100000,INDEX($Q$1005:$U$1005,1,MATCH(COLUMNS($Q$1006:R1006),$Q$1006:$U$1006,0))&gt;=100000), " ",IF(INDEX($Q$2:$U$1001,MATCH(ROWS($J$2:J759),$J$2:$J$1001,0),MATCH(COLUMNS($Q$1006:R1006),$Q$1006:$U$1006,0)), HYPERLINK("#",""), HYPERLINK(CONCATENATE("#metadata!", ADDRESS(INDEX($L$2:$L$1001,MATCH(ROWS($J$2:J759),$J$2:$J$1001,0),0), INDEX($Q$1004:$U$1004,1,MATCH(COLUMNS($Q$1006:R1006),$Q$1006:$U$1006,0)))),"Fix")))</f>
        <v xml:space="preserve"> </v>
      </c>
      <c r="D759" s="3" t="str">
        <f ca="1">IF(OR(INDEX($K$2:$K$1001,MATCH(ROWS($J$2:J759),$J$2:$J$1001,0),1)&gt;=100000,INDEX($Q$1005:$U$1005,1,MATCH(COLUMNS($Q$1006:S1006),$Q$1006:$U$1006,0))&gt;=100000), " ",IF(INDEX($Q$2:$U$1001,MATCH(ROWS($J$2:J759),$J$2:$J$1001,0),MATCH(COLUMNS($Q$1006:S1006),$Q$1006:$U$1006,0)), HYPERLINK("#",""), HYPERLINK(CONCATENATE("#metadata!", ADDRESS(INDEX($L$2:$L$1001,MATCH(ROWS($J$2:J759),$J$2:$J$1001,0),0), INDEX($Q$1004:$U$1004,1,MATCH(COLUMNS($Q$1006:S1006),$Q$1006:$U$1006,0)))),"Fix")))</f>
        <v xml:space="preserve"> </v>
      </c>
      <c r="E759" s="3" t="str">
        <f ca="1">IF(OR(INDEX($K$2:$K$1001,MATCH(ROWS($J$2:J759),$J$2:$J$1001,0),1)&gt;=100000,INDEX($Q$1005:$U$1005,1,MATCH(COLUMNS($Q$1006:T1006),$Q$1006:$U$1006,0))&gt;=100000), " ",IF(INDEX($Q$2:$U$1001,MATCH(ROWS($J$2:J759),$J$2:$J$1001,0),MATCH(COLUMNS($Q$1006:T1006),$Q$1006:$U$1006,0)), HYPERLINK("#",""), HYPERLINK(CONCATENATE("#metadata!", ADDRESS(INDEX($L$2:$L$1001,MATCH(ROWS($J$2:J759),$J$2:$J$1001,0),0), INDEX($Q$1004:$U$1004,1,MATCH(COLUMNS($Q$1006:T1006),$Q$1006:$U$1006,0)))),"Fix")))</f>
        <v xml:space="preserve"> </v>
      </c>
      <c r="F759" s="3" t="str">
        <f ca="1">IF(OR(INDEX($K$2:$K$1001,MATCH(ROWS($J$2:J759),$J$2:$J$1001,0),1)&gt;=100000,INDEX($Q$1005:$U$1005,1,MATCH(COLUMNS($Q$1006:U1006),$Q$1006:$U$1006,0))&gt;=100000), " ",IF(INDEX($Q$2:$U$1001,MATCH(ROWS($J$2:J759),$J$2:$J$1001,0),MATCH(COLUMNS($Q$1006:U1006),$Q$1006:$U$1006,0)), HYPERLINK("#",""), HYPERLINK(CONCATENATE("#metadata!", ADDRESS(INDEX($L$2:$L$1001,MATCH(ROWS($J$2:J759),$J$2:$J$1001,0),0), INDEX($Q$1004:$U$1004,1,MATCH(COLUMNS($Q$1006:U1006),$Q$1006:$U$1006,0)))),"Fix")))</f>
        <v xml:space="preserve"> </v>
      </c>
      <c r="J759">
        <v>758</v>
      </c>
      <c r="K759">
        <v>100759</v>
      </c>
      <c r="L759">
        <v>759</v>
      </c>
      <c r="M759" t="b">
        <f t="shared" si="11"/>
        <v>1</v>
      </c>
      <c r="N759" t="b">
        <f>COUNTBLANK(metadata!B759:F759)=COLUMNS(metadata!B759:F759)</f>
        <v>1</v>
      </c>
      <c r="O759" t="str">
        <v/>
      </c>
      <c r="Q759" t="b">
        <f ca="1">AND(IF(metadata!B759="",FALSE,TRUE),COUNTIF(metadata!B:B, metadata!B759) = 1,NOT(ISERROR(SUMPRODUCT(SEARCH(MID(metadata!B759,ROW(INDIRECT("1:"&amp;LEN(metadata!B759))), 1),"0123456789abcdefghijklmnopqrstuvwxyzABCDEFGHIJKLMNOPQRSTUVWXYZ.")))))</f>
        <v>0</v>
      </c>
      <c r="R759" t="b">
        <f>AND(IF(metadata!C759="",FALSE,TRUE),OR(EXACT(metadata!C759,"saline"),EXACT(metadata!C759,"non-saline")))</f>
        <v>0</v>
      </c>
      <c r="S759" t="b">
        <f>AND(IF(metadata!D759="",FALSE,TRUE),OR(EXACT(metadata!D759,"surface (non-saline)"),EXACT(metadata!D759,"aerosol (non-saline)"),EXACT(metadata!D759,"sediment (non-saline)"),EXACT(metadata!D759,"surface (saline)"),EXACT(metadata!D759,"aerosol (saline)"),EXACT(metadata!D759,"sediment (saline)")))</f>
        <v>0</v>
      </c>
      <c r="T759" t="b">
        <f>AND(IF(metadata!E759="",FALSE,TRUE),EXACT(metadata!E759,"built environment"))</f>
        <v>0</v>
      </c>
      <c r="U759" t="b">
        <f>OR(AND(IF(metadata!F759="",FALSE,TRUE),EXACT(metadata!F759,"not applicable")),AND(IF(metadata!F759="",FALSE,TRUE),EXACT(metadata!F759,"anaerobic digester content")))</f>
        <v>0</v>
      </c>
    </row>
    <row r="760" spans="1:21" x14ac:dyDescent="0.2">
      <c r="A760" s="4" t="str">
        <f ca="1">IF(B760=" "," ",HYPERLINK(CONCATENATE("#metadata!",ADDRESS(INDEX($L$2:$L$1001,MATCH(ROWS($J$2:J760),$J$2:$J$1001,0),0),1)),INDEX($O$2:$O$1001,MATCH(ROWS($J$2:J760),$J$2:$J$1001,0),0)))</f>
        <v xml:space="preserve"> </v>
      </c>
      <c r="B760" s="3" t="str">
        <f ca="1">IF(OR(INDEX($K$2:$K$1001,MATCH(ROWS($J$2:J760),$J$2:$J$1001,0),1)&gt;=100000,INDEX($Q$1005:$U$1005,1,MATCH(COLUMNS($Q$1006:Q1006),$Q$1006:$U$1006,0))&gt;=100000), " ",IF(INDEX($Q$2:$U$1001,MATCH(ROWS($J$2:J760),$J$2:$J$1001,0),MATCH(COLUMNS($Q$1006:Q1006),$Q$1006:$U$1006,0)), HYPERLINK("#",""), HYPERLINK(CONCATENATE("#metadata!", ADDRESS(INDEX($L$2:$L$1001,MATCH(ROWS($J$2:J760),$J$2:$J$1001,0),0), INDEX($Q$1004:$U$1004,1,MATCH(COLUMNS($Q$1006:Q1006),$Q$1006:$U$1006,0)))),"Fix")))</f>
        <v xml:space="preserve"> </v>
      </c>
      <c r="C760" s="3" t="str">
        <f ca="1">IF(OR(INDEX($K$2:$K$1001,MATCH(ROWS($J$2:J760),$J$2:$J$1001,0),1)&gt;=100000,INDEX($Q$1005:$U$1005,1,MATCH(COLUMNS($Q$1006:R1006),$Q$1006:$U$1006,0))&gt;=100000), " ",IF(INDEX($Q$2:$U$1001,MATCH(ROWS($J$2:J760),$J$2:$J$1001,0),MATCH(COLUMNS($Q$1006:R1006),$Q$1006:$U$1006,0)), HYPERLINK("#",""), HYPERLINK(CONCATENATE("#metadata!", ADDRESS(INDEX($L$2:$L$1001,MATCH(ROWS($J$2:J760),$J$2:$J$1001,0),0), INDEX($Q$1004:$U$1004,1,MATCH(COLUMNS($Q$1006:R1006),$Q$1006:$U$1006,0)))),"Fix")))</f>
        <v xml:space="preserve"> </v>
      </c>
      <c r="D760" s="3" t="str">
        <f ca="1">IF(OR(INDEX($K$2:$K$1001,MATCH(ROWS($J$2:J760),$J$2:$J$1001,0),1)&gt;=100000,INDEX($Q$1005:$U$1005,1,MATCH(COLUMNS($Q$1006:S1006),$Q$1006:$U$1006,0))&gt;=100000), " ",IF(INDEX($Q$2:$U$1001,MATCH(ROWS($J$2:J760),$J$2:$J$1001,0),MATCH(COLUMNS($Q$1006:S1006),$Q$1006:$U$1006,0)), HYPERLINK("#",""), HYPERLINK(CONCATENATE("#metadata!", ADDRESS(INDEX($L$2:$L$1001,MATCH(ROWS($J$2:J760),$J$2:$J$1001,0),0), INDEX($Q$1004:$U$1004,1,MATCH(COLUMNS($Q$1006:S1006),$Q$1006:$U$1006,0)))),"Fix")))</f>
        <v xml:space="preserve"> </v>
      </c>
      <c r="E760" s="3" t="str">
        <f ca="1">IF(OR(INDEX($K$2:$K$1001,MATCH(ROWS($J$2:J760),$J$2:$J$1001,0),1)&gt;=100000,INDEX($Q$1005:$U$1005,1,MATCH(COLUMNS($Q$1006:T1006),$Q$1006:$U$1006,0))&gt;=100000), " ",IF(INDEX($Q$2:$U$1001,MATCH(ROWS($J$2:J760),$J$2:$J$1001,0),MATCH(COLUMNS($Q$1006:T1006),$Q$1006:$U$1006,0)), HYPERLINK("#",""), HYPERLINK(CONCATENATE("#metadata!", ADDRESS(INDEX($L$2:$L$1001,MATCH(ROWS($J$2:J760),$J$2:$J$1001,0),0), INDEX($Q$1004:$U$1004,1,MATCH(COLUMNS($Q$1006:T1006),$Q$1006:$U$1006,0)))),"Fix")))</f>
        <v xml:space="preserve"> </v>
      </c>
      <c r="F760" s="3" t="str">
        <f ca="1">IF(OR(INDEX($K$2:$K$1001,MATCH(ROWS($J$2:J760),$J$2:$J$1001,0),1)&gt;=100000,INDEX($Q$1005:$U$1005,1,MATCH(COLUMNS($Q$1006:U1006),$Q$1006:$U$1006,0))&gt;=100000), " ",IF(INDEX($Q$2:$U$1001,MATCH(ROWS($J$2:J760),$J$2:$J$1001,0),MATCH(COLUMNS($Q$1006:U1006),$Q$1006:$U$1006,0)), HYPERLINK("#",""), HYPERLINK(CONCATENATE("#metadata!", ADDRESS(INDEX($L$2:$L$1001,MATCH(ROWS($J$2:J760),$J$2:$J$1001,0),0), INDEX($Q$1004:$U$1004,1,MATCH(COLUMNS($Q$1006:U1006),$Q$1006:$U$1006,0)))),"Fix")))</f>
        <v xml:space="preserve"> </v>
      </c>
      <c r="J760">
        <v>759</v>
      </c>
      <c r="K760">
        <v>100760</v>
      </c>
      <c r="L760">
        <v>760</v>
      </c>
      <c r="M760" t="b">
        <f t="shared" si="11"/>
        <v>1</v>
      </c>
      <c r="N760" t="b">
        <f>COUNTBLANK(metadata!B760:F760)=COLUMNS(metadata!B760:F760)</f>
        <v>1</v>
      </c>
      <c r="O760" t="str">
        <v/>
      </c>
      <c r="Q760" t="b">
        <f ca="1">AND(IF(metadata!B760="",FALSE,TRUE),COUNTIF(metadata!B:B, metadata!B760) = 1,NOT(ISERROR(SUMPRODUCT(SEARCH(MID(metadata!B760,ROW(INDIRECT("1:"&amp;LEN(metadata!B760))), 1),"0123456789abcdefghijklmnopqrstuvwxyzABCDEFGHIJKLMNOPQRSTUVWXYZ.")))))</f>
        <v>0</v>
      </c>
      <c r="R760" t="b">
        <f>AND(IF(metadata!C760="",FALSE,TRUE),OR(EXACT(metadata!C760,"saline"),EXACT(metadata!C760,"non-saline")))</f>
        <v>0</v>
      </c>
      <c r="S760" t="b">
        <f>AND(IF(metadata!D760="",FALSE,TRUE),OR(EXACT(metadata!D760,"surface (non-saline)"),EXACT(metadata!D760,"aerosol (non-saline)"),EXACT(metadata!D760,"sediment (non-saline)"),EXACT(metadata!D760,"surface (saline)"),EXACT(metadata!D760,"aerosol (saline)"),EXACT(metadata!D760,"sediment (saline)")))</f>
        <v>0</v>
      </c>
      <c r="T760" t="b">
        <f>AND(IF(metadata!E760="",FALSE,TRUE),EXACT(metadata!E760,"built environment"))</f>
        <v>0</v>
      </c>
      <c r="U760" t="b">
        <f>OR(AND(IF(metadata!F760="",FALSE,TRUE),EXACT(metadata!F760,"not applicable")),AND(IF(metadata!F760="",FALSE,TRUE),EXACT(metadata!F760,"anaerobic digester content")))</f>
        <v>0</v>
      </c>
    </row>
    <row r="761" spans="1:21" x14ac:dyDescent="0.2">
      <c r="A761" s="4" t="str">
        <f ca="1">IF(B761=" "," ",HYPERLINK(CONCATENATE("#metadata!",ADDRESS(INDEX($L$2:$L$1001,MATCH(ROWS($J$2:J761),$J$2:$J$1001,0),0),1)),INDEX($O$2:$O$1001,MATCH(ROWS($J$2:J761),$J$2:$J$1001,0),0)))</f>
        <v xml:space="preserve"> </v>
      </c>
      <c r="B761" s="3" t="str">
        <f ca="1">IF(OR(INDEX($K$2:$K$1001,MATCH(ROWS($J$2:J761),$J$2:$J$1001,0),1)&gt;=100000,INDEX($Q$1005:$U$1005,1,MATCH(COLUMNS($Q$1006:Q1006),$Q$1006:$U$1006,0))&gt;=100000), " ",IF(INDEX($Q$2:$U$1001,MATCH(ROWS($J$2:J761),$J$2:$J$1001,0),MATCH(COLUMNS($Q$1006:Q1006),$Q$1006:$U$1006,0)), HYPERLINK("#",""), HYPERLINK(CONCATENATE("#metadata!", ADDRESS(INDEX($L$2:$L$1001,MATCH(ROWS($J$2:J761),$J$2:$J$1001,0),0), INDEX($Q$1004:$U$1004,1,MATCH(COLUMNS($Q$1006:Q1006),$Q$1006:$U$1006,0)))),"Fix")))</f>
        <v xml:space="preserve"> </v>
      </c>
      <c r="C761" s="3" t="str">
        <f ca="1">IF(OR(INDEX($K$2:$K$1001,MATCH(ROWS($J$2:J761),$J$2:$J$1001,0),1)&gt;=100000,INDEX($Q$1005:$U$1005,1,MATCH(COLUMNS($Q$1006:R1006),$Q$1006:$U$1006,0))&gt;=100000), " ",IF(INDEX($Q$2:$U$1001,MATCH(ROWS($J$2:J761),$J$2:$J$1001,0),MATCH(COLUMNS($Q$1006:R1006),$Q$1006:$U$1006,0)), HYPERLINK("#",""), HYPERLINK(CONCATENATE("#metadata!", ADDRESS(INDEX($L$2:$L$1001,MATCH(ROWS($J$2:J761),$J$2:$J$1001,0),0), INDEX($Q$1004:$U$1004,1,MATCH(COLUMNS($Q$1006:R1006),$Q$1006:$U$1006,0)))),"Fix")))</f>
        <v xml:space="preserve"> </v>
      </c>
      <c r="D761" s="3" t="str">
        <f ca="1">IF(OR(INDEX($K$2:$K$1001,MATCH(ROWS($J$2:J761),$J$2:$J$1001,0),1)&gt;=100000,INDEX($Q$1005:$U$1005,1,MATCH(COLUMNS($Q$1006:S1006),$Q$1006:$U$1006,0))&gt;=100000), " ",IF(INDEX($Q$2:$U$1001,MATCH(ROWS($J$2:J761),$J$2:$J$1001,0),MATCH(COLUMNS($Q$1006:S1006),$Q$1006:$U$1006,0)), HYPERLINK("#",""), HYPERLINK(CONCATENATE("#metadata!", ADDRESS(INDEX($L$2:$L$1001,MATCH(ROWS($J$2:J761),$J$2:$J$1001,0),0), INDEX($Q$1004:$U$1004,1,MATCH(COLUMNS($Q$1006:S1006),$Q$1006:$U$1006,0)))),"Fix")))</f>
        <v xml:space="preserve"> </v>
      </c>
      <c r="E761" s="3" t="str">
        <f ca="1">IF(OR(INDEX($K$2:$K$1001,MATCH(ROWS($J$2:J761),$J$2:$J$1001,0),1)&gt;=100000,INDEX($Q$1005:$U$1005,1,MATCH(COLUMNS($Q$1006:T1006),$Q$1006:$U$1006,0))&gt;=100000), " ",IF(INDEX($Q$2:$U$1001,MATCH(ROWS($J$2:J761),$J$2:$J$1001,0),MATCH(COLUMNS($Q$1006:T1006),$Q$1006:$U$1006,0)), HYPERLINK("#",""), HYPERLINK(CONCATENATE("#metadata!", ADDRESS(INDEX($L$2:$L$1001,MATCH(ROWS($J$2:J761),$J$2:$J$1001,0),0), INDEX($Q$1004:$U$1004,1,MATCH(COLUMNS($Q$1006:T1006),$Q$1006:$U$1006,0)))),"Fix")))</f>
        <v xml:space="preserve"> </v>
      </c>
      <c r="F761" s="3" t="str">
        <f ca="1">IF(OR(INDEX($K$2:$K$1001,MATCH(ROWS($J$2:J761),$J$2:$J$1001,0),1)&gt;=100000,INDEX($Q$1005:$U$1005,1,MATCH(COLUMNS($Q$1006:U1006),$Q$1006:$U$1006,0))&gt;=100000), " ",IF(INDEX($Q$2:$U$1001,MATCH(ROWS($J$2:J761),$J$2:$J$1001,0),MATCH(COLUMNS($Q$1006:U1006),$Q$1006:$U$1006,0)), HYPERLINK("#",""), HYPERLINK(CONCATENATE("#metadata!", ADDRESS(INDEX($L$2:$L$1001,MATCH(ROWS($J$2:J761),$J$2:$J$1001,0),0), INDEX($Q$1004:$U$1004,1,MATCH(COLUMNS($Q$1006:U1006),$Q$1006:$U$1006,0)))),"Fix")))</f>
        <v xml:space="preserve"> </v>
      </c>
      <c r="J761">
        <v>760</v>
      </c>
      <c r="K761">
        <v>100761</v>
      </c>
      <c r="L761">
        <v>761</v>
      </c>
      <c r="M761" t="b">
        <f t="shared" si="11"/>
        <v>1</v>
      </c>
      <c r="N761" t="b">
        <f>COUNTBLANK(metadata!B761:F761)=COLUMNS(metadata!B761:F761)</f>
        <v>1</v>
      </c>
      <c r="O761" t="str">
        <v/>
      </c>
      <c r="Q761" t="b">
        <f ca="1">AND(IF(metadata!B761="",FALSE,TRUE),COUNTIF(metadata!B:B, metadata!B761) = 1,NOT(ISERROR(SUMPRODUCT(SEARCH(MID(metadata!B761,ROW(INDIRECT("1:"&amp;LEN(metadata!B761))), 1),"0123456789abcdefghijklmnopqrstuvwxyzABCDEFGHIJKLMNOPQRSTUVWXYZ.")))))</f>
        <v>0</v>
      </c>
      <c r="R761" t="b">
        <f>AND(IF(metadata!C761="",FALSE,TRUE),OR(EXACT(metadata!C761,"saline"),EXACT(metadata!C761,"non-saline")))</f>
        <v>0</v>
      </c>
      <c r="S761" t="b">
        <f>AND(IF(metadata!D761="",FALSE,TRUE),OR(EXACT(metadata!D761,"surface (non-saline)"),EXACT(metadata!D761,"aerosol (non-saline)"),EXACT(metadata!D761,"sediment (non-saline)"),EXACT(metadata!D761,"surface (saline)"),EXACT(metadata!D761,"aerosol (saline)"),EXACT(metadata!D761,"sediment (saline)")))</f>
        <v>0</v>
      </c>
      <c r="T761" t="b">
        <f>AND(IF(metadata!E761="",FALSE,TRUE),EXACT(metadata!E761,"built environment"))</f>
        <v>0</v>
      </c>
      <c r="U761" t="b">
        <f>OR(AND(IF(metadata!F761="",FALSE,TRUE),EXACT(metadata!F761,"not applicable")),AND(IF(metadata!F761="",FALSE,TRUE),EXACT(metadata!F761,"anaerobic digester content")))</f>
        <v>0</v>
      </c>
    </row>
    <row r="762" spans="1:21" x14ac:dyDescent="0.2">
      <c r="A762" s="4" t="str">
        <f ca="1">IF(B762=" "," ",HYPERLINK(CONCATENATE("#metadata!",ADDRESS(INDEX($L$2:$L$1001,MATCH(ROWS($J$2:J762),$J$2:$J$1001,0),0),1)),INDEX($O$2:$O$1001,MATCH(ROWS($J$2:J762),$J$2:$J$1001,0),0)))</f>
        <v xml:space="preserve"> </v>
      </c>
      <c r="B762" s="3" t="str">
        <f ca="1">IF(OR(INDEX($K$2:$K$1001,MATCH(ROWS($J$2:J762),$J$2:$J$1001,0),1)&gt;=100000,INDEX($Q$1005:$U$1005,1,MATCH(COLUMNS($Q$1006:Q1006),$Q$1006:$U$1006,0))&gt;=100000), " ",IF(INDEX($Q$2:$U$1001,MATCH(ROWS($J$2:J762),$J$2:$J$1001,0),MATCH(COLUMNS($Q$1006:Q1006),$Q$1006:$U$1006,0)), HYPERLINK("#",""), HYPERLINK(CONCATENATE("#metadata!", ADDRESS(INDEX($L$2:$L$1001,MATCH(ROWS($J$2:J762),$J$2:$J$1001,0),0), INDEX($Q$1004:$U$1004,1,MATCH(COLUMNS($Q$1006:Q1006),$Q$1006:$U$1006,0)))),"Fix")))</f>
        <v xml:space="preserve"> </v>
      </c>
      <c r="C762" s="3" t="str">
        <f ca="1">IF(OR(INDEX($K$2:$K$1001,MATCH(ROWS($J$2:J762),$J$2:$J$1001,0),1)&gt;=100000,INDEX($Q$1005:$U$1005,1,MATCH(COLUMNS($Q$1006:R1006),$Q$1006:$U$1006,0))&gt;=100000), " ",IF(INDEX($Q$2:$U$1001,MATCH(ROWS($J$2:J762),$J$2:$J$1001,0),MATCH(COLUMNS($Q$1006:R1006),$Q$1006:$U$1006,0)), HYPERLINK("#",""), HYPERLINK(CONCATENATE("#metadata!", ADDRESS(INDEX($L$2:$L$1001,MATCH(ROWS($J$2:J762),$J$2:$J$1001,0),0), INDEX($Q$1004:$U$1004,1,MATCH(COLUMNS($Q$1006:R1006),$Q$1006:$U$1006,0)))),"Fix")))</f>
        <v xml:space="preserve"> </v>
      </c>
      <c r="D762" s="3" t="str">
        <f ca="1">IF(OR(INDEX($K$2:$K$1001,MATCH(ROWS($J$2:J762),$J$2:$J$1001,0),1)&gt;=100000,INDEX($Q$1005:$U$1005,1,MATCH(COLUMNS($Q$1006:S1006),$Q$1006:$U$1006,0))&gt;=100000), " ",IF(INDEX($Q$2:$U$1001,MATCH(ROWS($J$2:J762),$J$2:$J$1001,0),MATCH(COLUMNS($Q$1006:S1006),$Q$1006:$U$1006,0)), HYPERLINK("#",""), HYPERLINK(CONCATENATE("#metadata!", ADDRESS(INDEX($L$2:$L$1001,MATCH(ROWS($J$2:J762),$J$2:$J$1001,0),0), INDEX($Q$1004:$U$1004,1,MATCH(COLUMNS($Q$1006:S1006),$Q$1006:$U$1006,0)))),"Fix")))</f>
        <v xml:space="preserve"> </v>
      </c>
      <c r="E762" s="3" t="str">
        <f ca="1">IF(OR(INDEX($K$2:$K$1001,MATCH(ROWS($J$2:J762),$J$2:$J$1001,0),1)&gt;=100000,INDEX($Q$1005:$U$1005,1,MATCH(COLUMNS($Q$1006:T1006),$Q$1006:$U$1006,0))&gt;=100000), " ",IF(INDEX($Q$2:$U$1001,MATCH(ROWS($J$2:J762),$J$2:$J$1001,0),MATCH(COLUMNS($Q$1006:T1006),$Q$1006:$U$1006,0)), HYPERLINK("#",""), HYPERLINK(CONCATENATE("#metadata!", ADDRESS(INDEX($L$2:$L$1001,MATCH(ROWS($J$2:J762),$J$2:$J$1001,0),0), INDEX($Q$1004:$U$1004,1,MATCH(COLUMNS($Q$1006:T1006),$Q$1006:$U$1006,0)))),"Fix")))</f>
        <v xml:space="preserve"> </v>
      </c>
      <c r="F762" s="3" t="str">
        <f ca="1">IF(OR(INDEX($K$2:$K$1001,MATCH(ROWS($J$2:J762),$J$2:$J$1001,0),1)&gt;=100000,INDEX($Q$1005:$U$1005,1,MATCH(COLUMNS($Q$1006:U1006),$Q$1006:$U$1006,0))&gt;=100000), " ",IF(INDEX($Q$2:$U$1001,MATCH(ROWS($J$2:J762),$J$2:$J$1001,0),MATCH(COLUMNS($Q$1006:U1006),$Q$1006:$U$1006,0)), HYPERLINK("#",""), HYPERLINK(CONCATENATE("#metadata!", ADDRESS(INDEX($L$2:$L$1001,MATCH(ROWS($J$2:J762),$J$2:$J$1001,0),0), INDEX($Q$1004:$U$1004,1,MATCH(COLUMNS($Q$1006:U1006),$Q$1006:$U$1006,0)))),"Fix")))</f>
        <v xml:space="preserve"> </v>
      </c>
      <c r="J762">
        <v>761</v>
      </c>
      <c r="K762">
        <v>100762</v>
      </c>
      <c r="L762">
        <v>762</v>
      </c>
      <c r="M762" t="b">
        <f t="shared" si="11"/>
        <v>1</v>
      </c>
      <c r="N762" t="b">
        <f>COUNTBLANK(metadata!B762:F762)=COLUMNS(metadata!B762:F762)</f>
        <v>1</v>
      </c>
      <c r="O762" t="str">
        <v/>
      </c>
      <c r="Q762" t="b">
        <f ca="1">AND(IF(metadata!B762="",FALSE,TRUE),COUNTIF(metadata!B:B, metadata!B762) = 1,NOT(ISERROR(SUMPRODUCT(SEARCH(MID(metadata!B762,ROW(INDIRECT("1:"&amp;LEN(metadata!B762))), 1),"0123456789abcdefghijklmnopqrstuvwxyzABCDEFGHIJKLMNOPQRSTUVWXYZ.")))))</f>
        <v>0</v>
      </c>
      <c r="R762" t="b">
        <f>AND(IF(metadata!C762="",FALSE,TRUE),OR(EXACT(metadata!C762,"saline"),EXACT(metadata!C762,"non-saline")))</f>
        <v>0</v>
      </c>
      <c r="S762" t="b">
        <f>AND(IF(metadata!D762="",FALSE,TRUE),OR(EXACT(metadata!D762,"surface (non-saline)"),EXACT(metadata!D762,"aerosol (non-saline)"),EXACT(metadata!D762,"sediment (non-saline)"),EXACT(metadata!D762,"surface (saline)"),EXACT(metadata!D762,"aerosol (saline)"),EXACT(metadata!D762,"sediment (saline)")))</f>
        <v>0</v>
      </c>
      <c r="T762" t="b">
        <f>AND(IF(metadata!E762="",FALSE,TRUE),EXACT(metadata!E762,"built environment"))</f>
        <v>0</v>
      </c>
      <c r="U762" t="b">
        <f>OR(AND(IF(metadata!F762="",FALSE,TRUE),EXACT(metadata!F762,"not applicable")),AND(IF(metadata!F762="",FALSE,TRUE),EXACT(metadata!F762,"anaerobic digester content")))</f>
        <v>0</v>
      </c>
    </row>
    <row r="763" spans="1:21" x14ac:dyDescent="0.2">
      <c r="A763" s="4" t="str">
        <f ca="1">IF(B763=" "," ",HYPERLINK(CONCATENATE("#metadata!",ADDRESS(INDEX($L$2:$L$1001,MATCH(ROWS($J$2:J763),$J$2:$J$1001,0),0),1)),INDEX($O$2:$O$1001,MATCH(ROWS($J$2:J763),$J$2:$J$1001,0),0)))</f>
        <v xml:space="preserve"> </v>
      </c>
      <c r="B763" s="3" t="str">
        <f ca="1">IF(OR(INDEX($K$2:$K$1001,MATCH(ROWS($J$2:J763),$J$2:$J$1001,0),1)&gt;=100000,INDEX($Q$1005:$U$1005,1,MATCH(COLUMNS($Q$1006:Q1006),$Q$1006:$U$1006,0))&gt;=100000), " ",IF(INDEX($Q$2:$U$1001,MATCH(ROWS($J$2:J763),$J$2:$J$1001,0),MATCH(COLUMNS($Q$1006:Q1006),$Q$1006:$U$1006,0)), HYPERLINK("#",""), HYPERLINK(CONCATENATE("#metadata!", ADDRESS(INDEX($L$2:$L$1001,MATCH(ROWS($J$2:J763),$J$2:$J$1001,0),0), INDEX($Q$1004:$U$1004,1,MATCH(COLUMNS($Q$1006:Q1006),$Q$1006:$U$1006,0)))),"Fix")))</f>
        <v xml:space="preserve"> </v>
      </c>
      <c r="C763" s="3" t="str">
        <f ca="1">IF(OR(INDEX($K$2:$K$1001,MATCH(ROWS($J$2:J763),$J$2:$J$1001,0),1)&gt;=100000,INDEX($Q$1005:$U$1005,1,MATCH(COLUMNS($Q$1006:R1006),$Q$1006:$U$1006,0))&gt;=100000), " ",IF(INDEX($Q$2:$U$1001,MATCH(ROWS($J$2:J763),$J$2:$J$1001,0),MATCH(COLUMNS($Q$1006:R1006),$Q$1006:$U$1006,0)), HYPERLINK("#",""), HYPERLINK(CONCATENATE("#metadata!", ADDRESS(INDEX($L$2:$L$1001,MATCH(ROWS($J$2:J763),$J$2:$J$1001,0),0), INDEX($Q$1004:$U$1004,1,MATCH(COLUMNS($Q$1006:R1006),$Q$1006:$U$1006,0)))),"Fix")))</f>
        <v xml:space="preserve"> </v>
      </c>
      <c r="D763" s="3" t="str">
        <f ca="1">IF(OR(INDEX($K$2:$K$1001,MATCH(ROWS($J$2:J763),$J$2:$J$1001,0),1)&gt;=100000,INDEX($Q$1005:$U$1005,1,MATCH(COLUMNS($Q$1006:S1006),$Q$1006:$U$1006,0))&gt;=100000), " ",IF(INDEX($Q$2:$U$1001,MATCH(ROWS($J$2:J763),$J$2:$J$1001,0),MATCH(COLUMNS($Q$1006:S1006),$Q$1006:$U$1006,0)), HYPERLINK("#",""), HYPERLINK(CONCATENATE("#metadata!", ADDRESS(INDEX($L$2:$L$1001,MATCH(ROWS($J$2:J763),$J$2:$J$1001,0),0), INDEX($Q$1004:$U$1004,1,MATCH(COLUMNS($Q$1006:S1006),$Q$1006:$U$1006,0)))),"Fix")))</f>
        <v xml:space="preserve"> </v>
      </c>
      <c r="E763" s="3" t="str">
        <f ca="1">IF(OR(INDEX($K$2:$K$1001,MATCH(ROWS($J$2:J763),$J$2:$J$1001,0),1)&gt;=100000,INDEX($Q$1005:$U$1005,1,MATCH(COLUMNS($Q$1006:T1006),$Q$1006:$U$1006,0))&gt;=100000), " ",IF(INDEX($Q$2:$U$1001,MATCH(ROWS($J$2:J763),$J$2:$J$1001,0),MATCH(COLUMNS($Q$1006:T1006),$Q$1006:$U$1006,0)), HYPERLINK("#",""), HYPERLINK(CONCATENATE("#metadata!", ADDRESS(INDEX($L$2:$L$1001,MATCH(ROWS($J$2:J763),$J$2:$J$1001,0),0), INDEX($Q$1004:$U$1004,1,MATCH(COLUMNS($Q$1006:T1006),$Q$1006:$U$1006,0)))),"Fix")))</f>
        <v xml:space="preserve"> </v>
      </c>
      <c r="F763" s="3" t="str">
        <f ca="1">IF(OR(INDEX($K$2:$K$1001,MATCH(ROWS($J$2:J763),$J$2:$J$1001,0),1)&gt;=100000,INDEX($Q$1005:$U$1005,1,MATCH(COLUMNS($Q$1006:U1006),$Q$1006:$U$1006,0))&gt;=100000), " ",IF(INDEX($Q$2:$U$1001,MATCH(ROWS($J$2:J763),$J$2:$J$1001,0),MATCH(COLUMNS($Q$1006:U1006),$Q$1006:$U$1006,0)), HYPERLINK("#",""), HYPERLINK(CONCATENATE("#metadata!", ADDRESS(INDEX($L$2:$L$1001,MATCH(ROWS($J$2:J763),$J$2:$J$1001,0),0), INDEX($Q$1004:$U$1004,1,MATCH(COLUMNS($Q$1006:U1006),$Q$1006:$U$1006,0)))),"Fix")))</f>
        <v xml:space="preserve"> </v>
      </c>
      <c r="J763">
        <v>762</v>
      </c>
      <c r="K763">
        <v>100763</v>
      </c>
      <c r="L763">
        <v>763</v>
      </c>
      <c r="M763" t="b">
        <f t="shared" si="11"/>
        <v>1</v>
      </c>
      <c r="N763" t="b">
        <f>COUNTBLANK(metadata!B763:F763)=COLUMNS(metadata!B763:F763)</f>
        <v>1</v>
      </c>
      <c r="O763" t="str">
        <v/>
      </c>
      <c r="Q763" t="b">
        <f ca="1">AND(IF(metadata!B763="",FALSE,TRUE),COUNTIF(metadata!B:B, metadata!B763) = 1,NOT(ISERROR(SUMPRODUCT(SEARCH(MID(metadata!B763,ROW(INDIRECT("1:"&amp;LEN(metadata!B763))), 1),"0123456789abcdefghijklmnopqrstuvwxyzABCDEFGHIJKLMNOPQRSTUVWXYZ.")))))</f>
        <v>0</v>
      </c>
      <c r="R763" t="b">
        <f>AND(IF(metadata!C763="",FALSE,TRUE),OR(EXACT(metadata!C763,"saline"),EXACT(metadata!C763,"non-saline")))</f>
        <v>0</v>
      </c>
      <c r="S763" t="b">
        <f>AND(IF(metadata!D763="",FALSE,TRUE),OR(EXACT(metadata!D763,"surface (non-saline)"),EXACT(metadata!D763,"aerosol (non-saline)"),EXACT(metadata!D763,"sediment (non-saline)"),EXACT(metadata!D763,"surface (saline)"),EXACT(metadata!D763,"aerosol (saline)"),EXACT(metadata!D763,"sediment (saline)")))</f>
        <v>0</v>
      </c>
      <c r="T763" t="b">
        <f>AND(IF(metadata!E763="",FALSE,TRUE),EXACT(metadata!E763,"built environment"))</f>
        <v>0</v>
      </c>
      <c r="U763" t="b">
        <f>OR(AND(IF(metadata!F763="",FALSE,TRUE),EXACT(metadata!F763,"not applicable")),AND(IF(metadata!F763="",FALSE,TRUE),EXACT(metadata!F763,"anaerobic digester content")))</f>
        <v>0</v>
      </c>
    </row>
    <row r="764" spans="1:21" x14ac:dyDescent="0.2">
      <c r="A764" s="4" t="str">
        <f ca="1">IF(B764=" "," ",HYPERLINK(CONCATENATE("#metadata!",ADDRESS(INDEX($L$2:$L$1001,MATCH(ROWS($J$2:J764),$J$2:$J$1001,0),0),1)),INDEX($O$2:$O$1001,MATCH(ROWS($J$2:J764),$J$2:$J$1001,0),0)))</f>
        <v xml:space="preserve"> </v>
      </c>
      <c r="B764" s="3" t="str">
        <f ca="1">IF(OR(INDEX($K$2:$K$1001,MATCH(ROWS($J$2:J764),$J$2:$J$1001,0),1)&gt;=100000,INDEX($Q$1005:$U$1005,1,MATCH(COLUMNS($Q$1006:Q1006),$Q$1006:$U$1006,0))&gt;=100000), " ",IF(INDEX($Q$2:$U$1001,MATCH(ROWS($J$2:J764),$J$2:$J$1001,0),MATCH(COLUMNS($Q$1006:Q1006),$Q$1006:$U$1006,0)), HYPERLINK("#",""), HYPERLINK(CONCATENATE("#metadata!", ADDRESS(INDEX($L$2:$L$1001,MATCH(ROWS($J$2:J764),$J$2:$J$1001,0),0), INDEX($Q$1004:$U$1004,1,MATCH(COLUMNS($Q$1006:Q1006),$Q$1006:$U$1006,0)))),"Fix")))</f>
        <v xml:space="preserve"> </v>
      </c>
      <c r="C764" s="3" t="str">
        <f ca="1">IF(OR(INDEX($K$2:$K$1001,MATCH(ROWS($J$2:J764),$J$2:$J$1001,0),1)&gt;=100000,INDEX($Q$1005:$U$1005,1,MATCH(COLUMNS($Q$1006:R1006),$Q$1006:$U$1006,0))&gt;=100000), " ",IF(INDEX($Q$2:$U$1001,MATCH(ROWS($J$2:J764),$J$2:$J$1001,0),MATCH(COLUMNS($Q$1006:R1006),$Q$1006:$U$1006,0)), HYPERLINK("#",""), HYPERLINK(CONCATENATE("#metadata!", ADDRESS(INDEX($L$2:$L$1001,MATCH(ROWS($J$2:J764),$J$2:$J$1001,0),0), INDEX($Q$1004:$U$1004,1,MATCH(COLUMNS($Q$1006:R1006),$Q$1006:$U$1006,0)))),"Fix")))</f>
        <v xml:space="preserve"> </v>
      </c>
      <c r="D764" s="3" t="str">
        <f ca="1">IF(OR(INDEX($K$2:$K$1001,MATCH(ROWS($J$2:J764),$J$2:$J$1001,0),1)&gt;=100000,INDEX($Q$1005:$U$1005,1,MATCH(COLUMNS($Q$1006:S1006),$Q$1006:$U$1006,0))&gt;=100000), " ",IF(INDEX($Q$2:$U$1001,MATCH(ROWS($J$2:J764),$J$2:$J$1001,0),MATCH(COLUMNS($Q$1006:S1006),$Q$1006:$U$1006,0)), HYPERLINK("#",""), HYPERLINK(CONCATENATE("#metadata!", ADDRESS(INDEX($L$2:$L$1001,MATCH(ROWS($J$2:J764),$J$2:$J$1001,0),0), INDEX($Q$1004:$U$1004,1,MATCH(COLUMNS($Q$1006:S1006),$Q$1006:$U$1006,0)))),"Fix")))</f>
        <v xml:space="preserve"> </v>
      </c>
      <c r="E764" s="3" t="str">
        <f ca="1">IF(OR(INDEX($K$2:$K$1001,MATCH(ROWS($J$2:J764),$J$2:$J$1001,0),1)&gt;=100000,INDEX($Q$1005:$U$1005,1,MATCH(COLUMNS($Q$1006:T1006),$Q$1006:$U$1006,0))&gt;=100000), " ",IF(INDEX($Q$2:$U$1001,MATCH(ROWS($J$2:J764),$J$2:$J$1001,0),MATCH(COLUMNS($Q$1006:T1006),$Q$1006:$U$1006,0)), HYPERLINK("#",""), HYPERLINK(CONCATENATE("#metadata!", ADDRESS(INDEX($L$2:$L$1001,MATCH(ROWS($J$2:J764),$J$2:$J$1001,0),0), INDEX($Q$1004:$U$1004,1,MATCH(COLUMNS($Q$1006:T1006),$Q$1006:$U$1006,0)))),"Fix")))</f>
        <v xml:space="preserve"> </v>
      </c>
      <c r="F764" s="3" t="str">
        <f ca="1">IF(OR(INDEX($K$2:$K$1001,MATCH(ROWS($J$2:J764),$J$2:$J$1001,0),1)&gt;=100000,INDEX($Q$1005:$U$1005,1,MATCH(COLUMNS($Q$1006:U1006),$Q$1006:$U$1006,0))&gt;=100000), " ",IF(INDEX($Q$2:$U$1001,MATCH(ROWS($J$2:J764),$J$2:$J$1001,0),MATCH(COLUMNS($Q$1006:U1006),$Q$1006:$U$1006,0)), HYPERLINK("#",""), HYPERLINK(CONCATENATE("#metadata!", ADDRESS(INDEX($L$2:$L$1001,MATCH(ROWS($J$2:J764),$J$2:$J$1001,0),0), INDEX($Q$1004:$U$1004,1,MATCH(COLUMNS($Q$1006:U1006),$Q$1006:$U$1006,0)))),"Fix")))</f>
        <v xml:space="preserve"> </v>
      </c>
      <c r="J764">
        <v>763</v>
      </c>
      <c r="K764">
        <v>100764</v>
      </c>
      <c r="L764">
        <v>764</v>
      </c>
      <c r="M764" t="b">
        <f t="shared" si="11"/>
        <v>1</v>
      </c>
      <c r="N764" t="b">
        <f>COUNTBLANK(metadata!B764:F764)=COLUMNS(metadata!B764:F764)</f>
        <v>1</v>
      </c>
      <c r="O764" t="str">
        <v/>
      </c>
      <c r="Q764" t="b">
        <f ca="1">AND(IF(metadata!B764="",FALSE,TRUE),COUNTIF(metadata!B:B, metadata!B764) = 1,NOT(ISERROR(SUMPRODUCT(SEARCH(MID(metadata!B764,ROW(INDIRECT("1:"&amp;LEN(metadata!B764))), 1),"0123456789abcdefghijklmnopqrstuvwxyzABCDEFGHIJKLMNOPQRSTUVWXYZ.")))))</f>
        <v>0</v>
      </c>
      <c r="R764" t="b">
        <f>AND(IF(metadata!C764="",FALSE,TRUE),OR(EXACT(metadata!C764,"saline"),EXACT(metadata!C764,"non-saline")))</f>
        <v>0</v>
      </c>
      <c r="S764" t="b">
        <f>AND(IF(metadata!D764="",FALSE,TRUE),OR(EXACT(metadata!D764,"surface (non-saline)"),EXACT(metadata!D764,"aerosol (non-saline)"),EXACT(metadata!D764,"sediment (non-saline)"),EXACT(metadata!D764,"surface (saline)"),EXACT(metadata!D764,"aerosol (saline)"),EXACT(metadata!D764,"sediment (saline)")))</f>
        <v>0</v>
      </c>
      <c r="T764" t="b">
        <f>AND(IF(metadata!E764="",FALSE,TRUE),EXACT(metadata!E764,"built environment"))</f>
        <v>0</v>
      </c>
      <c r="U764" t="b">
        <f>OR(AND(IF(metadata!F764="",FALSE,TRUE),EXACT(metadata!F764,"not applicable")),AND(IF(metadata!F764="",FALSE,TRUE),EXACT(metadata!F764,"anaerobic digester content")))</f>
        <v>0</v>
      </c>
    </row>
    <row r="765" spans="1:21" x14ac:dyDescent="0.2">
      <c r="A765" s="4" t="str">
        <f ca="1">IF(B765=" "," ",HYPERLINK(CONCATENATE("#metadata!",ADDRESS(INDEX($L$2:$L$1001,MATCH(ROWS($J$2:J765),$J$2:$J$1001,0),0),1)),INDEX($O$2:$O$1001,MATCH(ROWS($J$2:J765),$J$2:$J$1001,0),0)))</f>
        <v xml:space="preserve"> </v>
      </c>
      <c r="B765" s="3" t="str">
        <f ca="1">IF(OR(INDEX($K$2:$K$1001,MATCH(ROWS($J$2:J765),$J$2:$J$1001,0),1)&gt;=100000,INDEX($Q$1005:$U$1005,1,MATCH(COLUMNS($Q$1006:Q1006),$Q$1006:$U$1006,0))&gt;=100000), " ",IF(INDEX($Q$2:$U$1001,MATCH(ROWS($J$2:J765),$J$2:$J$1001,0),MATCH(COLUMNS($Q$1006:Q1006),$Q$1006:$U$1006,0)), HYPERLINK("#",""), HYPERLINK(CONCATENATE("#metadata!", ADDRESS(INDEX($L$2:$L$1001,MATCH(ROWS($J$2:J765),$J$2:$J$1001,0),0), INDEX($Q$1004:$U$1004,1,MATCH(COLUMNS($Q$1006:Q1006),$Q$1006:$U$1006,0)))),"Fix")))</f>
        <v xml:space="preserve"> </v>
      </c>
      <c r="C765" s="3" t="str">
        <f ca="1">IF(OR(INDEX($K$2:$K$1001,MATCH(ROWS($J$2:J765),$J$2:$J$1001,0),1)&gt;=100000,INDEX($Q$1005:$U$1005,1,MATCH(COLUMNS($Q$1006:R1006),$Q$1006:$U$1006,0))&gt;=100000), " ",IF(INDEX($Q$2:$U$1001,MATCH(ROWS($J$2:J765),$J$2:$J$1001,0),MATCH(COLUMNS($Q$1006:R1006),$Q$1006:$U$1006,0)), HYPERLINK("#",""), HYPERLINK(CONCATENATE("#metadata!", ADDRESS(INDEX($L$2:$L$1001,MATCH(ROWS($J$2:J765),$J$2:$J$1001,0),0), INDEX($Q$1004:$U$1004,1,MATCH(COLUMNS($Q$1006:R1006),$Q$1006:$U$1006,0)))),"Fix")))</f>
        <v xml:space="preserve"> </v>
      </c>
      <c r="D765" s="3" t="str">
        <f ca="1">IF(OR(INDEX($K$2:$K$1001,MATCH(ROWS($J$2:J765),$J$2:$J$1001,0),1)&gt;=100000,INDEX($Q$1005:$U$1005,1,MATCH(COLUMNS($Q$1006:S1006),$Q$1006:$U$1006,0))&gt;=100000), " ",IF(INDEX($Q$2:$U$1001,MATCH(ROWS($J$2:J765),$J$2:$J$1001,0),MATCH(COLUMNS($Q$1006:S1006),$Q$1006:$U$1006,0)), HYPERLINK("#",""), HYPERLINK(CONCATENATE("#metadata!", ADDRESS(INDEX($L$2:$L$1001,MATCH(ROWS($J$2:J765),$J$2:$J$1001,0),0), INDEX($Q$1004:$U$1004,1,MATCH(COLUMNS($Q$1006:S1006),$Q$1006:$U$1006,0)))),"Fix")))</f>
        <v xml:space="preserve"> </v>
      </c>
      <c r="E765" s="3" t="str">
        <f ca="1">IF(OR(INDEX($K$2:$K$1001,MATCH(ROWS($J$2:J765),$J$2:$J$1001,0),1)&gt;=100000,INDEX($Q$1005:$U$1005,1,MATCH(COLUMNS($Q$1006:T1006),$Q$1006:$U$1006,0))&gt;=100000), " ",IF(INDEX($Q$2:$U$1001,MATCH(ROWS($J$2:J765),$J$2:$J$1001,0),MATCH(COLUMNS($Q$1006:T1006),$Q$1006:$U$1006,0)), HYPERLINK("#",""), HYPERLINK(CONCATENATE("#metadata!", ADDRESS(INDEX($L$2:$L$1001,MATCH(ROWS($J$2:J765),$J$2:$J$1001,0),0), INDEX($Q$1004:$U$1004,1,MATCH(COLUMNS($Q$1006:T1006),$Q$1006:$U$1006,0)))),"Fix")))</f>
        <v xml:space="preserve"> </v>
      </c>
      <c r="F765" s="3" t="str">
        <f ca="1">IF(OR(INDEX($K$2:$K$1001,MATCH(ROWS($J$2:J765),$J$2:$J$1001,0),1)&gt;=100000,INDEX($Q$1005:$U$1005,1,MATCH(COLUMNS($Q$1006:U1006),$Q$1006:$U$1006,0))&gt;=100000), " ",IF(INDEX($Q$2:$U$1001,MATCH(ROWS($J$2:J765),$J$2:$J$1001,0),MATCH(COLUMNS($Q$1006:U1006),$Q$1006:$U$1006,0)), HYPERLINK("#",""), HYPERLINK(CONCATENATE("#metadata!", ADDRESS(INDEX($L$2:$L$1001,MATCH(ROWS($J$2:J765),$J$2:$J$1001,0),0), INDEX($Q$1004:$U$1004,1,MATCH(COLUMNS($Q$1006:U1006),$Q$1006:$U$1006,0)))),"Fix")))</f>
        <v xml:space="preserve"> </v>
      </c>
      <c r="J765">
        <v>764</v>
      </c>
      <c r="K765">
        <v>100765</v>
      </c>
      <c r="L765">
        <v>765</v>
      </c>
      <c r="M765" t="b">
        <f t="shared" si="11"/>
        <v>1</v>
      </c>
      <c r="N765" t="b">
        <f>COUNTBLANK(metadata!B765:F765)=COLUMNS(metadata!B765:F765)</f>
        <v>1</v>
      </c>
      <c r="O765" t="str">
        <v/>
      </c>
      <c r="Q765" t="b">
        <f ca="1">AND(IF(metadata!B765="",FALSE,TRUE),COUNTIF(metadata!B:B, metadata!B765) = 1,NOT(ISERROR(SUMPRODUCT(SEARCH(MID(metadata!B765,ROW(INDIRECT("1:"&amp;LEN(metadata!B765))), 1),"0123456789abcdefghijklmnopqrstuvwxyzABCDEFGHIJKLMNOPQRSTUVWXYZ.")))))</f>
        <v>0</v>
      </c>
      <c r="R765" t="b">
        <f>AND(IF(metadata!C765="",FALSE,TRUE),OR(EXACT(metadata!C765,"saline"),EXACT(metadata!C765,"non-saline")))</f>
        <v>0</v>
      </c>
      <c r="S765" t="b">
        <f>AND(IF(metadata!D765="",FALSE,TRUE),OR(EXACT(metadata!D765,"surface (non-saline)"),EXACT(metadata!D765,"aerosol (non-saline)"),EXACT(metadata!D765,"sediment (non-saline)"),EXACT(metadata!D765,"surface (saline)"),EXACT(metadata!D765,"aerosol (saline)"),EXACT(metadata!D765,"sediment (saline)")))</f>
        <v>0</v>
      </c>
      <c r="T765" t="b">
        <f>AND(IF(metadata!E765="",FALSE,TRUE),EXACT(metadata!E765,"built environment"))</f>
        <v>0</v>
      </c>
      <c r="U765" t="b">
        <f>OR(AND(IF(metadata!F765="",FALSE,TRUE),EXACT(metadata!F765,"not applicable")),AND(IF(metadata!F765="",FALSE,TRUE),EXACT(metadata!F765,"anaerobic digester content")))</f>
        <v>0</v>
      </c>
    </row>
    <row r="766" spans="1:21" x14ac:dyDescent="0.2">
      <c r="A766" s="4" t="str">
        <f ca="1">IF(B766=" "," ",HYPERLINK(CONCATENATE("#metadata!",ADDRESS(INDEX($L$2:$L$1001,MATCH(ROWS($J$2:J766),$J$2:$J$1001,0),0),1)),INDEX($O$2:$O$1001,MATCH(ROWS($J$2:J766),$J$2:$J$1001,0),0)))</f>
        <v xml:space="preserve"> </v>
      </c>
      <c r="B766" s="3" t="str">
        <f ca="1">IF(OR(INDEX($K$2:$K$1001,MATCH(ROWS($J$2:J766),$J$2:$J$1001,0),1)&gt;=100000,INDEX($Q$1005:$U$1005,1,MATCH(COLUMNS($Q$1006:Q1006),$Q$1006:$U$1006,0))&gt;=100000), " ",IF(INDEX($Q$2:$U$1001,MATCH(ROWS($J$2:J766),$J$2:$J$1001,0),MATCH(COLUMNS($Q$1006:Q1006),$Q$1006:$U$1006,0)), HYPERLINK("#",""), HYPERLINK(CONCATENATE("#metadata!", ADDRESS(INDEX($L$2:$L$1001,MATCH(ROWS($J$2:J766),$J$2:$J$1001,0),0), INDEX($Q$1004:$U$1004,1,MATCH(COLUMNS($Q$1006:Q1006),$Q$1006:$U$1006,0)))),"Fix")))</f>
        <v xml:space="preserve"> </v>
      </c>
      <c r="C766" s="3" t="str">
        <f ca="1">IF(OR(INDEX($K$2:$K$1001,MATCH(ROWS($J$2:J766),$J$2:$J$1001,0),1)&gt;=100000,INDEX($Q$1005:$U$1005,1,MATCH(COLUMNS($Q$1006:R1006),$Q$1006:$U$1006,0))&gt;=100000), " ",IF(INDEX($Q$2:$U$1001,MATCH(ROWS($J$2:J766),$J$2:$J$1001,0),MATCH(COLUMNS($Q$1006:R1006),$Q$1006:$U$1006,0)), HYPERLINK("#",""), HYPERLINK(CONCATENATE("#metadata!", ADDRESS(INDEX($L$2:$L$1001,MATCH(ROWS($J$2:J766),$J$2:$J$1001,0),0), INDEX($Q$1004:$U$1004,1,MATCH(COLUMNS($Q$1006:R1006),$Q$1006:$U$1006,0)))),"Fix")))</f>
        <v xml:space="preserve"> </v>
      </c>
      <c r="D766" s="3" t="str">
        <f ca="1">IF(OR(INDEX($K$2:$K$1001,MATCH(ROWS($J$2:J766),$J$2:$J$1001,0),1)&gt;=100000,INDEX($Q$1005:$U$1005,1,MATCH(COLUMNS($Q$1006:S1006),$Q$1006:$U$1006,0))&gt;=100000), " ",IF(INDEX($Q$2:$U$1001,MATCH(ROWS($J$2:J766),$J$2:$J$1001,0),MATCH(COLUMNS($Q$1006:S1006),$Q$1006:$U$1006,0)), HYPERLINK("#",""), HYPERLINK(CONCATENATE("#metadata!", ADDRESS(INDEX($L$2:$L$1001,MATCH(ROWS($J$2:J766),$J$2:$J$1001,0),0), INDEX($Q$1004:$U$1004,1,MATCH(COLUMNS($Q$1006:S1006),$Q$1006:$U$1006,0)))),"Fix")))</f>
        <v xml:space="preserve"> </v>
      </c>
      <c r="E766" s="3" t="str">
        <f ca="1">IF(OR(INDEX($K$2:$K$1001,MATCH(ROWS($J$2:J766),$J$2:$J$1001,0),1)&gt;=100000,INDEX($Q$1005:$U$1005,1,MATCH(COLUMNS($Q$1006:T1006),$Q$1006:$U$1006,0))&gt;=100000), " ",IF(INDEX($Q$2:$U$1001,MATCH(ROWS($J$2:J766),$J$2:$J$1001,0),MATCH(COLUMNS($Q$1006:T1006),$Q$1006:$U$1006,0)), HYPERLINK("#",""), HYPERLINK(CONCATENATE("#metadata!", ADDRESS(INDEX($L$2:$L$1001,MATCH(ROWS($J$2:J766),$J$2:$J$1001,0),0), INDEX($Q$1004:$U$1004,1,MATCH(COLUMNS($Q$1006:T1006),$Q$1006:$U$1006,0)))),"Fix")))</f>
        <v xml:space="preserve"> </v>
      </c>
      <c r="F766" s="3" t="str">
        <f ca="1">IF(OR(INDEX($K$2:$K$1001,MATCH(ROWS($J$2:J766),$J$2:$J$1001,0),1)&gt;=100000,INDEX($Q$1005:$U$1005,1,MATCH(COLUMNS($Q$1006:U1006),$Q$1006:$U$1006,0))&gt;=100000), " ",IF(INDEX($Q$2:$U$1001,MATCH(ROWS($J$2:J766),$J$2:$J$1001,0),MATCH(COLUMNS($Q$1006:U1006),$Q$1006:$U$1006,0)), HYPERLINK("#",""), HYPERLINK(CONCATENATE("#metadata!", ADDRESS(INDEX($L$2:$L$1001,MATCH(ROWS($J$2:J766),$J$2:$J$1001,0),0), INDEX($Q$1004:$U$1004,1,MATCH(COLUMNS($Q$1006:U1006),$Q$1006:$U$1006,0)))),"Fix")))</f>
        <v xml:space="preserve"> </v>
      </c>
      <c r="J766">
        <v>765</v>
      </c>
      <c r="K766">
        <v>100766</v>
      </c>
      <c r="L766">
        <v>766</v>
      </c>
      <c r="M766" t="b">
        <f t="shared" si="11"/>
        <v>1</v>
      </c>
      <c r="N766" t="b">
        <f>COUNTBLANK(metadata!B766:F766)=COLUMNS(metadata!B766:F766)</f>
        <v>1</v>
      </c>
      <c r="O766" t="str">
        <v/>
      </c>
      <c r="Q766" t="b">
        <f ca="1">AND(IF(metadata!B766="",FALSE,TRUE),COUNTIF(metadata!B:B, metadata!B766) = 1,NOT(ISERROR(SUMPRODUCT(SEARCH(MID(metadata!B766,ROW(INDIRECT("1:"&amp;LEN(metadata!B766))), 1),"0123456789abcdefghijklmnopqrstuvwxyzABCDEFGHIJKLMNOPQRSTUVWXYZ.")))))</f>
        <v>0</v>
      </c>
      <c r="R766" t="b">
        <f>AND(IF(metadata!C766="",FALSE,TRUE),OR(EXACT(metadata!C766,"saline"),EXACT(metadata!C766,"non-saline")))</f>
        <v>0</v>
      </c>
      <c r="S766" t="b">
        <f>AND(IF(metadata!D766="",FALSE,TRUE),OR(EXACT(metadata!D766,"surface (non-saline)"),EXACT(metadata!D766,"aerosol (non-saline)"),EXACT(metadata!D766,"sediment (non-saline)"),EXACT(metadata!D766,"surface (saline)"),EXACT(metadata!D766,"aerosol (saline)"),EXACT(metadata!D766,"sediment (saline)")))</f>
        <v>0</v>
      </c>
      <c r="T766" t="b">
        <f>AND(IF(metadata!E766="",FALSE,TRUE),EXACT(metadata!E766,"built environment"))</f>
        <v>0</v>
      </c>
      <c r="U766" t="b">
        <f>OR(AND(IF(metadata!F766="",FALSE,TRUE),EXACT(metadata!F766,"not applicable")),AND(IF(metadata!F766="",FALSE,TRUE),EXACT(metadata!F766,"anaerobic digester content")))</f>
        <v>0</v>
      </c>
    </row>
    <row r="767" spans="1:21" x14ac:dyDescent="0.2">
      <c r="A767" s="4" t="str">
        <f ca="1">IF(B767=" "," ",HYPERLINK(CONCATENATE("#metadata!",ADDRESS(INDEX($L$2:$L$1001,MATCH(ROWS($J$2:J767),$J$2:$J$1001,0),0),1)),INDEX($O$2:$O$1001,MATCH(ROWS($J$2:J767),$J$2:$J$1001,0),0)))</f>
        <v xml:space="preserve"> </v>
      </c>
      <c r="B767" s="3" t="str">
        <f ca="1">IF(OR(INDEX($K$2:$K$1001,MATCH(ROWS($J$2:J767),$J$2:$J$1001,0),1)&gt;=100000,INDEX($Q$1005:$U$1005,1,MATCH(COLUMNS($Q$1006:Q1006),$Q$1006:$U$1006,0))&gt;=100000), " ",IF(INDEX($Q$2:$U$1001,MATCH(ROWS($J$2:J767),$J$2:$J$1001,0),MATCH(COLUMNS($Q$1006:Q1006),$Q$1006:$U$1006,0)), HYPERLINK("#",""), HYPERLINK(CONCATENATE("#metadata!", ADDRESS(INDEX($L$2:$L$1001,MATCH(ROWS($J$2:J767),$J$2:$J$1001,0),0), INDEX($Q$1004:$U$1004,1,MATCH(COLUMNS($Q$1006:Q1006),$Q$1006:$U$1006,0)))),"Fix")))</f>
        <v xml:space="preserve"> </v>
      </c>
      <c r="C767" s="3" t="str">
        <f ca="1">IF(OR(INDEX($K$2:$K$1001,MATCH(ROWS($J$2:J767),$J$2:$J$1001,0),1)&gt;=100000,INDEX($Q$1005:$U$1005,1,MATCH(COLUMNS($Q$1006:R1006),$Q$1006:$U$1006,0))&gt;=100000), " ",IF(INDEX($Q$2:$U$1001,MATCH(ROWS($J$2:J767),$J$2:$J$1001,0),MATCH(COLUMNS($Q$1006:R1006),$Q$1006:$U$1006,0)), HYPERLINK("#",""), HYPERLINK(CONCATENATE("#metadata!", ADDRESS(INDEX($L$2:$L$1001,MATCH(ROWS($J$2:J767),$J$2:$J$1001,0),0), INDEX($Q$1004:$U$1004,1,MATCH(COLUMNS($Q$1006:R1006),$Q$1006:$U$1006,0)))),"Fix")))</f>
        <v xml:space="preserve"> </v>
      </c>
      <c r="D767" s="3" t="str">
        <f ca="1">IF(OR(INDEX($K$2:$K$1001,MATCH(ROWS($J$2:J767),$J$2:$J$1001,0),1)&gt;=100000,INDEX($Q$1005:$U$1005,1,MATCH(COLUMNS($Q$1006:S1006),$Q$1006:$U$1006,0))&gt;=100000), " ",IF(INDEX($Q$2:$U$1001,MATCH(ROWS($J$2:J767),$J$2:$J$1001,0),MATCH(COLUMNS($Q$1006:S1006),$Q$1006:$U$1006,0)), HYPERLINK("#",""), HYPERLINK(CONCATENATE("#metadata!", ADDRESS(INDEX($L$2:$L$1001,MATCH(ROWS($J$2:J767),$J$2:$J$1001,0),0), INDEX($Q$1004:$U$1004,1,MATCH(COLUMNS($Q$1006:S1006),$Q$1006:$U$1006,0)))),"Fix")))</f>
        <v xml:space="preserve"> </v>
      </c>
      <c r="E767" s="3" t="str">
        <f ca="1">IF(OR(INDEX($K$2:$K$1001,MATCH(ROWS($J$2:J767),$J$2:$J$1001,0),1)&gt;=100000,INDEX($Q$1005:$U$1005,1,MATCH(COLUMNS($Q$1006:T1006),$Q$1006:$U$1006,0))&gt;=100000), " ",IF(INDEX($Q$2:$U$1001,MATCH(ROWS($J$2:J767),$J$2:$J$1001,0),MATCH(COLUMNS($Q$1006:T1006),$Q$1006:$U$1006,0)), HYPERLINK("#",""), HYPERLINK(CONCATENATE("#metadata!", ADDRESS(INDEX($L$2:$L$1001,MATCH(ROWS($J$2:J767),$J$2:$J$1001,0),0), INDEX($Q$1004:$U$1004,1,MATCH(COLUMNS($Q$1006:T1006),$Q$1006:$U$1006,0)))),"Fix")))</f>
        <v xml:space="preserve"> </v>
      </c>
      <c r="F767" s="3" t="str">
        <f ca="1">IF(OR(INDEX($K$2:$K$1001,MATCH(ROWS($J$2:J767),$J$2:$J$1001,0),1)&gt;=100000,INDEX($Q$1005:$U$1005,1,MATCH(COLUMNS($Q$1006:U1006),$Q$1006:$U$1006,0))&gt;=100000), " ",IF(INDEX($Q$2:$U$1001,MATCH(ROWS($J$2:J767),$J$2:$J$1001,0),MATCH(COLUMNS($Q$1006:U1006),$Q$1006:$U$1006,0)), HYPERLINK("#",""), HYPERLINK(CONCATENATE("#metadata!", ADDRESS(INDEX($L$2:$L$1001,MATCH(ROWS($J$2:J767),$J$2:$J$1001,0),0), INDEX($Q$1004:$U$1004,1,MATCH(COLUMNS($Q$1006:U1006),$Q$1006:$U$1006,0)))),"Fix")))</f>
        <v xml:space="preserve"> </v>
      </c>
      <c r="J767">
        <v>766</v>
      </c>
      <c r="K767">
        <v>100767</v>
      </c>
      <c r="L767">
        <v>767</v>
      </c>
      <c r="M767" t="b">
        <f t="shared" si="11"/>
        <v>1</v>
      </c>
      <c r="N767" t="b">
        <f>COUNTBLANK(metadata!B767:F767)=COLUMNS(metadata!B767:F767)</f>
        <v>1</v>
      </c>
      <c r="O767" t="str">
        <v/>
      </c>
      <c r="Q767" t="b">
        <f ca="1">AND(IF(metadata!B767="",FALSE,TRUE),COUNTIF(metadata!B:B, metadata!B767) = 1,NOT(ISERROR(SUMPRODUCT(SEARCH(MID(metadata!B767,ROW(INDIRECT("1:"&amp;LEN(metadata!B767))), 1),"0123456789abcdefghijklmnopqrstuvwxyzABCDEFGHIJKLMNOPQRSTUVWXYZ.")))))</f>
        <v>0</v>
      </c>
      <c r="R767" t="b">
        <f>AND(IF(metadata!C767="",FALSE,TRUE),OR(EXACT(metadata!C767,"saline"),EXACT(metadata!C767,"non-saline")))</f>
        <v>0</v>
      </c>
      <c r="S767" t="b">
        <f>AND(IF(metadata!D767="",FALSE,TRUE),OR(EXACT(metadata!D767,"surface (non-saline)"),EXACT(metadata!D767,"aerosol (non-saline)"),EXACT(metadata!D767,"sediment (non-saline)"),EXACT(metadata!D767,"surface (saline)"),EXACT(metadata!D767,"aerosol (saline)"),EXACT(metadata!D767,"sediment (saline)")))</f>
        <v>0</v>
      </c>
      <c r="T767" t="b">
        <f>AND(IF(metadata!E767="",FALSE,TRUE),EXACT(metadata!E767,"built environment"))</f>
        <v>0</v>
      </c>
      <c r="U767" t="b">
        <f>OR(AND(IF(metadata!F767="",FALSE,TRUE),EXACT(metadata!F767,"not applicable")),AND(IF(metadata!F767="",FALSE,TRUE),EXACT(metadata!F767,"anaerobic digester content")))</f>
        <v>0</v>
      </c>
    </row>
    <row r="768" spans="1:21" x14ac:dyDescent="0.2">
      <c r="A768" s="4" t="str">
        <f ca="1">IF(B768=" "," ",HYPERLINK(CONCATENATE("#metadata!",ADDRESS(INDEX($L$2:$L$1001,MATCH(ROWS($J$2:J768),$J$2:$J$1001,0),0),1)),INDEX($O$2:$O$1001,MATCH(ROWS($J$2:J768),$J$2:$J$1001,0),0)))</f>
        <v xml:space="preserve"> </v>
      </c>
      <c r="B768" s="3" t="str">
        <f ca="1">IF(OR(INDEX($K$2:$K$1001,MATCH(ROWS($J$2:J768),$J$2:$J$1001,0),1)&gt;=100000,INDEX($Q$1005:$U$1005,1,MATCH(COLUMNS($Q$1006:Q1006),$Q$1006:$U$1006,0))&gt;=100000), " ",IF(INDEX($Q$2:$U$1001,MATCH(ROWS($J$2:J768),$J$2:$J$1001,0),MATCH(COLUMNS($Q$1006:Q1006),$Q$1006:$U$1006,0)), HYPERLINK("#",""), HYPERLINK(CONCATENATE("#metadata!", ADDRESS(INDEX($L$2:$L$1001,MATCH(ROWS($J$2:J768),$J$2:$J$1001,0),0), INDEX($Q$1004:$U$1004,1,MATCH(COLUMNS($Q$1006:Q1006),$Q$1006:$U$1006,0)))),"Fix")))</f>
        <v xml:space="preserve"> </v>
      </c>
      <c r="C768" s="3" t="str">
        <f ca="1">IF(OR(INDEX($K$2:$K$1001,MATCH(ROWS($J$2:J768),$J$2:$J$1001,0),1)&gt;=100000,INDEX($Q$1005:$U$1005,1,MATCH(COLUMNS($Q$1006:R1006),$Q$1006:$U$1006,0))&gt;=100000), " ",IF(INDEX($Q$2:$U$1001,MATCH(ROWS($J$2:J768),$J$2:$J$1001,0),MATCH(COLUMNS($Q$1006:R1006),$Q$1006:$U$1006,0)), HYPERLINK("#",""), HYPERLINK(CONCATENATE("#metadata!", ADDRESS(INDEX($L$2:$L$1001,MATCH(ROWS($J$2:J768),$J$2:$J$1001,0),0), INDEX($Q$1004:$U$1004,1,MATCH(COLUMNS($Q$1006:R1006),$Q$1006:$U$1006,0)))),"Fix")))</f>
        <v xml:space="preserve"> </v>
      </c>
      <c r="D768" s="3" t="str">
        <f ca="1">IF(OR(INDEX($K$2:$K$1001,MATCH(ROWS($J$2:J768),$J$2:$J$1001,0),1)&gt;=100000,INDEX($Q$1005:$U$1005,1,MATCH(COLUMNS($Q$1006:S1006),$Q$1006:$U$1006,0))&gt;=100000), " ",IF(INDEX($Q$2:$U$1001,MATCH(ROWS($J$2:J768),$J$2:$J$1001,0),MATCH(COLUMNS($Q$1006:S1006),$Q$1006:$U$1006,0)), HYPERLINK("#",""), HYPERLINK(CONCATENATE("#metadata!", ADDRESS(INDEX($L$2:$L$1001,MATCH(ROWS($J$2:J768),$J$2:$J$1001,0),0), INDEX($Q$1004:$U$1004,1,MATCH(COLUMNS($Q$1006:S1006),$Q$1006:$U$1006,0)))),"Fix")))</f>
        <v xml:space="preserve"> </v>
      </c>
      <c r="E768" s="3" t="str">
        <f ca="1">IF(OR(INDEX($K$2:$K$1001,MATCH(ROWS($J$2:J768),$J$2:$J$1001,0),1)&gt;=100000,INDEX($Q$1005:$U$1005,1,MATCH(COLUMNS($Q$1006:T1006),$Q$1006:$U$1006,0))&gt;=100000), " ",IF(INDEX($Q$2:$U$1001,MATCH(ROWS($J$2:J768),$J$2:$J$1001,0),MATCH(COLUMNS($Q$1006:T1006),$Q$1006:$U$1006,0)), HYPERLINK("#",""), HYPERLINK(CONCATENATE("#metadata!", ADDRESS(INDEX($L$2:$L$1001,MATCH(ROWS($J$2:J768),$J$2:$J$1001,0),0), INDEX($Q$1004:$U$1004,1,MATCH(COLUMNS($Q$1006:T1006),$Q$1006:$U$1006,0)))),"Fix")))</f>
        <v xml:space="preserve"> </v>
      </c>
      <c r="F768" s="3" t="str">
        <f ca="1">IF(OR(INDEX($K$2:$K$1001,MATCH(ROWS($J$2:J768),$J$2:$J$1001,0),1)&gt;=100000,INDEX($Q$1005:$U$1005,1,MATCH(COLUMNS($Q$1006:U1006),$Q$1006:$U$1006,0))&gt;=100000), " ",IF(INDEX($Q$2:$U$1001,MATCH(ROWS($J$2:J768),$J$2:$J$1001,0),MATCH(COLUMNS($Q$1006:U1006),$Q$1006:$U$1006,0)), HYPERLINK("#",""), HYPERLINK(CONCATENATE("#metadata!", ADDRESS(INDEX($L$2:$L$1001,MATCH(ROWS($J$2:J768),$J$2:$J$1001,0),0), INDEX($Q$1004:$U$1004,1,MATCH(COLUMNS($Q$1006:U1006),$Q$1006:$U$1006,0)))),"Fix")))</f>
        <v xml:space="preserve"> </v>
      </c>
      <c r="J768">
        <v>767</v>
      </c>
      <c r="K768">
        <v>100768</v>
      </c>
      <c r="L768">
        <v>768</v>
      </c>
      <c r="M768" t="b">
        <f t="shared" si="11"/>
        <v>1</v>
      </c>
      <c r="N768" t="b">
        <f>COUNTBLANK(metadata!B768:F768)=COLUMNS(metadata!B768:F768)</f>
        <v>1</v>
      </c>
      <c r="O768" t="str">
        <v/>
      </c>
      <c r="Q768" t="b">
        <f ca="1">AND(IF(metadata!B768="",FALSE,TRUE),COUNTIF(metadata!B:B, metadata!B768) = 1,NOT(ISERROR(SUMPRODUCT(SEARCH(MID(metadata!B768,ROW(INDIRECT("1:"&amp;LEN(metadata!B768))), 1),"0123456789abcdefghijklmnopqrstuvwxyzABCDEFGHIJKLMNOPQRSTUVWXYZ.")))))</f>
        <v>0</v>
      </c>
      <c r="R768" t="b">
        <f>AND(IF(metadata!C768="",FALSE,TRUE),OR(EXACT(metadata!C768,"saline"),EXACT(metadata!C768,"non-saline")))</f>
        <v>0</v>
      </c>
      <c r="S768" t="b">
        <f>AND(IF(metadata!D768="",FALSE,TRUE),OR(EXACT(metadata!D768,"surface (non-saline)"),EXACT(metadata!D768,"aerosol (non-saline)"),EXACT(metadata!D768,"sediment (non-saline)"),EXACT(metadata!D768,"surface (saline)"),EXACT(metadata!D768,"aerosol (saline)"),EXACT(metadata!D768,"sediment (saline)")))</f>
        <v>0</v>
      </c>
      <c r="T768" t="b">
        <f>AND(IF(metadata!E768="",FALSE,TRUE),EXACT(metadata!E768,"built environment"))</f>
        <v>0</v>
      </c>
      <c r="U768" t="b">
        <f>OR(AND(IF(metadata!F768="",FALSE,TRUE),EXACT(metadata!F768,"not applicable")),AND(IF(metadata!F768="",FALSE,TRUE),EXACT(metadata!F768,"anaerobic digester content")))</f>
        <v>0</v>
      </c>
    </row>
    <row r="769" spans="1:21" x14ac:dyDescent="0.2">
      <c r="A769" s="4" t="str">
        <f ca="1">IF(B769=" "," ",HYPERLINK(CONCATENATE("#metadata!",ADDRESS(INDEX($L$2:$L$1001,MATCH(ROWS($J$2:J769),$J$2:$J$1001,0),0),1)),INDEX($O$2:$O$1001,MATCH(ROWS($J$2:J769),$J$2:$J$1001,0),0)))</f>
        <v xml:space="preserve"> </v>
      </c>
      <c r="B769" s="3" t="str">
        <f ca="1">IF(OR(INDEX($K$2:$K$1001,MATCH(ROWS($J$2:J769),$J$2:$J$1001,0),1)&gt;=100000,INDEX($Q$1005:$U$1005,1,MATCH(COLUMNS($Q$1006:Q1006),$Q$1006:$U$1006,0))&gt;=100000), " ",IF(INDEX($Q$2:$U$1001,MATCH(ROWS($J$2:J769),$J$2:$J$1001,0),MATCH(COLUMNS($Q$1006:Q1006),$Q$1006:$U$1006,0)), HYPERLINK("#",""), HYPERLINK(CONCATENATE("#metadata!", ADDRESS(INDEX($L$2:$L$1001,MATCH(ROWS($J$2:J769),$J$2:$J$1001,0),0), INDEX($Q$1004:$U$1004,1,MATCH(COLUMNS($Q$1006:Q1006),$Q$1006:$U$1006,0)))),"Fix")))</f>
        <v xml:space="preserve"> </v>
      </c>
      <c r="C769" s="3" t="str">
        <f ca="1">IF(OR(INDEX($K$2:$K$1001,MATCH(ROWS($J$2:J769),$J$2:$J$1001,0),1)&gt;=100000,INDEX($Q$1005:$U$1005,1,MATCH(COLUMNS($Q$1006:R1006),$Q$1006:$U$1006,0))&gt;=100000), " ",IF(INDEX($Q$2:$U$1001,MATCH(ROWS($J$2:J769),$J$2:$J$1001,0),MATCH(COLUMNS($Q$1006:R1006),$Q$1006:$U$1006,0)), HYPERLINK("#",""), HYPERLINK(CONCATENATE("#metadata!", ADDRESS(INDEX($L$2:$L$1001,MATCH(ROWS($J$2:J769),$J$2:$J$1001,0),0), INDEX($Q$1004:$U$1004,1,MATCH(COLUMNS($Q$1006:R1006),$Q$1006:$U$1006,0)))),"Fix")))</f>
        <v xml:space="preserve"> </v>
      </c>
      <c r="D769" s="3" t="str">
        <f ca="1">IF(OR(INDEX($K$2:$K$1001,MATCH(ROWS($J$2:J769),$J$2:$J$1001,0),1)&gt;=100000,INDEX($Q$1005:$U$1005,1,MATCH(COLUMNS($Q$1006:S1006),$Q$1006:$U$1006,0))&gt;=100000), " ",IF(INDEX($Q$2:$U$1001,MATCH(ROWS($J$2:J769),$J$2:$J$1001,0),MATCH(COLUMNS($Q$1006:S1006),$Q$1006:$U$1006,0)), HYPERLINK("#",""), HYPERLINK(CONCATENATE("#metadata!", ADDRESS(INDEX($L$2:$L$1001,MATCH(ROWS($J$2:J769),$J$2:$J$1001,0),0), INDEX($Q$1004:$U$1004,1,MATCH(COLUMNS($Q$1006:S1006),$Q$1006:$U$1006,0)))),"Fix")))</f>
        <v xml:space="preserve"> </v>
      </c>
      <c r="E769" s="3" t="str">
        <f ca="1">IF(OR(INDEX($K$2:$K$1001,MATCH(ROWS($J$2:J769),$J$2:$J$1001,0),1)&gt;=100000,INDEX($Q$1005:$U$1005,1,MATCH(COLUMNS($Q$1006:T1006),$Q$1006:$U$1006,0))&gt;=100000), " ",IF(INDEX($Q$2:$U$1001,MATCH(ROWS($J$2:J769),$J$2:$J$1001,0),MATCH(COLUMNS($Q$1006:T1006),$Q$1006:$U$1006,0)), HYPERLINK("#",""), HYPERLINK(CONCATENATE("#metadata!", ADDRESS(INDEX($L$2:$L$1001,MATCH(ROWS($J$2:J769),$J$2:$J$1001,0),0), INDEX($Q$1004:$U$1004,1,MATCH(COLUMNS($Q$1006:T1006),$Q$1006:$U$1006,0)))),"Fix")))</f>
        <v xml:space="preserve"> </v>
      </c>
      <c r="F769" s="3" t="str">
        <f ca="1">IF(OR(INDEX($K$2:$K$1001,MATCH(ROWS($J$2:J769),$J$2:$J$1001,0),1)&gt;=100000,INDEX($Q$1005:$U$1005,1,MATCH(COLUMNS($Q$1006:U1006),$Q$1006:$U$1006,0))&gt;=100000), " ",IF(INDEX($Q$2:$U$1001,MATCH(ROWS($J$2:J769),$J$2:$J$1001,0),MATCH(COLUMNS($Q$1006:U1006),$Q$1006:$U$1006,0)), HYPERLINK("#",""), HYPERLINK(CONCATENATE("#metadata!", ADDRESS(INDEX($L$2:$L$1001,MATCH(ROWS($J$2:J769),$J$2:$J$1001,0),0), INDEX($Q$1004:$U$1004,1,MATCH(COLUMNS($Q$1006:U1006),$Q$1006:$U$1006,0)))),"Fix")))</f>
        <v xml:space="preserve"> </v>
      </c>
      <c r="J769">
        <v>768</v>
      </c>
      <c r="K769">
        <v>100769</v>
      </c>
      <c r="L769">
        <v>769</v>
      </c>
      <c r="M769" t="b">
        <f t="shared" si="11"/>
        <v>1</v>
      </c>
      <c r="N769" t="b">
        <f>COUNTBLANK(metadata!B769:F769)=COLUMNS(metadata!B769:F769)</f>
        <v>1</v>
      </c>
      <c r="O769" t="str">
        <v/>
      </c>
      <c r="Q769" t="b">
        <f ca="1">AND(IF(metadata!B769="",FALSE,TRUE),COUNTIF(metadata!B:B, metadata!B769) = 1,NOT(ISERROR(SUMPRODUCT(SEARCH(MID(metadata!B769,ROW(INDIRECT("1:"&amp;LEN(metadata!B769))), 1),"0123456789abcdefghijklmnopqrstuvwxyzABCDEFGHIJKLMNOPQRSTUVWXYZ.")))))</f>
        <v>0</v>
      </c>
      <c r="R769" t="b">
        <f>AND(IF(metadata!C769="",FALSE,TRUE),OR(EXACT(metadata!C769,"saline"),EXACT(metadata!C769,"non-saline")))</f>
        <v>0</v>
      </c>
      <c r="S769" t="b">
        <f>AND(IF(metadata!D769="",FALSE,TRUE),OR(EXACT(metadata!D769,"surface (non-saline)"),EXACT(metadata!D769,"aerosol (non-saline)"),EXACT(metadata!D769,"sediment (non-saline)"),EXACT(metadata!D769,"surface (saline)"),EXACT(metadata!D769,"aerosol (saline)"),EXACT(metadata!D769,"sediment (saline)")))</f>
        <v>0</v>
      </c>
      <c r="T769" t="b">
        <f>AND(IF(metadata!E769="",FALSE,TRUE),EXACT(metadata!E769,"built environment"))</f>
        <v>0</v>
      </c>
      <c r="U769" t="b">
        <f>OR(AND(IF(metadata!F769="",FALSE,TRUE),EXACT(metadata!F769,"not applicable")),AND(IF(metadata!F769="",FALSE,TRUE),EXACT(metadata!F769,"anaerobic digester content")))</f>
        <v>0</v>
      </c>
    </row>
    <row r="770" spans="1:21" x14ac:dyDescent="0.2">
      <c r="A770" s="4" t="str">
        <f ca="1">IF(B770=" "," ",HYPERLINK(CONCATENATE("#metadata!",ADDRESS(INDEX($L$2:$L$1001,MATCH(ROWS($J$2:J770),$J$2:$J$1001,0),0),1)),INDEX($O$2:$O$1001,MATCH(ROWS($J$2:J770),$J$2:$J$1001,0),0)))</f>
        <v xml:space="preserve"> </v>
      </c>
      <c r="B770" s="3" t="str">
        <f ca="1">IF(OR(INDEX($K$2:$K$1001,MATCH(ROWS($J$2:J770),$J$2:$J$1001,0),1)&gt;=100000,INDEX($Q$1005:$U$1005,1,MATCH(COLUMNS($Q$1006:Q1006),$Q$1006:$U$1006,0))&gt;=100000), " ",IF(INDEX($Q$2:$U$1001,MATCH(ROWS($J$2:J770),$J$2:$J$1001,0),MATCH(COLUMNS($Q$1006:Q1006),$Q$1006:$U$1006,0)), HYPERLINK("#",""), HYPERLINK(CONCATENATE("#metadata!", ADDRESS(INDEX($L$2:$L$1001,MATCH(ROWS($J$2:J770),$J$2:$J$1001,0),0), INDEX($Q$1004:$U$1004,1,MATCH(COLUMNS($Q$1006:Q1006),$Q$1006:$U$1006,0)))),"Fix")))</f>
        <v xml:space="preserve"> </v>
      </c>
      <c r="C770" s="3" t="str">
        <f ca="1">IF(OR(INDEX($K$2:$K$1001,MATCH(ROWS($J$2:J770),$J$2:$J$1001,0),1)&gt;=100000,INDEX($Q$1005:$U$1005,1,MATCH(COLUMNS($Q$1006:R1006),$Q$1006:$U$1006,0))&gt;=100000), " ",IF(INDEX($Q$2:$U$1001,MATCH(ROWS($J$2:J770),$J$2:$J$1001,0),MATCH(COLUMNS($Q$1006:R1006),$Q$1006:$U$1006,0)), HYPERLINK("#",""), HYPERLINK(CONCATENATE("#metadata!", ADDRESS(INDEX($L$2:$L$1001,MATCH(ROWS($J$2:J770),$J$2:$J$1001,0),0), INDEX($Q$1004:$U$1004,1,MATCH(COLUMNS($Q$1006:R1006),$Q$1006:$U$1006,0)))),"Fix")))</f>
        <v xml:space="preserve"> </v>
      </c>
      <c r="D770" s="3" t="str">
        <f ca="1">IF(OR(INDEX($K$2:$K$1001,MATCH(ROWS($J$2:J770),$J$2:$J$1001,0),1)&gt;=100000,INDEX($Q$1005:$U$1005,1,MATCH(COLUMNS($Q$1006:S1006),$Q$1006:$U$1006,0))&gt;=100000), " ",IF(INDEX($Q$2:$U$1001,MATCH(ROWS($J$2:J770),$J$2:$J$1001,0),MATCH(COLUMNS($Q$1006:S1006),$Q$1006:$U$1006,0)), HYPERLINK("#",""), HYPERLINK(CONCATENATE("#metadata!", ADDRESS(INDEX($L$2:$L$1001,MATCH(ROWS($J$2:J770),$J$2:$J$1001,0),0), INDEX($Q$1004:$U$1004,1,MATCH(COLUMNS($Q$1006:S1006),$Q$1006:$U$1006,0)))),"Fix")))</f>
        <v xml:space="preserve"> </v>
      </c>
      <c r="E770" s="3" t="str">
        <f ca="1">IF(OR(INDEX($K$2:$K$1001,MATCH(ROWS($J$2:J770),$J$2:$J$1001,0),1)&gt;=100000,INDEX($Q$1005:$U$1005,1,MATCH(COLUMNS($Q$1006:T1006),$Q$1006:$U$1006,0))&gt;=100000), " ",IF(INDEX($Q$2:$U$1001,MATCH(ROWS($J$2:J770),$J$2:$J$1001,0),MATCH(COLUMNS($Q$1006:T1006),$Q$1006:$U$1006,0)), HYPERLINK("#",""), HYPERLINK(CONCATENATE("#metadata!", ADDRESS(INDEX($L$2:$L$1001,MATCH(ROWS($J$2:J770),$J$2:$J$1001,0),0), INDEX($Q$1004:$U$1004,1,MATCH(COLUMNS($Q$1006:T1006),$Q$1006:$U$1006,0)))),"Fix")))</f>
        <v xml:space="preserve"> </v>
      </c>
      <c r="F770" s="3" t="str">
        <f ca="1">IF(OR(INDEX($K$2:$K$1001,MATCH(ROWS($J$2:J770),$J$2:$J$1001,0),1)&gt;=100000,INDEX($Q$1005:$U$1005,1,MATCH(COLUMNS($Q$1006:U1006),$Q$1006:$U$1006,0))&gt;=100000), " ",IF(INDEX($Q$2:$U$1001,MATCH(ROWS($J$2:J770),$J$2:$J$1001,0),MATCH(COLUMNS($Q$1006:U1006),$Q$1006:$U$1006,0)), HYPERLINK("#",""), HYPERLINK(CONCATENATE("#metadata!", ADDRESS(INDEX($L$2:$L$1001,MATCH(ROWS($J$2:J770),$J$2:$J$1001,0),0), INDEX($Q$1004:$U$1004,1,MATCH(COLUMNS($Q$1006:U1006),$Q$1006:$U$1006,0)))),"Fix")))</f>
        <v xml:space="preserve"> </v>
      </c>
      <c r="J770">
        <v>769</v>
      </c>
      <c r="K770">
        <v>100770</v>
      </c>
      <c r="L770">
        <v>770</v>
      </c>
      <c r="M770" t="b">
        <f t="shared" ref="M770:M833" si="12">IF(N770,TRUE,AND(Q770:U770))</f>
        <v>1</v>
      </c>
      <c r="N770" t="b">
        <f>COUNTBLANK(metadata!B770:F770)=COLUMNS(metadata!B770:F770)</f>
        <v>1</v>
      </c>
      <c r="O770" t="str">
        <v/>
      </c>
      <c r="Q770" t="b">
        <f ca="1">AND(IF(metadata!B770="",FALSE,TRUE),COUNTIF(metadata!B:B, metadata!B770) = 1,NOT(ISERROR(SUMPRODUCT(SEARCH(MID(metadata!B770,ROW(INDIRECT("1:"&amp;LEN(metadata!B770))), 1),"0123456789abcdefghijklmnopqrstuvwxyzABCDEFGHIJKLMNOPQRSTUVWXYZ.")))))</f>
        <v>0</v>
      </c>
      <c r="R770" t="b">
        <f>AND(IF(metadata!C770="",FALSE,TRUE),OR(EXACT(metadata!C770,"saline"),EXACT(metadata!C770,"non-saline")))</f>
        <v>0</v>
      </c>
      <c r="S770" t="b">
        <f>AND(IF(metadata!D770="",FALSE,TRUE),OR(EXACT(metadata!D770,"surface (non-saline)"),EXACT(metadata!D770,"aerosol (non-saline)"),EXACT(metadata!D770,"sediment (non-saline)"),EXACT(metadata!D770,"surface (saline)"),EXACT(metadata!D770,"aerosol (saline)"),EXACT(metadata!D770,"sediment (saline)")))</f>
        <v>0</v>
      </c>
      <c r="T770" t="b">
        <f>AND(IF(metadata!E770="",FALSE,TRUE),EXACT(metadata!E770,"built environment"))</f>
        <v>0</v>
      </c>
      <c r="U770" t="b">
        <f>OR(AND(IF(metadata!F770="",FALSE,TRUE),EXACT(metadata!F770,"not applicable")),AND(IF(metadata!F770="",FALSE,TRUE),EXACT(metadata!F770,"anaerobic digester content")))</f>
        <v>0</v>
      </c>
    </row>
    <row r="771" spans="1:21" x14ac:dyDescent="0.2">
      <c r="A771" s="4" t="str">
        <f ca="1">IF(B771=" "," ",HYPERLINK(CONCATENATE("#metadata!",ADDRESS(INDEX($L$2:$L$1001,MATCH(ROWS($J$2:J771),$J$2:$J$1001,0),0),1)),INDEX($O$2:$O$1001,MATCH(ROWS($J$2:J771),$J$2:$J$1001,0),0)))</f>
        <v xml:space="preserve"> </v>
      </c>
      <c r="B771" s="3" t="str">
        <f ca="1">IF(OR(INDEX($K$2:$K$1001,MATCH(ROWS($J$2:J771),$J$2:$J$1001,0),1)&gt;=100000,INDEX($Q$1005:$U$1005,1,MATCH(COLUMNS($Q$1006:Q1006),$Q$1006:$U$1006,0))&gt;=100000), " ",IF(INDEX($Q$2:$U$1001,MATCH(ROWS($J$2:J771),$J$2:$J$1001,0),MATCH(COLUMNS($Q$1006:Q1006),$Q$1006:$U$1006,0)), HYPERLINK("#",""), HYPERLINK(CONCATENATE("#metadata!", ADDRESS(INDEX($L$2:$L$1001,MATCH(ROWS($J$2:J771),$J$2:$J$1001,0),0), INDEX($Q$1004:$U$1004,1,MATCH(COLUMNS($Q$1006:Q1006),$Q$1006:$U$1006,0)))),"Fix")))</f>
        <v xml:space="preserve"> </v>
      </c>
      <c r="C771" s="3" t="str">
        <f ca="1">IF(OR(INDEX($K$2:$K$1001,MATCH(ROWS($J$2:J771),$J$2:$J$1001,0),1)&gt;=100000,INDEX($Q$1005:$U$1005,1,MATCH(COLUMNS($Q$1006:R1006),$Q$1006:$U$1006,0))&gt;=100000), " ",IF(INDEX($Q$2:$U$1001,MATCH(ROWS($J$2:J771),$J$2:$J$1001,0),MATCH(COLUMNS($Q$1006:R1006),$Q$1006:$U$1006,0)), HYPERLINK("#",""), HYPERLINK(CONCATENATE("#metadata!", ADDRESS(INDEX($L$2:$L$1001,MATCH(ROWS($J$2:J771),$J$2:$J$1001,0),0), INDEX($Q$1004:$U$1004,1,MATCH(COLUMNS($Q$1006:R1006),$Q$1006:$U$1006,0)))),"Fix")))</f>
        <v xml:space="preserve"> </v>
      </c>
      <c r="D771" s="3" t="str">
        <f ca="1">IF(OR(INDEX($K$2:$K$1001,MATCH(ROWS($J$2:J771),$J$2:$J$1001,0),1)&gt;=100000,INDEX($Q$1005:$U$1005,1,MATCH(COLUMNS($Q$1006:S1006),$Q$1006:$U$1006,0))&gt;=100000), " ",IF(INDEX($Q$2:$U$1001,MATCH(ROWS($J$2:J771),$J$2:$J$1001,0),MATCH(COLUMNS($Q$1006:S1006),$Q$1006:$U$1006,0)), HYPERLINK("#",""), HYPERLINK(CONCATENATE("#metadata!", ADDRESS(INDEX($L$2:$L$1001,MATCH(ROWS($J$2:J771),$J$2:$J$1001,0),0), INDEX($Q$1004:$U$1004,1,MATCH(COLUMNS($Q$1006:S1006),$Q$1006:$U$1006,0)))),"Fix")))</f>
        <v xml:space="preserve"> </v>
      </c>
      <c r="E771" s="3" t="str">
        <f ca="1">IF(OR(INDEX($K$2:$K$1001,MATCH(ROWS($J$2:J771),$J$2:$J$1001,0),1)&gt;=100000,INDEX($Q$1005:$U$1005,1,MATCH(COLUMNS($Q$1006:T1006),$Q$1006:$U$1006,0))&gt;=100000), " ",IF(INDEX($Q$2:$U$1001,MATCH(ROWS($J$2:J771),$J$2:$J$1001,0),MATCH(COLUMNS($Q$1006:T1006),$Q$1006:$U$1006,0)), HYPERLINK("#",""), HYPERLINK(CONCATENATE("#metadata!", ADDRESS(INDEX($L$2:$L$1001,MATCH(ROWS($J$2:J771),$J$2:$J$1001,0),0), INDEX($Q$1004:$U$1004,1,MATCH(COLUMNS($Q$1006:T1006),$Q$1006:$U$1006,0)))),"Fix")))</f>
        <v xml:space="preserve"> </v>
      </c>
      <c r="F771" s="3" t="str">
        <f ca="1">IF(OR(INDEX($K$2:$K$1001,MATCH(ROWS($J$2:J771),$J$2:$J$1001,0),1)&gt;=100000,INDEX($Q$1005:$U$1005,1,MATCH(COLUMNS($Q$1006:U1006),$Q$1006:$U$1006,0))&gt;=100000), " ",IF(INDEX($Q$2:$U$1001,MATCH(ROWS($J$2:J771),$J$2:$J$1001,0),MATCH(COLUMNS($Q$1006:U1006),$Q$1006:$U$1006,0)), HYPERLINK("#",""), HYPERLINK(CONCATENATE("#metadata!", ADDRESS(INDEX($L$2:$L$1001,MATCH(ROWS($J$2:J771),$J$2:$J$1001,0),0), INDEX($Q$1004:$U$1004,1,MATCH(COLUMNS($Q$1006:U1006),$Q$1006:$U$1006,0)))),"Fix")))</f>
        <v xml:space="preserve"> </v>
      </c>
      <c r="J771">
        <v>770</v>
      </c>
      <c r="K771">
        <v>100771</v>
      </c>
      <c r="L771">
        <v>771</v>
      </c>
      <c r="M771" t="b">
        <f t="shared" si="12"/>
        <v>1</v>
      </c>
      <c r="N771" t="b">
        <f>COUNTBLANK(metadata!B771:F771)=COLUMNS(metadata!B771:F771)</f>
        <v>1</v>
      </c>
      <c r="O771" t="str">
        <v/>
      </c>
      <c r="Q771" t="b">
        <f ca="1">AND(IF(metadata!B771="",FALSE,TRUE),COUNTIF(metadata!B:B, metadata!B771) = 1,NOT(ISERROR(SUMPRODUCT(SEARCH(MID(metadata!B771,ROW(INDIRECT("1:"&amp;LEN(metadata!B771))), 1),"0123456789abcdefghijklmnopqrstuvwxyzABCDEFGHIJKLMNOPQRSTUVWXYZ.")))))</f>
        <v>0</v>
      </c>
      <c r="R771" t="b">
        <f>AND(IF(metadata!C771="",FALSE,TRUE),OR(EXACT(metadata!C771,"saline"),EXACT(metadata!C771,"non-saline")))</f>
        <v>0</v>
      </c>
      <c r="S771" t="b">
        <f>AND(IF(metadata!D771="",FALSE,TRUE),OR(EXACT(metadata!D771,"surface (non-saline)"),EXACT(metadata!D771,"aerosol (non-saline)"),EXACT(metadata!D771,"sediment (non-saline)"),EXACT(metadata!D771,"surface (saline)"),EXACT(metadata!D771,"aerosol (saline)"),EXACT(metadata!D771,"sediment (saline)")))</f>
        <v>0</v>
      </c>
      <c r="T771" t="b">
        <f>AND(IF(metadata!E771="",FALSE,TRUE),EXACT(metadata!E771,"built environment"))</f>
        <v>0</v>
      </c>
      <c r="U771" t="b">
        <f>OR(AND(IF(metadata!F771="",FALSE,TRUE),EXACT(metadata!F771,"not applicable")),AND(IF(metadata!F771="",FALSE,TRUE),EXACT(metadata!F771,"anaerobic digester content")))</f>
        <v>0</v>
      </c>
    </row>
    <row r="772" spans="1:21" x14ac:dyDescent="0.2">
      <c r="A772" s="4" t="str">
        <f ca="1">IF(B772=" "," ",HYPERLINK(CONCATENATE("#metadata!",ADDRESS(INDEX($L$2:$L$1001,MATCH(ROWS($J$2:J772),$J$2:$J$1001,0),0),1)),INDEX($O$2:$O$1001,MATCH(ROWS($J$2:J772),$J$2:$J$1001,0),0)))</f>
        <v xml:space="preserve"> </v>
      </c>
      <c r="B772" s="3" t="str">
        <f ca="1">IF(OR(INDEX($K$2:$K$1001,MATCH(ROWS($J$2:J772),$J$2:$J$1001,0),1)&gt;=100000,INDEX($Q$1005:$U$1005,1,MATCH(COLUMNS($Q$1006:Q1006),$Q$1006:$U$1006,0))&gt;=100000), " ",IF(INDEX($Q$2:$U$1001,MATCH(ROWS($J$2:J772),$J$2:$J$1001,0),MATCH(COLUMNS($Q$1006:Q1006),$Q$1006:$U$1006,0)), HYPERLINK("#",""), HYPERLINK(CONCATENATE("#metadata!", ADDRESS(INDEX($L$2:$L$1001,MATCH(ROWS($J$2:J772),$J$2:$J$1001,0),0), INDEX($Q$1004:$U$1004,1,MATCH(COLUMNS($Q$1006:Q1006),$Q$1006:$U$1006,0)))),"Fix")))</f>
        <v xml:space="preserve"> </v>
      </c>
      <c r="C772" s="3" t="str">
        <f ca="1">IF(OR(INDEX($K$2:$K$1001,MATCH(ROWS($J$2:J772),$J$2:$J$1001,0),1)&gt;=100000,INDEX($Q$1005:$U$1005,1,MATCH(COLUMNS($Q$1006:R1006),$Q$1006:$U$1006,0))&gt;=100000), " ",IF(INDEX($Q$2:$U$1001,MATCH(ROWS($J$2:J772),$J$2:$J$1001,0),MATCH(COLUMNS($Q$1006:R1006),$Q$1006:$U$1006,0)), HYPERLINK("#",""), HYPERLINK(CONCATENATE("#metadata!", ADDRESS(INDEX($L$2:$L$1001,MATCH(ROWS($J$2:J772),$J$2:$J$1001,0),0), INDEX($Q$1004:$U$1004,1,MATCH(COLUMNS($Q$1006:R1006),$Q$1006:$U$1006,0)))),"Fix")))</f>
        <v xml:space="preserve"> </v>
      </c>
      <c r="D772" s="3" t="str">
        <f ca="1">IF(OR(INDEX($K$2:$K$1001,MATCH(ROWS($J$2:J772),$J$2:$J$1001,0),1)&gt;=100000,INDEX($Q$1005:$U$1005,1,MATCH(COLUMNS($Q$1006:S1006),$Q$1006:$U$1006,0))&gt;=100000), " ",IF(INDEX($Q$2:$U$1001,MATCH(ROWS($J$2:J772),$J$2:$J$1001,0),MATCH(COLUMNS($Q$1006:S1006),$Q$1006:$U$1006,0)), HYPERLINK("#",""), HYPERLINK(CONCATENATE("#metadata!", ADDRESS(INDEX($L$2:$L$1001,MATCH(ROWS($J$2:J772),$J$2:$J$1001,0),0), INDEX($Q$1004:$U$1004,1,MATCH(COLUMNS($Q$1006:S1006),$Q$1006:$U$1006,0)))),"Fix")))</f>
        <v xml:space="preserve"> </v>
      </c>
      <c r="E772" s="3" t="str">
        <f ca="1">IF(OR(INDEX($K$2:$K$1001,MATCH(ROWS($J$2:J772),$J$2:$J$1001,0),1)&gt;=100000,INDEX($Q$1005:$U$1005,1,MATCH(COLUMNS($Q$1006:T1006),$Q$1006:$U$1006,0))&gt;=100000), " ",IF(INDEX($Q$2:$U$1001,MATCH(ROWS($J$2:J772),$J$2:$J$1001,0),MATCH(COLUMNS($Q$1006:T1006),$Q$1006:$U$1006,0)), HYPERLINK("#",""), HYPERLINK(CONCATENATE("#metadata!", ADDRESS(INDEX($L$2:$L$1001,MATCH(ROWS($J$2:J772),$J$2:$J$1001,0),0), INDEX($Q$1004:$U$1004,1,MATCH(COLUMNS($Q$1006:T1006),$Q$1006:$U$1006,0)))),"Fix")))</f>
        <v xml:space="preserve"> </v>
      </c>
      <c r="F772" s="3" t="str">
        <f ca="1">IF(OR(INDEX($K$2:$K$1001,MATCH(ROWS($J$2:J772),$J$2:$J$1001,0),1)&gt;=100000,INDEX($Q$1005:$U$1005,1,MATCH(COLUMNS($Q$1006:U1006),$Q$1006:$U$1006,0))&gt;=100000), " ",IF(INDEX($Q$2:$U$1001,MATCH(ROWS($J$2:J772),$J$2:$J$1001,0),MATCH(COLUMNS($Q$1006:U1006),$Q$1006:$U$1006,0)), HYPERLINK("#",""), HYPERLINK(CONCATENATE("#metadata!", ADDRESS(INDEX($L$2:$L$1001,MATCH(ROWS($J$2:J772),$J$2:$J$1001,0),0), INDEX($Q$1004:$U$1004,1,MATCH(COLUMNS($Q$1006:U1006),$Q$1006:$U$1006,0)))),"Fix")))</f>
        <v xml:space="preserve"> </v>
      </c>
      <c r="J772">
        <v>771</v>
      </c>
      <c r="K772">
        <v>100772</v>
      </c>
      <c r="L772">
        <v>772</v>
      </c>
      <c r="M772" t="b">
        <f t="shared" si="12"/>
        <v>1</v>
      </c>
      <c r="N772" t="b">
        <f>COUNTBLANK(metadata!B772:F772)=COLUMNS(metadata!B772:F772)</f>
        <v>1</v>
      </c>
      <c r="O772" t="str">
        <v/>
      </c>
      <c r="Q772" t="b">
        <f ca="1">AND(IF(metadata!B772="",FALSE,TRUE),COUNTIF(metadata!B:B, metadata!B772) = 1,NOT(ISERROR(SUMPRODUCT(SEARCH(MID(metadata!B772,ROW(INDIRECT("1:"&amp;LEN(metadata!B772))), 1),"0123456789abcdefghijklmnopqrstuvwxyzABCDEFGHIJKLMNOPQRSTUVWXYZ.")))))</f>
        <v>0</v>
      </c>
      <c r="R772" t="b">
        <f>AND(IF(metadata!C772="",FALSE,TRUE),OR(EXACT(metadata!C772,"saline"),EXACT(metadata!C772,"non-saline")))</f>
        <v>0</v>
      </c>
      <c r="S772" t="b">
        <f>AND(IF(metadata!D772="",FALSE,TRUE),OR(EXACT(metadata!D772,"surface (non-saline)"),EXACT(metadata!D772,"aerosol (non-saline)"),EXACT(metadata!D772,"sediment (non-saline)"),EXACT(metadata!D772,"surface (saline)"),EXACT(metadata!D772,"aerosol (saline)"),EXACT(metadata!D772,"sediment (saline)")))</f>
        <v>0</v>
      </c>
      <c r="T772" t="b">
        <f>AND(IF(metadata!E772="",FALSE,TRUE),EXACT(metadata!E772,"built environment"))</f>
        <v>0</v>
      </c>
      <c r="U772" t="b">
        <f>OR(AND(IF(metadata!F772="",FALSE,TRUE),EXACT(metadata!F772,"not applicable")),AND(IF(metadata!F772="",FALSE,TRUE),EXACT(metadata!F772,"anaerobic digester content")))</f>
        <v>0</v>
      </c>
    </row>
    <row r="773" spans="1:21" x14ac:dyDescent="0.2">
      <c r="A773" s="4" t="str">
        <f ca="1">IF(B773=" "," ",HYPERLINK(CONCATENATE("#metadata!",ADDRESS(INDEX($L$2:$L$1001,MATCH(ROWS($J$2:J773),$J$2:$J$1001,0),0),1)),INDEX($O$2:$O$1001,MATCH(ROWS($J$2:J773),$J$2:$J$1001,0),0)))</f>
        <v xml:space="preserve"> </v>
      </c>
      <c r="B773" s="3" t="str">
        <f ca="1">IF(OR(INDEX($K$2:$K$1001,MATCH(ROWS($J$2:J773),$J$2:$J$1001,0),1)&gt;=100000,INDEX($Q$1005:$U$1005,1,MATCH(COLUMNS($Q$1006:Q1006),$Q$1006:$U$1006,0))&gt;=100000), " ",IF(INDEX($Q$2:$U$1001,MATCH(ROWS($J$2:J773),$J$2:$J$1001,0),MATCH(COLUMNS($Q$1006:Q1006),$Q$1006:$U$1006,0)), HYPERLINK("#",""), HYPERLINK(CONCATENATE("#metadata!", ADDRESS(INDEX($L$2:$L$1001,MATCH(ROWS($J$2:J773),$J$2:$J$1001,0),0), INDEX($Q$1004:$U$1004,1,MATCH(COLUMNS($Q$1006:Q1006),$Q$1006:$U$1006,0)))),"Fix")))</f>
        <v xml:space="preserve"> </v>
      </c>
      <c r="C773" s="3" t="str">
        <f ca="1">IF(OR(INDEX($K$2:$K$1001,MATCH(ROWS($J$2:J773),$J$2:$J$1001,0),1)&gt;=100000,INDEX($Q$1005:$U$1005,1,MATCH(COLUMNS($Q$1006:R1006),$Q$1006:$U$1006,0))&gt;=100000), " ",IF(INDEX($Q$2:$U$1001,MATCH(ROWS($J$2:J773),$J$2:$J$1001,0),MATCH(COLUMNS($Q$1006:R1006),$Q$1006:$U$1006,0)), HYPERLINK("#",""), HYPERLINK(CONCATENATE("#metadata!", ADDRESS(INDEX($L$2:$L$1001,MATCH(ROWS($J$2:J773),$J$2:$J$1001,0),0), INDEX($Q$1004:$U$1004,1,MATCH(COLUMNS($Q$1006:R1006),$Q$1006:$U$1006,0)))),"Fix")))</f>
        <v xml:space="preserve"> </v>
      </c>
      <c r="D773" s="3" t="str">
        <f ca="1">IF(OR(INDEX($K$2:$K$1001,MATCH(ROWS($J$2:J773),$J$2:$J$1001,0),1)&gt;=100000,INDEX($Q$1005:$U$1005,1,MATCH(COLUMNS($Q$1006:S1006),$Q$1006:$U$1006,0))&gt;=100000), " ",IF(INDEX($Q$2:$U$1001,MATCH(ROWS($J$2:J773),$J$2:$J$1001,0),MATCH(COLUMNS($Q$1006:S1006),$Q$1006:$U$1006,0)), HYPERLINK("#",""), HYPERLINK(CONCATENATE("#metadata!", ADDRESS(INDEX($L$2:$L$1001,MATCH(ROWS($J$2:J773),$J$2:$J$1001,0),0), INDEX($Q$1004:$U$1004,1,MATCH(COLUMNS($Q$1006:S1006),$Q$1006:$U$1006,0)))),"Fix")))</f>
        <v xml:space="preserve"> </v>
      </c>
      <c r="E773" s="3" t="str">
        <f ca="1">IF(OR(INDEX($K$2:$K$1001,MATCH(ROWS($J$2:J773),$J$2:$J$1001,0),1)&gt;=100000,INDEX($Q$1005:$U$1005,1,MATCH(COLUMNS($Q$1006:T1006),$Q$1006:$U$1006,0))&gt;=100000), " ",IF(INDEX($Q$2:$U$1001,MATCH(ROWS($J$2:J773),$J$2:$J$1001,0),MATCH(COLUMNS($Q$1006:T1006),$Q$1006:$U$1006,0)), HYPERLINK("#",""), HYPERLINK(CONCATENATE("#metadata!", ADDRESS(INDEX($L$2:$L$1001,MATCH(ROWS($J$2:J773),$J$2:$J$1001,0),0), INDEX($Q$1004:$U$1004,1,MATCH(COLUMNS($Q$1006:T1006),$Q$1006:$U$1006,0)))),"Fix")))</f>
        <v xml:space="preserve"> </v>
      </c>
      <c r="F773" s="3" t="str">
        <f ca="1">IF(OR(INDEX($K$2:$K$1001,MATCH(ROWS($J$2:J773),$J$2:$J$1001,0),1)&gt;=100000,INDEX($Q$1005:$U$1005,1,MATCH(COLUMNS($Q$1006:U1006),$Q$1006:$U$1006,0))&gt;=100000), " ",IF(INDEX($Q$2:$U$1001,MATCH(ROWS($J$2:J773),$J$2:$J$1001,0),MATCH(COLUMNS($Q$1006:U1006),$Q$1006:$U$1006,0)), HYPERLINK("#",""), HYPERLINK(CONCATENATE("#metadata!", ADDRESS(INDEX($L$2:$L$1001,MATCH(ROWS($J$2:J773),$J$2:$J$1001,0),0), INDEX($Q$1004:$U$1004,1,MATCH(COLUMNS($Q$1006:U1006),$Q$1006:$U$1006,0)))),"Fix")))</f>
        <v xml:space="preserve"> </v>
      </c>
      <c r="J773">
        <v>772</v>
      </c>
      <c r="K773">
        <v>100773</v>
      </c>
      <c r="L773">
        <v>773</v>
      </c>
      <c r="M773" t="b">
        <f t="shared" si="12"/>
        <v>1</v>
      </c>
      <c r="N773" t="b">
        <f>COUNTBLANK(metadata!B773:F773)=COLUMNS(metadata!B773:F773)</f>
        <v>1</v>
      </c>
      <c r="O773" t="str">
        <v/>
      </c>
      <c r="Q773" t="b">
        <f ca="1">AND(IF(metadata!B773="",FALSE,TRUE),COUNTIF(metadata!B:B, metadata!B773) = 1,NOT(ISERROR(SUMPRODUCT(SEARCH(MID(metadata!B773,ROW(INDIRECT("1:"&amp;LEN(metadata!B773))), 1),"0123456789abcdefghijklmnopqrstuvwxyzABCDEFGHIJKLMNOPQRSTUVWXYZ.")))))</f>
        <v>0</v>
      </c>
      <c r="R773" t="b">
        <f>AND(IF(metadata!C773="",FALSE,TRUE),OR(EXACT(metadata!C773,"saline"),EXACT(metadata!C773,"non-saline")))</f>
        <v>0</v>
      </c>
      <c r="S773" t="b">
        <f>AND(IF(metadata!D773="",FALSE,TRUE),OR(EXACT(metadata!D773,"surface (non-saline)"),EXACT(metadata!D773,"aerosol (non-saline)"),EXACT(metadata!D773,"sediment (non-saline)"),EXACT(metadata!D773,"surface (saline)"),EXACT(metadata!D773,"aerosol (saline)"),EXACT(metadata!D773,"sediment (saline)")))</f>
        <v>0</v>
      </c>
      <c r="T773" t="b">
        <f>AND(IF(metadata!E773="",FALSE,TRUE),EXACT(metadata!E773,"built environment"))</f>
        <v>0</v>
      </c>
      <c r="U773" t="b">
        <f>OR(AND(IF(metadata!F773="",FALSE,TRUE),EXACT(metadata!F773,"not applicable")),AND(IF(metadata!F773="",FALSE,TRUE),EXACT(metadata!F773,"anaerobic digester content")))</f>
        <v>0</v>
      </c>
    </row>
    <row r="774" spans="1:21" x14ac:dyDescent="0.2">
      <c r="A774" s="4" t="str">
        <f ca="1">IF(B774=" "," ",HYPERLINK(CONCATENATE("#metadata!",ADDRESS(INDEX($L$2:$L$1001,MATCH(ROWS($J$2:J774),$J$2:$J$1001,0),0),1)),INDEX($O$2:$O$1001,MATCH(ROWS($J$2:J774),$J$2:$J$1001,0),0)))</f>
        <v xml:space="preserve"> </v>
      </c>
      <c r="B774" s="3" t="str">
        <f ca="1">IF(OR(INDEX($K$2:$K$1001,MATCH(ROWS($J$2:J774),$J$2:$J$1001,0),1)&gt;=100000,INDEX($Q$1005:$U$1005,1,MATCH(COLUMNS($Q$1006:Q1006),$Q$1006:$U$1006,0))&gt;=100000), " ",IF(INDEX($Q$2:$U$1001,MATCH(ROWS($J$2:J774),$J$2:$J$1001,0),MATCH(COLUMNS($Q$1006:Q1006),$Q$1006:$U$1006,0)), HYPERLINK("#",""), HYPERLINK(CONCATENATE("#metadata!", ADDRESS(INDEX($L$2:$L$1001,MATCH(ROWS($J$2:J774),$J$2:$J$1001,0),0), INDEX($Q$1004:$U$1004,1,MATCH(COLUMNS($Q$1006:Q1006),$Q$1006:$U$1006,0)))),"Fix")))</f>
        <v xml:space="preserve"> </v>
      </c>
      <c r="C774" s="3" t="str">
        <f ca="1">IF(OR(INDEX($K$2:$K$1001,MATCH(ROWS($J$2:J774),$J$2:$J$1001,0),1)&gt;=100000,INDEX($Q$1005:$U$1005,1,MATCH(COLUMNS($Q$1006:R1006),$Q$1006:$U$1006,0))&gt;=100000), " ",IF(INDEX($Q$2:$U$1001,MATCH(ROWS($J$2:J774),$J$2:$J$1001,0),MATCH(COLUMNS($Q$1006:R1006),$Q$1006:$U$1006,0)), HYPERLINK("#",""), HYPERLINK(CONCATENATE("#metadata!", ADDRESS(INDEX($L$2:$L$1001,MATCH(ROWS($J$2:J774),$J$2:$J$1001,0),0), INDEX($Q$1004:$U$1004,1,MATCH(COLUMNS($Q$1006:R1006),$Q$1006:$U$1006,0)))),"Fix")))</f>
        <v xml:space="preserve"> </v>
      </c>
      <c r="D774" s="3" t="str">
        <f ca="1">IF(OR(INDEX($K$2:$K$1001,MATCH(ROWS($J$2:J774),$J$2:$J$1001,0),1)&gt;=100000,INDEX($Q$1005:$U$1005,1,MATCH(COLUMNS($Q$1006:S1006),$Q$1006:$U$1006,0))&gt;=100000), " ",IF(INDEX($Q$2:$U$1001,MATCH(ROWS($J$2:J774),$J$2:$J$1001,0),MATCH(COLUMNS($Q$1006:S1006),$Q$1006:$U$1006,0)), HYPERLINK("#",""), HYPERLINK(CONCATENATE("#metadata!", ADDRESS(INDEX($L$2:$L$1001,MATCH(ROWS($J$2:J774),$J$2:$J$1001,0),0), INDEX($Q$1004:$U$1004,1,MATCH(COLUMNS($Q$1006:S1006),$Q$1006:$U$1006,0)))),"Fix")))</f>
        <v xml:space="preserve"> </v>
      </c>
      <c r="E774" s="3" t="str">
        <f ca="1">IF(OR(INDEX($K$2:$K$1001,MATCH(ROWS($J$2:J774),$J$2:$J$1001,0),1)&gt;=100000,INDEX($Q$1005:$U$1005,1,MATCH(COLUMNS($Q$1006:T1006),$Q$1006:$U$1006,0))&gt;=100000), " ",IF(INDEX($Q$2:$U$1001,MATCH(ROWS($J$2:J774),$J$2:$J$1001,0),MATCH(COLUMNS($Q$1006:T1006),$Q$1006:$U$1006,0)), HYPERLINK("#",""), HYPERLINK(CONCATENATE("#metadata!", ADDRESS(INDEX($L$2:$L$1001,MATCH(ROWS($J$2:J774),$J$2:$J$1001,0),0), INDEX($Q$1004:$U$1004,1,MATCH(COLUMNS($Q$1006:T1006),$Q$1006:$U$1006,0)))),"Fix")))</f>
        <v xml:space="preserve"> </v>
      </c>
      <c r="F774" s="3" t="str">
        <f ca="1">IF(OR(INDEX($K$2:$K$1001,MATCH(ROWS($J$2:J774),$J$2:$J$1001,0),1)&gt;=100000,INDEX($Q$1005:$U$1005,1,MATCH(COLUMNS($Q$1006:U1006),$Q$1006:$U$1006,0))&gt;=100000), " ",IF(INDEX($Q$2:$U$1001,MATCH(ROWS($J$2:J774),$J$2:$J$1001,0),MATCH(COLUMNS($Q$1006:U1006),$Q$1006:$U$1006,0)), HYPERLINK("#",""), HYPERLINK(CONCATENATE("#metadata!", ADDRESS(INDEX($L$2:$L$1001,MATCH(ROWS($J$2:J774),$J$2:$J$1001,0),0), INDEX($Q$1004:$U$1004,1,MATCH(COLUMNS($Q$1006:U1006),$Q$1006:$U$1006,0)))),"Fix")))</f>
        <v xml:space="preserve"> </v>
      </c>
      <c r="J774">
        <v>773</v>
      </c>
      <c r="K774">
        <v>100774</v>
      </c>
      <c r="L774">
        <v>774</v>
      </c>
      <c r="M774" t="b">
        <f t="shared" si="12"/>
        <v>1</v>
      </c>
      <c r="N774" t="b">
        <f>COUNTBLANK(metadata!B774:F774)=COLUMNS(metadata!B774:F774)</f>
        <v>1</v>
      </c>
      <c r="O774" t="str">
        <v/>
      </c>
      <c r="Q774" t="b">
        <f ca="1">AND(IF(metadata!B774="",FALSE,TRUE),COUNTIF(metadata!B:B, metadata!B774) = 1,NOT(ISERROR(SUMPRODUCT(SEARCH(MID(metadata!B774,ROW(INDIRECT("1:"&amp;LEN(metadata!B774))), 1),"0123456789abcdefghijklmnopqrstuvwxyzABCDEFGHIJKLMNOPQRSTUVWXYZ.")))))</f>
        <v>0</v>
      </c>
      <c r="R774" t="b">
        <f>AND(IF(metadata!C774="",FALSE,TRUE),OR(EXACT(metadata!C774,"saline"),EXACT(metadata!C774,"non-saline")))</f>
        <v>0</v>
      </c>
      <c r="S774" t="b">
        <f>AND(IF(metadata!D774="",FALSE,TRUE),OR(EXACT(metadata!D774,"surface (non-saline)"),EXACT(metadata!D774,"aerosol (non-saline)"),EXACT(metadata!D774,"sediment (non-saline)"),EXACT(metadata!D774,"surface (saline)"),EXACT(metadata!D774,"aerosol (saline)"),EXACT(metadata!D774,"sediment (saline)")))</f>
        <v>0</v>
      </c>
      <c r="T774" t="b">
        <f>AND(IF(metadata!E774="",FALSE,TRUE),EXACT(metadata!E774,"built environment"))</f>
        <v>0</v>
      </c>
      <c r="U774" t="b">
        <f>OR(AND(IF(metadata!F774="",FALSE,TRUE),EXACT(metadata!F774,"not applicable")),AND(IF(metadata!F774="",FALSE,TRUE),EXACT(metadata!F774,"anaerobic digester content")))</f>
        <v>0</v>
      </c>
    </row>
    <row r="775" spans="1:21" x14ac:dyDescent="0.2">
      <c r="A775" s="4" t="str">
        <f ca="1">IF(B775=" "," ",HYPERLINK(CONCATENATE("#metadata!",ADDRESS(INDEX($L$2:$L$1001,MATCH(ROWS($J$2:J775),$J$2:$J$1001,0),0),1)),INDEX($O$2:$O$1001,MATCH(ROWS($J$2:J775),$J$2:$J$1001,0),0)))</f>
        <v xml:space="preserve"> </v>
      </c>
      <c r="B775" s="3" t="str">
        <f ca="1">IF(OR(INDEX($K$2:$K$1001,MATCH(ROWS($J$2:J775),$J$2:$J$1001,0),1)&gt;=100000,INDEX($Q$1005:$U$1005,1,MATCH(COLUMNS($Q$1006:Q1006),$Q$1006:$U$1006,0))&gt;=100000), " ",IF(INDEX($Q$2:$U$1001,MATCH(ROWS($J$2:J775),$J$2:$J$1001,0),MATCH(COLUMNS($Q$1006:Q1006),$Q$1006:$U$1006,0)), HYPERLINK("#",""), HYPERLINK(CONCATENATE("#metadata!", ADDRESS(INDEX($L$2:$L$1001,MATCH(ROWS($J$2:J775),$J$2:$J$1001,0),0), INDEX($Q$1004:$U$1004,1,MATCH(COLUMNS($Q$1006:Q1006),$Q$1006:$U$1006,0)))),"Fix")))</f>
        <v xml:space="preserve"> </v>
      </c>
      <c r="C775" s="3" t="str">
        <f ca="1">IF(OR(INDEX($K$2:$K$1001,MATCH(ROWS($J$2:J775),$J$2:$J$1001,0),1)&gt;=100000,INDEX($Q$1005:$U$1005,1,MATCH(COLUMNS($Q$1006:R1006),$Q$1006:$U$1006,0))&gt;=100000), " ",IF(INDEX($Q$2:$U$1001,MATCH(ROWS($J$2:J775),$J$2:$J$1001,0),MATCH(COLUMNS($Q$1006:R1006),$Q$1006:$U$1006,0)), HYPERLINK("#",""), HYPERLINK(CONCATENATE("#metadata!", ADDRESS(INDEX($L$2:$L$1001,MATCH(ROWS($J$2:J775),$J$2:$J$1001,0),0), INDEX($Q$1004:$U$1004,1,MATCH(COLUMNS($Q$1006:R1006),$Q$1006:$U$1006,0)))),"Fix")))</f>
        <v xml:space="preserve"> </v>
      </c>
      <c r="D775" s="3" t="str">
        <f ca="1">IF(OR(INDEX($K$2:$K$1001,MATCH(ROWS($J$2:J775),$J$2:$J$1001,0),1)&gt;=100000,INDEX($Q$1005:$U$1005,1,MATCH(COLUMNS($Q$1006:S1006),$Q$1006:$U$1006,0))&gt;=100000), " ",IF(INDEX($Q$2:$U$1001,MATCH(ROWS($J$2:J775),$J$2:$J$1001,0),MATCH(COLUMNS($Q$1006:S1006),$Q$1006:$U$1006,0)), HYPERLINK("#",""), HYPERLINK(CONCATENATE("#metadata!", ADDRESS(INDEX($L$2:$L$1001,MATCH(ROWS($J$2:J775),$J$2:$J$1001,0),0), INDEX($Q$1004:$U$1004,1,MATCH(COLUMNS($Q$1006:S1006),$Q$1006:$U$1006,0)))),"Fix")))</f>
        <v xml:space="preserve"> </v>
      </c>
      <c r="E775" s="3" t="str">
        <f ca="1">IF(OR(INDEX($K$2:$K$1001,MATCH(ROWS($J$2:J775),$J$2:$J$1001,0),1)&gt;=100000,INDEX($Q$1005:$U$1005,1,MATCH(COLUMNS($Q$1006:T1006),$Q$1006:$U$1006,0))&gt;=100000), " ",IF(INDEX($Q$2:$U$1001,MATCH(ROWS($J$2:J775),$J$2:$J$1001,0),MATCH(COLUMNS($Q$1006:T1006),$Q$1006:$U$1006,0)), HYPERLINK("#",""), HYPERLINK(CONCATENATE("#metadata!", ADDRESS(INDEX($L$2:$L$1001,MATCH(ROWS($J$2:J775),$J$2:$J$1001,0),0), INDEX($Q$1004:$U$1004,1,MATCH(COLUMNS($Q$1006:T1006),$Q$1006:$U$1006,0)))),"Fix")))</f>
        <v xml:space="preserve"> </v>
      </c>
      <c r="F775" s="3" t="str">
        <f ca="1">IF(OR(INDEX($K$2:$K$1001,MATCH(ROWS($J$2:J775),$J$2:$J$1001,0),1)&gt;=100000,INDEX($Q$1005:$U$1005,1,MATCH(COLUMNS($Q$1006:U1006),$Q$1006:$U$1006,0))&gt;=100000), " ",IF(INDEX($Q$2:$U$1001,MATCH(ROWS($J$2:J775),$J$2:$J$1001,0),MATCH(COLUMNS($Q$1006:U1006),$Q$1006:$U$1006,0)), HYPERLINK("#",""), HYPERLINK(CONCATENATE("#metadata!", ADDRESS(INDEX($L$2:$L$1001,MATCH(ROWS($J$2:J775),$J$2:$J$1001,0),0), INDEX($Q$1004:$U$1004,1,MATCH(COLUMNS($Q$1006:U1006),$Q$1006:$U$1006,0)))),"Fix")))</f>
        <v xml:space="preserve"> </v>
      </c>
      <c r="J775">
        <v>774</v>
      </c>
      <c r="K775">
        <v>100775</v>
      </c>
      <c r="L775">
        <v>775</v>
      </c>
      <c r="M775" t="b">
        <f t="shared" si="12"/>
        <v>1</v>
      </c>
      <c r="N775" t="b">
        <f>COUNTBLANK(metadata!B775:F775)=COLUMNS(metadata!B775:F775)</f>
        <v>1</v>
      </c>
      <c r="O775" t="str">
        <v/>
      </c>
      <c r="Q775" t="b">
        <f ca="1">AND(IF(metadata!B775="",FALSE,TRUE),COUNTIF(metadata!B:B, metadata!B775) = 1,NOT(ISERROR(SUMPRODUCT(SEARCH(MID(metadata!B775,ROW(INDIRECT("1:"&amp;LEN(metadata!B775))), 1),"0123456789abcdefghijklmnopqrstuvwxyzABCDEFGHIJKLMNOPQRSTUVWXYZ.")))))</f>
        <v>0</v>
      </c>
      <c r="R775" t="b">
        <f>AND(IF(metadata!C775="",FALSE,TRUE),OR(EXACT(metadata!C775,"saline"),EXACT(metadata!C775,"non-saline")))</f>
        <v>0</v>
      </c>
      <c r="S775" t="b">
        <f>AND(IF(metadata!D775="",FALSE,TRUE),OR(EXACT(metadata!D775,"surface (non-saline)"),EXACT(metadata!D775,"aerosol (non-saline)"),EXACT(metadata!D775,"sediment (non-saline)"),EXACT(metadata!D775,"surface (saline)"),EXACT(metadata!D775,"aerosol (saline)"),EXACT(metadata!D775,"sediment (saline)")))</f>
        <v>0</v>
      </c>
      <c r="T775" t="b">
        <f>AND(IF(metadata!E775="",FALSE,TRUE),EXACT(metadata!E775,"built environment"))</f>
        <v>0</v>
      </c>
      <c r="U775" t="b">
        <f>OR(AND(IF(metadata!F775="",FALSE,TRUE),EXACT(metadata!F775,"not applicable")),AND(IF(metadata!F775="",FALSE,TRUE),EXACT(metadata!F775,"anaerobic digester content")))</f>
        <v>0</v>
      </c>
    </row>
    <row r="776" spans="1:21" x14ac:dyDescent="0.2">
      <c r="A776" s="4" t="str">
        <f ca="1">IF(B776=" "," ",HYPERLINK(CONCATENATE("#metadata!",ADDRESS(INDEX($L$2:$L$1001,MATCH(ROWS($J$2:J776),$J$2:$J$1001,0),0),1)),INDEX($O$2:$O$1001,MATCH(ROWS($J$2:J776),$J$2:$J$1001,0),0)))</f>
        <v xml:space="preserve"> </v>
      </c>
      <c r="B776" s="3" t="str">
        <f ca="1">IF(OR(INDEX($K$2:$K$1001,MATCH(ROWS($J$2:J776),$J$2:$J$1001,0),1)&gt;=100000,INDEX($Q$1005:$U$1005,1,MATCH(COLUMNS($Q$1006:Q1006),$Q$1006:$U$1006,0))&gt;=100000), " ",IF(INDEX($Q$2:$U$1001,MATCH(ROWS($J$2:J776),$J$2:$J$1001,0),MATCH(COLUMNS($Q$1006:Q1006),$Q$1006:$U$1006,0)), HYPERLINK("#",""), HYPERLINK(CONCATENATE("#metadata!", ADDRESS(INDEX($L$2:$L$1001,MATCH(ROWS($J$2:J776),$J$2:$J$1001,0),0), INDEX($Q$1004:$U$1004,1,MATCH(COLUMNS($Q$1006:Q1006),$Q$1006:$U$1006,0)))),"Fix")))</f>
        <v xml:space="preserve"> </v>
      </c>
      <c r="C776" s="3" t="str">
        <f ca="1">IF(OR(INDEX($K$2:$K$1001,MATCH(ROWS($J$2:J776),$J$2:$J$1001,0),1)&gt;=100000,INDEX($Q$1005:$U$1005,1,MATCH(COLUMNS($Q$1006:R1006),$Q$1006:$U$1006,0))&gt;=100000), " ",IF(INDEX($Q$2:$U$1001,MATCH(ROWS($J$2:J776),$J$2:$J$1001,0),MATCH(COLUMNS($Q$1006:R1006),$Q$1006:$U$1006,0)), HYPERLINK("#",""), HYPERLINK(CONCATENATE("#metadata!", ADDRESS(INDEX($L$2:$L$1001,MATCH(ROWS($J$2:J776),$J$2:$J$1001,0),0), INDEX($Q$1004:$U$1004,1,MATCH(COLUMNS($Q$1006:R1006),$Q$1006:$U$1006,0)))),"Fix")))</f>
        <v xml:space="preserve"> </v>
      </c>
      <c r="D776" s="3" t="str">
        <f ca="1">IF(OR(INDEX($K$2:$K$1001,MATCH(ROWS($J$2:J776),$J$2:$J$1001,0),1)&gt;=100000,INDEX($Q$1005:$U$1005,1,MATCH(COLUMNS($Q$1006:S1006),$Q$1006:$U$1006,0))&gt;=100000), " ",IF(INDEX($Q$2:$U$1001,MATCH(ROWS($J$2:J776),$J$2:$J$1001,0),MATCH(COLUMNS($Q$1006:S1006),$Q$1006:$U$1006,0)), HYPERLINK("#",""), HYPERLINK(CONCATENATE("#metadata!", ADDRESS(INDEX($L$2:$L$1001,MATCH(ROWS($J$2:J776),$J$2:$J$1001,0),0), INDEX($Q$1004:$U$1004,1,MATCH(COLUMNS($Q$1006:S1006),$Q$1006:$U$1006,0)))),"Fix")))</f>
        <v xml:space="preserve"> </v>
      </c>
      <c r="E776" s="3" t="str">
        <f ca="1">IF(OR(INDEX($K$2:$K$1001,MATCH(ROWS($J$2:J776),$J$2:$J$1001,0),1)&gt;=100000,INDEX($Q$1005:$U$1005,1,MATCH(COLUMNS($Q$1006:T1006),$Q$1006:$U$1006,0))&gt;=100000), " ",IF(INDEX($Q$2:$U$1001,MATCH(ROWS($J$2:J776),$J$2:$J$1001,0),MATCH(COLUMNS($Q$1006:T1006),$Q$1006:$U$1006,0)), HYPERLINK("#",""), HYPERLINK(CONCATENATE("#metadata!", ADDRESS(INDEX($L$2:$L$1001,MATCH(ROWS($J$2:J776),$J$2:$J$1001,0),0), INDEX($Q$1004:$U$1004,1,MATCH(COLUMNS($Q$1006:T1006),$Q$1006:$U$1006,0)))),"Fix")))</f>
        <v xml:space="preserve"> </v>
      </c>
      <c r="F776" s="3" t="str">
        <f ca="1">IF(OR(INDEX($K$2:$K$1001,MATCH(ROWS($J$2:J776),$J$2:$J$1001,0),1)&gt;=100000,INDEX($Q$1005:$U$1005,1,MATCH(COLUMNS($Q$1006:U1006),$Q$1006:$U$1006,0))&gt;=100000), " ",IF(INDEX($Q$2:$U$1001,MATCH(ROWS($J$2:J776),$J$2:$J$1001,0),MATCH(COLUMNS($Q$1006:U1006),$Q$1006:$U$1006,0)), HYPERLINK("#",""), HYPERLINK(CONCATENATE("#metadata!", ADDRESS(INDEX($L$2:$L$1001,MATCH(ROWS($J$2:J776),$J$2:$J$1001,0),0), INDEX($Q$1004:$U$1004,1,MATCH(COLUMNS($Q$1006:U1006),$Q$1006:$U$1006,0)))),"Fix")))</f>
        <v xml:space="preserve"> </v>
      </c>
      <c r="J776">
        <v>775</v>
      </c>
      <c r="K776">
        <v>100776</v>
      </c>
      <c r="L776">
        <v>776</v>
      </c>
      <c r="M776" t="b">
        <f t="shared" si="12"/>
        <v>1</v>
      </c>
      <c r="N776" t="b">
        <f>COUNTBLANK(metadata!B776:F776)=COLUMNS(metadata!B776:F776)</f>
        <v>1</v>
      </c>
      <c r="O776" t="str">
        <v/>
      </c>
      <c r="Q776" t="b">
        <f ca="1">AND(IF(metadata!B776="",FALSE,TRUE),COUNTIF(metadata!B:B, metadata!B776) = 1,NOT(ISERROR(SUMPRODUCT(SEARCH(MID(metadata!B776,ROW(INDIRECT("1:"&amp;LEN(metadata!B776))), 1),"0123456789abcdefghijklmnopqrstuvwxyzABCDEFGHIJKLMNOPQRSTUVWXYZ.")))))</f>
        <v>0</v>
      </c>
      <c r="R776" t="b">
        <f>AND(IF(metadata!C776="",FALSE,TRUE),OR(EXACT(metadata!C776,"saline"),EXACT(metadata!C776,"non-saline")))</f>
        <v>0</v>
      </c>
      <c r="S776" t="b">
        <f>AND(IF(metadata!D776="",FALSE,TRUE),OR(EXACT(metadata!D776,"surface (non-saline)"),EXACT(metadata!D776,"aerosol (non-saline)"),EXACT(metadata!D776,"sediment (non-saline)"),EXACT(metadata!D776,"surface (saline)"),EXACT(metadata!D776,"aerosol (saline)"),EXACT(metadata!D776,"sediment (saline)")))</f>
        <v>0</v>
      </c>
      <c r="T776" t="b">
        <f>AND(IF(metadata!E776="",FALSE,TRUE),EXACT(metadata!E776,"built environment"))</f>
        <v>0</v>
      </c>
      <c r="U776" t="b">
        <f>OR(AND(IF(metadata!F776="",FALSE,TRUE),EXACT(metadata!F776,"not applicable")),AND(IF(metadata!F776="",FALSE,TRUE),EXACT(metadata!F776,"anaerobic digester content")))</f>
        <v>0</v>
      </c>
    </row>
    <row r="777" spans="1:21" x14ac:dyDescent="0.2">
      <c r="A777" s="4" t="str">
        <f ca="1">IF(B777=" "," ",HYPERLINK(CONCATENATE("#metadata!",ADDRESS(INDEX($L$2:$L$1001,MATCH(ROWS($J$2:J777),$J$2:$J$1001,0),0),1)),INDEX($O$2:$O$1001,MATCH(ROWS($J$2:J777),$J$2:$J$1001,0),0)))</f>
        <v xml:space="preserve"> </v>
      </c>
      <c r="B777" s="3" t="str">
        <f ca="1">IF(OR(INDEX($K$2:$K$1001,MATCH(ROWS($J$2:J777),$J$2:$J$1001,0),1)&gt;=100000,INDEX($Q$1005:$U$1005,1,MATCH(COLUMNS($Q$1006:Q1006),$Q$1006:$U$1006,0))&gt;=100000), " ",IF(INDEX($Q$2:$U$1001,MATCH(ROWS($J$2:J777),$J$2:$J$1001,0),MATCH(COLUMNS($Q$1006:Q1006),$Q$1006:$U$1006,0)), HYPERLINK("#",""), HYPERLINK(CONCATENATE("#metadata!", ADDRESS(INDEX($L$2:$L$1001,MATCH(ROWS($J$2:J777),$J$2:$J$1001,0),0), INDEX($Q$1004:$U$1004,1,MATCH(COLUMNS($Q$1006:Q1006),$Q$1006:$U$1006,0)))),"Fix")))</f>
        <v xml:space="preserve"> </v>
      </c>
      <c r="C777" s="3" t="str">
        <f ca="1">IF(OR(INDEX($K$2:$K$1001,MATCH(ROWS($J$2:J777),$J$2:$J$1001,0),1)&gt;=100000,INDEX($Q$1005:$U$1005,1,MATCH(COLUMNS($Q$1006:R1006),$Q$1006:$U$1006,0))&gt;=100000), " ",IF(INDEX($Q$2:$U$1001,MATCH(ROWS($J$2:J777),$J$2:$J$1001,0),MATCH(COLUMNS($Q$1006:R1006),$Q$1006:$U$1006,0)), HYPERLINK("#",""), HYPERLINK(CONCATENATE("#metadata!", ADDRESS(INDEX($L$2:$L$1001,MATCH(ROWS($J$2:J777),$J$2:$J$1001,0),0), INDEX($Q$1004:$U$1004,1,MATCH(COLUMNS($Q$1006:R1006),$Q$1006:$U$1006,0)))),"Fix")))</f>
        <v xml:space="preserve"> </v>
      </c>
      <c r="D777" s="3" t="str">
        <f ca="1">IF(OR(INDEX($K$2:$K$1001,MATCH(ROWS($J$2:J777),$J$2:$J$1001,0),1)&gt;=100000,INDEX($Q$1005:$U$1005,1,MATCH(COLUMNS($Q$1006:S1006),$Q$1006:$U$1006,0))&gt;=100000), " ",IF(INDEX($Q$2:$U$1001,MATCH(ROWS($J$2:J777),$J$2:$J$1001,0),MATCH(COLUMNS($Q$1006:S1006),$Q$1006:$U$1006,0)), HYPERLINK("#",""), HYPERLINK(CONCATENATE("#metadata!", ADDRESS(INDEX($L$2:$L$1001,MATCH(ROWS($J$2:J777),$J$2:$J$1001,0),0), INDEX($Q$1004:$U$1004,1,MATCH(COLUMNS($Q$1006:S1006),$Q$1006:$U$1006,0)))),"Fix")))</f>
        <v xml:space="preserve"> </v>
      </c>
      <c r="E777" s="3" t="str">
        <f ca="1">IF(OR(INDEX($K$2:$K$1001,MATCH(ROWS($J$2:J777),$J$2:$J$1001,0),1)&gt;=100000,INDEX($Q$1005:$U$1005,1,MATCH(COLUMNS($Q$1006:T1006),$Q$1006:$U$1006,0))&gt;=100000), " ",IF(INDEX($Q$2:$U$1001,MATCH(ROWS($J$2:J777),$J$2:$J$1001,0),MATCH(COLUMNS($Q$1006:T1006),$Q$1006:$U$1006,0)), HYPERLINK("#",""), HYPERLINK(CONCATENATE("#metadata!", ADDRESS(INDEX($L$2:$L$1001,MATCH(ROWS($J$2:J777),$J$2:$J$1001,0),0), INDEX($Q$1004:$U$1004,1,MATCH(COLUMNS($Q$1006:T1006),$Q$1006:$U$1006,0)))),"Fix")))</f>
        <v xml:space="preserve"> </v>
      </c>
      <c r="F777" s="3" t="str">
        <f ca="1">IF(OR(INDEX($K$2:$K$1001,MATCH(ROWS($J$2:J777),$J$2:$J$1001,0),1)&gt;=100000,INDEX($Q$1005:$U$1005,1,MATCH(COLUMNS($Q$1006:U1006),$Q$1006:$U$1006,0))&gt;=100000), " ",IF(INDEX($Q$2:$U$1001,MATCH(ROWS($J$2:J777),$J$2:$J$1001,0),MATCH(COLUMNS($Q$1006:U1006),$Q$1006:$U$1006,0)), HYPERLINK("#",""), HYPERLINK(CONCATENATE("#metadata!", ADDRESS(INDEX($L$2:$L$1001,MATCH(ROWS($J$2:J777),$J$2:$J$1001,0),0), INDEX($Q$1004:$U$1004,1,MATCH(COLUMNS($Q$1006:U1006),$Q$1006:$U$1006,0)))),"Fix")))</f>
        <v xml:space="preserve"> </v>
      </c>
      <c r="J777">
        <v>776</v>
      </c>
      <c r="K777">
        <v>100777</v>
      </c>
      <c r="L777">
        <v>777</v>
      </c>
      <c r="M777" t="b">
        <f t="shared" si="12"/>
        <v>1</v>
      </c>
      <c r="N777" t="b">
        <f>COUNTBLANK(metadata!B777:F777)=COLUMNS(metadata!B777:F777)</f>
        <v>1</v>
      </c>
      <c r="O777" t="str">
        <v/>
      </c>
      <c r="Q777" t="b">
        <f ca="1">AND(IF(metadata!B777="",FALSE,TRUE),COUNTIF(metadata!B:B, metadata!B777) = 1,NOT(ISERROR(SUMPRODUCT(SEARCH(MID(metadata!B777,ROW(INDIRECT("1:"&amp;LEN(metadata!B777))), 1),"0123456789abcdefghijklmnopqrstuvwxyzABCDEFGHIJKLMNOPQRSTUVWXYZ.")))))</f>
        <v>0</v>
      </c>
      <c r="R777" t="b">
        <f>AND(IF(metadata!C777="",FALSE,TRUE),OR(EXACT(metadata!C777,"saline"),EXACT(metadata!C777,"non-saline")))</f>
        <v>0</v>
      </c>
      <c r="S777" t="b">
        <f>AND(IF(metadata!D777="",FALSE,TRUE),OR(EXACT(metadata!D777,"surface (non-saline)"),EXACT(metadata!D777,"aerosol (non-saline)"),EXACT(metadata!D777,"sediment (non-saline)"),EXACT(metadata!D777,"surface (saline)"),EXACT(metadata!D777,"aerosol (saline)"),EXACT(metadata!D777,"sediment (saline)")))</f>
        <v>0</v>
      </c>
      <c r="T777" t="b">
        <f>AND(IF(metadata!E777="",FALSE,TRUE),EXACT(metadata!E777,"built environment"))</f>
        <v>0</v>
      </c>
      <c r="U777" t="b">
        <f>OR(AND(IF(metadata!F777="",FALSE,TRUE),EXACT(metadata!F777,"not applicable")),AND(IF(metadata!F777="",FALSE,TRUE),EXACT(metadata!F777,"anaerobic digester content")))</f>
        <v>0</v>
      </c>
    </row>
    <row r="778" spans="1:21" x14ac:dyDescent="0.2">
      <c r="A778" s="4" t="str">
        <f ca="1">IF(B778=" "," ",HYPERLINK(CONCATENATE("#metadata!",ADDRESS(INDEX($L$2:$L$1001,MATCH(ROWS($J$2:J778),$J$2:$J$1001,0),0),1)),INDEX($O$2:$O$1001,MATCH(ROWS($J$2:J778),$J$2:$J$1001,0),0)))</f>
        <v xml:space="preserve"> </v>
      </c>
      <c r="B778" s="3" t="str">
        <f ca="1">IF(OR(INDEX($K$2:$K$1001,MATCH(ROWS($J$2:J778),$J$2:$J$1001,0),1)&gt;=100000,INDEX($Q$1005:$U$1005,1,MATCH(COLUMNS($Q$1006:Q1006),$Q$1006:$U$1006,0))&gt;=100000), " ",IF(INDEX($Q$2:$U$1001,MATCH(ROWS($J$2:J778),$J$2:$J$1001,0),MATCH(COLUMNS($Q$1006:Q1006),$Q$1006:$U$1006,0)), HYPERLINK("#",""), HYPERLINK(CONCATENATE("#metadata!", ADDRESS(INDEX($L$2:$L$1001,MATCH(ROWS($J$2:J778),$J$2:$J$1001,0),0), INDEX($Q$1004:$U$1004,1,MATCH(COLUMNS($Q$1006:Q1006),$Q$1006:$U$1006,0)))),"Fix")))</f>
        <v xml:space="preserve"> </v>
      </c>
      <c r="C778" s="3" t="str">
        <f ca="1">IF(OR(INDEX($K$2:$K$1001,MATCH(ROWS($J$2:J778),$J$2:$J$1001,0),1)&gt;=100000,INDEX($Q$1005:$U$1005,1,MATCH(COLUMNS($Q$1006:R1006),$Q$1006:$U$1006,0))&gt;=100000), " ",IF(INDEX($Q$2:$U$1001,MATCH(ROWS($J$2:J778),$J$2:$J$1001,0),MATCH(COLUMNS($Q$1006:R1006),$Q$1006:$U$1006,0)), HYPERLINK("#",""), HYPERLINK(CONCATENATE("#metadata!", ADDRESS(INDEX($L$2:$L$1001,MATCH(ROWS($J$2:J778),$J$2:$J$1001,0),0), INDEX($Q$1004:$U$1004,1,MATCH(COLUMNS($Q$1006:R1006),$Q$1006:$U$1006,0)))),"Fix")))</f>
        <v xml:space="preserve"> </v>
      </c>
      <c r="D778" s="3" t="str">
        <f ca="1">IF(OR(INDEX($K$2:$K$1001,MATCH(ROWS($J$2:J778),$J$2:$J$1001,0),1)&gt;=100000,INDEX($Q$1005:$U$1005,1,MATCH(COLUMNS($Q$1006:S1006),$Q$1006:$U$1006,0))&gt;=100000), " ",IF(INDEX($Q$2:$U$1001,MATCH(ROWS($J$2:J778),$J$2:$J$1001,0),MATCH(COLUMNS($Q$1006:S1006),$Q$1006:$U$1006,0)), HYPERLINK("#",""), HYPERLINK(CONCATENATE("#metadata!", ADDRESS(INDEX($L$2:$L$1001,MATCH(ROWS($J$2:J778),$J$2:$J$1001,0),0), INDEX($Q$1004:$U$1004,1,MATCH(COLUMNS($Q$1006:S1006),$Q$1006:$U$1006,0)))),"Fix")))</f>
        <v xml:space="preserve"> </v>
      </c>
      <c r="E778" s="3" t="str">
        <f ca="1">IF(OR(INDEX($K$2:$K$1001,MATCH(ROWS($J$2:J778),$J$2:$J$1001,0),1)&gt;=100000,INDEX($Q$1005:$U$1005,1,MATCH(COLUMNS($Q$1006:T1006),$Q$1006:$U$1006,0))&gt;=100000), " ",IF(INDEX($Q$2:$U$1001,MATCH(ROWS($J$2:J778),$J$2:$J$1001,0),MATCH(COLUMNS($Q$1006:T1006),$Q$1006:$U$1006,0)), HYPERLINK("#",""), HYPERLINK(CONCATENATE("#metadata!", ADDRESS(INDEX($L$2:$L$1001,MATCH(ROWS($J$2:J778),$J$2:$J$1001,0),0), INDEX($Q$1004:$U$1004,1,MATCH(COLUMNS($Q$1006:T1006),$Q$1006:$U$1006,0)))),"Fix")))</f>
        <v xml:space="preserve"> </v>
      </c>
      <c r="F778" s="3" t="str">
        <f ca="1">IF(OR(INDEX($K$2:$K$1001,MATCH(ROWS($J$2:J778),$J$2:$J$1001,0),1)&gt;=100000,INDEX($Q$1005:$U$1005,1,MATCH(COLUMNS($Q$1006:U1006),$Q$1006:$U$1006,0))&gt;=100000), " ",IF(INDEX($Q$2:$U$1001,MATCH(ROWS($J$2:J778),$J$2:$J$1001,0),MATCH(COLUMNS($Q$1006:U1006),$Q$1006:$U$1006,0)), HYPERLINK("#",""), HYPERLINK(CONCATENATE("#metadata!", ADDRESS(INDEX($L$2:$L$1001,MATCH(ROWS($J$2:J778),$J$2:$J$1001,0),0), INDEX($Q$1004:$U$1004,1,MATCH(COLUMNS($Q$1006:U1006),$Q$1006:$U$1006,0)))),"Fix")))</f>
        <v xml:space="preserve"> </v>
      </c>
      <c r="J778">
        <v>777</v>
      </c>
      <c r="K778">
        <v>100778</v>
      </c>
      <c r="L778">
        <v>778</v>
      </c>
      <c r="M778" t="b">
        <f t="shared" si="12"/>
        <v>1</v>
      </c>
      <c r="N778" t="b">
        <f>COUNTBLANK(metadata!B778:F778)=COLUMNS(metadata!B778:F778)</f>
        <v>1</v>
      </c>
      <c r="O778" t="str">
        <v/>
      </c>
      <c r="Q778" t="b">
        <f ca="1">AND(IF(metadata!B778="",FALSE,TRUE),COUNTIF(metadata!B:B, metadata!B778) = 1,NOT(ISERROR(SUMPRODUCT(SEARCH(MID(metadata!B778,ROW(INDIRECT("1:"&amp;LEN(metadata!B778))), 1),"0123456789abcdefghijklmnopqrstuvwxyzABCDEFGHIJKLMNOPQRSTUVWXYZ.")))))</f>
        <v>0</v>
      </c>
      <c r="R778" t="b">
        <f>AND(IF(metadata!C778="",FALSE,TRUE),OR(EXACT(metadata!C778,"saline"),EXACT(metadata!C778,"non-saline")))</f>
        <v>0</v>
      </c>
      <c r="S778" t="b">
        <f>AND(IF(metadata!D778="",FALSE,TRUE),OR(EXACT(metadata!D778,"surface (non-saline)"),EXACT(metadata!D778,"aerosol (non-saline)"),EXACT(metadata!D778,"sediment (non-saline)"),EXACT(metadata!D778,"surface (saline)"),EXACT(metadata!D778,"aerosol (saline)"),EXACT(metadata!D778,"sediment (saline)")))</f>
        <v>0</v>
      </c>
      <c r="T778" t="b">
        <f>AND(IF(metadata!E778="",FALSE,TRUE),EXACT(metadata!E778,"built environment"))</f>
        <v>0</v>
      </c>
      <c r="U778" t="b">
        <f>OR(AND(IF(metadata!F778="",FALSE,TRUE),EXACT(metadata!F778,"not applicable")),AND(IF(metadata!F778="",FALSE,TRUE),EXACT(metadata!F778,"anaerobic digester content")))</f>
        <v>0</v>
      </c>
    </row>
    <row r="779" spans="1:21" x14ac:dyDescent="0.2">
      <c r="A779" s="4" t="str">
        <f ca="1">IF(B779=" "," ",HYPERLINK(CONCATENATE("#metadata!",ADDRESS(INDEX($L$2:$L$1001,MATCH(ROWS($J$2:J779),$J$2:$J$1001,0),0),1)),INDEX($O$2:$O$1001,MATCH(ROWS($J$2:J779),$J$2:$J$1001,0),0)))</f>
        <v xml:space="preserve"> </v>
      </c>
      <c r="B779" s="3" t="str">
        <f ca="1">IF(OR(INDEX($K$2:$K$1001,MATCH(ROWS($J$2:J779),$J$2:$J$1001,0),1)&gt;=100000,INDEX($Q$1005:$U$1005,1,MATCH(COLUMNS($Q$1006:Q1006),$Q$1006:$U$1006,0))&gt;=100000), " ",IF(INDEX($Q$2:$U$1001,MATCH(ROWS($J$2:J779),$J$2:$J$1001,0),MATCH(COLUMNS($Q$1006:Q1006),$Q$1006:$U$1006,0)), HYPERLINK("#",""), HYPERLINK(CONCATENATE("#metadata!", ADDRESS(INDEX($L$2:$L$1001,MATCH(ROWS($J$2:J779),$J$2:$J$1001,0),0), INDEX($Q$1004:$U$1004,1,MATCH(COLUMNS($Q$1006:Q1006),$Q$1006:$U$1006,0)))),"Fix")))</f>
        <v xml:space="preserve"> </v>
      </c>
      <c r="C779" s="3" t="str">
        <f ca="1">IF(OR(INDEX($K$2:$K$1001,MATCH(ROWS($J$2:J779),$J$2:$J$1001,0),1)&gt;=100000,INDEX($Q$1005:$U$1005,1,MATCH(COLUMNS($Q$1006:R1006),$Q$1006:$U$1006,0))&gt;=100000), " ",IF(INDEX($Q$2:$U$1001,MATCH(ROWS($J$2:J779),$J$2:$J$1001,0),MATCH(COLUMNS($Q$1006:R1006),$Q$1006:$U$1006,0)), HYPERLINK("#",""), HYPERLINK(CONCATENATE("#metadata!", ADDRESS(INDEX($L$2:$L$1001,MATCH(ROWS($J$2:J779),$J$2:$J$1001,0),0), INDEX($Q$1004:$U$1004,1,MATCH(COLUMNS($Q$1006:R1006),$Q$1006:$U$1006,0)))),"Fix")))</f>
        <v xml:space="preserve"> </v>
      </c>
      <c r="D779" s="3" t="str">
        <f ca="1">IF(OR(INDEX($K$2:$K$1001,MATCH(ROWS($J$2:J779),$J$2:$J$1001,0),1)&gt;=100000,INDEX($Q$1005:$U$1005,1,MATCH(COLUMNS($Q$1006:S1006),$Q$1006:$U$1006,0))&gt;=100000), " ",IF(INDEX($Q$2:$U$1001,MATCH(ROWS($J$2:J779),$J$2:$J$1001,0),MATCH(COLUMNS($Q$1006:S1006),$Q$1006:$U$1006,0)), HYPERLINK("#",""), HYPERLINK(CONCATENATE("#metadata!", ADDRESS(INDEX($L$2:$L$1001,MATCH(ROWS($J$2:J779),$J$2:$J$1001,0),0), INDEX($Q$1004:$U$1004,1,MATCH(COLUMNS($Q$1006:S1006),$Q$1006:$U$1006,0)))),"Fix")))</f>
        <v xml:space="preserve"> </v>
      </c>
      <c r="E779" s="3" t="str">
        <f ca="1">IF(OR(INDEX($K$2:$K$1001,MATCH(ROWS($J$2:J779),$J$2:$J$1001,0),1)&gt;=100000,INDEX($Q$1005:$U$1005,1,MATCH(COLUMNS($Q$1006:T1006),$Q$1006:$U$1006,0))&gt;=100000), " ",IF(INDEX($Q$2:$U$1001,MATCH(ROWS($J$2:J779),$J$2:$J$1001,0),MATCH(COLUMNS($Q$1006:T1006),$Q$1006:$U$1006,0)), HYPERLINK("#",""), HYPERLINK(CONCATENATE("#metadata!", ADDRESS(INDEX($L$2:$L$1001,MATCH(ROWS($J$2:J779),$J$2:$J$1001,0),0), INDEX($Q$1004:$U$1004,1,MATCH(COLUMNS($Q$1006:T1006),$Q$1006:$U$1006,0)))),"Fix")))</f>
        <v xml:space="preserve"> </v>
      </c>
      <c r="F779" s="3" t="str">
        <f ca="1">IF(OR(INDEX($K$2:$K$1001,MATCH(ROWS($J$2:J779),$J$2:$J$1001,0),1)&gt;=100000,INDEX($Q$1005:$U$1005,1,MATCH(COLUMNS($Q$1006:U1006),$Q$1006:$U$1006,0))&gt;=100000), " ",IF(INDEX($Q$2:$U$1001,MATCH(ROWS($J$2:J779),$J$2:$J$1001,0),MATCH(COLUMNS($Q$1006:U1006),$Q$1006:$U$1006,0)), HYPERLINK("#",""), HYPERLINK(CONCATENATE("#metadata!", ADDRESS(INDEX($L$2:$L$1001,MATCH(ROWS($J$2:J779),$J$2:$J$1001,0),0), INDEX($Q$1004:$U$1004,1,MATCH(COLUMNS($Q$1006:U1006),$Q$1006:$U$1006,0)))),"Fix")))</f>
        <v xml:space="preserve"> </v>
      </c>
      <c r="J779">
        <v>778</v>
      </c>
      <c r="K779">
        <v>100779</v>
      </c>
      <c r="L779">
        <v>779</v>
      </c>
      <c r="M779" t="b">
        <f t="shared" si="12"/>
        <v>1</v>
      </c>
      <c r="N779" t="b">
        <f>COUNTBLANK(metadata!B779:F779)=COLUMNS(metadata!B779:F779)</f>
        <v>1</v>
      </c>
      <c r="O779" t="str">
        <v/>
      </c>
      <c r="Q779" t="b">
        <f ca="1">AND(IF(metadata!B779="",FALSE,TRUE),COUNTIF(metadata!B:B, metadata!B779) = 1,NOT(ISERROR(SUMPRODUCT(SEARCH(MID(metadata!B779,ROW(INDIRECT("1:"&amp;LEN(metadata!B779))), 1),"0123456789abcdefghijklmnopqrstuvwxyzABCDEFGHIJKLMNOPQRSTUVWXYZ.")))))</f>
        <v>0</v>
      </c>
      <c r="R779" t="b">
        <f>AND(IF(metadata!C779="",FALSE,TRUE),OR(EXACT(metadata!C779,"saline"),EXACT(metadata!C779,"non-saline")))</f>
        <v>0</v>
      </c>
      <c r="S779" t="b">
        <f>AND(IF(metadata!D779="",FALSE,TRUE),OR(EXACT(metadata!D779,"surface (non-saline)"),EXACT(metadata!D779,"aerosol (non-saline)"),EXACT(metadata!D779,"sediment (non-saline)"),EXACT(metadata!D779,"surface (saline)"),EXACT(metadata!D779,"aerosol (saline)"),EXACT(metadata!D779,"sediment (saline)")))</f>
        <v>0</v>
      </c>
      <c r="T779" t="b">
        <f>AND(IF(metadata!E779="",FALSE,TRUE),EXACT(metadata!E779,"built environment"))</f>
        <v>0</v>
      </c>
      <c r="U779" t="b">
        <f>OR(AND(IF(metadata!F779="",FALSE,TRUE),EXACT(metadata!F779,"not applicable")),AND(IF(metadata!F779="",FALSE,TRUE),EXACT(metadata!F779,"anaerobic digester content")))</f>
        <v>0</v>
      </c>
    </row>
    <row r="780" spans="1:21" x14ac:dyDescent="0.2">
      <c r="A780" s="4" t="str">
        <f ca="1">IF(B780=" "," ",HYPERLINK(CONCATENATE("#metadata!",ADDRESS(INDEX($L$2:$L$1001,MATCH(ROWS($J$2:J780),$J$2:$J$1001,0),0),1)),INDEX($O$2:$O$1001,MATCH(ROWS($J$2:J780),$J$2:$J$1001,0),0)))</f>
        <v xml:space="preserve"> </v>
      </c>
      <c r="B780" s="3" t="str">
        <f ca="1">IF(OR(INDEX($K$2:$K$1001,MATCH(ROWS($J$2:J780),$J$2:$J$1001,0),1)&gt;=100000,INDEX($Q$1005:$U$1005,1,MATCH(COLUMNS($Q$1006:Q1006),$Q$1006:$U$1006,0))&gt;=100000), " ",IF(INDEX($Q$2:$U$1001,MATCH(ROWS($J$2:J780),$J$2:$J$1001,0),MATCH(COLUMNS($Q$1006:Q1006),$Q$1006:$U$1006,0)), HYPERLINK("#",""), HYPERLINK(CONCATENATE("#metadata!", ADDRESS(INDEX($L$2:$L$1001,MATCH(ROWS($J$2:J780),$J$2:$J$1001,0),0), INDEX($Q$1004:$U$1004,1,MATCH(COLUMNS($Q$1006:Q1006),$Q$1006:$U$1006,0)))),"Fix")))</f>
        <v xml:space="preserve"> </v>
      </c>
      <c r="C780" s="3" t="str">
        <f ca="1">IF(OR(INDEX($K$2:$K$1001,MATCH(ROWS($J$2:J780),$J$2:$J$1001,0),1)&gt;=100000,INDEX($Q$1005:$U$1005,1,MATCH(COLUMNS($Q$1006:R1006),$Q$1006:$U$1006,0))&gt;=100000), " ",IF(INDEX($Q$2:$U$1001,MATCH(ROWS($J$2:J780),$J$2:$J$1001,0),MATCH(COLUMNS($Q$1006:R1006),$Q$1006:$U$1006,0)), HYPERLINK("#",""), HYPERLINK(CONCATENATE("#metadata!", ADDRESS(INDEX($L$2:$L$1001,MATCH(ROWS($J$2:J780),$J$2:$J$1001,0),0), INDEX($Q$1004:$U$1004,1,MATCH(COLUMNS($Q$1006:R1006),$Q$1006:$U$1006,0)))),"Fix")))</f>
        <v xml:space="preserve"> </v>
      </c>
      <c r="D780" s="3" t="str">
        <f ca="1">IF(OR(INDEX($K$2:$K$1001,MATCH(ROWS($J$2:J780),$J$2:$J$1001,0),1)&gt;=100000,INDEX($Q$1005:$U$1005,1,MATCH(COLUMNS($Q$1006:S1006),$Q$1006:$U$1006,0))&gt;=100000), " ",IF(INDEX($Q$2:$U$1001,MATCH(ROWS($J$2:J780),$J$2:$J$1001,0),MATCH(COLUMNS($Q$1006:S1006),$Q$1006:$U$1006,0)), HYPERLINK("#",""), HYPERLINK(CONCATENATE("#metadata!", ADDRESS(INDEX($L$2:$L$1001,MATCH(ROWS($J$2:J780),$J$2:$J$1001,0),0), INDEX($Q$1004:$U$1004,1,MATCH(COLUMNS($Q$1006:S1006),$Q$1006:$U$1006,0)))),"Fix")))</f>
        <v xml:space="preserve"> </v>
      </c>
      <c r="E780" s="3" t="str">
        <f ca="1">IF(OR(INDEX($K$2:$K$1001,MATCH(ROWS($J$2:J780),$J$2:$J$1001,0),1)&gt;=100000,INDEX($Q$1005:$U$1005,1,MATCH(COLUMNS($Q$1006:T1006),$Q$1006:$U$1006,0))&gt;=100000), " ",IF(INDEX($Q$2:$U$1001,MATCH(ROWS($J$2:J780),$J$2:$J$1001,0),MATCH(COLUMNS($Q$1006:T1006),$Q$1006:$U$1006,0)), HYPERLINK("#",""), HYPERLINK(CONCATENATE("#metadata!", ADDRESS(INDEX($L$2:$L$1001,MATCH(ROWS($J$2:J780),$J$2:$J$1001,0),0), INDEX($Q$1004:$U$1004,1,MATCH(COLUMNS($Q$1006:T1006),$Q$1006:$U$1006,0)))),"Fix")))</f>
        <v xml:space="preserve"> </v>
      </c>
      <c r="F780" s="3" t="str">
        <f ca="1">IF(OR(INDEX($K$2:$K$1001,MATCH(ROWS($J$2:J780),$J$2:$J$1001,0),1)&gt;=100000,INDEX($Q$1005:$U$1005,1,MATCH(COLUMNS($Q$1006:U1006),$Q$1006:$U$1006,0))&gt;=100000), " ",IF(INDEX($Q$2:$U$1001,MATCH(ROWS($J$2:J780),$J$2:$J$1001,0),MATCH(COLUMNS($Q$1006:U1006),$Q$1006:$U$1006,0)), HYPERLINK("#",""), HYPERLINK(CONCATENATE("#metadata!", ADDRESS(INDEX($L$2:$L$1001,MATCH(ROWS($J$2:J780),$J$2:$J$1001,0),0), INDEX($Q$1004:$U$1004,1,MATCH(COLUMNS($Q$1006:U1006),$Q$1006:$U$1006,0)))),"Fix")))</f>
        <v xml:space="preserve"> </v>
      </c>
      <c r="J780">
        <v>779</v>
      </c>
      <c r="K780">
        <v>100780</v>
      </c>
      <c r="L780">
        <v>780</v>
      </c>
      <c r="M780" t="b">
        <f t="shared" si="12"/>
        <v>1</v>
      </c>
      <c r="N780" t="b">
        <f>COUNTBLANK(metadata!B780:F780)=COLUMNS(metadata!B780:F780)</f>
        <v>1</v>
      </c>
      <c r="O780" t="str">
        <v/>
      </c>
      <c r="Q780" t="b">
        <f ca="1">AND(IF(metadata!B780="",FALSE,TRUE),COUNTIF(metadata!B:B, metadata!B780) = 1,NOT(ISERROR(SUMPRODUCT(SEARCH(MID(metadata!B780,ROW(INDIRECT("1:"&amp;LEN(metadata!B780))), 1),"0123456789abcdefghijklmnopqrstuvwxyzABCDEFGHIJKLMNOPQRSTUVWXYZ.")))))</f>
        <v>0</v>
      </c>
      <c r="R780" t="b">
        <f>AND(IF(metadata!C780="",FALSE,TRUE),OR(EXACT(metadata!C780,"saline"),EXACT(metadata!C780,"non-saline")))</f>
        <v>0</v>
      </c>
      <c r="S780" t="b">
        <f>AND(IF(metadata!D780="",FALSE,TRUE),OR(EXACT(metadata!D780,"surface (non-saline)"),EXACT(metadata!D780,"aerosol (non-saline)"),EXACT(metadata!D780,"sediment (non-saline)"),EXACT(metadata!D780,"surface (saline)"),EXACT(metadata!D780,"aerosol (saline)"),EXACT(metadata!D780,"sediment (saline)")))</f>
        <v>0</v>
      </c>
      <c r="T780" t="b">
        <f>AND(IF(metadata!E780="",FALSE,TRUE),EXACT(metadata!E780,"built environment"))</f>
        <v>0</v>
      </c>
      <c r="U780" t="b">
        <f>OR(AND(IF(metadata!F780="",FALSE,TRUE),EXACT(metadata!F780,"not applicable")),AND(IF(metadata!F780="",FALSE,TRUE),EXACT(metadata!F780,"anaerobic digester content")))</f>
        <v>0</v>
      </c>
    </row>
    <row r="781" spans="1:21" x14ac:dyDescent="0.2">
      <c r="A781" s="4" t="str">
        <f ca="1">IF(B781=" "," ",HYPERLINK(CONCATENATE("#metadata!",ADDRESS(INDEX($L$2:$L$1001,MATCH(ROWS($J$2:J781),$J$2:$J$1001,0),0),1)),INDEX($O$2:$O$1001,MATCH(ROWS($J$2:J781),$J$2:$J$1001,0),0)))</f>
        <v xml:space="preserve"> </v>
      </c>
      <c r="B781" s="3" t="str">
        <f ca="1">IF(OR(INDEX($K$2:$K$1001,MATCH(ROWS($J$2:J781),$J$2:$J$1001,0),1)&gt;=100000,INDEX($Q$1005:$U$1005,1,MATCH(COLUMNS($Q$1006:Q1006),$Q$1006:$U$1006,0))&gt;=100000), " ",IF(INDEX($Q$2:$U$1001,MATCH(ROWS($J$2:J781),$J$2:$J$1001,0),MATCH(COLUMNS($Q$1006:Q1006),$Q$1006:$U$1006,0)), HYPERLINK("#",""), HYPERLINK(CONCATENATE("#metadata!", ADDRESS(INDEX($L$2:$L$1001,MATCH(ROWS($J$2:J781),$J$2:$J$1001,0),0), INDEX($Q$1004:$U$1004,1,MATCH(COLUMNS($Q$1006:Q1006),$Q$1006:$U$1006,0)))),"Fix")))</f>
        <v xml:space="preserve"> </v>
      </c>
      <c r="C781" s="3" t="str">
        <f ca="1">IF(OR(INDEX($K$2:$K$1001,MATCH(ROWS($J$2:J781),$J$2:$J$1001,0),1)&gt;=100000,INDEX($Q$1005:$U$1005,1,MATCH(COLUMNS($Q$1006:R1006),$Q$1006:$U$1006,0))&gt;=100000), " ",IF(INDEX($Q$2:$U$1001,MATCH(ROWS($J$2:J781),$J$2:$J$1001,0),MATCH(COLUMNS($Q$1006:R1006),$Q$1006:$U$1006,0)), HYPERLINK("#",""), HYPERLINK(CONCATENATE("#metadata!", ADDRESS(INDEX($L$2:$L$1001,MATCH(ROWS($J$2:J781),$J$2:$J$1001,0),0), INDEX($Q$1004:$U$1004,1,MATCH(COLUMNS($Q$1006:R1006),$Q$1006:$U$1006,0)))),"Fix")))</f>
        <v xml:space="preserve"> </v>
      </c>
      <c r="D781" s="3" t="str">
        <f ca="1">IF(OR(INDEX($K$2:$K$1001,MATCH(ROWS($J$2:J781),$J$2:$J$1001,0),1)&gt;=100000,INDEX($Q$1005:$U$1005,1,MATCH(COLUMNS($Q$1006:S1006),$Q$1006:$U$1006,0))&gt;=100000), " ",IF(INDEX($Q$2:$U$1001,MATCH(ROWS($J$2:J781),$J$2:$J$1001,0),MATCH(COLUMNS($Q$1006:S1006),$Q$1006:$U$1006,0)), HYPERLINK("#",""), HYPERLINK(CONCATENATE("#metadata!", ADDRESS(INDEX($L$2:$L$1001,MATCH(ROWS($J$2:J781),$J$2:$J$1001,0),0), INDEX($Q$1004:$U$1004,1,MATCH(COLUMNS($Q$1006:S1006),$Q$1006:$U$1006,0)))),"Fix")))</f>
        <v xml:space="preserve"> </v>
      </c>
      <c r="E781" s="3" t="str">
        <f ca="1">IF(OR(INDEX($K$2:$K$1001,MATCH(ROWS($J$2:J781),$J$2:$J$1001,0),1)&gt;=100000,INDEX($Q$1005:$U$1005,1,MATCH(COLUMNS($Q$1006:T1006),$Q$1006:$U$1006,0))&gt;=100000), " ",IF(INDEX($Q$2:$U$1001,MATCH(ROWS($J$2:J781),$J$2:$J$1001,0),MATCH(COLUMNS($Q$1006:T1006),$Q$1006:$U$1006,0)), HYPERLINK("#",""), HYPERLINK(CONCATENATE("#metadata!", ADDRESS(INDEX($L$2:$L$1001,MATCH(ROWS($J$2:J781),$J$2:$J$1001,0),0), INDEX($Q$1004:$U$1004,1,MATCH(COLUMNS($Q$1006:T1006),$Q$1006:$U$1006,0)))),"Fix")))</f>
        <v xml:space="preserve"> </v>
      </c>
      <c r="F781" s="3" t="str">
        <f ca="1">IF(OR(INDEX($K$2:$K$1001,MATCH(ROWS($J$2:J781),$J$2:$J$1001,0),1)&gt;=100000,INDEX($Q$1005:$U$1005,1,MATCH(COLUMNS($Q$1006:U1006),$Q$1006:$U$1006,0))&gt;=100000), " ",IF(INDEX($Q$2:$U$1001,MATCH(ROWS($J$2:J781),$J$2:$J$1001,0),MATCH(COLUMNS($Q$1006:U1006),$Q$1006:$U$1006,0)), HYPERLINK("#",""), HYPERLINK(CONCATENATE("#metadata!", ADDRESS(INDEX($L$2:$L$1001,MATCH(ROWS($J$2:J781),$J$2:$J$1001,0),0), INDEX($Q$1004:$U$1004,1,MATCH(COLUMNS($Q$1006:U1006),$Q$1006:$U$1006,0)))),"Fix")))</f>
        <v xml:space="preserve"> </v>
      </c>
      <c r="J781">
        <v>780</v>
      </c>
      <c r="K781">
        <v>100781</v>
      </c>
      <c r="L781">
        <v>781</v>
      </c>
      <c r="M781" t="b">
        <f t="shared" si="12"/>
        <v>1</v>
      </c>
      <c r="N781" t="b">
        <f>COUNTBLANK(metadata!B781:F781)=COLUMNS(metadata!B781:F781)</f>
        <v>1</v>
      </c>
      <c r="O781" t="str">
        <v/>
      </c>
      <c r="Q781" t="b">
        <f ca="1">AND(IF(metadata!B781="",FALSE,TRUE),COUNTIF(metadata!B:B, metadata!B781) = 1,NOT(ISERROR(SUMPRODUCT(SEARCH(MID(metadata!B781,ROW(INDIRECT("1:"&amp;LEN(metadata!B781))), 1),"0123456789abcdefghijklmnopqrstuvwxyzABCDEFGHIJKLMNOPQRSTUVWXYZ.")))))</f>
        <v>0</v>
      </c>
      <c r="R781" t="b">
        <f>AND(IF(metadata!C781="",FALSE,TRUE),OR(EXACT(metadata!C781,"saline"),EXACT(metadata!C781,"non-saline")))</f>
        <v>0</v>
      </c>
      <c r="S781" t="b">
        <f>AND(IF(metadata!D781="",FALSE,TRUE),OR(EXACT(metadata!D781,"surface (non-saline)"),EXACT(metadata!D781,"aerosol (non-saline)"),EXACT(metadata!D781,"sediment (non-saline)"),EXACT(metadata!D781,"surface (saline)"),EXACT(metadata!D781,"aerosol (saline)"),EXACT(metadata!D781,"sediment (saline)")))</f>
        <v>0</v>
      </c>
      <c r="T781" t="b">
        <f>AND(IF(metadata!E781="",FALSE,TRUE),EXACT(metadata!E781,"built environment"))</f>
        <v>0</v>
      </c>
      <c r="U781" t="b">
        <f>OR(AND(IF(metadata!F781="",FALSE,TRUE),EXACT(metadata!F781,"not applicable")),AND(IF(metadata!F781="",FALSE,TRUE),EXACT(metadata!F781,"anaerobic digester content")))</f>
        <v>0</v>
      </c>
    </row>
    <row r="782" spans="1:21" x14ac:dyDescent="0.2">
      <c r="A782" s="4" t="str">
        <f ca="1">IF(B782=" "," ",HYPERLINK(CONCATENATE("#metadata!",ADDRESS(INDEX($L$2:$L$1001,MATCH(ROWS($J$2:J782),$J$2:$J$1001,0),0),1)),INDEX($O$2:$O$1001,MATCH(ROWS($J$2:J782),$J$2:$J$1001,0),0)))</f>
        <v xml:space="preserve"> </v>
      </c>
      <c r="B782" s="3" t="str">
        <f ca="1">IF(OR(INDEX($K$2:$K$1001,MATCH(ROWS($J$2:J782),$J$2:$J$1001,0),1)&gt;=100000,INDEX($Q$1005:$U$1005,1,MATCH(COLUMNS($Q$1006:Q1006),$Q$1006:$U$1006,0))&gt;=100000), " ",IF(INDEX($Q$2:$U$1001,MATCH(ROWS($J$2:J782),$J$2:$J$1001,0),MATCH(COLUMNS($Q$1006:Q1006),$Q$1006:$U$1006,0)), HYPERLINK("#",""), HYPERLINK(CONCATENATE("#metadata!", ADDRESS(INDEX($L$2:$L$1001,MATCH(ROWS($J$2:J782),$J$2:$J$1001,0),0), INDEX($Q$1004:$U$1004,1,MATCH(COLUMNS($Q$1006:Q1006),$Q$1006:$U$1006,0)))),"Fix")))</f>
        <v xml:space="preserve"> </v>
      </c>
      <c r="C782" s="3" t="str">
        <f ca="1">IF(OR(INDEX($K$2:$K$1001,MATCH(ROWS($J$2:J782),$J$2:$J$1001,0),1)&gt;=100000,INDEX($Q$1005:$U$1005,1,MATCH(COLUMNS($Q$1006:R1006),$Q$1006:$U$1006,0))&gt;=100000), " ",IF(INDEX($Q$2:$U$1001,MATCH(ROWS($J$2:J782),$J$2:$J$1001,0),MATCH(COLUMNS($Q$1006:R1006),$Q$1006:$U$1006,0)), HYPERLINK("#",""), HYPERLINK(CONCATENATE("#metadata!", ADDRESS(INDEX($L$2:$L$1001,MATCH(ROWS($J$2:J782),$J$2:$J$1001,0),0), INDEX($Q$1004:$U$1004,1,MATCH(COLUMNS($Q$1006:R1006),$Q$1006:$U$1006,0)))),"Fix")))</f>
        <v xml:space="preserve"> </v>
      </c>
      <c r="D782" s="3" t="str">
        <f ca="1">IF(OR(INDEX($K$2:$K$1001,MATCH(ROWS($J$2:J782),$J$2:$J$1001,0),1)&gt;=100000,INDEX($Q$1005:$U$1005,1,MATCH(COLUMNS($Q$1006:S1006),$Q$1006:$U$1006,0))&gt;=100000), " ",IF(INDEX($Q$2:$U$1001,MATCH(ROWS($J$2:J782),$J$2:$J$1001,0),MATCH(COLUMNS($Q$1006:S1006),$Q$1006:$U$1006,0)), HYPERLINK("#",""), HYPERLINK(CONCATENATE("#metadata!", ADDRESS(INDEX($L$2:$L$1001,MATCH(ROWS($J$2:J782),$J$2:$J$1001,0),0), INDEX($Q$1004:$U$1004,1,MATCH(COLUMNS($Q$1006:S1006),$Q$1006:$U$1006,0)))),"Fix")))</f>
        <v xml:space="preserve"> </v>
      </c>
      <c r="E782" s="3" t="str">
        <f ca="1">IF(OR(INDEX($K$2:$K$1001,MATCH(ROWS($J$2:J782),$J$2:$J$1001,0),1)&gt;=100000,INDEX($Q$1005:$U$1005,1,MATCH(COLUMNS($Q$1006:T1006),$Q$1006:$U$1006,0))&gt;=100000), " ",IF(INDEX($Q$2:$U$1001,MATCH(ROWS($J$2:J782),$J$2:$J$1001,0),MATCH(COLUMNS($Q$1006:T1006),$Q$1006:$U$1006,0)), HYPERLINK("#",""), HYPERLINK(CONCATENATE("#metadata!", ADDRESS(INDEX($L$2:$L$1001,MATCH(ROWS($J$2:J782),$J$2:$J$1001,0),0), INDEX($Q$1004:$U$1004,1,MATCH(COLUMNS($Q$1006:T1006),$Q$1006:$U$1006,0)))),"Fix")))</f>
        <v xml:space="preserve"> </v>
      </c>
      <c r="F782" s="3" t="str">
        <f ca="1">IF(OR(INDEX($K$2:$K$1001,MATCH(ROWS($J$2:J782),$J$2:$J$1001,0),1)&gt;=100000,INDEX($Q$1005:$U$1005,1,MATCH(COLUMNS($Q$1006:U1006),$Q$1006:$U$1006,0))&gt;=100000), " ",IF(INDEX($Q$2:$U$1001,MATCH(ROWS($J$2:J782),$J$2:$J$1001,0),MATCH(COLUMNS($Q$1006:U1006),$Q$1006:$U$1006,0)), HYPERLINK("#",""), HYPERLINK(CONCATENATE("#metadata!", ADDRESS(INDEX($L$2:$L$1001,MATCH(ROWS($J$2:J782),$J$2:$J$1001,0),0), INDEX($Q$1004:$U$1004,1,MATCH(COLUMNS($Q$1006:U1006),$Q$1006:$U$1006,0)))),"Fix")))</f>
        <v xml:space="preserve"> </v>
      </c>
      <c r="J782">
        <v>781</v>
      </c>
      <c r="K782">
        <v>100782</v>
      </c>
      <c r="L782">
        <v>782</v>
      </c>
      <c r="M782" t="b">
        <f t="shared" si="12"/>
        <v>1</v>
      </c>
      <c r="N782" t="b">
        <f>COUNTBLANK(metadata!B782:F782)=COLUMNS(metadata!B782:F782)</f>
        <v>1</v>
      </c>
      <c r="O782" t="str">
        <v/>
      </c>
      <c r="Q782" t="b">
        <f ca="1">AND(IF(metadata!B782="",FALSE,TRUE),COUNTIF(metadata!B:B, metadata!B782) = 1,NOT(ISERROR(SUMPRODUCT(SEARCH(MID(metadata!B782,ROW(INDIRECT("1:"&amp;LEN(metadata!B782))), 1),"0123456789abcdefghijklmnopqrstuvwxyzABCDEFGHIJKLMNOPQRSTUVWXYZ.")))))</f>
        <v>0</v>
      </c>
      <c r="R782" t="b">
        <f>AND(IF(metadata!C782="",FALSE,TRUE),OR(EXACT(metadata!C782,"saline"),EXACT(metadata!C782,"non-saline")))</f>
        <v>0</v>
      </c>
      <c r="S782" t="b">
        <f>AND(IF(metadata!D782="",FALSE,TRUE),OR(EXACT(metadata!D782,"surface (non-saline)"),EXACT(metadata!D782,"aerosol (non-saline)"),EXACT(metadata!D782,"sediment (non-saline)"),EXACT(metadata!D782,"surface (saline)"),EXACT(metadata!D782,"aerosol (saline)"),EXACT(metadata!D782,"sediment (saline)")))</f>
        <v>0</v>
      </c>
      <c r="T782" t="b">
        <f>AND(IF(metadata!E782="",FALSE,TRUE),EXACT(metadata!E782,"built environment"))</f>
        <v>0</v>
      </c>
      <c r="U782" t="b">
        <f>OR(AND(IF(metadata!F782="",FALSE,TRUE),EXACT(metadata!F782,"not applicable")),AND(IF(metadata!F782="",FALSE,TRUE),EXACT(metadata!F782,"anaerobic digester content")))</f>
        <v>0</v>
      </c>
    </row>
    <row r="783" spans="1:21" x14ac:dyDescent="0.2">
      <c r="A783" s="4" t="str">
        <f ca="1">IF(B783=" "," ",HYPERLINK(CONCATENATE("#metadata!",ADDRESS(INDEX($L$2:$L$1001,MATCH(ROWS($J$2:J783),$J$2:$J$1001,0),0),1)),INDEX($O$2:$O$1001,MATCH(ROWS($J$2:J783),$J$2:$J$1001,0),0)))</f>
        <v xml:space="preserve"> </v>
      </c>
      <c r="B783" s="3" t="str">
        <f ca="1">IF(OR(INDEX($K$2:$K$1001,MATCH(ROWS($J$2:J783),$J$2:$J$1001,0),1)&gt;=100000,INDEX($Q$1005:$U$1005,1,MATCH(COLUMNS($Q$1006:Q1006),$Q$1006:$U$1006,0))&gt;=100000), " ",IF(INDEX($Q$2:$U$1001,MATCH(ROWS($J$2:J783),$J$2:$J$1001,0),MATCH(COLUMNS($Q$1006:Q1006),$Q$1006:$U$1006,0)), HYPERLINK("#",""), HYPERLINK(CONCATENATE("#metadata!", ADDRESS(INDEX($L$2:$L$1001,MATCH(ROWS($J$2:J783),$J$2:$J$1001,0),0), INDEX($Q$1004:$U$1004,1,MATCH(COLUMNS($Q$1006:Q1006),$Q$1006:$U$1006,0)))),"Fix")))</f>
        <v xml:space="preserve"> </v>
      </c>
      <c r="C783" s="3" t="str">
        <f ca="1">IF(OR(INDEX($K$2:$K$1001,MATCH(ROWS($J$2:J783),$J$2:$J$1001,0),1)&gt;=100000,INDEX($Q$1005:$U$1005,1,MATCH(COLUMNS($Q$1006:R1006),$Q$1006:$U$1006,0))&gt;=100000), " ",IF(INDEX($Q$2:$U$1001,MATCH(ROWS($J$2:J783),$J$2:$J$1001,0),MATCH(COLUMNS($Q$1006:R1006),$Q$1006:$U$1006,0)), HYPERLINK("#",""), HYPERLINK(CONCATENATE("#metadata!", ADDRESS(INDEX($L$2:$L$1001,MATCH(ROWS($J$2:J783),$J$2:$J$1001,0),0), INDEX($Q$1004:$U$1004,1,MATCH(COLUMNS($Q$1006:R1006),$Q$1006:$U$1006,0)))),"Fix")))</f>
        <v xml:space="preserve"> </v>
      </c>
      <c r="D783" s="3" t="str">
        <f ca="1">IF(OR(INDEX($K$2:$K$1001,MATCH(ROWS($J$2:J783),$J$2:$J$1001,0),1)&gt;=100000,INDEX($Q$1005:$U$1005,1,MATCH(COLUMNS($Q$1006:S1006),$Q$1006:$U$1006,0))&gt;=100000), " ",IF(INDEX($Q$2:$U$1001,MATCH(ROWS($J$2:J783),$J$2:$J$1001,0),MATCH(COLUMNS($Q$1006:S1006),$Q$1006:$U$1006,0)), HYPERLINK("#",""), HYPERLINK(CONCATENATE("#metadata!", ADDRESS(INDEX($L$2:$L$1001,MATCH(ROWS($J$2:J783),$J$2:$J$1001,0),0), INDEX($Q$1004:$U$1004,1,MATCH(COLUMNS($Q$1006:S1006),$Q$1006:$U$1006,0)))),"Fix")))</f>
        <v xml:space="preserve"> </v>
      </c>
      <c r="E783" s="3" t="str">
        <f ca="1">IF(OR(INDEX($K$2:$K$1001,MATCH(ROWS($J$2:J783),$J$2:$J$1001,0),1)&gt;=100000,INDEX($Q$1005:$U$1005,1,MATCH(COLUMNS($Q$1006:T1006),$Q$1006:$U$1006,0))&gt;=100000), " ",IF(INDEX($Q$2:$U$1001,MATCH(ROWS($J$2:J783),$J$2:$J$1001,0),MATCH(COLUMNS($Q$1006:T1006),$Q$1006:$U$1006,0)), HYPERLINK("#",""), HYPERLINK(CONCATENATE("#metadata!", ADDRESS(INDEX($L$2:$L$1001,MATCH(ROWS($J$2:J783),$J$2:$J$1001,0),0), INDEX($Q$1004:$U$1004,1,MATCH(COLUMNS($Q$1006:T1006),$Q$1006:$U$1006,0)))),"Fix")))</f>
        <v xml:space="preserve"> </v>
      </c>
      <c r="F783" s="3" t="str">
        <f ca="1">IF(OR(INDEX($K$2:$K$1001,MATCH(ROWS($J$2:J783),$J$2:$J$1001,0),1)&gt;=100000,INDEX($Q$1005:$U$1005,1,MATCH(COLUMNS($Q$1006:U1006),$Q$1006:$U$1006,0))&gt;=100000), " ",IF(INDEX($Q$2:$U$1001,MATCH(ROWS($J$2:J783),$J$2:$J$1001,0),MATCH(COLUMNS($Q$1006:U1006),$Q$1006:$U$1006,0)), HYPERLINK("#",""), HYPERLINK(CONCATENATE("#metadata!", ADDRESS(INDEX($L$2:$L$1001,MATCH(ROWS($J$2:J783),$J$2:$J$1001,0),0), INDEX($Q$1004:$U$1004,1,MATCH(COLUMNS($Q$1006:U1006),$Q$1006:$U$1006,0)))),"Fix")))</f>
        <v xml:space="preserve"> </v>
      </c>
      <c r="J783">
        <v>782</v>
      </c>
      <c r="K783">
        <v>100783</v>
      </c>
      <c r="L783">
        <v>783</v>
      </c>
      <c r="M783" t="b">
        <f t="shared" si="12"/>
        <v>1</v>
      </c>
      <c r="N783" t="b">
        <f>COUNTBLANK(metadata!B783:F783)=COLUMNS(metadata!B783:F783)</f>
        <v>1</v>
      </c>
      <c r="O783" t="str">
        <v/>
      </c>
      <c r="Q783" t="b">
        <f ca="1">AND(IF(metadata!B783="",FALSE,TRUE),COUNTIF(metadata!B:B, metadata!B783) = 1,NOT(ISERROR(SUMPRODUCT(SEARCH(MID(metadata!B783,ROW(INDIRECT("1:"&amp;LEN(metadata!B783))), 1),"0123456789abcdefghijklmnopqrstuvwxyzABCDEFGHIJKLMNOPQRSTUVWXYZ.")))))</f>
        <v>0</v>
      </c>
      <c r="R783" t="b">
        <f>AND(IF(metadata!C783="",FALSE,TRUE),OR(EXACT(metadata!C783,"saline"),EXACT(metadata!C783,"non-saline")))</f>
        <v>0</v>
      </c>
      <c r="S783" t="b">
        <f>AND(IF(metadata!D783="",FALSE,TRUE),OR(EXACT(metadata!D783,"surface (non-saline)"),EXACT(metadata!D783,"aerosol (non-saline)"),EXACT(metadata!D783,"sediment (non-saline)"),EXACT(metadata!D783,"surface (saline)"),EXACT(metadata!D783,"aerosol (saline)"),EXACT(metadata!D783,"sediment (saline)")))</f>
        <v>0</v>
      </c>
      <c r="T783" t="b">
        <f>AND(IF(metadata!E783="",FALSE,TRUE),EXACT(metadata!E783,"built environment"))</f>
        <v>0</v>
      </c>
      <c r="U783" t="b">
        <f>OR(AND(IF(metadata!F783="",FALSE,TRUE),EXACT(metadata!F783,"not applicable")),AND(IF(metadata!F783="",FALSE,TRUE),EXACT(metadata!F783,"anaerobic digester content")))</f>
        <v>0</v>
      </c>
    </row>
    <row r="784" spans="1:21" x14ac:dyDescent="0.2">
      <c r="A784" s="4" t="str">
        <f ca="1">IF(B784=" "," ",HYPERLINK(CONCATENATE("#metadata!",ADDRESS(INDEX($L$2:$L$1001,MATCH(ROWS($J$2:J784),$J$2:$J$1001,0),0),1)),INDEX($O$2:$O$1001,MATCH(ROWS($J$2:J784),$J$2:$J$1001,0),0)))</f>
        <v xml:space="preserve"> </v>
      </c>
      <c r="B784" s="3" t="str">
        <f ca="1">IF(OR(INDEX($K$2:$K$1001,MATCH(ROWS($J$2:J784),$J$2:$J$1001,0),1)&gt;=100000,INDEX($Q$1005:$U$1005,1,MATCH(COLUMNS($Q$1006:Q1006),$Q$1006:$U$1006,0))&gt;=100000), " ",IF(INDEX($Q$2:$U$1001,MATCH(ROWS($J$2:J784),$J$2:$J$1001,0),MATCH(COLUMNS($Q$1006:Q1006),$Q$1006:$U$1006,0)), HYPERLINK("#",""), HYPERLINK(CONCATENATE("#metadata!", ADDRESS(INDEX($L$2:$L$1001,MATCH(ROWS($J$2:J784),$J$2:$J$1001,0),0), INDEX($Q$1004:$U$1004,1,MATCH(COLUMNS($Q$1006:Q1006),$Q$1006:$U$1006,0)))),"Fix")))</f>
        <v xml:space="preserve"> </v>
      </c>
      <c r="C784" s="3" t="str">
        <f ca="1">IF(OR(INDEX($K$2:$K$1001,MATCH(ROWS($J$2:J784),$J$2:$J$1001,0),1)&gt;=100000,INDEX($Q$1005:$U$1005,1,MATCH(COLUMNS($Q$1006:R1006),$Q$1006:$U$1006,0))&gt;=100000), " ",IF(INDEX($Q$2:$U$1001,MATCH(ROWS($J$2:J784),$J$2:$J$1001,0),MATCH(COLUMNS($Q$1006:R1006),$Q$1006:$U$1006,0)), HYPERLINK("#",""), HYPERLINK(CONCATENATE("#metadata!", ADDRESS(INDEX($L$2:$L$1001,MATCH(ROWS($J$2:J784),$J$2:$J$1001,0),0), INDEX($Q$1004:$U$1004,1,MATCH(COLUMNS($Q$1006:R1006),$Q$1006:$U$1006,0)))),"Fix")))</f>
        <v xml:space="preserve"> </v>
      </c>
      <c r="D784" s="3" t="str">
        <f ca="1">IF(OR(INDEX($K$2:$K$1001,MATCH(ROWS($J$2:J784),$J$2:$J$1001,0),1)&gt;=100000,INDEX($Q$1005:$U$1005,1,MATCH(COLUMNS($Q$1006:S1006),$Q$1006:$U$1006,0))&gt;=100000), " ",IF(INDEX($Q$2:$U$1001,MATCH(ROWS($J$2:J784),$J$2:$J$1001,0),MATCH(COLUMNS($Q$1006:S1006),$Q$1006:$U$1006,0)), HYPERLINK("#",""), HYPERLINK(CONCATENATE("#metadata!", ADDRESS(INDEX($L$2:$L$1001,MATCH(ROWS($J$2:J784),$J$2:$J$1001,0),0), INDEX($Q$1004:$U$1004,1,MATCH(COLUMNS($Q$1006:S1006),$Q$1006:$U$1006,0)))),"Fix")))</f>
        <v xml:space="preserve"> </v>
      </c>
      <c r="E784" s="3" t="str">
        <f ca="1">IF(OR(INDEX($K$2:$K$1001,MATCH(ROWS($J$2:J784),$J$2:$J$1001,0),1)&gt;=100000,INDEX($Q$1005:$U$1005,1,MATCH(COLUMNS($Q$1006:T1006),$Q$1006:$U$1006,0))&gt;=100000), " ",IF(INDEX($Q$2:$U$1001,MATCH(ROWS($J$2:J784),$J$2:$J$1001,0),MATCH(COLUMNS($Q$1006:T1006),$Q$1006:$U$1006,0)), HYPERLINK("#",""), HYPERLINK(CONCATENATE("#metadata!", ADDRESS(INDEX($L$2:$L$1001,MATCH(ROWS($J$2:J784),$J$2:$J$1001,0),0), INDEX($Q$1004:$U$1004,1,MATCH(COLUMNS($Q$1006:T1006),$Q$1006:$U$1006,0)))),"Fix")))</f>
        <v xml:space="preserve"> </v>
      </c>
      <c r="F784" s="3" t="str">
        <f ca="1">IF(OR(INDEX($K$2:$K$1001,MATCH(ROWS($J$2:J784),$J$2:$J$1001,0),1)&gt;=100000,INDEX($Q$1005:$U$1005,1,MATCH(COLUMNS($Q$1006:U1006),$Q$1006:$U$1006,0))&gt;=100000), " ",IF(INDEX($Q$2:$U$1001,MATCH(ROWS($J$2:J784),$J$2:$J$1001,0),MATCH(COLUMNS($Q$1006:U1006),$Q$1006:$U$1006,0)), HYPERLINK("#",""), HYPERLINK(CONCATENATE("#metadata!", ADDRESS(INDEX($L$2:$L$1001,MATCH(ROWS($J$2:J784),$J$2:$J$1001,0),0), INDEX($Q$1004:$U$1004,1,MATCH(COLUMNS($Q$1006:U1006),$Q$1006:$U$1006,0)))),"Fix")))</f>
        <v xml:space="preserve"> </v>
      </c>
      <c r="J784">
        <v>783</v>
      </c>
      <c r="K784">
        <v>100784</v>
      </c>
      <c r="L784">
        <v>784</v>
      </c>
      <c r="M784" t="b">
        <f t="shared" si="12"/>
        <v>1</v>
      </c>
      <c r="N784" t="b">
        <f>COUNTBLANK(metadata!B784:F784)=COLUMNS(metadata!B784:F784)</f>
        <v>1</v>
      </c>
      <c r="O784" t="str">
        <v/>
      </c>
      <c r="Q784" t="b">
        <f ca="1">AND(IF(metadata!B784="",FALSE,TRUE),COUNTIF(metadata!B:B, metadata!B784) = 1,NOT(ISERROR(SUMPRODUCT(SEARCH(MID(metadata!B784,ROW(INDIRECT("1:"&amp;LEN(metadata!B784))), 1),"0123456789abcdefghijklmnopqrstuvwxyzABCDEFGHIJKLMNOPQRSTUVWXYZ.")))))</f>
        <v>0</v>
      </c>
      <c r="R784" t="b">
        <f>AND(IF(metadata!C784="",FALSE,TRUE),OR(EXACT(metadata!C784,"saline"),EXACT(metadata!C784,"non-saline")))</f>
        <v>0</v>
      </c>
      <c r="S784" t="b">
        <f>AND(IF(metadata!D784="",FALSE,TRUE),OR(EXACT(metadata!D784,"surface (non-saline)"),EXACT(metadata!D784,"aerosol (non-saline)"),EXACT(metadata!D784,"sediment (non-saline)"),EXACT(metadata!D784,"surface (saline)"),EXACT(metadata!D784,"aerosol (saline)"),EXACT(metadata!D784,"sediment (saline)")))</f>
        <v>0</v>
      </c>
      <c r="T784" t="b">
        <f>AND(IF(metadata!E784="",FALSE,TRUE),EXACT(metadata!E784,"built environment"))</f>
        <v>0</v>
      </c>
      <c r="U784" t="b">
        <f>OR(AND(IF(metadata!F784="",FALSE,TRUE),EXACT(metadata!F784,"not applicable")),AND(IF(metadata!F784="",FALSE,TRUE),EXACT(metadata!F784,"anaerobic digester content")))</f>
        <v>0</v>
      </c>
    </row>
    <row r="785" spans="1:21" x14ac:dyDescent="0.2">
      <c r="A785" s="4" t="str">
        <f ca="1">IF(B785=" "," ",HYPERLINK(CONCATENATE("#metadata!",ADDRESS(INDEX($L$2:$L$1001,MATCH(ROWS($J$2:J785),$J$2:$J$1001,0),0),1)),INDEX($O$2:$O$1001,MATCH(ROWS($J$2:J785),$J$2:$J$1001,0),0)))</f>
        <v xml:space="preserve"> </v>
      </c>
      <c r="B785" s="3" t="str">
        <f ca="1">IF(OR(INDEX($K$2:$K$1001,MATCH(ROWS($J$2:J785),$J$2:$J$1001,0),1)&gt;=100000,INDEX($Q$1005:$U$1005,1,MATCH(COLUMNS($Q$1006:Q1006),$Q$1006:$U$1006,0))&gt;=100000), " ",IF(INDEX($Q$2:$U$1001,MATCH(ROWS($J$2:J785),$J$2:$J$1001,0),MATCH(COLUMNS($Q$1006:Q1006),$Q$1006:$U$1006,0)), HYPERLINK("#",""), HYPERLINK(CONCATENATE("#metadata!", ADDRESS(INDEX($L$2:$L$1001,MATCH(ROWS($J$2:J785),$J$2:$J$1001,0),0), INDEX($Q$1004:$U$1004,1,MATCH(COLUMNS($Q$1006:Q1006),$Q$1006:$U$1006,0)))),"Fix")))</f>
        <v xml:space="preserve"> </v>
      </c>
      <c r="C785" s="3" t="str">
        <f ca="1">IF(OR(INDEX($K$2:$K$1001,MATCH(ROWS($J$2:J785),$J$2:$J$1001,0),1)&gt;=100000,INDEX($Q$1005:$U$1005,1,MATCH(COLUMNS($Q$1006:R1006),$Q$1006:$U$1006,0))&gt;=100000), " ",IF(INDEX($Q$2:$U$1001,MATCH(ROWS($J$2:J785),$J$2:$J$1001,0),MATCH(COLUMNS($Q$1006:R1006),$Q$1006:$U$1006,0)), HYPERLINK("#",""), HYPERLINK(CONCATENATE("#metadata!", ADDRESS(INDEX($L$2:$L$1001,MATCH(ROWS($J$2:J785),$J$2:$J$1001,0),0), INDEX($Q$1004:$U$1004,1,MATCH(COLUMNS($Q$1006:R1006),$Q$1006:$U$1006,0)))),"Fix")))</f>
        <v xml:space="preserve"> </v>
      </c>
      <c r="D785" s="3" t="str">
        <f ca="1">IF(OR(INDEX($K$2:$K$1001,MATCH(ROWS($J$2:J785),$J$2:$J$1001,0),1)&gt;=100000,INDEX($Q$1005:$U$1005,1,MATCH(COLUMNS($Q$1006:S1006),$Q$1006:$U$1006,0))&gt;=100000), " ",IF(INDEX($Q$2:$U$1001,MATCH(ROWS($J$2:J785),$J$2:$J$1001,0),MATCH(COLUMNS($Q$1006:S1006),$Q$1006:$U$1006,0)), HYPERLINK("#",""), HYPERLINK(CONCATENATE("#metadata!", ADDRESS(INDEX($L$2:$L$1001,MATCH(ROWS($J$2:J785),$J$2:$J$1001,0),0), INDEX($Q$1004:$U$1004,1,MATCH(COLUMNS($Q$1006:S1006),$Q$1006:$U$1006,0)))),"Fix")))</f>
        <v xml:space="preserve"> </v>
      </c>
      <c r="E785" s="3" t="str">
        <f ca="1">IF(OR(INDEX($K$2:$K$1001,MATCH(ROWS($J$2:J785),$J$2:$J$1001,0),1)&gt;=100000,INDEX($Q$1005:$U$1005,1,MATCH(COLUMNS($Q$1006:T1006),$Q$1006:$U$1006,0))&gt;=100000), " ",IF(INDEX($Q$2:$U$1001,MATCH(ROWS($J$2:J785),$J$2:$J$1001,0),MATCH(COLUMNS($Q$1006:T1006),$Q$1006:$U$1006,0)), HYPERLINK("#",""), HYPERLINK(CONCATENATE("#metadata!", ADDRESS(INDEX($L$2:$L$1001,MATCH(ROWS($J$2:J785),$J$2:$J$1001,0),0), INDEX($Q$1004:$U$1004,1,MATCH(COLUMNS($Q$1006:T1006),$Q$1006:$U$1006,0)))),"Fix")))</f>
        <v xml:space="preserve"> </v>
      </c>
      <c r="F785" s="3" t="str">
        <f ca="1">IF(OR(INDEX($K$2:$K$1001,MATCH(ROWS($J$2:J785),$J$2:$J$1001,0),1)&gt;=100000,INDEX($Q$1005:$U$1005,1,MATCH(COLUMNS($Q$1006:U1006),$Q$1006:$U$1006,0))&gt;=100000), " ",IF(INDEX($Q$2:$U$1001,MATCH(ROWS($J$2:J785),$J$2:$J$1001,0),MATCH(COLUMNS($Q$1006:U1006),$Q$1006:$U$1006,0)), HYPERLINK("#",""), HYPERLINK(CONCATENATE("#metadata!", ADDRESS(INDEX($L$2:$L$1001,MATCH(ROWS($J$2:J785),$J$2:$J$1001,0),0), INDEX($Q$1004:$U$1004,1,MATCH(COLUMNS($Q$1006:U1006),$Q$1006:$U$1006,0)))),"Fix")))</f>
        <v xml:space="preserve"> </v>
      </c>
      <c r="J785">
        <v>784</v>
      </c>
      <c r="K785">
        <v>100785</v>
      </c>
      <c r="L785">
        <v>785</v>
      </c>
      <c r="M785" t="b">
        <f t="shared" si="12"/>
        <v>1</v>
      </c>
      <c r="N785" t="b">
        <f>COUNTBLANK(metadata!B785:F785)=COLUMNS(metadata!B785:F785)</f>
        <v>1</v>
      </c>
      <c r="O785" t="str">
        <v/>
      </c>
      <c r="Q785" t="b">
        <f ca="1">AND(IF(metadata!B785="",FALSE,TRUE),COUNTIF(metadata!B:B, metadata!B785) = 1,NOT(ISERROR(SUMPRODUCT(SEARCH(MID(metadata!B785,ROW(INDIRECT("1:"&amp;LEN(metadata!B785))), 1),"0123456789abcdefghijklmnopqrstuvwxyzABCDEFGHIJKLMNOPQRSTUVWXYZ.")))))</f>
        <v>0</v>
      </c>
      <c r="R785" t="b">
        <f>AND(IF(metadata!C785="",FALSE,TRUE),OR(EXACT(metadata!C785,"saline"),EXACT(metadata!C785,"non-saline")))</f>
        <v>0</v>
      </c>
      <c r="S785" t="b">
        <f>AND(IF(metadata!D785="",FALSE,TRUE),OR(EXACT(metadata!D785,"surface (non-saline)"),EXACT(metadata!D785,"aerosol (non-saline)"),EXACT(metadata!D785,"sediment (non-saline)"),EXACT(metadata!D785,"surface (saline)"),EXACT(metadata!D785,"aerosol (saline)"),EXACT(metadata!D785,"sediment (saline)")))</f>
        <v>0</v>
      </c>
      <c r="T785" t="b">
        <f>AND(IF(metadata!E785="",FALSE,TRUE),EXACT(metadata!E785,"built environment"))</f>
        <v>0</v>
      </c>
      <c r="U785" t="b">
        <f>OR(AND(IF(metadata!F785="",FALSE,TRUE),EXACT(metadata!F785,"not applicable")),AND(IF(metadata!F785="",FALSE,TRUE),EXACT(metadata!F785,"anaerobic digester content")))</f>
        <v>0</v>
      </c>
    </row>
    <row r="786" spans="1:21" x14ac:dyDescent="0.2">
      <c r="A786" s="4" t="str">
        <f ca="1">IF(B786=" "," ",HYPERLINK(CONCATENATE("#metadata!",ADDRESS(INDEX($L$2:$L$1001,MATCH(ROWS($J$2:J786),$J$2:$J$1001,0),0),1)),INDEX($O$2:$O$1001,MATCH(ROWS($J$2:J786),$J$2:$J$1001,0),0)))</f>
        <v xml:space="preserve"> </v>
      </c>
      <c r="B786" s="3" t="str">
        <f ca="1">IF(OR(INDEX($K$2:$K$1001,MATCH(ROWS($J$2:J786),$J$2:$J$1001,0),1)&gt;=100000,INDEX($Q$1005:$U$1005,1,MATCH(COLUMNS($Q$1006:Q1006),$Q$1006:$U$1006,0))&gt;=100000), " ",IF(INDEX($Q$2:$U$1001,MATCH(ROWS($J$2:J786),$J$2:$J$1001,0),MATCH(COLUMNS($Q$1006:Q1006),$Q$1006:$U$1006,0)), HYPERLINK("#",""), HYPERLINK(CONCATENATE("#metadata!", ADDRESS(INDEX($L$2:$L$1001,MATCH(ROWS($J$2:J786),$J$2:$J$1001,0),0), INDEX($Q$1004:$U$1004,1,MATCH(COLUMNS($Q$1006:Q1006),$Q$1006:$U$1006,0)))),"Fix")))</f>
        <v xml:space="preserve"> </v>
      </c>
      <c r="C786" s="3" t="str">
        <f ca="1">IF(OR(INDEX($K$2:$K$1001,MATCH(ROWS($J$2:J786),$J$2:$J$1001,0),1)&gt;=100000,INDEX($Q$1005:$U$1005,1,MATCH(COLUMNS($Q$1006:R1006),$Q$1006:$U$1006,0))&gt;=100000), " ",IF(INDEX($Q$2:$U$1001,MATCH(ROWS($J$2:J786),$J$2:$J$1001,0),MATCH(COLUMNS($Q$1006:R1006),$Q$1006:$U$1006,0)), HYPERLINK("#",""), HYPERLINK(CONCATENATE("#metadata!", ADDRESS(INDEX($L$2:$L$1001,MATCH(ROWS($J$2:J786),$J$2:$J$1001,0),0), INDEX($Q$1004:$U$1004,1,MATCH(COLUMNS($Q$1006:R1006),$Q$1006:$U$1006,0)))),"Fix")))</f>
        <v xml:space="preserve"> </v>
      </c>
      <c r="D786" s="3" t="str">
        <f ca="1">IF(OR(INDEX($K$2:$K$1001,MATCH(ROWS($J$2:J786),$J$2:$J$1001,0),1)&gt;=100000,INDEX($Q$1005:$U$1005,1,MATCH(COLUMNS($Q$1006:S1006),$Q$1006:$U$1006,0))&gt;=100000), " ",IF(INDEX($Q$2:$U$1001,MATCH(ROWS($J$2:J786),$J$2:$J$1001,0),MATCH(COLUMNS($Q$1006:S1006),$Q$1006:$U$1006,0)), HYPERLINK("#",""), HYPERLINK(CONCATENATE("#metadata!", ADDRESS(INDEX($L$2:$L$1001,MATCH(ROWS($J$2:J786),$J$2:$J$1001,0),0), INDEX($Q$1004:$U$1004,1,MATCH(COLUMNS($Q$1006:S1006),$Q$1006:$U$1006,0)))),"Fix")))</f>
        <v xml:space="preserve"> </v>
      </c>
      <c r="E786" s="3" t="str">
        <f ca="1">IF(OR(INDEX($K$2:$K$1001,MATCH(ROWS($J$2:J786),$J$2:$J$1001,0),1)&gt;=100000,INDEX($Q$1005:$U$1005,1,MATCH(COLUMNS($Q$1006:T1006),$Q$1006:$U$1006,0))&gt;=100000), " ",IF(INDEX($Q$2:$U$1001,MATCH(ROWS($J$2:J786),$J$2:$J$1001,0),MATCH(COLUMNS($Q$1006:T1006),$Q$1006:$U$1006,0)), HYPERLINK("#",""), HYPERLINK(CONCATENATE("#metadata!", ADDRESS(INDEX($L$2:$L$1001,MATCH(ROWS($J$2:J786),$J$2:$J$1001,0),0), INDEX($Q$1004:$U$1004,1,MATCH(COLUMNS($Q$1006:T1006),$Q$1006:$U$1006,0)))),"Fix")))</f>
        <v xml:space="preserve"> </v>
      </c>
      <c r="F786" s="3" t="str">
        <f ca="1">IF(OR(INDEX($K$2:$K$1001,MATCH(ROWS($J$2:J786),$J$2:$J$1001,0),1)&gt;=100000,INDEX($Q$1005:$U$1005,1,MATCH(COLUMNS($Q$1006:U1006),$Q$1006:$U$1006,0))&gt;=100000), " ",IF(INDEX($Q$2:$U$1001,MATCH(ROWS($J$2:J786),$J$2:$J$1001,0),MATCH(COLUMNS($Q$1006:U1006),$Q$1006:$U$1006,0)), HYPERLINK("#",""), HYPERLINK(CONCATENATE("#metadata!", ADDRESS(INDEX($L$2:$L$1001,MATCH(ROWS($J$2:J786),$J$2:$J$1001,0),0), INDEX($Q$1004:$U$1004,1,MATCH(COLUMNS($Q$1006:U1006),$Q$1006:$U$1006,0)))),"Fix")))</f>
        <v xml:space="preserve"> </v>
      </c>
      <c r="J786">
        <v>785</v>
      </c>
      <c r="K786">
        <v>100786</v>
      </c>
      <c r="L786">
        <v>786</v>
      </c>
      <c r="M786" t="b">
        <f t="shared" si="12"/>
        <v>1</v>
      </c>
      <c r="N786" t="b">
        <f>COUNTBLANK(metadata!B786:F786)=COLUMNS(metadata!B786:F786)</f>
        <v>1</v>
      </c>
      <c r="O786" t="str">
        <v/>
      </c>
      <c r="Q786" t="b">
        <f ca="1">AND(IF(metadata!B786="",FALSE,TRUE),COUNTIF(metadata!B:B, metadata!B786) = 1,NOT(ISERROR(SUMPRODUCT(SEARCH(MID(metadata!B786,ROW(INDIRECT("1:"&amp;LEN(metadata!B786))), 1),"0123456789abcdefghijklmnopqrstuvwxyzABCDEFGHIJKLMNOPQRSTUVWXYZ.")))))</f>
        <v>0</v>
      </c>
      <c r="R786" t="b">
        <f>AND(IF(metadata!C786="",FALSE,TRUE),OR(EXACT(metadata!C786,"saline"),EXACT(metadata!C786,"non-saline")))</f>
        <v>0</v>
      </c>
      <c r="S786" t="b">
        <f>AND(IF(metadata!D786="",FALSE,TRUE),OR(EXACT(metadata!D786,"surface (non-saline)"),EXACT(metadata!D786,"aerosol (non-saline)"),EXACT(metadata!D786,"sediment (non-saline)"),EXACT(metadata!D786,"surface (saline)"),EXACT(metadata!D786,"aerosol (saline)"),EXACT(metadata!D786,"sediment (saline)")))</f>
        <v>0</v>
      </c>
      <c r="T786" t="b">
        <f>AND(IF(metadata!E786="",FALSE,TRUE),EXACT(metadata!E786,"built environment"))</f>
        <v>0</v>
      </c>
      <c r="U786" t="b">
        <f>OR(AND(IF(metadata!F786="",FALSE,TRUE),EXACT(metadata!F786,"not applicable")),AND(IF(metadata!F786="",FALSE,TRUE),EXACT(metadata!F786,"anaerobic digester content")))</f>
        <v>0</v>
      </c>
    </row>
    <row r="787" spans="1:21" x14ac:dyDescent="0.2">
      <c r="A787" s="4" t="str">
        <f ca="1">IF(B787=" "," ",HYPERLINK(CONCATENATE("#metadata!",ADDRESS(INDEX($L$2:$L$1001,MATCH(ROWS($J$2:J787),$J$2:$J$1001,0),0),1)),INDEX($O$2:$O$1001,MATCH(ROWS($J$2:J787),$J$2:$J$1001,0),0)))</f>
        <v xml:space="preserve"> </v>
      </c>
      <c r="B787" s="3" t="str">
        <f ca="1">IF(OR(INDEX($K$2:$K$1001,MATCH(ROWS($J$2:J787),$J$2:$J$1001,0),1)&gt;=100000,INDEX($Q$1005:$U$1005,1,MATCH(COLUMNS($Q$1006:Q1006),$Q$1006:$U$1006,0))&gt;=100000), " ",IF(INDEX($Q$2:$U$1001,MATCH(ROWS($J$2:J787),$J$2:$J$1001,0),MATCH(COLUMNS($Q$1006:Q1006),$Q$1006:$U$1006,0)), HYPERLINK("#",""), HYPERLINK(CONCATENATE("#metadata!", ADDRESS(INDEX($L$2:$L$1001,MATCH(ROWS($J$2:J787),$J$2:$J$1001,0),0), INDEX($Q$1004:$U$1004,1,MATCH(COLUMNS($Q$1006:Q1006),$Q$1006:$U$1006,0)))),"Fix")))</f>
        <v xml:space="preserve"> </v>
      </c>
      <c r="C787" s="3" t="str">
        <f ca="1">IF(OR(INDEX($K$2:$K$1001,MATCH(ROWS($J$2:J787),$J$2:$J$1001,0),1)&gt;=100000,INDEX($Q$1005:$U$1005,1,MATCH(COLUMNS($Q$1006:R1006),$Q$1006:$U$1006,0))&gt;=100000), " ",IF(INDEX($Q$2:$U$1001,MATCH(ROWS($J$2:J787),$J$2:$J$1001,0),MATCH(COLUMNS($Q$1006:R1006),$Q$1006:$U$1006,0)), HYPERLINK("#",""), HYPERLINK(CONCATENATE("#metadata!", ADDRESS(INDEX($L$2:$L$1001,MATCH(ROWS($J$2:J787),$J$2:$J$1001,0),0), INDEX($Q$1004:$U$1004,1,MATCH(COLUMNS($Q$1006:R1006),$Q$1006:$U$1006,0)))),"Fix")))</f>
        <v xml:space="preserve"> </v>
      </c>
      <c r="D787" s="3" t="str">
        <f ca="1">IF(OR(INDEX($K$2:$K$1001,MATCH(ROWS($J$2:J787),$J$2:$J$1001,0),1)&gt;=100000,INDEX($Q$1005:$U$1005,1,MATCH(COLUMNS($Q$1006:S1006),$Q$1006:$U$1006,0))&gt;=100000), " ",IF(INDEX($Q$2:$U$1001,MATCH(ROWS($J$2:J787),$J$2:$J$1001,0),MATCH(COLUMNS($Q$1006:S1006),$Q$1006:$U$1006,0)), HYPERLINK("#",""), HYPERLINK(CONCATENATE("#metadata!", ADDRESS(INDEX($L$2:$L$1001,MATCH(ROWS($J$2:J787),$J$2:$J$1001,0),0), INDEX($Q$1004:$U$1004,1,MATCH(COLUMNS($Q$1006:S1006),$Q$1006:$U$1006,0)))),"Fix")))</f>
        <v xml:space="preserve"> </v>
      </c>
      <c r="E787" s="3" t="str">
        <f ca="1">IF(OR(INDEX($K$2:$K$1001,MATCH(ROWS($J$2:J787),$J$2:$J$1001,0),1)&gt;=100000,INDEX($Q$1005:$U$1005,1,MATCH(COLUMNS($Q$1006:T1006),$Q$1006:$U$1006,0))&gt;=100000), " ",IF(INDEX($Q$2:$U$1001,MATCH(ROWS($J$2:J787),$J$2:$J$1001,0),MATCH(COLUMNS($Q$1006:T1006),$Q$1006:$U$1006,0)), HYPERLINK("#",""), HYPERLINK(CONCATENATE("#metadata!", ADDRESS(INDEX($L$2:$L$1001,MATCH(ROWS($J$2:J787),$J$2:$J$1001,0),0), INDEX($Q$1004:$U$1004,1,MATCH(COLUMNS($Q$1006:T1006),$Q$1006:$U$1006,0)))),"Fix")))</f>
        <v xml:space="preserve"> </v>
      </c>
      <c r="F787" s="3" t="str">
        <f ca="1">IF(OR(INDEX($K$2:$K$1001,MATCH(ROWS($J$2:J787),$J$2:$J$1001,0),1)&gt;=100000,INDEX($Q$1005:$U$1005,1,MATCH(COLUMNS($Q$1006:U1006),$Q$1006:$U$1006,0))&gt;=100000), " ",IF(INDEX($Q$2:$U$1001,MATCH(ROWS($J$2:J787),$J$2:$J$1001,0),MATCH(COLUMNS($Q$1006:U1006),$Q$1006:$U$1006,0)), HYPERLINK("#",""), HYPERLINK(CONCATENATE("#metadata!", ADDRESS(INDEX($L$2:$L$1001,MATCH(ROWS($J$2:J787),$J$2:$J$1001,0),0), INDEX($Q$1004:$U$1004,1,MATCH(COLUMNS($Q$1006:U1006),$Q$1006:$U$1006,0)))),"Fix")))</f>
        <v xml:space="preserve"> </v>
      </c>
      <c r="J787">
        <v>786</v>
      </c>
      <c r="K787">
        <v>100787</v>
      </c>
      <c r="L787">
        <v>787</v>
      </c>
      <c r="M787" t="b">
        <f t="shared" si="12"/>
        <v>1</v>
      </c>
      <c r="N787" t="b">
        <f>COUNTBLANK(metadata!B787:F787)=COLUMNS(metadata!B787:F787)</f>
        <v>1</v>
      </c>
      <c r="O787" t="str">
        <v/>
      </c>
      <c r="Q787" t="b">
        <f ca="1">AND(IF(metadata!B787="",FALSE,TRUE),COUNTIF(metadata!B:B, metadata!B787) = 1,NOT(ISERROR(SUMPRODUCT(SEARCH(MID(metadata!B787,ROW(INDIRECT("1:"&amp;LEN(metadata!B787))), 1),"0123456789abcdefghijklmnopqrstuvwxyzABCDEFGHIJKLMNOPQRSTUVWXYZ.")))))</f>
        <v>0</v>
      </c>
      <c r="R787" t="b">
        <f>AND(IF(metadata!C787="",FALSE,TRUE),OR(EXACT(metadata!C787,"saline"),EXACT(metadata!C787,"non-saline")))</f>
        <v>0</v>
      </c>
      <c r="S787" t="b">
        <f>AND(IF(metadata!D787="",FALSE,TRUE),OR(EXACT(metadata!D787,"surface (non-saline)"),EXACT(metadata!D787,"aerosol (non-saline)"),EXACT(metadata!D787,"sediment (non-saline)"),EXACT(metadata!D787,"surface (saline)"),EXACT(metadata!D787,"aerosol (saline)"),EXACT(metadata!D787,"sediment (saline)")))</f>
        <v>0</v>
      </c>
      <c r="T787" t="b">
        <f>AND(IF(metadata!E787="",FALSE,TRUE),EXACT(metadata!E787,"built environment"))</f>
        <v>0</v>
      </c>
      <c r="U787" t="b">
        <f>OR(AND(IF(metadata!F787="",FALSE,TRUE),EXACT(metadata!F787,"not applicable")),AND(IF(metadata!F787="",FALSE,TRUE),EXACT(metadata!F787,"anaerobic digester content")))</f>
        <v>0</v>
      </c>
    </row>
    <row r="788" spans="1:21" x14ac:dyDescent="0.2">
      <c r="A788" s="4" t="str">
        <f ca="1">IF(B788=" "," ",HYPERLINK(CONCATENATE("#metadata!",ADDRESS(INDEX($L$2:$L$1001,MATCH(ROWS($J$2:J788),$J$2:$J$1001,0),0),1)),INDEX($O$2:$O$1001,MATCH(ROWS($J$2:J788),$J$2:$J$1001,0),0)))</f>
        <v xml:space="preserve"> </v>
      </c>
      <c r="B788" s="3" t="str">
        <f ca="1">IF(OR(INDEX($K$2:$K$1001,MATCH(ROWS($J$2:J788),$J$2:$J$1001,0),1)&gt;=100000,INDEX($Q$1005:$U$1005,1,MATCH(COLUMNS($Q$1006:Q1006),$Q$1006:$U$1006,0))&gt;=100000), " ",IF(INDEX($Q$2:$U$1001,MATCH(ROWS($J$2:J788),$J$2:$J$1001,0),MATCH(COLUMNS($Q$1006:Q1006),$Q$1006:$U$1006,0)), HYPERLINK("#",""), HYPERLINK(CONCATENATE("#metadata!", ADDRESS(INDEX($L$2:$L$1001,MATCH(ROWS($J$2:J788),$J$2:$J$1001,0),0), INDEX($Q$1004:$U$1004,1,MATCH(COLUMNS($Q$1006:Q1006),$Q$1006:$U$1006,0)))),"Fix")))</f>
        <v xml:space="preserve"> </v>
      </c>
      <c r="C788" s="3" t="str">
        <f ca="1">IF(OR(INDEX($K$2:$K$1001,MATCH(ROWS($J$2:J788),$J$2:$J$1001,0),1)&gt;=100000,INDEX($Q$1005:$U$1005,1,MATCH(COLUMNS($Q$1006:R1006),$Q$1006:$U$1006,0))&gt;=100000), " ",IF(INDEX($Q$2:$U$1001,MATCH(ROWS($J$2:J788),$J$2:$J$1001,0),MATCH(COLUMNS($Q$1006:R1006),$Q$1006:$U$1006,0)), HYPERLINK("#",""), HYPERLINK(CONCATENATE("#metadata!", ADDRESS(INDEX($L$2:$L$1001,MATCH(ROWS($J$2:J788),$J$2:$J$1001,0),0), INDEX($Q$1004:$U$1004,1,MATCH(COLUMNS($Q$1006:R1006),$Q$1006:$U$1006,0)))),"Fix")))</f>
        <v xml:space="preserve"> </v>
      </c>
      <c r="D788" s="3" t="str">
        <f ca="1">IF(OR(INDEX($K$2:$K$1001,MATCH(ROWS($J$2:J788),$J$2:$J$1001,0),1)&gt;=100000,INDEX($Q$1005:$U$1005,1,MATCH(COLUMNS($Q$1006:S1006),$Q$1006:$U$1006,0))&gt;=100000), " ",IF(INDEX($Q$2:$U$1001,MATCH(ROWS($J$2:J788),$J$2:$J$1001,0),MATCH(COLUMNS($Q$1006:S1006),$Q$1006:$U$1006,0)), HYPERLINK("#",""), HYPERLINK(CONCATENATE("#metadata!", ADDRESS(INDEX($L$2:$L$1001,MATCH(ROWS($J$2:J788),$J$2:$J$1001,0),0), INDEX($Q$1004:$U$1004,1,MATCH(COLUMNS($Q$1006:S1006),$Q$1006:$U$1006,0)))),"Fix")))</f>
        <v xml:space="preserve"> </v>
      </c>
      <c r="E788" s="3" t="str">
        <f ca="1">IF(OR(INDEX($K$2:$K$1001,MATCH(ROWS($J$2:J788),$J$2:$J$1001,0),1)&gt;=100000,INDEX($Q$1005:$U$1005,1,MATCH(COLUMNS($Q$1006:T1006),$Q$1006:$U$1006,0))&gt;=100000), " ",IF(INDEX($Q$2:$U$1001,MATCH(ROWS($J$2:J788),$J$2:$J$1001,0),MATCH(COLUMNS($Q$1006:T1006),$Q$1006:$U$1006,0)), HYPERLINK("#",""), HYPERLINK(CONCATENATE("#metadata!", ADDRESS(INDEX($L$2:$L$1001,MATCH(ROWS($J$2:J788),$J$2:$J$1001,0),0), INDEX($Q$1004:$U$1004,1,MATCH(COLUMNS($Q$1006:T1006),$Q$1006:$U$1006,0)))),"Fix")))</f>
        <v xml:space="preserve"> </v>
      </c>
      <c r="F788" s="3" t="str">
        <f ca="1">IF(OR(INDEX($K$2:$K$1001,MATCH(ROWS($J$2:J788),$J$2:$J$1001,0),1)&gt;=100000,INDEX($Q$1005:$U$1005,1,MATCH(COLUMNS($Q$1006:U1006),$Q$1006:$U$1006,0))&gt;=100000), " ",IF(INDEX($Q$2:$U$1001,MATCH(ROWS($J$2:J788),$J$2:$J$1001,0),MATCH(COLUMNS($Q$1006:U1006),$Q$1006:$U$1006,0)), HYPERLINK("#",""), HYPERLINK(CONCATENATE("#metadata!", ADDRESS(INDEX($L$2:$L$1001,MATCH(ROWS($J$2:J788),$J$2:$J$1001,0),0), INDEX($Q$1004:$U$1004,1,MATCH(COLUMNS($Q$1006:U1006),$Q$1006:$U$1006,0)))),"Fix")))</f>
        <v xml:space="preserve"> </v>
      </c>
      <c r="J788">
        <v>787</v>
      </c>
      <c r="K788">
        <v>100788</v>
      </c>
      <c r="L788">
        <v>788</v>
      </c>
      <c r="M788" t="b">
        <f t="shared" si="12"/>
        <v>1</v>
      </c>
      <c r="N788" t="b">
        <f>COUNTBLANK(metadata!B788:F788)=COLUMNS(metadata!B788:F788)</f>
        <v>1</v>
      </c>
      <c r="O788" t="str">
        <v/>
      </c>
      <c r="Q788" t="b">
        <f ca="1">AND(IF(metadata!B788="",FALSE,TRUE),COUNTIF(metadata!B:B, metadata!B788) = 1,NOT(ISERROR(SUMPRODUCT(SEARCH(MID(metadata!B788,ROW(INDIRECT("1:"&amp;LEN(metadata!B788))), 1),"0123456789abcdefghijklmnopqrstuvwxyzABCDEFGHIJKLMNOPQRSTUVWXYZ.")))))</f>
        <v>0</v>
      </c>
      <c r="R788" t="b">
        <f>AND(IF(metadata!C788="",FALSE,TRUE),OR(EXACT(metadata!C788,"saline"),EXACT(metadata!C788,"non-saline")))</f>
        <v>0</v>
      </c>
      <c r="S788" t="b">
        <f>AND(IF(metadata!D788="",FALSE,TRUE),OR(EXACT(metadata!D788,"surface (non-saline)"),EXACT(metadata!D788,"aerosol (non-saline)"),EXACT(metadata!D788,"sediment (non-saline)"),EXACT(metadata!D788,"surface (saline)"),EXACT(metadata!D788,"aerosol (saline)"),EXACT(metadata!D788,"sediment (saline)")))</f>
        <v>0</v>
      </c>
      <c r="T788" t="b">
        <f>AND(IF(metadata!E788="",FALSE,TRUE),EXACT(metadata!E788,"built environment"))</f>
        <v>0</v>
      </c>
      <c r="U788" t="b">
        <f>OR(AND(IF(metadata!F788="",FALSE,TRUE),EXACT(metadata!F788,"not applicable")),AND(IF(metadata!F788="",FALSE,TRUE),EXACT(metadata!F788,"anaerobic digester content")))</f>
        <v>0</v>
      </c>
    </row>
    <row r="789" spans="1:21" x14ac:dyDescent="0.2">
      <c r="A789" s="4" t="str">
        <f ca="1">IF(B789=" "," ",HYPERLINK(CONCATENATE("#metadata!",ADDRESS(INDEX($L$2:$L$1001,MATCH(ROWS($J$2:J789),$J$2:$J$1001,0),0),1)),INDEX($O$2:$O$1001,MATCH(ROWS($J$2:J789),$J$2:$J$1001,0),0)))</f>
        <v xml:space="preserve"> </v>
      </c>
      <c r="B789" s="3" t="str">
        <f ca="1">IF(OR(INDEX($K$2:$K$1001,MATCH(ROWS($J$2:J789),$J$2:$J$1001,0),1)&gt;=100000,INDEX($Q$1005:$U$1005,1,MATCH(COLUMNS($Q$1006:Q1006),$Q$1006:$U$1006,0))&gt;=100000), " ",IF(INDEX($Q$2:$U$1001,MATCH(ROWS($J$2:J789),$J$2:$J$1001,0),MATCH(COLUMNS($Q$1006:Q1006),$Q$1006:$U$1006,0)), HYPERLINK("#",""), HYPERLINK(CONCATENATE("#metadata!", ADDRESS(INDEX($L$2:$L$1001,MATCH(ROWS($J$2:J789),$J$2:$J$1001,0),0), INDEX($Q$1004:$U$1004,1,MATCH(COLUMNS($Q$1006:Q1006),$Q$1006:$U$1006,0)))),"Fix")))</f>
        <v xml:space="preserve"> </v>
      </c>
      <c r="C789" s="3" t="str">
        <f ca="1">IF(OR(INDEX($K$2:$K$1001,MATCH(ROWS($J$2:J789),$J$2:$J$1001,0),1)&gt;=100000,INDEX($Q$1005:$U$1005,1,MATCH(COLUMNS($Q$1006:R1006),$Q$1006:$U$1006,0))&gt;=100000), " ",IF(INDEX($Q$2:$U$1001,MATCH(ROWS($J$2:J789),$J$2:$J$1001,0),MATCH(COLUMNS($Q$1006:R1006),$Q$1006:$U$1006,0)), HYPERLINK("#",""), HYPERLINK(CONCATENATE("#metadata!", ADDRESS(INDEX($L$2:$L$1001,MATCH(ROWS($J$2:J789),$J$2:$J$1001,0),0), INDEX($Q$1004:$U$1004,1,MATCH(COLUMNS($Q$1006:R1006),$Q$1006:$U$1006,0)))),"Fix")))</f>
        <v xml:space="preserve"> </v>
      </c>
      <c r="D789" s="3" t="str">
        <f ca="1">IF(OR(INDEX($K$2:$K$1001,MATCH(ROWS($J$2:J789),$J$2:$J$1001,0),1)&gt;=100000,INDEX($Q$1005:$U$1005,1,MATCH(COLUMNS($Q$1006:S1006),$Q$1006:$U$1006,0))&gt;=100000), " ",IF(INDEX($Q$2:$U$1001,MATCH(ROWS($J$2:J789),$J$2:$J$1001,0),MATCH(COLUMNS($Q$1006:S1006),$Q$1006:$U$1006,0)), HYPERLINK("#",""), HYPERLINK(CONCATENATE("#metadata!", ADDRESS(INDEX($L$2:$L$1001,MATCH(ROWS($J$2:J789),$J$2:$J$1001,0),0), INDEX($Q$1004:$U$1004,1,MATCH(COLUMNS($Q$1006:S1006),$Q$1006:$U$1006,0)))),"Fix")))</f>
        <v xml:space="preserve"> </v>
      </c>
      <c r="E789" s="3" t="str">
        <f ca="1">IF(OR(INDEX($K$2:$K$1001,MATCH(ROWS($J$2:J789),$J$2:$J$1001,0),1)&gt;=100000,INDEX($Q$1005:$U$1005,1,MATCH(COLUMNS($Q$1006:T1006),$Q$1006:$U$1006,0))&gt;=100000), " ",IF(INDEX($Q$2:$U$1001,MATCH(ROWS($J$2:J789),$J$2:$J$1001,0),MATCH(COLUMNS($Q$1006:T1006),$Q$1006:$U$1006,0)), HYPERLINK("#",""), HYPERLINK(CONCATENATE("#metadata!", ADDRESS(INDEX($L$2:$L$1001,MATCH(ROWS($J$2:J789),$J$2:$J$1001,0),0), INDEX($Q$1004:$U$1004,1,MATCH(COLUMNS($Q$1006:T1006),$Q$1006:$U$1006,0)))),"Fix")))</f>
        <v xml:space="preserve"> </v>
      </c>
      <c r="F789" s="3" t="str">
        <f ca="1">IF(OR(INDEX($K$2:$K$1001,MATCH(ROWS($J$2:J789),$J$2:$J$1001,0),1)&gt;=100000,INDEX($Q$1005:$U$1005,1,MATCH(COLUMNS($Q$1006:U1006),$Q$1006:$U$1006,0))&gt;=100000), " ",IF(INDEX($Q$2:$U$1001,MATCH(ROWS($J$2:J789),$J$2:$J$1001,0),MATCH(COLUMNS($Q$1006:U1006),$Q$1006:$U$1006,0)), HYPERLINK("#",""), HYPERLINK(CONCATENATE("#metadata!", ADDRESS(INDEX($L$2:$L$1001,MATCH(ROWS($J$2:J789),$J$2:$J$1001,0),0), INDEX($Q$1004:$U$1004,1,MATCH(COLUMNS($Q$1006:U1006),$Q$1006:$U$1006,0)))),"Fix")))</f>
        <v xml:space="preserve"> </v>
      </c>
      <c r="J789">
        <v>788</v>
      </c>
      <c r="K789">
        <v>100789</v>
      </c>
      <c r="L789">
        <v>789</v>
      </c>
      <c r="M789" t="b">
        <f t="shared" si="12"/>
        <v>1</v>
      </c>
      <c r="N789" t="b">
        <f>COUNTBLANK(metadata!B789:F789)=COLUMNS(metadata!B789:F789)</f>
        <v>1</v>
      </c>
      <c r="O789" t="str">
        <v/>
      </c>
      <c r="Q789" t="b">
        <f ca="1">AND(IF(metadata!B789="",FALSE,TRUE),COUNTIF(metadata!B:B, metadata!B789) = 1,NOT(ISERROR(SUMPRODUCT(SEARCH(MID(metadata!B789,ROW(INDIRECT("1:"&amp;LEN(metadata!B789))), 1),"0123456789abcdefghijklmnopqrstuvwxyzABCDEFGHIJKLMNOPQRSTUVWXYZ.")))))</f>
        <v>0</v>
      </c>
      <c r="R789" t="b">
        <f>AND(IF(metadata!C789="",FALSE,TRUE),OR(EXACT(metadata!C789,"saline"),EXACT(metadata!C789,"non-saline")))</f>
        <v>0</v>
      </c>
      <c r="S789" t="b">
        <f>AND(IF(metadata!D789="",FALSE,TRUE),OR(EXACT(metadata!D789,"surface (non-saline)"),EXACT(metadata!D789,"aerosol (non-saline)"),EXACT(metadata!D789,"sediment (non-saline)"),EXACT(metadata!D789,"surface (saline)"),EXACT(metadata!D789,"aerosol (saline)"),EXACT(metadata!D789,"sediment (saline)")))</f>
        <v>0</v>
      </c>
      <c r="T789" t="b">
        <f>AND(IF(metadata!E789="",FALSE,TRUE),EXACT(metadata!E789,"built environment"))</f>
        <v>0</v>
      </c>
      <c r="U789" t="b">
        <f>OR(AND(IF(metadata!F789="",FALSE,TRUE),EXACT(metadata!F789,"not applicable")),AND(IF(metadata!F789="",FALSE,TRUE),EXACT(metadata!F789,"anaerobic digester content")))</f>
        <v>0</v>
      </c>
    </row>
    <row r="790" spans="1:21" x14ac:dyDescent="0.2">
      <c r="A790" s="4" t="str">
        <f ca="1">IF(B790=" "," ",HYPERLINK(CONCATENATE("#metadata!",ADDRESS(INDEX($L$2:$L$1001,MATCH(ROWS($J$2:J790),$J$2:$J$1001,0),0),1)),INDEX($O$2:$O$1001,MATCH(ROWS($J$2:J790),$J$2:$J$1001,0),0)))</f>
        <v xml:space="preserve"> </v>
      </c>
      <c r="B790" s="3" t="str">
        <f ca="1">IF(OR(INDEX($K$2:$K$1001,MATCH(ROWS($J$2:J790),$J$2:$J$1001,0),1)&gt;=100000,INDEX($Q$1005:$U$1005,1,MATCH(COLUMNS($Q$1006:Q1006),$Q$1006:$U$1006,0))&gt;=100000), " ",IF(INDEX($Q$2:$U$1001,MATCH(ROWS($J$2:J790),$J$2:$J$1001,0),MATCH(COLUMNS($Q$1006:Q1006),$Q$1006:$U$1006,0)), HYPERLINK("#",""), HYPERLINK(CONCATENATE("#metadata!", ADDRESS(INDEX($L$2:$L$1001,MATCH(ROWS($J$2:J790),$J$2:$J$1001,0),0), INDEX($Q$1004:$U$1004,1,MATCH(COLUMNS($Q$1006:Q1006),$Q$1006:$U$1006,0)))),"Fix")))</f>
        <v xml:space="preserve"> </v>
      </c>
      <c r="C790" s="3" t="str">
        <f ca="1">IF(OR(INDEX($K$2:$K$1001,MATCH(ROWS($J$2:J790),$J$2:$J$1001,0),1)&gt;=100000,INDEX($Q$1005:$U$1005,1,MATCH(COLUMNS($Q$1006:R1006),$Q$1006:$U$1006,0))&gt;=100000), " ",IF(INDEX($Q$2:$U$1001,MATCH(ROWS($J$2:J790),$J$2:$J$1001,0),MATCH(COLUMNS($Q$1006:R1006),$Q$1006:$U$1006,0)), HYPERLINK("#",""), HYPERLINK(CONCATENATE("#metadata!", ADDRESS(INDEX($L$2:$L$1001,MATCH(ROWS($J$2:J790),$J$2:$J$1001,0),0), INDEX($Q$1004:$U$1004,1,MATCH(COLUMNS($Q$1006:R1006),$Q$1006:$U$1006,0)))),"Fix")))</f>
        <v xml:space="preserve"> </v>
      </c>
      <c r="D790" s="3" t="str">
        <f ca="1">IF(OR(INDEX($K$2:$K$1001,MATCH(ROWS($J$2:J790),$J$2:$J$1001,0),1)&gt;=100000,INDEX($Q$1005:$U$1005,1,MATCH(COLUMNS($Q$1006:S1006),$Q$1006:$U$1006,0))&gt;=100000), " ",IF(INDEX($Q$2:$U$1001,MATCH(ROWS($J$2:J790),$J$2:$J$1001,0),MATCH(COLUMNS($Q$1006:S1006),$Q$1006:$U$1006,0)), HYPERLINK("#",""), HYPERLINK(CONCATENATE("#metadata!", ADDRESS(INDEX($L$2:$L$1001,MATCH(ROWS($J$2:J790),$J$2:$J$1001,0),0), INDEX($Q$1004:$U$1004,1,MATCH(COLUMNS($Q$1006:S1006),$Q$1006:$U$1006,0)))),"Fix")))</f>
        <v xml:space="preserve"> </v>
      </c>
      <c r="E790" s="3" t="str">
        <f ca="1">IF(OR(INDEX($K$2:$K$1001,MATCH(ROWS($J$2:J790),$J$2:$J$1001,0),1)&gt;=100000,INDEX($Q$1005:$U$1005,1,MATCH(COLUMNS($Q$1006:T1006),$Q$1006:$U$1006,0))&gt;=100000), " ",IF(INDEX($Q$2:$U$1001,MATCH(ROWS($J$2:J790),$J$2:$J$1001,0),MATCH(COLUMNS($Q$1006:T1006),$Q$1006:$U$1006,0)), HYPERLINK("#",""), HYPERLINK(CONCATENATE("#metadata!", ADDRESS(INDEX($L$2:$L$1001,MATCH(ROWS($J$2:J790),$J$2:$J$1001,0),0), INDEX($Q$1004:$U$1004,1,MATCH(COLUMNS($Q$1006:T1006),$Q$1006:$U$1006,0)))),"Fix")))</f>
        <v xml:space="preserve"> </v>
      </c>
      <c r="F790" s="3" t="str">
        <f ca="1">IF(OR(INDEX($K$2:$K$1001,MATCH(ROWS($J$2:J790),$J$2:$J$1001,0),1)&gt;=100000,INDEX($Q$1005:$U$1005,1,MATCH(COLUMNS($Q$1006:U1006),$Q$1006:$U$1006,0))&gt;=100000), " ",IF(INDEX($Q$2:$U$1001,MATCH(ROWS($J$2:J790),$J$2:$J$1001,0),MATCH(COLUMNS($Q$1006:U1006),$Q$1006:$U$1006,0)), HYPERLINK("#",""), HYPERLINK(CONCATENATE("#metadata!", ADDRESS(INDEX($L$2:$L$1001,MATCH(ROWS($J$2:J790),$J$2:$J$1001,0),0), INDEX($Q$1004:$U$1004,1,MATCH(COLUMNS($Q$1006:U1006),$Q$1006:$U$1006,0)))),"Fix")))</f>
        <v xml:space="preserve"> </v>
      </c>
      <c r="J790">
        <v>789</v>
      </c>
      <c r="K790">
        <v>100790</v>
      </c>
      <c r="L790">
        <v>790</v>
      </c>
      <c r="M790" t="b">
        <f t="shared" si="12"/>
        <v>1</v>
      </c>
      <c r="N790" t="b">
        <f>COUNTBLANK(metadata!B790:F790)=COLUMNS(metadata!B790:F790)</f>
        <v>1</v>
      </c>
      <c r="O790" t="str">
        <v/>
      </c>
      <c r="Q790" t="b">
        <f ca="1">AND(IF(metadata!B790="",FALSE,TRUE),COUNTIF(metadata!B:B, metadata!B790) = 1,NOT(ISERROR(SUMPRODUCT(SEARCH(MID(metadata!B790,ROW(INDIRECT("1:"&amp;LEN(metadata!B790))), 1),"0123456789abcdefghijklmnopqrstuvwxyzABCDEFGHIJKLMNOPQRSTUVWXYZ.")))))</f>
        <v>0</v>
      </c>
      <c r="R790" t="b">
        <f>AND(IF(metadata!C790="",FALSE,TRUE),OR(EXACT(metadata!C790,"saline"),EXACT(metadata!C790,"non-saline")))</f>
        <v>0</v>
      </c>
      <c r="S790" t="b">
        <f>AND(IF(metadata!D790="",FALSE,TRUE),OR(EXACT(metadata!D790,"surface (non-saline)"),EXACT(metadata!D790,"aerosol (non-saline)"),EXACT(metadata!D790,"sediment (non-saline)"),EXACT(metadata!D790,"surface (saline)"),EXACT(metadata!D790,"aerosol (saline)"),EXACT(metadata!D790,"sediment (saline)")))</f>
        <v>0</v>
      </c>
      <c r="T790" t="b">
        <f>AND(IF(metadata!E790="",FALSE,TRUE),EXACT(metadata!E790,"built environment"))</f>
        <v>0</v>
      </c>
      <c r="U790" t="b">
        <f>OR(AND(IF(metadata!F790="",FALSE,TRUE),EXACT(metadata!F790,"not applicable")),AND(IF(metadata!F790="",FALSE,TRUE),EXACT(metadata!F790,"anaerobic digester content")))</f>
        <v>0</v>
      </c>
    </row>
    <row r="791" spans="1:21" x14ac:dyDescent="0.2">
      <c r="A791" s="4" t="str">
        <f ca="1">IF(B791=" "," ",HYPERLINK(CONCATENATE("#metadata!",ADDRESS(INDEX($L$2:$L$1001,MATCH(ROWS($J$2:J791),$J$2:$J$1001,0),0),1)),INDEX($O$2:$O$1001,MATCH(ROWS($J$2:J791),$J$2:$J$1001,0),0)))</f>
        <v xml:space="preserve"> </v>
      </c>
      <c r="B791" s="3" t="str">
        <f ca="1">IF(OR(INDEX($K$2:$K$1001,MATCH(ROWS($J$2:J791),$J$2:$J$1001,0),1)&gt;=100000,INDEX($Q$1005:$U$1005,1,MATCH(COLUMNS($Q$1006:Q1006),$Q$1006:$U$1006,0))&gt;=100000), " ",IF(INDEX($Q$2:$U$1001,MATCH(ROWS($J$2:J791),$J$2:$J$1001,0),MATCH(COLUMNS($Q$1006:Q1006),$Q$1006:$U$1006,0)), HYPERLINK("#",""), HYPERLINK(CONCATENATE("#metadata!", ADDRESS(INDEX($L$2:$L$1001,MATCH(ROWS($J$2:J791),$J$2:$J$1001,0),0), INDEX($Q$1004:$U$1004,1,MATCH(COLUMNS($Q$1006:Q1006),$Q$1006:$U$1006,0)))),"Fix")))</f>
        <v xml:space="preserve"> </v>
      </c>
      <c r="C791" s="3" t="str">
        <f ca="1">IF(OR(INDEX($K$2:$K$1001,MATCH(ROWS($J$2:J791),$J$2:$J$1001,0),1)&gt;=100000,INDEX($Q$1005:$U$1005,1,MATCH(COLUMNS($Q$1006:R1006),$Q$1006:$U$1006,0))&gt;=100000), " ",IF(INDEX($Q$2:$U$1001,MATCH(ROWS($J$2:J791),$J$2:$J$1001,0),MATCH(COLUMNS($Q$1006:R1006),$Q$1006:$U$1006,0)), HYPERLINK("#",""), HYPERLINK(CONCATENATE("#metadata!", ADDRESS(INDEX($L$2:$L$1001,MATCH(ROWS($J$2:J791),$J$2:$J$1001,0),0), INDEX($Q$1004:$U$1004,1,MATCH(COLUMNS($Q$1006:R1006),$Q$1006:$U$1006,0)))),"Fix")))</f>
        <v xml:space="preserve"> </v>
      </c>
      <c r="D791" s="3" t="str">
        <f ca="1">IF(OR(INDEX($K$2:$K$1001,MATCH(ROWS($J$2:J791),$J$2:$J$1001,0),1)&gt;=100000,INDEX($Q$1005:$U$1005,1,MATCH(COLUMNS($Q$1006:S1006),$Q$1006:$U$1006,0))&gt;=100000), " ",IF(INDEX($Q$2:$U$1001,MATCH(ROWS($J$2:J791),$J$2:$J$1001,0),MATCH(COLUMNS($Q$1006:S1006),$Q$1006:$U$1006,0)), HYPERLINK("#",""), HYPERLINK(CONCATENATE("#metadata!", ADDRESS(INDEX($L$2:$L$1001,MATCH(ROWS($J$2:J791),$J$2:$J$1001,0),0), INDEX($Q$1004:$U$1004,1,MATCH(COLUMNS($Q$1006:S1006),$Q$1006:$U$1006,0)))),"Fix")))</f>
        <v xml:space="preserve"> </v>
      </c>
      <c r="E791" s="3" t="str">
        <f ca="1">IF(OR(INDEX($K$2:$K$1001,MATCH(ROWS($J$2:J791),$J$2:$J$1001,0),1)&gt;=100000,INDEX($Q$1005:$U$1005,1,MATCH(COLUMNS($Q$1006:T1006),$Q$1006:$U$1006,0))&gt;=100000), " ",IF(INDEX($Q$2:$U$1001,MATCH(ROWS($J$2:J791),$J$2:$J$1001,0),MATCH(COLUMNS($Q$1006:T1006),$Q$1006:$U$1006,0)), HYPERLINK("#",""), HYPERLINK(CONCATENATE("#metadata!", ADDRESS(INDEX($L$2:$L$1001,MATCH(ROWS($J$2:J791),$J$2:$J$1001,0),0), INDEX($Q$1004:$U$1004,1,MATCH(COLUMNS($Q$1006:T1006),$Q$1006:$U$1006,0)))),"Fix")))</f>
        <v xml:space="preserve"> </v>
      </c>
      <c r="F791" s="3" t="str">
        <f ca="1">IF(OR(INDEX($K$2:$K$1001,MATCH(ROWS($J$2:J791),$J$2:$J$1001,0),1)&gt;=100000,INDEX($Q$1005:$U$1005,1,MATCH(COLUMNS($Q$1006:U1006),$Q$1006:$U$1006,0))&gt;=100000), " ",IF(INDEX($Q$2:$U$1001,MATCH(ROWS($J$2:J791),$J$2:$J$1001,0),MATCH(COLUMNS($Q$1006:U1006),$Q$1006:$U$1006,0)), HYPERLINK("#",""), HYPERLINK(CONCATENATE("#metadata!", ADDRESS(INDEX($L$2:$L$1001,MATCH(ROWS($J$2:J791),$J$2:$J$1001,0),0), INDEX($Q$1004:$U$1004,1,MATCH(COLUMNS($Q$1006:U1006),$Q$1006:$U$1006,0)))),"Fix")))</f>
        <v xml:space="preserve"> </v>
      </c>
      <c r="J791">
        <v>790</v>
      </c>
      <c r="K791">
        <v>100791</v>
      </c>
      <c r="L791">
        <v>791</v>
      </c>
      <c r="M791" t="b">
        <f t="shared" si="12"/>
        <v>1</v>
      </c>
      <c r="N791" t="b">
        <f>COUNTBLANK(metadata!B791:F791)=COLUMNS(metadata!B791:F791)</f>
        <v>1</v>
      </c>
      <c r="O791" t="str">
        <v/>
      </c>
      <c r="Q791" t="b">
        <f ca="1">AND(IF(metadata!B791="",FALSE,TRUE),COUNTIF(metadata!B:B, metadata!B791) = 1,NOT(ISERROR(SUMPRODUCT(SEARCH(MID(metadata!B791,ROW(INDIRECT("1:"&amp;LEN(metadata!B791))), 1),"0123456789abcdefghijklmnopqrstuvwxyzABCDEFGHIJKLMNOPQRSTUVWXYZ.")))))</f>
        <v>0</v>
      </c>
      <c r="R791" t="b">
        <f>AND(IF(metadata!C791="",FALSE,TRUE),OR(EXACT(metadata!C791,"saline"),EXACT(metadata!C791,"non-saline")))</f>
        <v>0</v>
      </c>
      <c r="S791" t="b">
        <f>AND(IF(metadata!D791="",FALSE,TRUE),OR(EXACT(metadata!D791,"surface (non-saline)"),EXACT(metadata!D791,"aerosol (non-saline)"),EXACT(metadata!D791,"sediment (non-saline)"),EXACT(metadata!D791,"surface (saline)"),EXACT(metadata!D791,"aerosol (saline)"),EXACT(metadata!D791,"sediment (saline)")))</f>
        <v>0</v>
      </c>
      <c r="T791" t="b">
        <f>AND(IF(metadata!E791="",FALSE,TRUE),EXACT(metadata!E791,"built environment"))</f>
        <v>0</v>
      </c>
      <c r="U791" t="b">
        <f>OR(AND(IF(metadata!F791="",FALSE,TRUE),EXACT(metadata!F791,"not applicable")),AND(IF(metadata!F791="",FALSE,TRUE),EXACT(metadata!F791,"anaerobic digester content")))</f>
        <v>0</v>
      </c>
    </row>
    <row r="792" spans="1:21" x14ac:dyDescent="0.2">
      <c r="A792" s="4" t="str">
        <f ca="1">IF(B792=" "," ",HYPERLINK(CONCATENATE("#metadata!",ADDRESS(INDEX($L$2:$L$1001,MATCH(ROWS($J$2:J792),$J$2:$J$1001,0),0),1)),INDEX($O$2:$O$1001,MATCH(ROWS($J$2:J792),$J$2:$J$1001,0),0)))</f>
        <v xml:space="preserve"> </v>
      </c>
      <c r="B792" s="3" t="str">
        <f ca="1">IF(OR(INDEX($K$2:$K$1001,MATCH(ROWS($J$2:J792),$J$2:$J$1001,0),1)&gt;=100000,INDEX($Q$1005:$U$1005,1,MATCH(COLUMNS($Q$1006:Q1006),$Q$1006:$U$1006,0))&gt;=100000), " ",IF(INDEX($Q$2:$U$1001,MATCH(ROWS($J$2:J792),$J$2:$J$1001,0),MATCH(COLUMNS($Q$1006:Q1006),$Q$1006:$U$1006,0)), HYPERLINK("#",""), HYPERLINK(CONCATENATE("#metadata!", ADDRESS(INDEX($L$2:$L$1001,MATCH(ROWS($J$2:J792),$J$2:$J$1001,0),0), INDEX($Q$1004:$U$1004,1,MATCH(COLUMNS($Q$1006:Q1006),$Q$1006:$U$1006,0)))),"Fix")))</f>
        <v xml:space="preserve"> </v>
      </c>
      <c r="C792" s="3" t="str">
        <f ca="1">IF(OR(INDEX($K$2:$K$1001,MATCH(ROWS($J$2:J792),$J$2:$J$1001,0),1)&gt;=100000,INDEX($Q$1005:$U$1005,1,MATCH(COLUMNS($Q$1006:R1006),$Q$1006:$U$1006,0))&gt;=100000), " ",IF(INDEX($Q$2:$U$1001,MATCH(ROWS($J$2:J792),$J$2:$J$1001,0),MATCH(COLUMNS($Q$1006:R1006),$Q$1006:$U$1006,0)), HYPERLINK("#",""), HYPERLINK(CONCATENATE("#metadata!", ADDRESS(INDEX($L$2:$L$1001,MATCH(ROWS($J$2:J792),$J$2:$J$1001,0),0), INDEX($Q$1004:$U$1004,1,MATCH(COLUMNS($Q$1006:R1006),$Q$1006:$U$1006,0)))),"Fix")))</f>
        <v xml:space="preserve"> </v>
      </c>
      <c r="D792" s="3" t="str">
        <f ca="1">IF(OR(INDEX($K$2:$K$1001,MATCH(ROWS($J$2:J792),$J$2:$J$1001,0),1)&gt;=100000,INDEX($Q$1005:$U$1005,1,MATCH(COLUMNS($Q$1006:S1006),$Q$1006:$U$1006,0))&gt;=100000), " ",IF(INDEX($Q$2:$U$1001,MATCH(ROWS($J$2:J792),$J$2:$J$1001,0),MATCH(COLUMNS($Q$1006:S1006),$Q$1006:$U$1006,0)), HYPERLINK("#",""), HYPERLINK(CONCATENATE("#metadata!", ADDRESS(INDEX($L$2:$L$1001,MATCH(ROWS($J$2:J792),$J$2:$J$1001,0),0), INDEX($Q$1004:$U$1004,1,MATCH(COLUMNS($Q$1006:S1006),$Q$1006:$U$1006,0)))),"Fix")))</f>
        <v xml:space="preserve"> </v>
      </c>
      <c r="E792" s="3" t="str">
        <f ca="1">IF(OR(INDEX($K$2:$K$1001,MATCH(ROWS($J$2:J792),$J$2:$J$1001,0),1)&gt;=100000,INDEX($Q$1005:$U$1005,1,MATCH(COLUMNS($Q$1006:T1006),$Q$1006:$U$1006,0))&gt;=100000), " ",IF(INDEX($Q$2:$U$1001,MATCH(ROWS($J$2:J792),$J$2:$J$1001,0),MATCH(COLUMNS($Q$1006:T1006),$Q$1006:$U$1006,0)), HYPERLINK("#",""), HYPERLINK(CONCATENATE("#metadata!", ADDRESS(INDEX($L$2:$L$1001,MATCH(ROWS($J$2:J792),$J$2:$J$1001,0),0), INDEX($Q$1004:$U$1004,1,MATCH(COLUMNS($Q$1006:T1006),$Q$1006:$U$1006,0)))),"Fix")))</f>
        <v xml:space="preserve"> </v>
      </c>
      <c r="F792" s="3" t="str">
        <f ca="1">IF(OR(INDEX($K$2:$K$1001,MATCH(ROWS($J$2:J792),$J$2:$J$1001,0),1)&gt;=100000,INDEX($Q$1005:$U$1005,1,MATCH(COLUMNS($Q$1006:U1006),$Q$1006:$U$1006,0))&gt;=100000), " ",IF(INDEX($Q$2:$U$1001,MATCH(ROWS($J$2:J792),$J$2:$J$1001,0),MATCH(COLUMNS($Q$1006:U1006),$Q$1006:$U$1006,0)), HYPERLINK("#",""), HYPERLINK(CONCATENATE("#metadata!", ADDRESS(INDEX($L$2:$L$1001,MATCH(ROWS($J$2:J792),$J$2:$J$1001,0),0), INDEX($Q$1004:$U$1004,1,MATCH(COLUMNS($Q$1006:U1006),$Q$1006:$U$1006,0)))),"Fix")))</f>
        <v xml:space="preserve"> </v>
      </c>
      <c r="J792">
        <v>791</v>
      </c>
      <c r="K792">
        <v>100792</v>
      </c>
      <c r="L792">
        <v>792</v>
      </c>
      <c r="M792" t="b">
        <f t="shared" si="12"/>
        <v>1</v>
      </c>
      <c r="N792" t="b">
        <f>COUNTBLANK(metadata!B792:F792)=COLUMNS(metadata!B792:F792)</f>
        <v>1</v>
      </c>
      <c r="O792" t="str">
        <v/>
      </c>
      <c r="Q792" t="b">
        <f ca="1">AND(IF(metadata!B792="",FALSE,TRUE),COUNTIF(metadata!B:B, metadata!B792) = 1,NOT(ISERROR(SUMPRODUCT(SEARCH(MID(metadata!B792,ROW(INDIRECT("1:"&amp;LEN(metadata!B792))), 1),"0123456789abcdefghijklmnopqrstuvwxyzABCDEFGHIJKLMNOPQRSTUVWXYZ.")))))</f>
        <v>0</v>
      </c>
      <c r="R792" t="b">
        <f>AND(IF(metadata!C792="",FALSE,TRUE),OR(EXACT(metadata!C792,"saline"),EXACT(metadata!C792,"non-saline")))</f>
        <v>0</v>
      </c>
      <c r="S792" t="b">
        <f>AND(IF(metadata!D792="",FALSE,TRUE),OR(EXACT(metadata!D792,"surface (non-saline)"),EXACT(metadata!D792,"aerosol (non-saline)"),EXACT(metadata!D792,"sediment (non-saline)"),EXACT(metadata!D792,"surface (saline)"),EXACT(metadata!D792,"aerosol (saline)"),EXACT(metadata!D792,"sediment (saline)")))</f>
        <v>0</v>
      </c>
      <c r="T792" t="b">
        <f>AND(IF(metadata!E792="",FALSE,TRUE),EXACT(metadata!E792,"built environment"))</f>
        <v>0</v>
      </c>
      <c r="U792" t="b">
        <f>OR(AND(IF(metadata!F792="",FALSE,TRUE),EXACT(metadata!F792,"not applicable")),AND(IF(metadata!F792="",FALSE,TRUE),EXACT(metadata!F792,"anaerobic digester content")))</f>
        <v>0</v>
      </c>
    </row>
    <row r="793" spans="1:21" x14ac:dyDescent="0.2">
      <c r="A793" s="4" t="str">
        <f ca="1">IF(B793=" "," ",HYPERLINK(CONCATENATE("#metadata!",ADDRESS(INDEX($L$2:$L$1001,MATCH(ROWS($J$2:J793),$J$2:$J$1001,0),0),1)),INDEX($O$2:$O$1001,MATCH(ROWS($J$2:J793),$J$2:$J$1001,0),0)))</f>
        <v xml:space="preserve"> </v>
      </c>
      <c r="B793" s="3" t="str">
        <f ca="1">IF(OR(INDEX($K$2:$K$1001,MATCH(ROWS($J$2:J793),$J$2:$J$1001,0),1)&gt;=100000,INDEX($Q$1005:$U$1005,1,MATCH(COLUMNS($Q$1006:Q1006),$Q$1006:$U$1006,0))&gt;=100000), " ",IF(INDEX($Q$2:$U$1001,MATCH(ROWS($J$2:J793),$J$2:$J$1001,0),MATCH(COLUMNS($Q$1006:Q1006),$Q$1006:$U$1006,0)), HYPERLINK("#",""), HYPERLINK(CONCATENATE("#metadata!", ADDRESS(INDEX($L$2:$L$1001,MATCH(ROWS($J$2:J793),$J$2:$J$1001,0),0), INDEX($Q$1004:$U$1004,1,MATCH(COLUMNS($Q$1006:Q1006),$Q$1006:$U$1006,0)))),"Fix")))</f>
        <v xml:space="preserve"> </v>
      </c>
      <c r="C793" s="3" t="str">
        <f ca="1">IF(OR(INDEX($K$2:$K$1001,MATCH(ROWS($J$2:J793),$J$2:$J$1001,0),1)&gt;=100000,INDEX($Q$1005:$U$1005,1,MATCH(COLUMNS($Q$1006:R1006),$Q$1006:$U$1006,0))&gt;=100000), " ",IF(INDEX($Q$2:$U$1001,MATCH(ROWS($J$2:J793),$J$2:$J$1001,0),MATCH(COLUMNS($Q$1006:R1006),$Q$1006:$U$1006,0)), HYPERLINK("#",""), HYPERLINK(CONCATENATE("#metadata!", ADDRESS(INDEX($L$2:$L$1001,MATCH(ROWS($J$2:J793),$J$2:$J$1001,0),0), INDEX($Q$1004:$U$1004,1,MATCH(COLUMNS($Q$1006:R1006),$Q$1006:$U$1006,0)))),"Fix")))</f>
        <v xml:space="preserve"> </v>
      </c>
      <c r="D793" s="3" t="str">
        <f ca="1">IF(OR(INDEX($K$2:$K$1001,MATCH(ROWS($J$2:J793),$J$2:$J$1001,0),1)&gt;=100000,INDEX($Q$1005:$U$1005,1,MATCH(COLUMNS($Q$1006:S1006),$Q$1006:$U$1006,0))&gt;=100000), " ",IF(INDEX($Q$2:$U$1001,MATCH(ROWS($J$2:J793),$J$2:$J$1001,0),MATCH(COLUMNS($Q$1006:S1006),$Q$1006:$U$1006,0)), HYPERLINK("#",""), HYPERLINK(CONCATENATE("#metadata!", ADDRESS(INDEX($L$2:$L$1001,MATCH(ROWS($J$2:J793),$J$2:$J$1001,0),0), INDEX($Q$1004:$U$1004,1,MATCH(COLUMNS($Q$1006:S1006),$Q$1006:$U$1006,0)))),"Fix")))</f>
        <v xml:space="preserve"> </v>
      </c>
      <c r="E793" s="3" t="str">
        <f ca="1">IF(OR(INDEX($K$2:$K$1001,MATCH(ROWS($J$2:J793),$J$2:$J$1001,0),1)&gt;=100000,INDEX($Q$1005:$U$1005,1,MATCH(COLUMNS($Q$1006:T1006),$Q$1006:$U$1006,0))&gt;=100000), " ",IF(INDEX($Q$2:$U$1001,MATCH(ROWS($J$2:J793),$J$2:$J$1001,0),MATCH(COLUMNS($Q$1006:T1006),$Q$1006:$U$1006,0)), HYPERLINK("#",""), HYPERLINK(CONCATENATE("#metadata!", ADDRESS(INDEX($L$2:$L$1001,MATCH(ROWS($J$2:J793),$J$2:$J$1001,0),0), INDEX($Q$1004:$U$1004,1,MATCH(COLUMNS($Q$1006:T1006),$Q$1006:$U$1006,0)))),"Fix")))</f>
        <v xml:space="preserve"> </v>
      </c>
      <c r="F793" s="3" t="str">
        <f ca="1">IF(OR(INDEX($K$2:$K$1001,MATCH(ROWS($J$2:J793),$J$2:$J$1001,0),1)&gt;=100000,INDEX($Q$1005:$U$1005,1,MATCH(COLUMNS($Q$1006:U1006),$Q$1006:$U$1006,0))&gt;=100000), " ",IF(INDEX($Q$2:$U$1001,MATCH(ROWS($J$2:J793),$J$2:$J$1001,0),MATCH(COLUMNS($Q$1006:U1006),$Q$1006:$U$1006,0)), HYPERLINK("#",""), HYPERLINK(CONCATENATE("#metadata!", ADDRESS(INDEX($L$2:$L$1001,MATCH(ROWS($J$2:J793),$J$2:$J$1001,0),0), INDEX($Q$1004:$U$1004,1,MATCH(COLUMNS($Q$1006:U1006),$Q$1006:$U$1006,0)))),"Fix")))</f>
        <v xml:space="preserve"> </v>
      </c>
      <c r="J793">
        <v>792</v>
      </c>
      <c r="K793">
        <v>100793</v>
      </c>
      <c r="L793">
        <v>793</v>
      </c>
      <c r="M793" t="b">
        <f t="shared" si="12"/>
        <v>1</v>
      </c>
      <c r="N793" t="b">
        <f>COUNTBLANK(metadata!B793:F793)=COLUMNS(metadata!B793:F793)</f>
        <v>1</v>
      </c>
      <c r="O793" t="str">
        <v/>
      </c>
      <c r="Q793" t="b">
        <f ca="1">AND(IF(metadata!B793="",FALSE,TRUE),COUNTIF(metadata!B:B, metadata!B793) = 1,NOT(ISERROR(SUMPRODUCT(SEARCH(MID(metadata!B793,ROW(INDIRECT("1:"&amp;LEN(metadata!B793))), 1),"0123456789abcdefghijklmnopqrstuvwxyzABCDEFGHIJKLMNOPQRSTUVWXYZ.")))))</f>
        <v>0</v>
      </c>
      <c r="R793" t="b">
        <f>AND(IF(metadata!C793="",FALSE,TRUE),OR(EXACT(metadata!C793,"saline"),EXACT(metadata!C793,"non-saline")))</f>
        <v>0</v>
      </c>
      <c r="S793" t="b">
        <f>AND(IF(metadata!D793="",FALSE,TRUE),OR(EXACT(metadata!D793,"surface (non-saline)"),EXACT(metadata!D793,"aerosol (non-saline)"),EXACT(metadata!D793,"sediment (non-saline)"),EXACT(metadata!D793,"surface (saline)"),EXACT(metadata!D793,"aerosol (saline)"),EXACT(metadata!D793,"sediment (saline)")))</f>
        <v>0</v>
      </c>
      <c r="T793" t="b">
        <f>AND(IF(metadata!E793="",FALSE,TRUE),EXACT(metadata!E793,"built environment"))</f>
        <v>0</v>
      </c>
      <c r="U793" t="b">
        <f>OR(AND(IF(metadata!F793="",FALSE,TRUE),EXACT(metadata!F793,"not applicable")),AND(IF(metadata!F793="",FALSE,TRUE),EXACT(metadata!F793,"anaerobic digester content")))</f>
        <v>0</v>
      </c>
    </row>
    <row r="794" spans="1:21" x14ac:dyDescent="0.2">
      <c r="A794" s="4" t="str">
        <f ca="1">IF(B794=" "," ",HYPERLINK(CONCATENATE("#metadata!",ADDRESS(INDEX($L$2:$L$1001,MATCH(ROWS($J$2:J794),$J$2:$J$1001,0),0),1)),INDEX($O$2:$O$1001,MATCH(ROWS($J$2:J794),$J$2:$J$1001,0),0)))</f>
        <v xml:space="preserve"> </v>
      </c>
      <c r="B794" s="3" t="str">
        <f ca="1">IF(OR(INDEX($K$2:$K$1001,MATCH(ROWS($J$2:J794),$J$2:$J$1001,0),1)&gt;=100000,INDEX($Q$1005:$U$1005,1,MATCH(COLUMNS($Q$1006:Q1006),$Q$1006:$U$1006,0))&gt;=100000), " ",IF(INDEX($Q$2:$U$1001,MATCH(ROWS($J$2:J794),$J$2:$J$1001,0),MATCH(COLUMNS($Q$1006:Q1006),$Q$1006:$U$1006,0)), HYPERLINK("#",""), HYPERLINK(CONCATENATE("#metadata!", ADDRESS(INDEX($L$2:$L$1001,MATCH(ROWS($J$2:J794),$J$2:$J$1001,0),0), INDEX($Q$1004:$U$1004,1,MATCH(COLUMNS($Q$1006:Q1006),$Q$1006:$U$1006,0)))),"Fix")))</f>
        <v xml:space="preserve"> </v>
      </c>
      <c r="C794" s="3" t="str">
        <f ca="1">IF(OR(INDEX($K$2:$K$1001,MATCH(ROWS($J$2:J794),$J$2:$J$1001,0),1)&gt;=100000,INDEX($Q$1005:$U$1005,1,MATCH(COLUMNS($Q$1006:R1006),$Q$1006:$U$1006,0))&gt;=100000), " ",IF(INDEX($Q$2:$U$1001,MATCH(ROWS($J$2:J794),$J$2:$J$1001,0),MATCH(COLUMNS($Q$1006:R1006),$Q$1006:$U$1006,0)), HYPERLINK("#",""), HYPERLINK(CONCATENATE("#metadata!", ADDRESS(INDEX($L$2:$L$1001,MATCH(ROWS($J$2:J794),$J$2:$J$1001,0),0), INDEX($Q$1004:$U$1004,1,MATCH(COLUMNS($Q$1006:R1006),$Q$1006:$U$1006,0)))),"Fix")))</f>
        <v xml:space="preserve"> </v>
      </c>
      <c r="D794" s="3" t="str">
        <f ca="1">IF(OR(INDEX($K$2:$K$1001,MATCH(ROWS($J$2:J794),$J$2:$J$1001,0),1)&gt;=100000,INDEX($Q$1005:$U$1005,1,MATCH(COLUMNS($Q$1006:S1006),$Q$1006:$U$1006,0))&gt;=100000), " ",IF(INDEX($Q$2:$U$1001,MATCH(ROWS($J$2:J794),$J$2:$J$1001,0),MATCH(COLUMNS($Q$1006:S1006),$Q$1006:$U$1006,0)), HYPERLINK("#",""), HYPERLINK(CONCATENATE("#metadata!", ADDRESS(INDEX($L$2:$L$1001,MATCH(ROWS($J$2:J794),$J$2:$J$1001,0),0), INDEX($Q$1004:$U$1004,1,MATCH(COLUMNS($Q$1006:S1006),$Q$1006:$U$1006,0)))),"Fix")))</f>
        <v xml:space="preserve"> </v>
      </c>
      <c r="E794" s="3" t="str">
        <f ca="1">IF(OR(INDEX($K$2:$K$1001,MATCH(ROWS($J$2:J794),$J$2:$J$1001,0),1)&gt;=100000,INDEX($Q$1005:$U$1005,1,MATCH(COLUMNS($Q$1006:T1006),$Q$1006:$U$1006,0))&gt;=100000), " ",IF(INDEX($Q$2:$U$1001,MATCH(ROWS($J$2:J794),$J$2:$J$1001,0),MATCH(COLUMNS($Q$1006:T1006),$Q$1006:$U$1006,0)), HYPERLINK("#",""), HYPERLINK(CONCATENATE("#metadata!", ADDRESS(INDEX($L$2:$L$1001,MATCH(ROWS($J$2:J794),$J$2:$J$1001,0),0), INDEX($Q$1004:$U$1004,1,MATCH(COLUMNS($Q$1006:T1006),$Q$1006:$U$1006,0)))),"Fix")))</f>
        <v xml:space="preserve"> </v>
      </c>
      <c r="F794" s="3" t="str">
        <f ca="1">IF(OR(INDEX($K$2:$K$1001,MATCH(ROWS($J$2:J794),$J$2:$J$1001,0),1)&gt;=100000,INDEX($Q$1005:$U$1005,1,MATCH(COLUMNS($Q$1006:U1006),$Q$1006:$U$1006,0))&gt;=100000), " ",IF(INDEX($Q$2:$U$1001,MATCH(ROWS($J$2:J794),$J$2:$J$1001,0),MATCH(COLUMNS($Q$1006:U1006),$Q$1006:$U$1006,0)), HYPERLINK("#",""), HYPERLINK(CONCATENATE("#metadata!", ADDRESS(INDEX($L$2:$L$1001,MATCH(ROWS($J$2:J794),$J$2:$J$1001,0),0), INDEX($Q$1004:$U$1004,1,MATCH(COLUMNS($Q$1006:U1006),$Q$1006:$U$1006,0)))),"Fix")))</f>
        <v xml:space="preserve"> </v>
      </c>
      <c r="J794">
        <v>793</v>
      </c>
      <c r="K794">
        <v>100794</v>
      </c>
      <c r="L794">
        <v>794</v>
      </c>
      <c r="M794" t="b">
        <f t="shared" si="12"/>
        <v>1</v>
      </c>
      <c r="N794" t="b">
        <f>COUNTBLANK(metadata!B794:F794)=COLUMNS(metadata!B794:F794)</f>
        <v>1</v>
      </c>
      <c r="O794" t="str">
        <v/>
      </c>
      <c r="Q794" t="b">
        <f ca="1">AND(IF(metadata!B794="",FALSE,TRUE),COUNTIF(metadata!B:B, metadata!B794) = 1,NOT(ISERROR(SUMPRODUCT(SEARCH(MID(metadata!B794,ROW(INDIRECT("1:"&amp;LEN(metadata!B794))), 1),"0123456789abcdefghijklmnopqrstuvwxyzABCDEFGHIJKLMNOPQRSTUVWXYZ.")))))</f>
        <v>0</v>
      </c>
      <c r="R794" t="b">
        <f>AND(IF(metadata!C794="",FALSE,TRUE),OR(EXACT(metadata!C794,"saline"),EXACT(metadata!C794,"non-saline")))</f>
        <v>0</v>
      </c>
      <c r="S794" t="b">
        <f>AND(IF(metadata!D794="",FALSE,TRUE),OR(EXACT(metadata!D794,"surface (non-saline)"),EXACT(metadata!D794,"aerosol (non-saline)"),EXACT(metadata!D794,"sediment (non-saline)"),EXACT(metadata!D794,"surface (saline)"),EXACT(metadata!D794,"aerosol (saline)"),EXACT(metadata!D794,"sediment (saline)")))</f>
        <v>0</v>
      </c>
      <c r="T794" t="b">
        <f>AND(IF(metadata!E794="",FALSE,TRUE),EXACT(metadata!E794,"built environment"))</f>
        <v>0</v>
      </c>
      <c r="U794" t="b">
        <f>OR(AND(IF(metadata!F794="",FALSE,TRUE),EXACT(metadata!F794,"not applicable")),AND(IF(metadata!F794="",FALSE,TRUE),EXACT(metadata!F794,"anaerobic digester content")))</f>
        <v>0</v>
      </c>
    </row>
    <row r="795" spans="1:21" x14ac:dyDescent="0.2">
      <c r="A795" s="4" t="str">
        <f ca="1">IF(B795=" "," ",HYPERLINK(CONCATENATE("#metadata!",ADDRESS(INDEX($L$2:$L$1001,MATCH(ROWS($J$2:J795),$J$2:$J$1001,0),0),1)),INDEX($O$2:$O$1001,MATCH(ROWS($J$2:J795),$J$2:$J$1001,0),0)))</f>
        <v xml:space="preserve"> </v>
      </c>
      <c r="B795" s="3" t="str">
        <f ca="1">IF(OR(INDEX($K$2:$K$1001,MATCH(ROWS($J$2:J795),$J$2:$J$1001,0),1)&gt;=100000,INDEX($Q$1005:$U$1005,1,MATCH(COLUMNS($Q$1006:Q1006),$Q$1006:$U$1006,0))&gt;=100000), " ",IF(INDEX($Q$2:$U$1001,MATCH(ROWS($J$2:J795),$J$2:$J$1001,0),MATCH(COLUMNS($Q$1006:Q1006),$Q$1006:$U$1006,0)), HYPERLINK("#",""), HYPERLINK(CONCATENATE("#metadata!", ADDRESS(INDEX($L$2:$L$1001,MATCH(ROWS($J$2:J795),$J$2:$J$1001,0),0), INDEX($Q$1004:$U$1004,1,MATCH(COLUMNS($Q$1006:Q1006),$Q$1006:$U$1006,0)))),"Fix")))</f>
        <v xml:space="preserve"> </v>
      </c>
      <c r="C795" s="3" t="str">
        <f ca="1">IF(OR(INDEX($K$2:$K$1001,MATCH(ROWS($J$2:J795),$J$2:$J$1001,0),1)&gt;=100000,INDEX($Q$1005:$U$1005,1,MATCH(COLUMNS($Q$1006:R1006),$Q$1006:$U$1006,0))&gt;=100000), " ",IF(INDEX($Q$2:$U$1001,MATCH(ROWS($J$2:J795),$J$2:$J$1001,0),MATCH(COLUMNS($Q$1006:R1006),$Q$1006:$U$1006,0)), HYPERLINK("#",""), HYPERLINK(CONCATENATE("#metadata!", ADDRESS(INDEX($L$2:$L$1001,MATCH(ROWS($J$2:J795),$J$2:$J$1001,0),0), INDEX($Q$1004:$U$1004,1,MATCH(COLUMNS($Q$1006:R1006),$Q$1006:$U$1006,0)))),"Fix")))</f>
        <v xml:space="preserve"> </v>
      </c>
      <c r="D795" s="3" t="str">
        <f ca="1">IF(OR(INDEX($K$2:$K$1001,MATCH(ROWS($J$2:J795),$J$2:$J$1001,0),1)&gt;=100000,INDEX($Q$1005:$U$1005,1,MATCH(COLUMNS($Q$1006:S1006),$Q$1006:$U$1006,0))&gt;=100000), " ",IF(INDEX($Q$2:$U$1001,MATCH(ROWS($J$2:J795),$J$2:$J$1001,0),MATCH(COLUMNS($Q$1006:S1006),$Q$1006:$U$1006,0)), HYPERLINK("#",""), HYPERLINK(CONCATENATE("#metadata!", ADDRESS(INDEX($L$2:$L$1001,MATCH(ROWS($J$2:J795),$J$2:$J$1001,0),0), INDEX($Q$1004:$U$1004,1,MATCH(COLUMNS($Q$1006:S1006),$Q$1006:$U$1006,0)))),"Fix")))</f>
        <v xml:space="preserve"> </v>
      </c>
      <c r="E795" s="3" t="str">
        <f ca="1">IF(OR(INDEX($K$2:$K$1001,MATCH(ROWS($J$2:J795),$J$2:$J$1001,0),1)&gt;=100000,INDEX($Q$1005:$U$1005,1,MATCH(COLUMNS($Q$1006:T1006),$Q$1006:$U$1006,0))&gt;=100000), " ",IF(INDEX($Q$2:$U$1001,MATCH(ROWS($J$2:J795),$J$2:$J$1001,0),MATCH(COLUMNS($Q$1006:T1006),$Q$1006:$U$1006,0)), HYPERLINK("#",""), HYPERLINK(CONCATENATE("#metadata!", ADDRESS(INDEX($L$2:$L$1001,MATCH(ROWS($J$2:J795),$J$2:$J$1001,0),0), INDEX($Q$1004:$U$1004,1,MATCH(COLUMNS($Q$1006:T1006),$Q$1006:$U$1006,0)))),"Fix")))</f>
        <v xml:space="preserve"> </v>
      </c>
      <c r="F795" s="3" t="str">
        <f ca="1">IF(OR(INDEX($K$2:$K$1001,MATCH(ROWS($J$2:J795),$J$2:$J$1001,0),1)&gt;=100000,INDEX($Q$1005:$U$1005,1,MATCH(COLUMNS($Q$1006:U1006),$Q$1006:$U$1006,0))&gt;=100000), " ",IF(INDEX($Q$2:$U$1001,MATCH(ROWS($J$2:J795),$J$2:$J$1001,0),MATCH(COLUMNS($Q$1006:U1006),$Q$1006:$U$1006,0)), HYPERLINK("#",""), HYPERLINK(CONCATENATE("#metadata!", ADDRESS(INDEX($L$2:$L$1001,MATCH(ROWS($J$2:J795),$J$2:$J$1001,0),0), INDEX($Q$1004:$U$1004,1,MATCH(COLUMNS($Q$1006:U1006),$Q$1006:$U$1006,0)))),"Fix")))</f>
        <v xml:space="preserve"> </v>
      </c>
      <c r="J795">
        <v>794</v>
      </c>
      <c r="K795">
        <v>100795</v>
      </c>
      <c r="L795">
        <v>795</v>
      </c>
      <c r="M795" t="b">
        <f t="shared" si="12"/>
        <v>1</v>
      </c>
      <c r="N795" t="b">
        <f>COUNTBLANK(metadata!B795:F795)=COLUMNS(metadata!B795:F795)</f>
        <v>1</v>
      </c>
      <c r="O795" t="str">
        <v/>
      </c>
      <c r="Q795" t="b">
        <f ca="1">AND(IF(metadata!B795="",FALSE,TRUE),COUNTIF(metadata!B:B, metadata!B795) = 1,NOT(ISERROR(SUMPRODUCT(SEARCH(MID(metadata!B795,ROW(INDIRECT("1:"&amp;LEN(metadata!B795))), 1),"0123456789abcdefghijklmnopqrstuvwxyzABCDEFGHIJKLMNOPQRSTUVWXYZ.")))))</f>
        <v>0</v>
      </c>
      <c r="R795" t="b">
        <f>AND(IF(metadata!C795="",FALSE,TRUE),OR(EXACT(metadata!C795,"saline"),EXACT(metadata!C795,"non-saline")))</f>
        <v>0</v>
      </c>
      <c r="S795" t="b">
        <f>AND(IF(metadata!D795="",FALSE,TRUE),OR(EXACT(metadata!D795,"surface (non-saline)"),EXACT(metadata!D795,"aerosol (non-saline)"),EXACT(metadata!D795,"sediment (non-saline)"),EXACT(metadata!D795,"surface (saline)"),EXACT(metadata!D795,"aerosol (saline)"),EXACT(metadata!D795,"sediment (saline)")))</f>
        <v>0</v>
      </c>
      <c r="T795" t="b">
        <f>AND(IF(metadata!E795="",FALSE,TRUE),EXACT(metadata!E795,"built environment"))</f>
        <v>0</v>
      </c>
      <c r="U795" t="b">
        <f>OR(AND(IF(metadata!F795="",FALSE,TRUE),EXACT(metadata!F795,"not applicable")),AND(IF(metadata!F795="",FALSE,TRUE),EXACT(metadata!F795,"anaerobic digester content")))</f>
        <v>0</v>
      </c>
    </row>
    <row r="796" spans="1:21" x14ac:dyDescent="0.2">
      <c r="A796" s="4" t="str">
        <f ca="1">IF(B796=" "," ",HYPERLINK(CONCATENATE("#metadata!",ADDRESS(INDEX($L$2:$L$1001,MATCH(ROWS($J$2:J796),$J$2:$J$1001,0),0),1)),INDEX($O$2:$O$1001,MATCH(ROWS($J$2:J796),$J$2:$J$1001,0),0)))</f>
        <v xml:space="preserve"> </v>
      </c>
      <c r="B796" s="3" t="str">
        <f ca="1">IF(OR(INDEX($K$2:$K$1001,MATCH(ROWS($J$2:J796),$J$2:$J$1001,0),1)&gt;=100000,INDEX($Q$1005:$U$1005,1,MATCH(COLUMNS($Q$1006:Q1006),$Q$1006:$U$1006,0))&gt;=100000), " ",IF(INDEX($Q$2:$U$1001,MATCH(ROWS($J$2:J796),$J$2:$J$1001,0),MATCH(COLUMNS($Q$1006:Q1006),$Q$1006:$U$1006,0)), HYPERLINK("#",""), HYPERLINK(CONCATENATE("#metadata!", ADDRESS(INDEX($L$2:$L$1001,MATCH(ROWS($J$2:J796),$J$2:$J$1001,0),0), INDEX($Q$1004:$U$1004,1,MATCH(COLUMNS($Q$1006:Q1006),$Q$1006:$U$1006,0)))),"Fix")))</f>
        <v xml:space="preserve"> </v>
      </c>
      <c r="C796" s="3" t="str">
        <f ca="1">IF(OR(INDEX($K$2:$K$1001,MATCH(ROWS($J$2:J796),$J$2:$J$1001,0),1)&gt;=100000,INDEX($Q$1005:$U$1005,1,MATCH(COLUMNS($Q$1006:R1006),$Q$1006:$U$1006,0))&gt;=100000), " ",IF(INDEX($Q$2:$U$1001,MATCH(ROWS($J$2:J796),$J$2:$J$1001,0),MATCH(COLUMNS($Q$1006:R1006),$Q$1006:$U$1006,0)), HYPERLINK("#",""), HYPERLINK(CONCATENATE("#metadata!", ADDRESS(INDEX($L$2:$L$1001,MATCH(ROWS($J$2:J796),$J$2:$J$1001,0),0), INDEX($Q$1004:$U$1004,1,MATCH(COLUMNS($Q$1006:R1006),$Q$1006:$U$1006,0)))),"Fix")))</f>
        <v xml:space="preserve"> </v>
      </c>
      <c r="D796" s="3" t="str">
        <f ca="1">IF(OR(INDEX($K$2:$K$1001,MATCH(ROWS($J$2:J796),$J$2:$J$1001,0),1)&gt;=100000,INDEX($Q$1005:$U$1005,1,MATCH(COLUMNS($Q$1006:S1006),$Q$1006:$U$1006,0))&gt;=100000), " ",IF(INDEX($Q$2:$U$1001,MATCH(ROWS($J$2:J796),$J$2:$J$1001,0),MATCH(COLUMNS($Q$1006:S1006),$Q$1006:$U$1006,0)), HYPERLINK("#",""), HYPERLINK(CONCATENATE("#metadata!", ADDRESS(INDEX($L$2:$L$1001,MATCH(ROWS($J$2:J796),$J$2:$J$1001,0),0), INDEX($Q$1004:$U$1004,1,MATCH(COLUMNS($Q$1006:S1006),$Q$1006:$U$1006,0)))),"Fix")))</f>
        <v xml:space="preserve"> </v>
      </c>
      <c r="E796" s="3" t="str">
        <f ca="1">IF(OR(INDEX($K$2:$K$1001,MATCH(ROWS($J$2:J796),$J$2:$J$1001,0),1)&gt;=100000,INDEX($Q$1005:$U$1005,1,MATCH(COLUMNS($Q$1006:T1006),$Q$1006:$U$1006,0))&gt;=100000), " ",IF(INDEX($Q$2:$U$1001,MATCH(ROWS($J$2:J796),$J$2:$J$1001,0),MATCH(COLUMNS($Q$1006:T1006),$Q$1006:$U$1006,0)), HYPERLINK("#",""), HYPERLINK(CONCATENATE("#metadata!", ADDRESS(INDEX($L$2:$L$1001,MATCH(ROWS($J$2:J796),$J$2:$J$1001,0),0), INDEX($Q$1004:$U$1004,1,MATCH(COLUMNS($Q$1006:T1006),$Q$1006:$U$1006,0)))),"Fix")))</f>
        <v xml:space="preserve"> </v>
      </c>
      <c r="F796" s="3" t="str">
        <f ca="1">IF(OR(INDEX($K$2:$K$1001,MATCH(ROWS($J$2:J796),$J$2:$J$1001,0),1)&gt;=100000,INDEX($Q$1005:$U$1005,1,MATCH(COLUMNS($Q$1006:U1006),$Q$1006:$U$1006,0))&gt;=100000), " ",IF(INDEX($Q$2:$U$1001,MATCH(ROWS($J$2:J796),$J$2:$J$1001,0),MATCH(COLUMNS($Q$1006:U1006),$Q$1006:$U$1006,0)), HYPERLINK("#",""), HYPERLINK(CONCATENATE("#metadata!", ADDRESS(INDEX($L$2:$L$1001,MATCH(ROWS($J$2:J796),$J$2:$J$1001,0),0), INDEX($Q$1004:$U$1004,1,MATCH(COLUMNS($Q$1006:U1006),$Q$1006:$U$1006,0)))),"Fix")))</f>
        <v xml:space="preserve"> </v>
      </c>
      <c r="J796">
        <v>795</v>
      </c>
      <c r="K796">
        <v>100796</v>
      </c>
      <c r="L796">
        <v>796</v>
      </c>
      <c r="M796" t="b">
        <f t="shared" si="12"/>
        <v>1</v>
      </c>
      <c r="N796" t="b">
        <f>COUNTBLANK(metadata!B796:F796)=COLUMNS(metadata!B796:F796)</f>
        <v>1</v>
      </c>
      <c r="O796" t="str">
        <v/>
      </c>
      <c r="Q796" t="b">
        <f ca="1">AND(IF(metadata!B796="",FALSE,TRUE),COUNTIF(metadata!B:B, metadata!B796) = 1,NOT(ISERROR(SUMPRODUCT(SEARCH(MID(metadata!B796,ROW(INDIRECT("1:"&amp;LEN(metadata!B796))), 1),"0123456789abcdefghijklmnopqrstuvwxyzABCDEFGHIJKLMNOPQRSTUVWXYZ.")))))</f>
        <v>0</v>
      </c>
      <c r="R796" t="b">
        <f>AND(IF(metadata!C796="",FALSE,TRUE),OR(EXACT(metadata!C796,"saline"),EXACT(metadata!C796,"non-saline")))</f>
        <v>0</v>
      </c>
      <c r="S796" t="b">
        <f>AND(IF(metadata!D796="",FALSE,TRUE),OR(EXACT(metadata!D796,"surface (non-saline)"),EXACT(metadata!D796,"aerosol (non-saline)"),EXACT(metadata!D796,"sediment (non-saline)"),EXACT(metadata!D796,"surface (saline)"),EXACT(metadata!D796,"aerosol (saline)"),EXACT(metadata!D796,"sediment (saline)")))</f>
        <v>0</v>
      </c>
      <c r="T796" t="b">
        <f>AND(IF(metadata!E796="",FALSE,TRUE),EXACT(metadata!E796,"built environment"))</f>
        <v>0</v>
      </c>
      <c r="U796" t="b">
        <f>OR(AND(IF(metadata!F796="",FALSE,TRUE),EXACT(metadata!F796,"not applicable")),AND(IF(metadata!F796="",FALSE,TRUE),EXACT(metadata!F796,"anaerobic digester content")))</f>
        <v>0</v>
      </c>
    </row>
    <row r="797" spans="1:21" x14ac:dyDescent="0.2">
      <c r="A797" s="4" t="str">
        <f ca="1">IF(B797=" "," ",HYPERLINK(CONCATENATE("#metadata!",ADDRESS(INDEX($L$2:$L$1001,MATCH(ROWS($J$2:J797),$J$2:$J$1001,0),0),1)),INDEX($O$2:$O$1001,MATCH(ROWS($J$2:J797),$J$2:$J$1001,0),0)))</f>
        <v xml:space="preserve"> </v>
      </c>
      <c r="B797" s="3" t="str">
        <f ca="1">IF(OR(INDEX($K$2:$K$1001,MATCH(ROWS($J$2:J797),$J$2:$J$1001,0),1)&gt;=100000,INDEX($Q$1005:$U$1005,1,MATCH(COLUMNS($Q$1006:Q1006),$Q$1006:$U$1006,0))&gt;=100000), " ",IF(INDEX($Q$2:$U$1001,MATCH(ROWS($J$2:J797),$J$2:$J$1001,0),MATCH(COLUMNS($Q$1006:Q1006),$Q$1006:$U$1006,0)), HYPERLINK("#",""), HYPERLINK(CONCATENATE("#metadata!", ADDRESS(INDEX($L$2:$L$1001,MATCH(ROWS($J$2:J797),$J$2:$J$1001,0),0), INDEX($Q$1004:$U$1004,1,MATCH(COLUMNS($Q$1006:Q1006),$Q$1006:$U$1006,0)))),"Fix")))</f>
        <v xml:space="preserve"> </v>
      </c>
      <c r="C797" s="3" t="str">
        <f ca="1">IF(OR(INDEX($K$2:$K$1001,MATCH(ROWS($J$2:J797),$J$2:$J$1001,0),1)&gt;=100000,INDEX($Q$1005:$U$1005,1,MATCH(COLUMNS($Q$1006:R1006),$Q$1006:$U$1006,0))&gt;=100000), " ",IF(INDEX($Q$2:$U$1001,MATCH(ROWS($J$2:J797),$J$2:$J$1001,0),MATCH(COLUMNS($Q$1006:R1006),$Q$1006:$U$1006,0)), HYPERLINK("#",""), HYPERLINK(CONCATENATE("#metadata!", ADDRESS(INDEX($L$2:$L$1001,MATCH(ROWS($J$2:J797),$J$2:$J$1001,0),0), INDEX($Q$1004:$U$1004,1,MATCH(COLUMNS($Q$1006:R1006),$Q$1006:$U$1006,0)))),"Fix")))</f>
        <v xml:space="preserve"> </v>
      </c>
      <c r="D797" s="3" t="str">
        <f ca="1">IF(OR(INDEX($K$2:$K$1001,MATCH(ROWS($J$2:J797),$J$2:$J$1001,0),1)&gt;=100000,INDEX($Q$1005:$U$1005,1,MATCH(COLUMNS($Q$1006:S1006),$Q$1006:$U$1006,0))&gt;=100000), " ",IF(INDEX($Q$2:$U$1001,MATCH(ROWS($J$2:J797),$J$2:$J$1001,0),MATCH(COLUMNS($Q$1006:S1006),$Q$1006:$U$1006,0)), HYPERLINK("#",""), HYPERLINK(CONCATENATE("#metadata!", ADDRESS(INDEX($L$2:$L$1001,MATCH(ROWS($J$2:J797),$J$2:$J$1001,0),0), INDEX($Q$1004:$U$1004,1,MATCH(COLUMNS($Q$1006:S1006),$Q$1006:$U$1006,0)))),"Fix")))</f>
        <v xml:space="preserve"> </v>
      </c>
      <c r="E797" s="3" t="str">
        <f ca="1">IF(OR(INDEX($K$2:$K$1001,MATCH(ROWS($J$2:J797),$J$2:$J$1001,0),1)&gt;=100000,INDEX($Q$1005:$U$1005,1,MATCH(COLUMNS($Q$1006:T1006),$Q$1006:$U$1006,0))&gt;=100000), " ",IF(INDEX($Q$2:$U$1001,MATCH(ROWS($J$2:J797),$J$2:$J$1001,0),MATCH(COLUMNS($Q$1006:T1006),$Q$1006:$U$1006,0)), HYPERLINK("#",""), HYPERLINK(CONCATENATE("#metadata!", ADDRESS(INDEX($L$2:$L$1001,MATCH(ROWS($J$2:J797),$J$2:$J$1001,0),0), INDEX($Q$1004:$U$1004,1,MATCH(COLUMNS($Q$1006:T1006),$Q$1006:$U$1006,0)))),"Fix")))</f>
        <v xml:space="preserve"> </v>
      </c>
      <c r="F797" s="3" t="str">
        <f ca="1">IF(OR(INDEX($K$2:$K$1001,MATCH(ROWS($J$2:J797),$J$2:$J$1001,0),1)&gt;=100000,INDEX($Q$1005:$U$1005,1,MATCH(COLUMNS($Q$1006:U1006),$Q$1006:$U$1006,0))&gt;=100000), " ",IF(INDEX($Q$2:$U$1001,MATCH(ROWS($J$2:J797),$J$2:$J$1001,0),MATCH(COLUMNS($Q$1006:U1006),$Q$1006:$U$1006,0)), HYPERLINK("#",""), HYPERLINK(CONCATENATE("#metadata!", ADDRESS(INDEX($L$2:$L$1001,MATCH(ROWS($J$2:J797),$J$2:$J$1001,0),0), INDEX($Q$1004:$U$1004,1,MATCH(COLUMNS($Q$1006:U1006),$Q$1006:$U$1006,0)))),"Fix")))</f>
        <v xml:space="preserve"> </v>
      </c>
      <c r="J797">
        <v>796</v>
      </c>
      <c r="K797">
        <v>100797</v>
      </c>
      <c r="L797">
        <v>797</v>
      </c>
      <c r="M797" t="b">
        <f t="shared" si="12"/>
        <v>1</v>
      </c>
      <c r="N797" t="b">
        <f>COUNTBLANK(metadata!B797:F797)=COLUMNS(metadata!B797:F797)</f>
        <v>1</v>
      </c>
      <c r="O797" t="str">
        <v/>
      </c>
      <c r="Q797" t="b">
        <f ca="1">AND(IF(metadata!B797="",FALSE,TRUE),COUNTIF(metadata!B:B, metadata!B797) = 1,NOT(ISERROR(SUMPRODUCT(SEARCH(MID(metadata!B797,ROW(INDIRECT("1:"&amp;LEN(metadata!B797))), 1),"0123456789abcdefghijklmnopqrstuvwxyzABCDEFGHIJKLMNOPQRSTUVWXYZ.")))))</f>
        <v>0</v>
      </c>
      <c r="R797" t="b">
        <f>AND(IF(metadata!C797="",FALSE,TRUE),OR(EXACT(metadata!C797,"saline"),EXACT(metadata!C797,"non-saline")))</f>
        <v>0</v>
      </c>
      <c r="S797" t="b">
        <f>AND(IF(metadata!D797="",FALSE,TRUE),OR(EXACT(metadata!D797,"surface (non-saline)"),EXACT(metadata!D797,"aerosol (non-saline)"),EXACT(metadata!D797,"sediment (non-saline)"),EXACT(metadata!D797,"surface (saline)"),EXACT(metadata!D797,"aerosol (saline)"),EXACT(metadata!D797,"sediment (saline)")))</f>
        <v>0</v>
      </c>
      <c r="T797" t="b">
        <f>AND(IF(metadata!E797="",FALSE,TRUE),EXACT(metadata!E797,"built environment"))</f>
        <v>0</v>
      </c>
      <c r="U797" t="b">
        <f>OR(AND(IF(metadata!F797="",FALSE,TRUE),EXACT(metadata!F797,"not applicable")),AND(IF(metadata!F797="",FALSE,TRUE),EXACT(metadata!F797,"anaerobic digester content")))</f>
        <v>0</v>
      </c>
    </row>
    <row r="798" spans="1:21" x14ac:dyDescent="0.2">
      <c r="A798" s="4" t="str">
        <f ca="1">IF(B798=" "," ",HYPERLINK(CONCATENATE("#metadata!",ADDRESS(INDEX($L$2:$L$1001,MATCH(ROWS($J$2:J798),$J$2:$J$1001,0),0),1)),INDEX($O$2:$O$1001,MATCH(ROWS($J$2:J798),$J$2:$J$1001,0),0)))</f>
        <v xml:space="preserve"> </v>
      </c>
      <c r="B798" s="3" t="str">
        <f ca="1">IF(OR(INDEX($K$2:$K$1001,MATCH(ROWS($J$2:J798),$J$2:$J$1001,0),1)&gt;=100000,INDEX($Q$1005:$U$1005,1,MATCH(COLUMNS($Q$1006:Q1006),$Q$1006:$U$1006,0))&gt;=100000), " ",IF(INDEX($Q$2:$U$1001,MATCH(ROWS($J$2:J798),$J$2:$J$1001,0),MATCH(COLUMNS($Q$1006:Q1006),$Q$1006:$U$1006,0)), HYPERLINK("#",""), HYPERLINK(CONCATENATE("#metadata!", ADDRESS(INDEX($L$2:$L$1001,MATCH(ROWS($J$2:J798),$J$2:$J$1001,0),0), INDEX($Q$1004:$U$1004,1,MATCH(COLUMNS($Q$1006:Q1006),$Q$1006:$U$1006,0)))),"Fix")))</f>
        <v xml:space="preserve"> </v>
      </c>
      <c r="C798" s="3" t="str">
        <f ca="1">IF(OR(INDEX($K$2:$K$1001,MATCH(ROWS($J$2:J798),$J$2:$J$1001,0),1)&gt;=100000,INDEX($Q$1005:$U$1005,1,MATCH(COLUMNS($Q$1006:R1006),$Q$1006:$U$1006,0))&gt;=100000), " ",IF(INDEX($Q$2:$U$1001,MATCH(ROWS($J$2:J798),$J$2:$J$1001,0),MATCH(COLUMNS($Q$1006:R1006),$Q$1006:$U$1006,0)), HYPERLINK("#",""), HYPERLINK(CONCATENATE("#metadata!", ADDRESS(INDEX($L$2:$L$1001,MATCH(ROWS($J$2:J798),$J$2:$J$1001,0),0), INDEX($Q$1004:$U$1004,1,MATCH(COLUMNS($Q$1006:R1006),$Q$1006:$U$1006,0)))),"Fix")))</f>
        <v xml:space="preserve"> </v>
      </c>
      <c r="D798" s="3" t="str">
        <f ca="1">IF(OR(INDEX($K$2:$K$1001,MATCH(ROWS($J$2:J798),$J$2:$J$1001,0),1)&gt;=100000,INDEX($Q$1005:$U$1005,1,MATCH(COLUMNS($Q$1006:S1006),$Q$1006:$U$1006,0))&gt;=100000), " ",IF(INDEX($Q$2:$U$1001,MATCH(ROWS($J$2:J798),$J$2:$J$1001,0),MATCH(COLUMNS($Q$1006:S1006),$Q$1006:$U$1006,0)), HYPERLINK("#",""), HYPERLINK(CONCATENATE("#metadata!", ADDRESS(INDEX($L$2:$L$1001,MATCH(ROWS($J$2:J798),$J$2:$J$1001,0),0), INDEX($Q$1004:$U$1004,1,MATCH(COLUMNS($Q$1006:S1006),$Q$1006:$U$1006,0)))),"Fix")))</f>
        <v xml:space="preserve"> </v>
      </c>
      <c r="E798" s="3" t="str">
        <f ca="1">IF(OR(INDEX($K$2:$K$1001,MATCH(ROWS($J$2:J798),$J$2:$J$1001,0),1)&gt;=100000,INDEX($Q$1005:$U$1005,1,MATCH(COLUMNS($Q$1006:T1006),$Q$1006:$U$1006,0))&gt;=100000), " ",IF(INDEX($Q$2:$U$1001,MATCH(ROWS($J$2:J798),$J$2:$J$1001,0),MATCH(COLUMNS($Q$1006:T1006),$Q$1006:$U$1006,0)), HYPERLINK("#",""), HYPERLINK(CONCATENATE("#metadata!", ADDRESS(INDEX($L$2:$L$1001,MATCH(ROWS($J$2:J798),$J$2:$J$1001,0),0), INDEX($Q$1004:$U$1004,1,MATCH(COLUMNS($Q$1006:T1006),$Q$1006:$U$1006,0)))),"Fix")))</f>
        <v xml:space="preserve"> </v>
      </c>
      <c r="F798" s="3" t="str">
        <f ca="1">IF(OR(INDEX($K$2:$K$1001,MATCH(ROWS($J$2:J798),$J$2:$J$1001,0),1)&gt;=100000,INDEX($Q$1005:$U$1005,1,MATCH(COLUMNS($Q$1006:U1006),$Q$1006:$U$1006,0))&gt;=100000), " ",IF(INDEX($Q$2:$U$1001,MATCH(ROWS($J$2:J798),$J$2:$J$1001,0),MATCH(COLUMNS($Q$1006:U1006),$Q$1006:$U$1006,0)), HYPERLINK("#",""), HYPERLINK(CONCATENATE("#metadata!", ADDRESS(INDEX($L$2:$L$1001,MATCH(ROWS($J$2:J798),$J$2:$J$1001,0),0), INDEX($Q$1004:$U$1004,1,MATCH(COLUMNS($Q$1006:U1006),$Q$1006:$U$1006,0)))),"Fix")))</f>
        <v xml:space="preserve"> </v>
      </c>
      <c r="J798">
        <v>797</v>
      </c>
      <c r="K798">
        <v>100798</v>
      </c>
      <c r="L798">
        <v>798</v>
      </c>
      <c r="M798" t="b">
        <f t="shared" si="12"/>
        <v>1</v>
      </c>
      <c r="N798" t="b">
        <f>COUNTBLANK(metadata!B798:F798)=COLUMNS(metadata!B798:F798)</f>
        <v>1</v>
      </c>
      <c r="O798" t="str">
        <v/>
      </c>
      <c r="Q798" t="b">
        <f ca="1">AND(IF(metadata!B798="",FALSE,TRUE),COUNTIF(metadata!B:B, metadata!B798) = 1,NOT(ISERROR(SUMPRODUCT(SEARCH(MID(metadata!B798,ROW(INDIRECT("1:"&amp;LEN(metadata!B798))), 1),"0123456789abcdefghijklmnopqrstuvwxyzABCDEFGHIJKLMNOPQRSTUVWXYZ.")))))</f>
        <v>0</v>
      </c>
      <c r="R798" t="b">
        <f>AND(IF(metadata!C798="",FALSE,TRUE),OR(EXACT(metadata!C798,"saline"),EXACT(metadata!C798,"non-saline")))</f>
        <v>0</v>
      </c>
      <c r="S798" t="b">
        <f>AND(IF(metadata!D798="",FALSE,TRUE),OR(EXACT(metadata!D798,"surface (non-saline)"),EXACT(metadata!D798,"aerosol (non-saline)"),EXACT(metadata!D798,"sediment (non-saline)"),EXACT(metadata!D798,"surface (saline)"),EXACT(metadata!D798,"aerosol (saline)"),EXACT(metadata!D798,"sediment (saline)")))</f>
        <v>0</v>
      </c>
      <c r="T798" t="b">
        <f>AND(IF(metadata!E798="",FALSE,TRUE),EXACT(metadata!E798,"built environment"))</f>
        <v>0</v>
      </c>
      <c r="U798" t="b">
        <f>OR(AND(IF(metadata!F798="",FALSE,TRUE),EXACT(metadata!F798,"not applicable")),AND(IF(metadata!F798="",FALSE,TRUE),EXACT(metadata!F798,"anaerobic digester content")))</f>
        <v>0</v>
      </c>
    </row>
    <row r="799" spans="1:21" x14ac:dyDescent="0.2">
      <c r="A799" s="4" t="str">
        <f ca="1">IF(B799=" "," ",HYPERLINK(CONCATENATE("#metadata!",ADDRESS(INDEX($L$2:$L$1001,MATCH(ROWS($J$2:J799),$J$2:$J$1001,0),0),1)),INDEX($O$2:$O$1001,MATCH(ROWS($J$2:J799),$J$2:$J$1001,0),0)))</f>
        <v xml:space="preserve"> </v>
      </c>
      <c r="B799" s="3" t="str">
        <f ca="1">IF(OR(INDEX($K$2:$K$1001,MATCH(ROWS($J$2:J799),$J$2:$J$1001,0),1)&gt;=100000,INDEX($Q$1005:$U$1005,1,MATCH(COLUMNS($Q$1006:Q1006),$Q$1006:$U$1006,0))&gt;=100000), " ",IF(INDEX($Q$2:$U$1001,MATCH(ROWS($J$2:J799),$J$2:$J$1001,0),MATCH(COLUMNS($Q$1006:Q1006),$Q$1006:$U$1006,0)), HYPERLINK("#",""), HYPERLINK(CONCATENATE("#metadata!", ADDRESS(INDEX($L$2:$L$1001,MATCH(ROWS($J$2:J799),$J$2:$J$1001,0),0), INDEX($Q$1004:$U$1004,1,MATCH(COLUMNS($Q$1006:Q1006),$Q$1006:$U$1006,0)))),"Fix")))</f>
        <v xml:space="preserve"> </v>
      </c>
      <c r="C799" s="3" t="str">
        <f ca="1">IF(OR(INDEX($K$2:$K$1001,MATCH(ROWS($J$2:J799),$J$2:$J$1001,0),1)&gt;=100000,INDEX($Q$1005:$U$1005,1,MATCH(COLUMNS($Q$1006:R1006),$Q$1006:$U$1006,0))&gt;=100000), " ",IF(INDEX($Q$2:$U$1001,MATCH(ROWS($J$2:J799),$J$2:$J$1001,0),MATCH(COLUMNS($Q$1006:R1006),$Q$1006:$U$1006,0)), HYPERLINK("#",""), HYPERLINK(CONCATENATE("#metadata!", ADDRESS(INDEX($L$2:$L$1001,MATCH(ROWS($J$2:J799),$J$2:$J$1001,0),0), INDEX($Q$1004:$U$1004,1,MATCH(COLUMNS($Q$1006:R1006),$Q$1006:$U$1006,0)))),"Fix")))</f>
        <v xml:space="preserve"> </v>
      </c>
      <c r="D799" s="3" t="str">
        <f ca="1">IF(OR(INDEX($K$2:$K$1001,MATCH(ROWS($J$2:J799),$J$2:$J$1001,0),1)&gt;=100000,INDEX($Q$1005:$U$1005,1,MATCH(COLUMNS($Q$1006:S1006),$Q$1006:$U$1006,0))&gt;=100000), " ",IF(INDEX($Q$2:$U$1001,MATCH(ROWS($J$2:J799),$J$2:$J$1001,0),MATCH(COLUMNS($Q$1006:S1006),$Q$1006:$U$1006,0)), HYPERLINK("#",""), HYPERLINK(CONCATENATE("#metadata!", ADDRESS(INDEX($L$2:$L$1001,MATCH(ROWS($J$2:J799),$J$2:$J$1001,0),0), INDEX($Q$1004:$U$1004,1,MATCH(COLUMNS($Q$1006:S1006),$Q$1006:$U$1006,0)))),"Fix")))</f>
        <v xml:space="preserve"> </v>
      </c>
      <c r="E799" s="3" t="str">
        <f ca="1">IF(OR(INDEX($K$2:$K$1001,MATCH(ROWS($J$2:J799),$J$2:$J$1001,0),1)&gt;=100000,INDEX($Q$1005:$U$1005,1,MATCH(COLUMNS($Q$1006:T1006),$Q$1006:$U$1006,0))&gt;=100000), " ",IF(INDEX($Q$2:$U$1001,MATCH(ROWS($J$2:J799),$J$2:$J$1001,0),MATCH(COLUMNS($Q$1006:T1006),$Q$1006:$U$1006,0)), HYPERLINK("#",""), HYPERLINK(CONCATENATE("#metadata!", ADDRESS(INDEX($L$2:$L$1001,MATCH(ROWS($J$2:J799),$J$2:$J$1001,0),0), INDEX($Q$1004:$U$1004,1,MATCH(COLUMNS($Q$1006:T1006),$Q$1006:$U$1006,0)))),"Fix")))</f>
        <v xml:space="preserve"> </v>
      </c>
      <c r="F799" s="3" t="str">
        <f ca="1">IF(OR(INDEX($K$2:$K$1001,MATCH(ROWS($J$2:J799),$J$2:$J$1001,0),1)&gt;=100000,INDEX($Q$1005:$U$1005,1,MATCH(COLUMNS($Q$1006:U1006),$Q$1006:$U$1006,0))&gt;=100000), " ",IF(INDEX($Q$2:$U$1001,MATCH(ROWS($J$2:J799),$J$2:$J$1001,0),MATCH(COLUMNS($Q$1006:U1006),$Q$1006:$U$1006,0)), HYPERLINK("#",""), HYPERLINK(CONCATENATE("#metadata!", ADDRESS(INDEX($L$2:$L$1001,MATCH(ROWS($J$2:J799),$J$2:$J$1001,0),0), INDEX($Q$1004:$U$1004,1,MATCH(COLUMNS($Q$1006:U1006),$Q$1006:$U$1006,0)))),"Fix")))</f>
        <v xml:space="preserve"> </v>
      </c>
      <c r="J799">
        <v>798</v>
      </c>
      <c r="K799">
        <v>100799</v>
      </c>
      <c r="L799">
        <v>799</v>
      </c>
      <c r="M799" t="b">
        <f t="shared" si="12"/>
        <v>1</v>
      </c>
      <c r="N799" t="b">
        <f>COUNTBLANK(metadata!B799:F799)=COLUMNS(metadata!B799:F799)</f>
        <v>1</v>
      </c>
      <c r="O799" t="str">
        <v/>
      </c>
      <c r="Q799" t="b">
        <f ca="1">AND(IF(metadata!B799="",FALSE,TRUE),COUNTIF(metadata!B:B, metadata!B799) = 1,NOT(ISERROR(SUMPRODUCT(SEARCH(MID(metadata!B799,ROW(INDIRECT("1:"&amp;LEN(metadata!B799))), 1),"0123456789abcdefghijklmnopqrstuvwxyzABCDEFGHIJKLMNOPQRSTUVWXYZ.")))))</f>
        <v>0</v>
      </c>
      <c r="R799" t="b">
        <f>AND(IF(metadata!C799="",FALSE,TRUE),OR(EXACT(metadata!C799,"saline"),EXACT(metadata!C799,"non-saline")))</f>
        <v>0</v>
      </c>
      <c r="S799" t="b">
        <f>AND(IF(metadata!D799="",FALSE,TRUE),OR(EXACT(metadata!D799,"surface (non-saline)"),EXACT(metadata!D799,"aerosol (non-saline)"),EXACT(metadata!D799,"sediment (non-saline)"),EXACT(metadata!D799,"surface (saline)"),EXACT(metadata!D799,"aerosol (saline)"),EXACT(metadata!D799,"sediment (saline)")))</f>
        <v>0</v>
      </c>
      <c r="T799" t="b">
        <f>AND(IF(metadata!E799="",FALSE,TRUE),EXACT(metadata!E799,"built environment"))</f>
        <v>0</v>
      </c>
      <c r="U799" t="b">
        <f>OR(AND(IF(metadata!F799="",FALSE,TRUE),EXACT(metadata!F799,"not applicable")),AND(IF(metadata!F799="",FALSE,TRUE),EXACT(metadata!F799,"anaerobic digester content")))</f>
        <v>0</v>
      </c>
    </row>
    <row r="800" spans="1:21" x14ac:dyDescent="0.2">
      <c r="A800" s="4" t="str">
        <f ca="1">IF(B800=" "," ",HYPERLINK(CONCATENATE("#metadata!",ADDRESS(INDEX($L$2:$L$1001,MATCH(ROWS($J$2:J800),$J$2:$J$1001,0),0),1)),INDEX($O$2:$O$1001,MATCH(ROWS($J$2:J800),$J$2:$J$1001,0),0)))</f>
        <v xml:space="preserve"> </v>
      </c>
      <c r="B800" s="3" t="str">
        <f ca="1">IF(OR(INDEX($K$2:$K$1001,MATCH(ROWS($J$2:J800),$J$2:$J$1001,0),1)&gt;=100000,INDEX($Q$1005:$U$1005,1,MATCH(COLUMNS($Q$1006:Q1006),$Q$1006:$U$1006,0))&gt;=100000), " ",IF(INDEX($Q$2:$U$1001,MATCH(ROWS($J$2:J800),$J$2:$J$1001,0),MATCH(COLUMNS($Q$1006:Q1006),$Q$1006:$U$1006,0)), HYPERLINK("#",""), HYPERLINK(CONCATENATE("#metadata!", ADDRESS(INDEX($L$2:$L$1001,MATCH(ROWS($J$2:J800),$J$2:$J$1001,0),0), INDEX($Q$1004:$U$1004,1,MATCH(COLUMNS($Q$1006:Q1006),$Q$1006:$U$1006,0)))),"Fix")))</f>
        <v xml:space="preserve"> </v>
      </c>
      <c r="C800" s="3" t="str">
        <f ca="1">IF(OR(INDEX($K$2:$K$1001,MATCH(ROWS($J$2:J800),$J$2:$J$1001,0),1)&gt;=100000,INDEX($Q$1005:$U$1005,1,MATCH(COLUMNS($Q$1006:R1006),$Q$1006:$U$1006,0))&gt;=100000), " ",IF(INDEX($Q$2:$U$1001,MATCH(ROWS($J$2:J800),$J$2:$J$1001,0),MATCH(COLUMNS($Q$1006:R1006),$Q$1006:$U$1006,0)), HYPERLINK("#",""), HYPERLINK(CONCATENATE("#metadata!", ADDRESS(INDEX($L$2:$L$1001,MATCH(ROWS($J$2:J800),$J$2:$J$1001,0),0), INDEX($Q$1004:$U$1004,1,MATCH(COLUMNS($Q$1006:R1006),$Q$1006:$U$1006,0)))),"Fix")))</f>
        <v xml:space="preserve"> </v>
      </c>
      <c r="D800" s="3" t="str">
        <f ca="1">IF(OR(INDEX($K$2:$K$1001,MATCH(ROWS($J$2:J800),$J$2:$J$1001,0),1)&gt;=100000,INDEX($Q$1005:$U$1005,1,MATCH(COLUMNS($Q$1006:S1006),$Q$1006:$U$1006,0))&gt;=100000), " ",IF(INDEX($Q$2:$U$1001,MATCH(ROWS($J$2:J800),$J$2:$J$1001,0),MATCH(COLUMNS($Q$1006:S1006),$Q$1006:$U$1006,0)), HYPERLINK("#",""), HYPERLINK(CONCATENATE("#metadata!", ADDRESS(INDEX($L$2:$L$1001,MATCH(ROWS($J$2:J800),$J$2:$J$1001,0),0), INDEX($Q$1004:$U$1004,1,MATCH(COLUMNS($Q$1006:S1006),$Q$1006:$U$1006,0)))),"Fix")))</f>
        <v xml:space="preserve"> </v>
      </c>
      <c r="E800" s="3" t="str">
        <f ca="1">IF(OR(INDEX($K$2:$K$1001,MATCH(ROWS($J$2:J800),$J$2:$J$1001,0),1)&gt;=100000,INDEX($Q$1005:$U$1005,1,MATCH(COLUMNS($Q$1006:T1006),$Q$1006:$U$1006,0))&gt;=100000), " ",IF(INDEX($Q$2:$U$1001,MATCH(ROWS($J$2:J800),$J$2:$J$1001,0),MATCH(COLUMNS($Q$1006:T1006),$Q$1006:$U$1006,0)), HYPERLINK("#",""), HYPERLINK(CONCATENATE("#metadata!", ADDRESS(INDEX($L$2:$L$1001,MATCH(ROWS($J$2:J800),$J$2:$J$1001,0),0), INDEX($Q$1004:$U$1004,1,MATCH(COLUMNS($Q$1006:T1006),$Q$1006:$U$1006,0)))),"Fix")))</f>
        <v xml:space="preserve"> </v>
      </c>
      <c r="F800" s="3" t="str">
        <f ca="1">IF(OR(INDEX($K$2:$K$1001,MATCH(ROWS($J$2:J800),$J$2:$J$1001,0),1)&gt;=100000,INDEX($Q$1005:$U$1005,1,MATCH(COLUMNS($Q$1006:U1006),$Q$1006:$U$1006,0))&gt;=100000), " ",IF(INDEX($Q$2:$U$1001,MATCH(ROWS($J$2:J800),$J$2:$J$1001,0),MATCH(COLUMNS($Q$1006:U1006),$Q$1006:$U$1006,0)), HYPERLINK("#",""), HYPERLINK(CONCATENATE("#metadata!", ADDRESS(INDEX($L$2:$L$1001,MATCH(ROWS($J$2:J800),$J$2:$J$1001,0),0), INDEX($Q$1004:$U$1004,1,MATCH(COLUMNS($Q$1006:U1006),$Q$1006:$U$1006,0)))),"Fix")))</f>
        <v xml:space="preserve"> </v>
      </c>
      <c r="J800">
        <v>799</v>
      </c>
      <c r="K800">
        <v>100800</v>
      </c>
      <c r="L800">
        <v>800</v>
      </c>
      <c r="M800" t="b">
        <f t="shared" si="12"/>
        <v>1</v>
      </c>
      <c r="N800" t="b">
        <f>COUNTBLANK(metadata!B800:F800)=COLUMNS(metadata!B800:F800)</f>
        <v>1</v>
      </c>
      <c r="O800" t="str">
        <v/>
      </c>
      <c r="Q800" t="b">
        <f ca="1">AND(IF(metadata!B800="",FALSE,TRUE),COUNTIF(metadata!B:B, metadata!B800) = 1,NOT(ISERROR(SUMPRODUCT(SEARCH(MID(metadata!B800,ROW(INDIRECT("1:"&amp;LEN(metadata!B800))), 1),"0123456789abcdefghijklmnopqrstuvwxyzABCDEFGHIJKLMNOPQRSTUVWXYZ.")))))</f>
        <v>0</v>
      </c>
      <c r="R800" t="b">
        <f>AND(IF(metadata!C800="",FALSE,TRUE),OR(EXACT(metadata!C800,"saline"),EXACT(metadata!C800,"non-saline")))</f>
        <v>0</v>
      </c>
      <c r="S800" t="b">
        <f>AND(IF(metadata!D800="",FALSE,TRUE),OR(EXACT(metadata!D800,"surface (non-saline)"),EXACT(metadata!D800,"aerosol (non-saline)"),EXACT(metadata!D800,"sediment (non-saline)"),EXACT(metadata!D800,"surface (saline)"),EXACT(metadata!D800,"aerosol (saline)"),EXACT(metadata!D800,"sediment (saline)")))</f>
        <v>0</v>
      </c>
      <c r="T800" t="b">
        <f>AND(IF(metadata!E800="",FALSE,TRUE),EXACT(metadata!E800,"built environment"))</f>
        <v>0</v>
      </c>
      <c r="U800" t="b">
        <f>OR(AND(IF(metadata!F800="",FALSE,TRUE),EXACT(metadata!F800,"not applicable")),AND(IF(metadata!F800="",FALSE,TRUE),EXACT(metadata!F800,"anaerobic digester content")))</f>
        <v>0</v>
      </c>
    </row>
    <row r="801" spans="1:21" x14ac:dyDescent="0.2">
      <c r="A801" s="4" t="str">
        <f ca="1">IF(B801=" "," ",HYPERLINK(CONCATENATE("#metadata!",ADDRESS(INDEX($L$2:$L$1001,MATCH(ROWS($J$2:J801),$J$2:$J$1001,0),0),1)),INDEX($O$2:$O$1001,MATCH(ROWS($J$2:J801),$J$2:$J$1001,0),0)))</f>
        <v xml:space="preserve"> </v>
      </c>
      <c r="B801" s="3" t="str">
        <f ca="1">IF(OR(INDEX($K$2:$K$1001,MATCH(ROWS($J$2:J801),$J$2:$J$1001,0),1)&gt;=100000,INDEX($Q$1005:$U$1005,1,MATCH(COLUMNS($Q$1006:Q1006),$Q$1006:$U$1006,0))&gt;=100000), " ",IF(INDEX($Q$2:$U$1001,MATCH(ROWS($J$2:J801),$J$2:$J$1001,0),MATCH(COLUMNS($Q$1006:Q1006),$Q$1006:$U$1006,0)), HYPERLINK("#",""), HYPERLINK(CONCATENATE("#metadata!", ADDRESS(INDEX($L$2:$L$1001,MATCH(ROWS($J$2:J801),$J$2:$J$1001,0),0), INDEX($Q$1004:$U$1004,1,MATCH(COLUMNS($Q$1006:Q1006),$Q$1006:$U$1006,0)))),"Fix")))</f>
        <v xml:space="preserve"> </v>
      </c>
      <c r="C801" s="3" t="str">
        <f ca="1">IF(OR(INDEX($K$2:$K$1001,MATCH(ROWS($J$2:J801),$J$2:$J$1001,0),1)&gt;=100000,INDEX($Q$1005:$U$1005,1,MATCH(COLUMNS($Q$1006:R1006),$Q$1006:$U$1006,0))&gt;=100000), " ",IF(INDEX($Q$2:$U$1001,MATCH(ROWS($J$2:J801),$J$2:$J$1001,0),MATCH(COLUMNS($Q$1006:R1006),$Q$1006:$U$1006,0)), HYPERLINK("#",""), HYPERLINK(CONCATENATE("#metadata!", ADDRESS(INDEX($L$2:$L$1001,MATCH(ROWS($J$2:J801),$J$2:$J$1001,0),0), INDEX($Q$1004:$U$1004,1,MATCH(COLUMNS($Q$1006:R1006),$Q$1006:$U$1006,0)))),"Fix")))</f>
        <v xml:space="preserve"> </v>
      </c>
      <c r="D801" s="3" t="str">
        <f ca="1">IF(OR(INDEX($K$2:$K$1001,MATCH(ROWS($J$2:J801),$J$2:$J$1001,0),1)&gt;=100000,INDEX($Q$1005:$U$1005,1,MATCH(COLUMNS($Q$1006:S1006),$Q$1006:$U$1006,0))&gt;=100000), " ",IF(INDEX($Q$2:$U$1001,MATCH(ROWS($J$2:J801),$J$2:$J$1001,0),MATCH(COLUMNS($Q$1006:S1006),$Q$1006:$U$1006,0)), HYPERLINK("#",""), HYPERLINK(CONCATENATE("#metadata!", ADDRESS(INDEX($L$2:$L$1001,MATCH(ROWS($J$2:J801),$J$2:$J$1001,0),0), INDEX($Q$1004:$U$1004,1,MATCH(COLUMNS($Q$1006:S1006),$Q$1006:$U$1006,0)))),"Fix")))</f>
        <v xml:space="preserve"> </v>
      </c>
      <c r="E801" s="3" t="str">
        <f ca="1">IF(OR(INDEX($K$2:$K$1001,MATCH(ROWS($J$2:J801),$J$2:$J$1001,0),1)&gt;=100000,INDEX($Q$1005:$U$1005,1,MATCH(COLUMNS($Q$1006:T1006),$Q$1006:$U$1006,0))&gt;=100000), " ",IF(INDEX($Q$2:$U$1001,MATCH(ROWS($J$2:J801),$J$2:$J$1001,0),MATCH(COLUMNS($Q$1006:T1006),$Q$1006:$U$1006,0)), HYPERLINK("#",""), HYPERLINK(CONCATENATE("#metadata!", ADDRESS(INDEX($L$2:$L$1001,MATCH(ROWS($J$2:J801),$J$2:$J$1001,0),0), INDEX($Q$1004:$U$1004,1,MATCH(COLUMNS($Q$1006:T1006),$Q$1006:$U$1006,0)))),"Fix")))</f>
        <v xml:space="preserve"> </v>
      </c>
      <c r="F801" s="3" t="str">
        <f ca="1">IF(OR(INDEX($K$2:$K$1001,MATCH(ROWS($J$2:J801),$J$2:$J$1001,0),1)&gt;=100000,INDEX($Q$1005:$U$1005,1,MATCH(COLUMNS($Q$1006:U1006),$Q$1006:$U$1006,0))&gt;=100000), " ",IF(INDEX($Q$2:$U$1001,MATCH(ROWS($J$2:J801),$J$2:$J$1001,0),MATCH(COLUMNS($Q$1006:U1006),$Q$1006:$U$1006,0)), HYPERLINK("#",""), HYPERLINK(CONCATENATE("#metadata!", ADDRESS(INDEX($L$2:$L$1001,MATCH(ROWS($J$2:J801),$J$2:$J$1001,0),0), INDEX($Q$1004:$U$1004,1,MATCH(COLUMNS($Q$1006:U1006),$Q$1006:$U$1006,0)))),"Fix")))</f>
        <v xml:space="preserve"> </v>
      </c>
      <c r="J801">
        <v>800</v>
      </c>
      <c r="K801">
        <v>100801</v>
      </c>
      <c r="L801">
        <v>801</v>
      </c>
      <c r="M801" t="b">
        <f t="shared" si="12"/>
        <v>1</v>
      </c>
      <c r="N801" t="b">
        <f>COUNTBLANK(metadata!B801:F801)=COLUMNS(metadata!B801:F801)</f>
        <v>1</v>
      </c>
      <c r="O801" t="str">
        <v/>
      </c>
      <c r="Q801" t="b">
        <f ca="1">AND(IF(metadata!B801="",FALSE,TRUE),COUNTIF(metadata!B:B, metadata!B801) = 1,NOT(ISERROR(SUMPRODUCT(SEARCH(MID(metadata!B801,ROW(INDIRECT("1:"&amp;LEN(metadata!B801))), 1),"0123456789abcdefghijklmnopqrstuvwxyzABCDEFGHIJKLMNOPQRSTUVWXYZ.")))))</f>
        <v>0</v>
      </c>
      <c r="R801" t="b">
        <f>AND(IF(metadata!C801="",FALSE,TRUE),OR(EXACT(metadata!C801,"saline"),EXACT(metadata!C801,"non-saline")))</f>
        <v>0</v>
      </c>
      <c r="S801" t="b">
        <f>AND(IF(metadata!D801="",FALSE,TRUE),OR(EXACT(metadata!D801,"surface (non-saline)"),EXACT(metadata!D801,"aerosol (non-saline)"),EXACT(metadata!D801,"sediment (non-saline)"),EXACT(metadata!D801,"surface (saline)"),EXACT(metadata!D801,"aerosol (saline)"),EXACT(metadata!D801,"sediment (saline)")))</f>
        <v>0</v>
      </c>
      <c r="T801" t="b">
        <f>AND(IF(metadata!E801="",FALSE,TRUE),EXACT(metadata!E801,"built environment"))</f>
        <v>0</v>
      </c>
      <c r="U801" t="b">
        <f>OR(AND(IF(metadata!F801="",FALSE,TRUE),EXACT(metadata!F801,"not applicable")),AND(IF(metadata!F801="",FALSE,TRUE),EXACT(metadata!F801,"anaerobic digester content")))</f>
        <v>0</v>
      </c>
    </row>
    <row r="802" spans="1:21" x14ac:dyDescent="0.2">
      <c r="A802" s="4" t="str">
        <f ca="1">IF(B802=" "," ",HYPERLINK(CONCATENATE("#metadata!",ADDRESS(INDEX($L$2:$L$1001,MATCH(ROWS($J$2:J802),$J$2:$J$1001,0),0),1)),INDEX($O$2:$O$1001,MATCH(ROWS($J$2:J802),$J$2:$J$1001,0),0)))</f>
        <v xml:space="preserve"> </v>
      </c>
      <c r="B802" s="3" t="str">
        <f ca="1">IF(OR(INDEX($K$2:$K$1001,MATCH(ROWS($J$2:J802),$J$2:$J$1001,0),1)&gt;=100000,INDEX($Q$1005:$U$1005,1,MATCH(COLUMNS($Q$1006:Q1006),$Q$1006:$U$1006,0))&gt;=100000), " ",IF(INDEX($Q$2:$U$1001,MATCH(ROWS($J$2:J802),$J$2:$J$1001,0),MATCH(COLUMNS($Q$1006:Q1006),$Q$1006:$U$1006,0)), HYPERLINK("#",""), HYPERLINK(CONCATENATE("#metadata!", ADDRESS(INDEX($L$2:$L$1001,MATCH(ROWS($J$2:J802),$J$2:$J$1001,0),0), INDEX($Q$1004:$U$1004,1,MATCH(COLUMNS($Q$1006:Q1006),$Q$1006:$U$1006,0)))),"Fix")))</f>
        <v xml:space="preserve"> </v>
      </c>
      <c r="C802" s="3" t="str">
        <f ca="1">IF(OR(INDEX($K$2:$K$1001,MATCH(ROWS($J$2:J802),$J$2:$J$1001,0),1)&gt;=100000,INDEX($Q$1005:$U$1005,1,MATCH(COLUMNS($Q$1006:R1006),$Q$1006:$U$1006,0))&gt;=100000), " ",IF(INDEX($Q$2:$U$1001,MATCH(ROWS($J$2:J802),$J$2:$J$1001,0),MATCH(COLUMNS($Q$1006:R1006),$Q$1006:$U$1006,0)), HYPERLINK("#",""), HYPERLINK(CONCATENATE("#metadata!", ADDRESS(INDEX($L$2:$L$1001,MATCH(ROWS($J$2:J802),$J$2:$J$1001,0),0), INDEX($Q$1004:$U$1004,1,MATCH(COLUMNS($Q$1006:R1006),$Q$1006:$U$1006,0)))),"Fix")))</f>
        <v xml:space="preserve"> </v>
      </c>
      <c r="D802" s="3" t="str">
        <f ca="1">IF(OR(INDEX($K$2:$K$1001,MATCH(ROWS($J$2:J802),$J$2:$J$1001,0),1)&gt;=100000,INDEX($Q$1005:$U$1005,1,MATCH(COLUMNS($Q$1006:S1006),$Q$1006:$U$1006,0))&gt;=100000), " ",IF(INDEX($Q$2:$U$1001,MATCH(ROWS($J$2:J802),$J$2:$J$1001,0),MATCH(COLUMNS($Q$1006:S1006),$Q$1006:$U$1006,0)), HYPERLINK("#",""), HYPERLINK(CONCATENATE("#metadata!", ADDRESS(INDEX($L$2:$L$1001,MATCH(ROWS($J$2:J802),$J$2:$J$1001,0),0), INDEX($Q$1004:$U$1004,1,MATCH(COLUMNS($Q$1006:S1006),$Q$1006:$U$1006,0)))),"Fix")))</f>
        <v xml:space="preserve"> </v>
      </c>
      <c r="E802" s="3" t="str">
        <f ca="1">IF(OR(INDEX($K$2:$K$1001,MATCH(ROWS($J$2:J802),$J$2:$J$1001,0),1)&gt;=100000,INDEX($Q$1005:$U$1005,1,MATCH(COLUMNS($Q$1006:T1006),$Q$1006:$U$1006,0))&gt;=100000), " ",IF(INDEX($Q$2:$U$1001,MATCH(ROWS($J$2:J802),$J$2:$J$1001,0),MATCH(COLUMNS($Q$1006:T1006),$Q$1006:$U$1006,0)), HYPERLINK("#",""), HYPERLINK(CONCATENATE("#metadata!", ADDRESS(INDEX($L$2:$L$1001,MATCH(ROWS($J$2:J802),$J$2:$J$1001,0),0), INDEX($Q$1004:$U$1004,1,MATCH(COLUMNS($Q$1006:T1006),$Q$1006:$U$1006,0)))),"Fix")))</f>
        <v xml:space="preserve"> </v>
      </c>
      <c r="F802" s="3" t="str">
        <f ca="1">IF(OR(INDEX($K$2:$K$1001,MATCH(ROWS($J$2:J802),$J$2:$J$1001,0),1)&gt;=100000,INDEX($Q$1005:$U$1005,1,MATCH(COLUMNS($Q$1006:U1006),$Q$1006:$U$1006,0))&gt;=100000), " ",IF(INDEX($Q$2:$U$1001,MATCH(ROWS($J$2:J802),$J$2:$J$1001,0),MATCH(COLUMNS($Q$1006:U1006),$Q$1006:$U$1006,0)), HYPERLINK("#",""), HYPERLINK(CONCATENATE("#metadata!", ADDRESS(INDEX($L$2:$L$1001,MATCH(ROWS($J$2:J802),$J$2:$J$1001,0),0), INDEX($Q$1004:$U$1004,1,MATCH(COLUMNS($Q$1006:U1006),$Q$1006:$U$1006,0)))),"Fix")))</f>
        <v xml:space="preserve"> </v>
      </c>
      <c r="J802">
        <v>801</v>
      </c>
      <c r="K802">
        <v>100802</v>
      </c>
      <c r="L802">
        <v>802</v>
      </c>
      <c r="M802" t="b">
        <f t="shared" si="12"/>
        <v>1</v>
      </c>
      <c r="N802" t="b">
        <f>COUNTBLANK(metadata!B802:F802)=COLUMNS(metadata!B802:F802)</f>
        <v>1</v>
      </c>
      <c r="O802" t="str">
        <v/>
      </c>
      <c r="Q802" t="b">
        <f ca="1">AND(IF(metadata!B802="",FALSE,TRUE),COUNTIF(metadata!B:B, metadata!B802) = 1,NOT(ISERROR(SUMPRODUCT(SEARCH(MID(metadata!B802,ROW(INDIRECT("1:"&amp;LEN(metadata!B802))), 1),"0123456789abcdefghijklmnopqrstuvwxyzABCDEFGHIJKLMNOPQRSTUVWXYZ.")))))</f>
        <v>0</v>
      </c>
      <c r="R802" t="b">
        <f>AND(IF(metadata!C802="",FALSE,TRUE),OR(EXACT(metadata!C802,"saline"),EXACT(metadata!C802,"non-saline")))</f>
        <v>0</v>
      </c>
      <c r="S802" t="b">
        <f>AND(IF(metadata!D802="",FALSE,TRUE),OR(EXACT(metadata!D802,"surface (non-saline)"),EXACT(metadata!D802,"aerosol (non-saline)"),EXACT(metadata!D802,"sediment (non-saline)"),EXACT(metadata!D802,"surface (saline)"),EXACT(metadata!D802,"aerosol (saline)"),EXACT(metadata!D802,"sediment (saline)")))</f>
        <v>0</v>
      </c>
      <c r="T802" t="b">
        <f>AND(IF(metadata!E802="",FALSE,TRUE),EXACT(metadata!E802,"built environment"))</f>
        <v>0</v>
      </c>
      <c r="U802" t="b">
        <f>OR(AND(IF(metadata!F802="",FALSE,TRUE),EXACT(metadata!F802,"not applicable")),AND(IF(metadata!F802="",FALSE,TRUE),EXACT(metadata!F802,"anaerobic digester content")))</f>
        <v>0</v>
      </c>
    </row>
    <row r="803" spans="1:21" x14ac:dyDescent="0.2">
      <c r="A803" s="4" t="str">
        <f ca="1">IF(B803=" "," ",HYPERLINK(CONCATENATE("#metadata!",ADDRESS(INDEX($L$2:$L$1001,MATCH(ROWS($J$2:J803),$J$2:$J$1001,0),0),1)),INDEX($O$2:$O$1001,MATCH(ROWS($J$2:J803),$J$2:$J$1001,0),0)))</f>
        <v xml:space="preserve"> </v>
      </c>
      <c r="B803" s="3" t="str">
        <f ca="1">IF(OR(INDEX($K$2:$K$1001,MATCH(ROWS($J$2:J803),$J$2:$J$1001,0),1)&gt;=100000,INDEX($Q$1005:$U$1005,1,MATCH(COLUMNS($Q$1006:Q1006),$Q$1006:$U$1006,0))&gt;=100000), " ",IF(INDEX($Q$2:$U$1001,MATCH(ROWS($J$2:J803),$J$2:$J$1001,0),MATCH(COLUMNS($Q$1006:Q1006),$Q$1006:$U$1006,0)), HYPERLINK("#",""), HYPERLINK(CONCATENATE("#metadata!", ADDRESS(INDEX($L$2:$L$1001,MATCH(ROWS($J$2:J803),$J$2:$J$1001,0),0), INDEX($Q$1004:$U$1004,1,MATCH(COLUMNS($Q$1006:Q1006),$Q$1006:$U$1006,0)))),"Fix")))</f>
        <v xml:space="preserve"> </v>
      </c>
      <c r="C803" s="3" t="str">
        <f ca="1">IF(OR(INDEX($K$2:$K$1001,MATCH(ROWS($J$2:J803),$J$2:$J$1001,0),1)&gt;=100000,INDEX($Q$1005:$U$1005,1,MATCH(COLUMNS($Q$1006:R1006),$Q$1006:$U$1006,0))&gt;=100000), " ",IF(INDEX($Q$2:$U$1001,MATCH(ROWS($J$2:J803),$J$2:$J$1001,0),MATCH(COLUMNS($Q$1006:R1006),$Q$1006:$U$1006,0)), HYPERLINK("#",""), HYPERLINK(CONCATENATE("#metadata!", ADDRESS(INDEX($L$2:$L$1001,MATCH(ROWS($J$2:J803),$J$2:$J$1001,0),0), INDEX($Q$1004:$U$1004,1,MATCH(COLUMNS($Q$1006:R1006),$Q$1006:$U$1006,0)))),"Fix")))</f>
        <v xml:space="preserve"> </v>
      </c>
      <c r="D803" s="3" t="str">
        <f ca="1">IF(OR(INDEX($K$2:$K$1001,MATCH(ROWS($J$2:J803),$J$2:$J$1001,0),1)&gt;=100000,INDEX($Q$1005:$U$1005,1,MATCH(COLUMNS($Q$1006:S1006),$Q$1006:$U$1006,0))&gt;=100000), " ",IF(INDEX($Q$2:$U$1001,MATCH(ROWS($J$2:J803),$J$2:$J$1001,0),MATCH(COLUMNS($Q$1006:S1006),$Q$1006:$U$1006,0)), HYPERLINK("#",""), HYPERLINK(CONCATENATE("#metadata!", ADDRESS(INDEX($L$2:$L$1001,MATCH(ROWS($J$2:J803),$J$2:$J$1001,0),0), INDEX($Q$1004:$U$1004,1,MATCH(COLUMNS($Q$1006:S1006),$Q$1006:$U$1006,0)))),"Fix")))</f>
        <v xml:space="preserve"> </v>
      </c>
      <c r="E803" s="3" t="str">
        <f ca="1">IF(OR(INDEX($K$2:$K$1001,MATCH(ROWS($J$2:J803),$J$2:$J$1001,0),1)&gt;=100000,INDEX($Q$1005:$U$1005,1,MATCH(COLUMNS($Q$1006:T1006),$Q$1006:$U$1006,0))&gt;=100000), " ",IF(INDEX($Q$2:$U$1001,MATCH(ROWS($J$2:J803),$J$2:$J$1001,0),MATCH(COLUMNS($Q$1006:T1006),$Q$1006:$U$1006,0)), HYPERLINK("#",""), HYPERLINK(CONCATENATE("#metadata!", ADDRESS(INDEX($L$2:$L$1001,MATCH(ROWS($J$2:J803),$J$2:$J$1001,0),0), INDEX($Q$1004:$U$1004,1,MATCH(COLUMNS($Q$1006:T1006),$Q$1006:$U$1006,0)))),"Fix")))</f>
        <v xml:space="preserve"> </v>
      </c>
      <c r="F803" s="3" t="str">
        <f ca="1">IF(OR(INDEX($K$2:$K$1001,MATCH(ROWS($J$2:J803),$J$2:$J$1001,0),1)&gt;=100000,INDEX($Q$1005:$U$1005,1,MATCH(COLUMNS($Q$1006:U1006),$Q$1006:$U$1006,0))&gt;=100000), " ",IF(INDEX($Q$2:$U$1001,MATCH(ROWS($J$2:J803),$J$2:$J$1001,0),MATCH(COLUMNS($Q$1006:U1006),$Q$1006:$U$1006,0)), HYPERLINK("#",""), HYPERLINK(CONCATENATE("#metadata!", ADDRESS(INDEX($L$2:$L$1001,MATCH(ROWS($J$2:J803),$J$2:$J$1001,0),0), INDEX($Q$1004:$U$1004,1,MATCH(COLUMNS($Q$1006:U1006),$Q$1006:$U$1006,0)))),"Fix")))</f>
        <v xml:space="preserve"> </v>
      </c>
      <c r="J803">
        <v>802</v>
      </c>
      <c r="K803">
        <v>100803</v>
      </c>
      <c r="L803">
        <v>803</v>
      </c>
      <c r="M803" t="b">
        <f t="shared" si="12"/>
        <v>1</v>
      </c>
      <c r="N803" t="b">
        <f>COUNTBLANK(metadata!B803:F803)=COLUMNS(metadata!B803:F803)</f>
        <v>1</v>
      </c>
      <c r="O803" t="str">
        <v/>
      </c>
      <c r="Q803" t="b">
        <f ca="1">AND(IF(metadata!B803="",FALSE,TRUE),COUNTIF(metadata!B:B, metadata!B803) = 1,NOT(ISERROR(SUMPRODUCT(SEARCH(MID(metadata!B803,ROW(INDIRECT("1:"&amp;LEN(metadata!B803))), 1),"0123456789abcdefghijklmnopqrstuvwxyzABCDEFGHIJKLMNOPQRSTUVWXYZ.")))))</f>
        <v>0</v>
      </c>
      <c r="R803" t="b">
        <f>AND(IF(metadata!C803="",FALSE,TRUE),OR(EXACT(metadata!C803,"saline"),EXACT(metadata!C803,"non-saline")))</f>
        <v>0</v>
      </c>
      <c r="S803" t="b">
        <f>AND(IF(metadata!D803="",FALSE,TRUE),OR(EXACT(metadata!D803,"surface (non-saline)"),EXACT(metadata!D803,"aerosol (non-saline)"),EXACT(metadata!D803,"sediment (non-saline)"),EXACT(metadata!D803,"surface (saline)"),EXACT(metadata!D803,"aerosol (saline)"),EXACT(metadata!D803,"sediment (saline)")))</f>
        <v>0</v>
      </c>
      <c r="T803" t="b">
        <f>AND(IF(metadata!E803="",FALSE,TRUE),EXACT(metadata!E803,"built environment"))</f>
        <v>0</v>
      </c>
      <c r="U803" t="b">
        <f>OR(AND(IF(metadata!F803="",FALSE,TRUE),EXACT(metadata!F803,"not applicable")),AND(IF(metadata!F803="",FALSE,TRUE),EXACT(metadata!F803,"anaerobic digester content")))</f>
        <v>0</v>
      </c>
    </row>
    <row r="804" spans="1:21" x14ac:dyDescent="0.2">
      <c r="A804" s="4" t="str">
        <f ca="1">IF(B804=" "," ",HYPERLINK(CONCATENATE("#metadata!",ADDRESS(INDEX($L$2:$L$1001,MATCH(ROWS($J$2:J804),$J$2:$J$1001,0),0),1)),INDEX($O$2:$O$1001,MATCH(ROWS($J$2:J804),$J$2:$J$1001,0),0)))</f>
        <v xml:space="preserve"> </v>
      </c>
      <c r="B804" s="3" t="str">
        <f ca="1">IF(OR(INDEX($K$2:$K$1001,MATCH(ROWS($J$2:J804),$J$2:$J$1001,0),1)&gt;=100000,INDEX($Q$1005:$U$1005,1,MATCH(COLUMNS($Q$1006:Q1006),$Q$1006:$U$1006,0))&gt;=100000), " ",IF(INDEX($Q$2:$U$1001,MATCH(ROWS($J$2:J804),$J$2:$J$1001,0),MATCH(COLUMNS($Q$1006:Q1006),$Q$1006:$U$1006,0)), HYPERLINK("#",""), HYPERLINK(CONCATENATE("#metadata!", ADDRESS(INDEX($L$2:$L$1001,MATCH(ROWS($J$2:J804),$J$2:$J$1001,0),0), INDEX($Q$1004:$U$1004,1,MATCH(COLUMNS($Q$1006:Q1006),$Q$1006:$U$1006,0)))),"Fix")))</f>
        <v xml:space="preserve"> </v>
      </c>
      <c r="C804" s="3" t="str">
        <f ca="1">IF(OR(INDEX($K$2:$K$1001,MATCH(ROWS($J$2:J804),$J$2:$J$1001,0),1)&gt;=100000,INDEX($Q$1005:$U$1005,1,MATCH(COLUMNS($Q$1006:R1006),$Q$1006:$U$1006,0))&gt;=100000), " ",IF(INDEX($Q$2:$U$1001,MATCH(ROWS($J$2:J804),$J$2:$J$1001,0),MATCH(COLUMNS($Q$1006:R1006),$Q$1006:$U$1006,0)), HYPERLINK("#",""), HYPERLINK(CONCATENATE("#metadata!", ADDRESS(INDEX($L$2:$L$1001,MATCH(ROWS($J$2:J804),$J$2:$J$1001,0),0), INDEX($Q$1004:$U$1004,1,MATCH(COLUMNS($Q$1006:R1006),$Q$1006:$U$1006,0)))),"Fix")))</f>
        <v xml:space="preserve"> </v>
      </c>
      <c r="D804" s="3" t="str">
        <f ca="1">IF(OR(INDEX($K$2:$K$1001,MATCH(ROWS($J$2:J804),$J$2:$J$1001,0),1)&gt;=100000,INDEX($Q$1005:$U$1005,1,MATCH(COLUMNS($Q$1006:S1006),$Q$1006:$U$1006,0))&gt;=100000), " ",IF(INDEX($Q$2:$U$1001,MATCH(ROWS($J$2:J804),$J$2:$J$1001,0),MATCH(COLUMNS($Q$1006:S1006),$Q$1006:$U$1006,0)), HYPERLINK("#",""), HYPERLINK(CONCATENATE("#metadata!", ADDRESS(INDEX($L$2:$L$1001,MATCH(ROWS($J$2:J804),$J$2:$J$1001,0),0), INDEX($Q$1004:$U$1004,1,MATCH(COLUMNS($Q$1006:S1006),$Q$1006:$U$1006,0)))),"Fix")))</f>
        <v xml:space="preserve"> </v>
      </c>
      <c r="E804" s="3" t="str">
        <f ca="1">IF(OR(INDEX($K$2:$K$1001,MATCH(ROWS($J$2:J804),$J$2:$J$1001,0),1)&gt;=100000,INDEX($Q$1005:$U$1005,1,MATCH(COLUMNS($Q$1006:T1006),$Q$1006:$U$1006,0))&gt;=100000), " ",IF(INDEX($Q$2:$U$1001,MATCH(ROWS($J$2:J804),$J$2:$J$1001,0),MATCH(COLUMNS($Q$1006:T1006),$Q$1006:$U$1006,0)), HYPERLINK("#",""), HYPERLINK(CONCATENATE("#metadata!", ADDRESS(INDEX($L$2:$L$1001,MATCH(ROWS($J$2:J804),$J$2:$J$1001,0),0), INDEX($Q$1004:$U$1004,1,MATCH(COLUMNS($Q$1006:T1006),$Q$1006:$U$1006,0)))),"Fix")))</f>
        <v xml:space="preserve"> </v>
      </c>
      <c r="F804" s="3" t="str">
        <f ca="1">IF(OR(INDEX($K$2:$K$1001,MATCH(ROWS($J$2:J804),$J$2:$J$1001,0),1)&gt;=100000,INDEX($Q$1005:$U$1005,1,MATCH(COLUMNS($Q$1006:U1006),$Q$1006:$U$1006,0))&gt;=100000), " ",IF(INDEX($Q$2:$U$1001,MATCH(ROWS($J$2:J804),$J$2:$J$1001,0),MATCH(COLUMNS($Q$1006:U1006),$Q$1006:$U$1006,0)), HYPERLINK("#",""), HYPERLINK(CONCATENATE("#metadata!", ADDRESS(INDEX($L$2:$L$1001,MATCH(ROWS($J$2:J804),$J$2:$J$1001,0),0), INDEX($Q$1004:$U$1004,1,MATCH(COLUMNS($Q$1006:U1006),$Q$1006:$U$1006,0)))),"Fix")))</f>
        <v xml:space="preserve"> </v>
      </c>
      <c r="J804">
        <v>803</v>
      </c>
      <c r="K804">
        <v>100804</v>
      </c>
      <c r="L804">
        <v>804</v>
      </c>
      <c r="M804" t="b">
        <f t="shared" si="12"/>
        <v>1</v>
      </c>
      <c r="N804" t="b">
        <f>COUNTBLANK(metadata!B804:F804)=COLUMNS(metadata!B804:F804)</f>
        <v>1</v>
      </c>
      <c r="O804" t="str">
        <v/>
      </c>
      <c r="Q804" t="b">
        <f ca="1">AND(IF(metadata!B804="",FALSE,TRUE),COUNTIF(metadata!B:B, metadata!B804) = 1,NOT(ISERROR(SUMPRODUCT(SEARCH(MID(metadata!B804,ROW(INDIRECT("1:"&amp;LEN(metadata!B804))), 1),"0123456789abcdefghijklmnopqrstuvwxyzABCDEFGHIJKLMNOPQRSTUVWXYZ.")))))</f>
        <v>0</v>
      </c>
      <c r="R804" t="b">
        <f>AND(IF(metadata!C804="",FALSE,TRUE),OR(EXACT(metadata!C804,"saline"),EXACT(metadata!C804,"non-saline")))</f>
        <v>0</v>
      </c>
      <c r="S804" t="b">
        <f>AND(IF(metadata!D804="",FALSE,TRUE),OR(EXACT(metadata!D804,"surface (non-saline)"),EXACT(metadata!D804,"aerosol (non-saline)"),EXACT(metadata!D804,"sediment (non-saline)"),EXACT(metadata!D804,"surface (saline)"),EXACT(metadata!D804,"aerosol (saline)"),EXACT(metadata!D804,"sediment (saline)")))</f>
        <v>0</v>
      </c>
      <c r="T804" t="b">
        <f>AND(IF(metadata!E804="",FALSE,TRUE),EXACT(metadata!E804,"built environment"))</f>
        <v>0</v>
      </c>
      <c r="U804" t="b">
        <f>OR(AND(IF(metadata!F804="",FALSE,TRUE),EXACT(metadata!F804,"not applicable")),AND(IF(metadata!F804="",FALSE,TRUE),EXACT(metadata!F804,"anaerobic digester content")))</f>
        <v>0</v>
      </c>
    </row>
    <row r="805" spans="1:21" x14ac:dyDescent="0.2">
      <c r="A805" s="4" t="str">
        <f ca="1">IF(B805=" "," ",HYPERLINK(CONCATENATE("#metadata!",ADDRESS(INDEX($L$2:$L$1001,MATCH(ROWS($J$2:J805),$J$2:$J$1001,0),0),1)),INDEX($O$2:$O$1001,MATCH(ROWS($J$2:J805),$J$2:$J$1001,0),0)))</f>
        <v xml:space="preserve"> </v>
      </c>
      <c r="B805" s="3" t="str">
        <f ca="1">IF(OR(INDEX($K$2:$K$1001,MATCH(ROWS($J$2:J805),$J$2:$J$1001,0),1)&gt;=100000,INDEX($Q$1005:$U$1005,1,MATCH(COLUMNS($Q$1006:Q1006),$Q$1006:$U$1006,0))&gt;=100000), " ",IF(INDEX($Q$2:$U$1001,MATCH(ROWS($J$2:J805),$J$2:$J$1001,0),MATCH(COLUMNS($Q$1006:Q1006),$Q$1006:$U$1006,0)), HYPERLINK("#",""), HYPERLINK(CONCATENATE("#metadata!", ADDRESS(INDEX($L$2:$L$1001,MATCH(ROWS($J$2:J805),$J$2:$J$1001,0),0), INDEX($Q$1004:$U$1004,1,MATCH(COLUMNS($Q$1006:Q1006),$Q$1006:$U$1006,0)))),"Fix")))</f>
        <v xml:space="preserve"> </v>
      </c>
      <c r="C805" s="3" t="str">
        <f ca="1">IF(OR(INDEX($K$2:$K$1001,MATCH(ROWS($J$2:J805),$J$2:$J$1001,0),1)&gt;=100000,INDEX($Q$1005:$U$1005,1,MATCH(COLUMNS($Q$1006:R1006),$Q$1006:$U$1006,0))&gt;=100000), " ",IF(INDEX($Q$2:$U$1001,MATCH(ROWS($J$2:J805),$J$2:$J$1001,0),MATCH(COLUMNS($Q$1006:R1006),$Q$1006:$U$1006,0)), HYPERLINK("#",""), HYPERLINK(CONCATENATE("#metadata!", ADDRESS(INDEX($L$2:$L$1001,MATCH(ROWS($J$2:J805),$J$2:$J$1001,0),0), INDEX($Q$1004:$U$1004,1,MATCH(COLUMNS($Q$1006:R1006),$Q$1006:$U$1006,0)))),"Fix")))</f>
        <v xml:space="preserve"> </v>
      </c>
      <c r="D805" s="3" t="str">
        <f ca="1">IF(OR(INDEX($K$2:$K$1001,MATCH(ROWS($J$2:J805),$J$2:$J$1001,0),1)&gt;=100000,INDEX($Q$1005:$U$1005,1,MATCH(COLUMNS($Q$1006:S1006),$Q$1006:$U$1006,0))&gt;=100000), " ",IF(INDEX($Q$2:$U$1001,MATCH(ROWS($J$2:J805),$J$2:$J$1001,0),MATCH(COLUMNS($Q$1006:S1006),$Q$1006:$U$1006,0)), HYPERLINK("#",""), HYPERLINK(CONCATENATE("#metadata!", ADDRESS(INDEX($L$2:$L$1001,MATCH(ROWS($J$2:J805),$J$2:$J$1001,0),0), INDEX($Q$1004:$U$1004,1,MATCH(COLUMNS($Q$1006:S1006),$Q$1006:$U$1006,0)))),"Fix")))</f>
        <v xml:space="preserve"> </v>
      </c>
      <c r="E805" s="3" t="str">
        <f ca="1">IF(OR(INDEX($K$2:$K$1001,MATCH(ROWS($J$2:J805),$J$2:$J$1001,0),1)&gt;=100000,INDEX($Q$1005:$U$1005,1,MATCH(COLUMNS($Q$1006:T1006),$Q$1006:$U$1006,0))&gt;=100000), " ",IF(INDEX($Q$2:$U$1001,MATCH(ROWS($J$2:J805),$J$2:$J$1001,0),MATCH(COLUMNS($Q$1006:T1006),$Q$1006:$U$1006,0)), HYPERLINK("#",""), HYPERLINK(CONCATENATE("#metadata!", ADDRESS(INDEX($L$2:$L$1001,MATCH(ROWS($J$2:J805),$J$2:$J$1001,0),0), INDEX($Q$1004:$U$1004,1,MATCH(COLUMNS($Q$1006:T1006),$Q$1006:$U$1006,0)))),"Fix")))</f>
        <v xml:space="preserve"> </v>
      </c>
      <c r="F805" s="3" t="str">
        <f ca="1">IF(OR(INDEX($K$2:$K$1001,MATCH(ROWS($J$2:J805),$J$2:$J$1001,0),1)&gt;=100000,INDEX($Q$1005:$U$1005,1,MATCH(COLUMNS($Q$1006:U1006),$Q$1006:$U$1006,0))&gt;=100000), " ",IF(INDEX($Q$2:$U$1001,MATCH(ROWS($J$2:J805),$J$2:$J$1001,0),MATCH(COLUMNS($Q$1006:U1006),$Q$1006:$U$1006,0)), HYPERLINK("#",""), HYPERLINK(CONCATENATE("#metadata!", ADDRESS(INDEX($L$2:$L$1001,MATCH(ROWS($J$2:J805),$J$2:$J$1001,0),0), INDEX($Q$1004:$U$1004,1,MATCH(COLUMNS($Q$1006:U1006),$Q$1006:$U$1006,0)))),"Fix")))</f>
        <v xml:space="preserve"> </v>
      </c>
      <c r="J805">
        <v>804</v>
      </c>
      <c r="K805">
        <v>100805</v>
      </c>
      <c r="L805">
        <v>805</v>
      </c>
      <c r="M805" t="b">
        <f t="shared" si="12"/>
        <v>1</v>
      </c>
      <c r="N805" t="b">
        <f>COUNTBLANK(metadata!B805:F805)=COLUMNS(metadata!B805:F805)</f>
        <v>1</v>
      </c>
      <c r="O805" t="str">
        <v/>
      </c>
      <c r="Q805" t="b">
        <f ca="1">AND(IF(metadata!B805="",FALSE,TRUE),COUNTIF(metadata!B:B, metadata!B805) = 1,NOT(ISERROR(SUMPRODUCT(SEARCH(MID(metadata!B805,ROW(INDIRECT("1:"&amp;LEN(metadata!B805))), 1),"0123456789abcdefghijklmnopqrstuvwxyzABCDEFGHIJKLMNOPQRSTUVWXYZ.")))))</f>
        <v>0</v>
      </c>
      <c r="R805" t="b">
        <f>AND(IF(metadata!C805="",FALSE,TRUE),OR(EXACT(metadata!C805,"saline"),EXACT(metadata!C805,"non-saline")))</f>
        <v>0</v>
      </c>
      <c r="S805" t="b">
        <f>AND(IF(metadata!D805="",FALSE,TRUE),OR(EXACT(metadata!D805,"surface (non-saline)"),EXACT(metadata!D805,"aerosol (non-saline)"),EXACT(metadata!D805,"sediment (non-saline)"),EXACT(metadata!D805,"surface (saline)"),EXACT(metadata!D805,"aerosol (saline)"),EXACT(metadata!D805,"sediment (saline)")))</f>
        <v>0</v>
      </c>
      <c r="T805" t="b">
        <f>AND(IF(metadata!E805="",FALSE,TRUE),EXACT(metadata!E805,"built environment"))</f>
        <v>0</v>
      </c>
      <c r="U805" t="b">
        <f>OR(AND(IF(metadata!F805="",FALSE,TRUE),EXACT(metadata!F805,"not applicable")),AND(IF(metadata!F805="",FALSE,TRUE),EXACT(metadata!F805,"anaerobic digester content")))</f>
        <v>0</v>
      </c>
    </row>
    <row r="806" spans="1:21" x14ac:dyDescent="0.2">
      <c r="A806" s="4" t="str">
        <f ca="1">IF(B806=" "," ",HYPERLINK(CONCATENATE("#metadata!",ADDRESS(INDEX($L$2:$L$1001,MATCH(ROWS($J$2:J806),$J$2:$J$1001,0),0),1)),INDEX($O$2:$O$1001,MATCH(ROWS($J$2:J806),$J$2:$J$1001,0),0)))</f>
        <v xml:space="preserve"> </v>
      </c>
      <c r="B806" s="3" t="str">
        <f ca="1">IF(OR(INDEX($K$2:$K$1001,MATCH(ROWS($J$2:J806),$J$2:$J$1001,0),1)&gt;=100000,INDEX($Q$1005:$U$1005,1,MATCH(COLUMNS($Q$1006:Q1006),$Q$1006:$U$1006,0))&gt;=100000), " ",IF(INDEX($Q$2:$U$1001,MATCH(ROWS($J$2:J806),$J$2:$J$1001,0),MATCH(COLUMNS($Q$1006:Q1006),$Q$1006:$U$1006,0)), HYPERLINK("#",""), HYPERLINK(CONCATENATE("#metadata!", ADDRESS(INDEX($L$2:$L$1001,MATCH(ROWS($J$2:J806),$J$2:$J$1001,0),0), INDEX($Q$1004:$U$1004,1,MATCH(COLUMNS($Q$1006:Q1006),$Q$1006:$U$1006,0)))),"Fix")))</f>
        <v xml:space="preserve"> </v>
      </c>
      <c r="C806" s="3" t="str">
        <f ca="1">IF(OR(INDEX($K$2:$K$1001,MATCH(ROWS($J$2:J806),$J$2:$J$1001,0),1)&gt;=100000,INDEX($Q$1005:$U$1005,1,MATCH(COLUMNS($Q$1006:R1006),$Q$1006:$U$1006,0))&gt;=100000), " ",IF(INDEX($Q$2:$U$1001,MATCH(ROWS($J$2:J806),$J$2:$J$1001,0),MATCH(COLUMNS($Q$1006:R1006),$Q$1006:$U$1006,0)), HYPERLINK("#",""), HYPERLINK(CONCATENATE("#metadata!", ADDRESS(INDEX($L$2:$L$1001,MATCH(ROWS($J$2:J806),$J$2:$J$1001,0),0), INDEX($Q$1004:$U$1004,1,MATCH(COLUMNS($Q$1006:R1006),$Q$1006:$U$1006,0)))),"Fix")))</f>
        <v xml:space="preserve"> </v>
      </c>
      <c r="D806" s="3" t="str">
        <f ca="1">IF(OR(INDEX($K$2:$K$1001,MATCH(ROWS($J$2:J806),$J$2:$J$1001,0),1)&gt;=100000,INDEX($Q$1005:$U$1005,1,MATCH(COLUMNS($Q$1006:S1006),$Q$1006:$U$1006,0))&gt;=100000), " ",IF(INDEX($Q$2:$U$1001,MATCH(ROWS($J$2:J806),$J$2:$J$1001,0),MATCH(COLUMNS($Q$1006:S1006),$Q$1006:$U$1006,0)), HYPERLINK("#",""), HYPERLINK(CONCATENATE("#metadata!", ADDRESS(INDEX($L$2:$L$1001,MATCH(ROWS($J$2:J806),$J$2:$J$1001,0),0), INDEX($Q$1004:$U$1004,1,MATCH(COLUMNS($Q$1006:S1006),$Q$1006:$U$1006,0)))),"Fix")))</f>
        <v xml:space="preserve"> </v>
      </c>
      <c r="E806" s="3" t="str">
        <f ca="1">IF(OR(INDEX($K$2:$K$1001,MATCH(ROWS($J$2:J806),$J$2:$J$1001,0),1)&gt;=100000,INDEX($Q$1005:$U$1005,1,MATCH(COLUMNS($Q$1006:T1006),$Q$1006:$U$1006,0))&gt;=100000), " ",IF(INDEX($Q$2:$U$1001,MATCH(ROWS($J$2:J806),$J$2:$J$1001,0),MATCH(COLUMNS($Q$1006:T1006),$Q$1006:$U$1006,0)), HYPERLINK("#",""), HYPERLINK(CONCATENATE("#metadata!", ADDRESS(INDEX($L$2:$L$1001,MATCH(ROWS($J$2:J806),$J$2:$J$1001,0),0), INDEX($Q$1004:$U$1004,1,MATCH(COLUMNS($Q$1006:T1006),$Q$1006:$U$1006,0)))),"Fix")))</f>
        <v xml:space="preserve"> </v>
      </c>
      <c r="F806" s="3" t="str">
        <f ca="1">IF(OR(INDEX($K$2:$K$1001,MATCH(ROWS($J$2:J806),$J$2:$J$1001,0),1)&gt;=100000,INDEX($Q$1005:$U$1005,1,MATCH(COLUMNS($Q$1006:U1006),$Q$1006:$U$1006,0))&gt;=100000), " ",IF(INDEX($Q$2:$U$1001,MATCH(ROWS($J$2:J806),$J$2:$J$1001,0),MATCH(COLUMNS($Q$1006:U1006),$Q$1006:$U$1006,0)), HYPERLINK("#",""), HYPERLINK(CONCATENATE("#metadata!", ADDRESS(INDEX($L$2:$L$1001,MATCH(ROWS($J$2:J806),$J$2:$J$1001,0),0), INDEX($Q$1004:$U$1004,1,MATCH(COLUMNS($Q$1006:U1006),$Q$1006:$U$1006,0)))),"Fix")))</f>
        <v xml:space="preserve"> </v>
      </c>
      <c r="J806">
        <v>805</v>
      </c>
      <c r="K806">
        <v>100806</v>
      </c>
      <c r="L806">
        <v>806</v>
      </c>
      <c r="M806" t="b">
        <f t="shared" si="12"/>
        <v>1</v>
      </c>
      <c r="N806" t="b">
        <f>COUNTBLANK(metadata!B806:F806)=COLUMNS(metadata!B806:F806)</f>
        <v>1</v>
      </c>
      <c r="O806" t="str">
        <v/>
      </c>
      <c r="Q806" t="b">
        <f ca="1">AND(IF(metadata!B806="",FALSE,TRUE),COUNTIF(metadata!B:B, metadata!B806) = 1,NOT(ISERROR(SUMPRODUCT(SEARCH(MID(metadata!B806,ROW(INDIRECT("1:"&amp;LEN(metadata!B806))), 1),"0123456789abcdefghijklmnopqrstuvwxyzABCDEFGHIJKLMNOPQRSTUVWXYZ.")))))</f>
        <v>0</v>
      </c>
      <c r="R806" t="b">
        <f>AND(IF(metadata!C806="",FALSE,TRUE),OR(EXACT(metadata!C806,"saline"),EXACT(metadata!C806,"non-saline")))</f>
        <v>0</v>
      </c>
      <c r="S806" t="b">
        <f>AND(IF(metadata!D806="",FALSE,TRUE),OR(EXACT(metadata!D806,"surface (non-saline)"),EXACT(metadata!D806,"aerosol (non-saline)"),EXACT(metadata!D806,"sediment (non-saline)"),EXACT(metadata!D806,"surface (saline)"),EXACT(metadata!D806,"aerosol (saline)"),EXACT(metadata!D806,"sediment (saline)")))</f>
        <v>0</v>
      </c>
      <c r="T806" t="b">
        <f>AND(IF(metadata!E806="",FALSE,TRUE),EXACT(metadata!E806,"built environment"))</f>
        <v>0</v>
      </c>
      <c r="U806" t="b">
        <f>OR(AND(IF(metadata!F806="",FALSE,TRUE),EXACT(metadata!F806,"not applicable")),AND(IF(metadata!F806="",FALSE,TRUE),EXACT(metadata!F806,"anaerobic digester content")))</f>
        <v>0</v>
      </c>
    </row>
    <row r="807" spans="1:21" x14ac:dyDescent="0.2">
      <c r="A807" s="4" t="str">
        <f ca="1">IF(B807=" "," ",HYPERLINK(CONCATENATE("#metadata!",ADDRESS(INDEX($L$2:$L$1001,MATCH(ROWS($J$2:J807),$J$2:$J$1001,0),0),1)),INDEX($O$2:$O$1001,MATCH(ROWS($J$2:J807),$J$2:$J$1001,0),0)))</f>
        <v xml:space="preserve"> </v>
      </c>
      <c r="B807" s="3" t="str">
        <f ca="1">IF(OR(INDEX($K$2:$K$1001,MATCH(ROWS($J$2:J807),$J$2:$J$1001,0),1)&gt;=100000,INDEX($Q$1005:$U$1005,1,MATCH(COLUMNS($Q$1006:Q1006),$Q$1006:$U$1006,0))&gt;=100000), " ",IF(INDEX($Q$2:$U$1001,MATCH(ROWS($J$2:J807),$J$2:$J$1001,0),MATCH(COLUMNS($Q$1006:Q1006),$Q$1006:$U$1006,0)), HYPERLINK("#",""), HYPERLINK(CONCATENATE("#metadata!", ADDRESS(INDEX($L$2:$L$1001,MATCH(ROWS($J$2:J807),$J$2:$J$1001,0),0), INDEX($Q$1004:$U$1004,1,MATCH(COLUMNS($Q$1006:Q1006),$Q$1006:$U$1006,0)))),"Fix")))</f>
        <v xml:space="preserve"> </v>
      </c>
      <c r="C807" s="3" t="str">
        <f ca="1">IF(OR(INDEX($K$2:$K$1001,MATCH(ROWS($J$2:J807),$J$2:$J$1001,0),1)&gt;=100000,INDEX($Q$1005:$U$1005,1,MATCH(COLUMNS($Q$1006:R1006),$Q$1006:$U$1006,0))&gt;=100000), " ",IF(INDEX($Q$2:$U$1001,MATCH(ROWS($J$2:J807),$J$2:$J$1001,0),MATCH(COLUMNS($Q$1006:R1006),$Q$1006:$U$1006,0)), HYPERLINK("#",""), HYPERLINK(CONCATENATE("#metadata!", ADDRESS(INDEX($L$2:$L$1001,MATCH(ROWS($J$2:J807),$J$2:$J$1001,0),0), INDEX($Q$1004:$U$1004,1,MATCH(COLUMNS($Q$1006:R1006),$Q$1006:$U$1006,0)))),"Fix")))</f>
        <v xml:space="preserve"> </v>
      </c>
      <c r="D807" s="3" t="str">
        <f ca="1">IF(OR(INDEX($K$2:$K$1001,MATCH(ROWS($J$2:J807),$J$2:$J$1001,0),1)&gt;=100000,INDEX($Q$1005:$U$1005,1,MATCH(COLUMNS($Q$1006:S1006),$Q$1006:$U$1006,0))&gt;=100000), " ",IF(INDEX($Q$2:$U$1001,MATCH(ROWS($J$2:J807),$J$2:$J$1001,0),MATCH(COLUMNS($Q$1006:S1006),$Q$1006:$U$1006,0)), HYPERLINK("#",""), HYPERLINK(CONCATENATE("#metadata!", ADDRESS(INDEX($L$2:$L$1001,MATCH(ROWS($J$2:J807),$J$2:$J$1001,0),0), INDEX($Q$1004:$U$1004,1,MATCH(COLUMNS($Q$1006:S1006),$Q$1006:$U$1006,0)))),"Fix")))</f>
        <v xml:space="preserve"> </v>
      </c>
      <c r="E807" s="3" t="str">
        <f ca="1">IF(OR(INDEX($K$2:$K$1001,MATCH(ROWS($J$2:J807),$J$2:$J$1001,0),1)&gt;=100000,INDEX($Q$1005:$U$1005,1,MATCH(COLUMNS($Q$1006:T1006),$Q$1006:$U$1006,0))&gt;=100000), " ",IF(INDEX($Q$2:$U$1001,MATCH(ROWS($J$2:J807),$J$2:$J$1001,0),MATCH(COLUMNS($Q$1006:T1006),$Q$1006:$U$1006,0)), HYPERLINK("#",""), HYPERLINK(CONCATENATE("#metadata!", ADDRESS(INDEX($L$2:$L$1001,MATCH(ROWS($J$2:J807),$J$2:$J$1001,0),0), INDEX($Q$1004:$U$1004,1,MATCH(COLUMNS($Q$1006:T1006),$Q$1006:$U$1006,0)))),"Fix")))</f>
        <v xml:space="preserve"> </v>
      </c>
      <c r="F807" s="3" t="str">
        <f ca="1">IF(OR(INDEX($K$2:$K$1001,MATCH(ROWS($J$2:J807),$J$2:$J$1001,0),1)&gt;=100000,INDEX($Q$1005:$U$1005,1,MATCH(COLUMNS($Q$1006:U1006),$Q$1006:$U$1006,0))&gt;=100000), " ",IF(INDEX($Q$2:$U$1001,MATCH(ROWS($J$2:J807),$J$2:$J$1001,0),MATCH(COLUMNS($Q$1006:U1006),$Q$1006:$U$1006,0)), HYPERLINK("#",""), HYPERLINK(CONCATENATE("#metadata!", ADDRESS(INDEX($L$2:$L$1001,MATCH(ROWS($J$2:J807),$J$2:$J$1001,0),0), INDEX($Q$1004:$U$1004,1,MATCH(COLUMNS($Q$1006:U1006),$Q$1006:$U$1006,0)))),"Fix")))</f>
        <v xml:space="preserve"> </v>
      </c>
      <c r="J807">
        <v>806</v>
      </c>
      <c r="K807">
        <v>100807</v>
      </c>
      <c r="L807">
        <v>807</v>
      </c>
      <c r="M807" t="b">
        <f t="shared" si="12"/>
        <v>1</v>
      </c>
      <c r="N807" t="b">
        <f>COUNTBLANK(metadata!B807:F807)=COLUMNS(metadata!B807:F807)</f>
        <v>1</v>
      </c>
      <c r="O807" t="str">
        <v/>
      </c>
      <c r="Q807" t="b">
        <f ca="1">AND(IF(metadata!B807="",FALSE,TRUE),COUNTIF(metadata!B:B, metadata!B807) = 1,NOT(ISERROR(SUMPRODUCT(SEARCH(MID(metadata!B807,ROW(INDIRECT("1:"&amp;LEN(metadata!B807))), 1),"0123456789abcdefghijklmnopqrstuvwxyzABCDEFGHIJKLMNOPQRSTUVWXYZ.")))))</f>
        <v>0</v>
      </c>
      <c r="R807" t="b">
        <f>AND(IF(metadata!C807="",FALSE,TRUE),OR(EXACT(metadata!C807,"saline"),EXACT(metadata!C807,"non-saline")))</f>
        <v>0</v>
      </c>
      <c r="S807" t="b">
        <f>AND(IF(metadata!D807="",FALSE,TRUE),OR(EXACT(metadata!D807,"surface (non-saline)"),EXACT(metadata!D807,"aerosol (non-saline)"),EXACT(metadata!D807,"sediment (non-saline)"),EXACT(metadata!D807,"surface (saline)"),EXACT(metadata!D807,"aerosol (saline)"),EXACT(metadata!D807,"sediment (saline)")))</f>
        <v>0</v>
      </c>
      <c r="T807" t="b">
        <f>AND(IF(metadata!E807="",FALSE,TRUE),EXACT(metadata!E807,"built environment"))</f>
        <v>0</v>
      </c>
      <c r="U807" t="b">
        <f>OR(AND(IF(metadata!F807="",FALSE,TRUE),EXACT(metadata!F807,"not applicable")),AND(IF(metadata!F807="",FALSE,TRUE),EXACT(metadata!F807,"anaerobic digester content")))</f>
        <v>0</v>
      </c>
    </row>
    <row r="808" spans="1:21" x14ac:dyDescent="0.2">
      <c r="A808" s="4" t="str">
        <f ca="1">IF(B808=" "," ",HYPERLINK(CONCATENATE("#metadata!",ADDRESS(INDEX($L$2:$L$1001,MATCH(ROWS($J$2:J808),$J$2:$J$1001,0),0),1)),INDEX($O$2:$O$1001,MATCH(ROWS($J$2:J808),$J$2:$J$1001,0),0)))</f>
        <v xml:space="preserve"> </v>
      </c>
      <c r="B808" s="3" t="str">
        <f ca="1">IF(OR(INDEX($K$2:$K$1001,MATCH(ROWS($J$2:J808),$J$2:$J$1001,0),1)&gt;=100000,INDEX($Q$1005:$U$1005,1,MATCH(COLUMNS($Q$1006:Q1006),$Q$1006:$U$1006,0))&gt;=100000), " ",IF(INDEX($Q$2:$U$1001,MATCH(ROWS($J$2:J808),$J$2:$J$1001,0),MATCH(COLUMNS($Q$1006:Q1006),$Q$1006:$U$1006,0)), HYPERLINK("#",""), HYPERLINK(CONCATENATE("#metadata!", ADDRESS(INDEX($L$2:$L$1001,MATCH(ROWS($J$2:J808),$J$2:$J$1001,0),0), INDEX($Q$1004:$U$1004,1,MATCH(COLUMNS($Q$1006:Q1006),$Q$1006:$U$1006,0)))),"Fix")))</f>
        <v xml:space="preserve"> </v>
      </c>
      <c r="C808" s="3" t="str">
        <f ca="1">IF(OR(INDEX($K$2:$K$1001,MATCH(ROWS($J$2:J808),$J$2:$J$1001,0),1)&gt;=100000,INDEX($Q$1005:$U$1005,1,MATCH(COLUMNS($Q$1006:R1006),$Q$1006:$U$1006,0))&gt;=100000), " ",IF(INDEX($Q$2:$U$1001,MATCH(ROWS($J$2:J808),$J$2:$J$1001,0),MATCH(COLUMNS($Q$1006:R1006),$Q$1006:$U$1006,0)), HYPERLINK("#",""), HYPERLINK(CONCATENATE("#metadata!", ADDRESS(INDEX($L$2:$L$1001,MATCH(ROWS($J$2:J808),$J$2:$J$1001,0),0), INDEX($Q$1004:$U$1004,1,MATCH(COLUMNS($Q$1006:R1006),$Q$1006:$U$1006,0)))),"Fix")))</f>
        <v xml:space="preserve"> </v>
      </c>
      <c r="D808" s="3" t="str">
        <f ca="1">IF(OR(INDEX($K$2:$K$1001,MATCH(ROWS($J$2:J808),$J$2:$J$1001,0),1)&gt;=100000,INDEX($Q$1005:$U$1005,1,MATCH(COLUMNS($Q$1006:S1006),$Q$1006:$U$1006,0))&gt;=100000), " ",IF(INDEX($Q$2:$U$1001,MATCH(ROWS($J$2:J808),$J$2:$J$1001,0),MATCH(COLUMNS($Q$1006:S1006),$Q$1006:$U$1006,0)), HYPERLINK("#",""), HYPERLINK(CONCATENATE("#metadata!", ADDRESS(INDEX($L$2:$L$1001,MATCH(ROWS($J$2:J808),$J$2:$J$1001,0),0), INDEX($Q$1004:$U$1004,1,MATCH(COLUMNS($Q$1006:S1006),$Q$1006:$U$1006,0)))),"Fix")))</f>
        <v xml:space="preserve"> </v>
      </c>
      <c r="E808" s="3" t="str">
        <f ca="1">IF(OR(INDEX($K$2:$K$1001,MATCH(ROWS($J$2:J808),$J$2:$J$1001,0),1)&gt;=100000,INDEX($Q$1005:$U$1005,1,MATCH(COLUMNS($Q$1006:T1006),$Q$1006:$U$1006,0))&gt;=100000), " ",IF(INDEX($Q$2:$U$1001,MATCH(ROWS($J$2:J808),$J$2:$J$1001,0),MATCH(COLUMNS($Q$1006:T1006),$Q$1006:$U$1006,0)), HYPERLINK("#",""), HYPERLINK(CONCATENATE("#metadata!", ADDRESS(INDEX($L$2:$L$1001,MATCH(ROWS($J$2:J808),$J$2:$J$1001,0),0), INDEX($Q$1004:$U$1004,1,MATCH(COLUMNS($Q$1006:T1006),$Q$1006:$U$1006,0)))),"Fix")))</f>
        <v xml:space="preserve"> </v>
      </c>
      <c r="F808" s="3" t="str">
        <f ca="1">IF(OR(INDEX($K$2:$K$1001,MATCH(ROWS($J$2:J808),$J$2:$J$1001,0),1)&gt;=100000,INDEX($Q$1005:$U$1005,1,MATCH(COLUMNS($Q$1006:U1006),$Q$1006:$U$1006,0))&gt;=100000), " ",IF(INDEX($Q$2:$U$1001,MATCH(ROWS($J$2:J808),$J$2:$J$1001,0),MATCH(COLUMNS($Q$1006:U1006),$Q$1006:$U$1006,0)), HYPERLINK("#",""), HYPERLINK(CONCATENATE("#metadata!", ADDRESS(INDEX($L$2:$L$1001,MATCH(ROWS($J$2:J808),$J$2:$J$1001,0),0), INDEX($Q$1004:$U$1004,1,MATCH(COLUMNS($Q$1006:U1006),$Q$1006:$U$1006,0)))),"Fix")))</f>
        <v xml:space="preserve"> </v>
      </c>
      <c r="J808">
        <v>807</v>
      </c>
      <c r="K808">
        <v>100808</v>
      </c>
      <c r="L808">
        <v>808</v>
      </c>
      <c r="M808" t="b">
        <f t="shared" si="12"/>
        <v>1</v>
      </c>
      <c r="N808" t="b">
        <f>COUNTBLANK(metadata!B808:F808)=COLUMNS(metadata!B808:F808)</f>
        <v>1</v>
      </c>
      <c r="O808" t="str">
        <v/>
      </c>
      <c r="Q808" t="b">
        <f ca="1">AND(IF(metadata!B808="",FALSE,TRUE),COUNTIF(metadata!B:B, metadata!B808) = 1,NOT(ISERROR(SUMPRODUCT(SEARCH(MID(metadata!B808,ROW(INDIRECT("1:"&amp;LEN(metadata!B808))), 1),"0123456789abcdefghijklmnopqrstuvwxyzABCDEFGHIJKLMNOPQRSTUVWXYZ.")))))</f>
        <v>0</v>
      </c>
      <c r="R808" t="b">
        <f>AND(IF(metadata!C808="",FALSE,TRUE),OR(EXACT(metadata!C808,"saline"),EXACT(metadata!C808,"non-saline")))</f>
        <v>0</v>
      </c>
      <c r="S808" t="b">
        <f>AND(IF(metadata!D808="",FALSE,TRUE),OR(EXACT(metadata!D808,"surface (non-saline)"),EXACT(metadata!D808,"aerosol (non-saline)"),EXACT(metadata!D808,"sediment (non-saline)"),EXACT(metadata!D808,"surface (saline)"),EXACT(metadata!D808,"aerosol (saline)"),EXACT(metadata!D808,"sediment (saline)")))</f>
        <v>0</v>
      </c>
      <c r="T808" t="b">
        <f>AND(IF(metadata!E808="",FALSE,TRUE),EXACT(metadata!E808,"built environment"))</f>
        <v>0</v>
      </c>
      <c r="U808" t="b">
        <f>OR(AND(IF(metadata!F808="",FALSE,TRUE),EXACT(metadata!F808,"not applicable")),AND(IF(metadata!F808="",FALSE,TRUE),EXACT(metadata!F808,"anaerobic digester content")))</f>
        <v>0</v>
      </c>
    </row>
    <row r="809" spans="1:21" x14ac:dyDescent="0.2">
      <c r="A809" s="4" t="str">
        <f ca="1">IF(B809=" "," ",HYPERLINK(CONCATENATE("#metadata!",ADDRESS(INDEX($L$2:$L$1001,MATCH(ROWS($J$2:J809),$J$2:$J$1001,0),0),1)),INDEX($O$2:$O$1001,MATCH(ROWS($J$2:J809),$J$2:$J$1001,0),0)))</f>
        <v xml:space="preserve"> </v>
      </c>
      <c r="B809" s="3" t="str">
        <f ca="1">IF(OR(INDEX($K$2:$K$1001,MATCH(ROWS($J$2:J809),$J$2:$J$1001,0),1)&gt;=100000,INDEX($Q$1005:$U$1005,1,MATCH(COLUMNS($Q$1006:Q1006),$Q$1006:$U$1006,0))&gt;=100000), " ",IF(INDEX($Q$2:$U$1001,MATCH(ROWS($J$2:J809),$J$2:$J$1001,0),MATCH(COLUMNS($Q$1006:Q1006),$Q$1006:$U$1006,0)), HYPERLINK("#",""), HYPERLINK(CONCATENATE("#metadata!", ADDRESS(INDEX($L$2:$L$1001,MATCH(ROWS($J$2:J809),$J$2:$J$1001,0),0), INDEX($Q$1004:$U$1004,1,MATCH(COLUMNS($Q$1006:Q1006),$Q$1006:$U$1006,0)))),"Fix")))</f>
        <v xml:space="preserve"> </v>
      </c>
      <c r="C809" s="3" t="str">
        <f ca="1">IF(OR(INDEX($K$2:$K$1001,MATCH(ROWS($J$2:J809),$J$2:$J$1001,0),1)&gt;=100000,INDEX($Q$1005:$U$1005,1,MATCH(COLUMNS($Q$1006:R1006),$Q$1006:$U$1006,0))&gt;=100000), " ",IF(INDEX($Q$2:$U$1001,MATCH(ROWS($J$2:J809),$J$2:$J$1001,0),MATCH(COLUMNS($Q$1006:R1006),$Q$1006:$U$1006,0)), HYPERLINK("#",""), HYPERLINK(CONCATENATE("#metadata!", ADDRESS(INDEX($L$2:$L$1001,MATCH(ROWS($J$2:J809),$J$2:$J$1001,0),0), INDEX($Q$1004:$U$1004,1,MATCH(COLUMNS($Q$1006:R1006),$Q$1006:$U$1006,0)))),"Fix")))</f>
        <v xml:space="preserve"> </v>
      </c>
      <c r="D809" s="3" t="str">
        <f ca="1">IF(OR(INDEX($K$2:$K$1001,MATCH(ROWS($J$2:J809),$J$2:$J$1001,0),1)&gt;=100000,INDEX($Q$1005:$U$1005,1,MATCH(COLUMNS($Q$1006:S1006),$Q$1006:$U$1006,0))&gt;=100000), " ",IF(INDEX($Q$2:$U$1001,MATCH(ROWS($J$2:J809),$J$2:$J$1001,0),MATCH(COLUMNS($Q$1006:S1006),$Q$1006:$U$1006,0)), HYPERLINK("#",""), HYPERLINK(CONCATENATE("#metadata!", ADDRESS(INDEX($L$2:$L$1001,MATCH(ROWS($J$2:J809),$J$2:$J$1001,0),0), INDEX($Q$1004:$U$1004,1,MATCH(COLUMNS($Q$1006:S1006),$Q$1006:$U$1006,0)))),"Fix")))</f>
        <v xml:space="preserve"> </v>
      </c>
      <c r="E809" s="3" t="str">
        <f ca="1">IF(OR(INDEX($K$2:$K$1001,MATCH(ROWS($J$2:J809),$J$2:$J$1001,0),1)&gt;=100000,INDEX($Q$1005:$U$1005,1,MATCH(COLUMNS($Q$1006:T1006),$Q$1006:$U$1006,0))&gt;=100000), " ",IF(INDEX($Q$2:$U$1001,MATCH(ROWS($J$2:J809),$J$2:$J$1001,0),MATCH(COLUMNS($Q$1006:T1006),$Q$1006:$U$1006,0)), HYPERLINK("#",""), HYPERLINK(CONCATENATE("#metadata!", ADDRESS(INDEX($L$2:$L$1001,MATCH(ROWS($J$2:J809),$J$2:$J$1001,0),0), INDEX($Q$1004:$U$1004,1,MATCH(COLUMNS($Q$1006:T1006),$Q$1006:$U$1006,0)))),"Fix")))</f>
        <v xml:space="preserve"> </v>
      </c>
      <c r="F809" s="3" t="str">
        <f ca="1">IF(OR(INDEX($K$2:$K$1001,MATCH(ROWS($J$2:J809),$J$2:$J$1001,0),1)&gt;=100000,INDEX($Q$1005:$U$1005,1,MATCH(COLUMNS($Q$1006:U1006),$Q$1006:$U$1006,0))&gt;=100000), " ",IF(INDEX($Q$2:$U$1001,MATCH(ROWS($J$2:J809),$J$2:$J$1001,0),MATCH(COLUMNS($Q$1006:U1006),$Q$1006:$U$1006,0)), HYPERLINK("#",""), HYPERLINK(CONCATENATE("#metadata!", ADDRESS(INDEX($L$2:$L$1001,MATCH(ROWS($J$2:J809),$J$2:$J$1001,0),0), INDEX($Q$1004:$U$1004,1,MATCH(COLUMNS($Q$1006:U1006),$Q$1006:$U$1006,0)))),"Fix")))</f>
        <v xml:space="preserve"> </v>
      </c>
      <c r="J809">
        <v>808</v>
      </c>
      <c r="K809">
        <v>100809</v>
      </c>
      <c r="L809">
        <v>809</v>
      </c>
      <c r="M809" t="b">
        <f t="shared" si="12"/>
        <v>1</v>
      </c>
      <c r="N809" t="b">
        <f>COUNTBLANK(metadata!B809:F809)=COLUMNS(metadata!B809:F809)</f>
        <v>1</v>
      </c>
      <c r="O809" t="str">
        <v/>
      </c>
      <c r="Q809" t="b">
        <f ca="1">AND(IF(metadata!B809="",FALSE,TRUE),COUNTIF(metadata!B:B, metadata!B809) = 1,NOT(ISERROR(SUMPRODUCT(SEARCH(MID(metadata!B809,ROW(INDIRECT("1:"&amp;LEN(metadata!B809))), 1),"0123456789abcdefghijklmnopqrstuvwxyzABCDEFGHIJKLMNOPQRSTUVWXYZ.")))))</f>
        <v>0</v>
      </c>
      <c r="R809" t="b">
        <f>AND(IF(metadata!C809="",FALSE,TRUE),OR(EXACT(metadata!C809,"saline"),EXACT(metadata!C809,"non-saline")))</f>
        <v>0</v>
      </c>
      <c r="S809" t="b">
        <f>AND(IF(metadata!D809="",FALSE,TRUE),OR(EXACT(metadata!D809,"surface (non-saline)"),EXACT(metadata!D809,"aerosol (non-saline)"),EXACT(metadata!D809,"sediment (non-saline)"),EXACT(metadata!D809,"surface (saline)"),EXACT(metadata!D809,"aerosol (saline)"),EXACT(metadata!D809,"sediment (saline)")))</f>
        <v>0</v>
      </c>
      <c r="T809" t="b">
        <f>AND(IF(metadata!E809="",FALSE,TRUE),EXACT(metadata!E809,"built environment"))</f>
        <v>0</v>
      </c>
      <c r="U809" t="b">
        <f>OR(AND(IF(metadata!F809="",FALSE,TRUE),EXACT(metadata!F809,"not applicable")),AND(IF(metadata!F809="",FALSE,TRUE),EXACT(metadata!F809,"anaerobic digester content")))</f>
        <v>0</v>
      </c>
    </row>
    <row r="810" spans="1:21" x14ac:dyDescent="0.2">
      <c r="A810" s="4" t="str">
        <f ca="1">IF(B810=" "," ",HYPERLINK(CONCATENATE("#metadata!",ADDRESS(INDEX($L$2:$L$1001,MATCH(ROWS($J$2:J810),$J$2:$J$1001,0),0),1)),INDEX($O$2:$O$1001,MATCH(ROWS($J$2:J810),$J$2:$J$1001,0),0)))</f>
        <v xml:space="preserve"> </v>
      </c>
      <c r="B810" s="3" t="str">
        <f ca="1">IF(OR(INDEX($K$2:$K$1001,MATCH(ROWS($J$2:J810),$J$2:$J$1001,0),1)&gt;=100000,INDEX($Q$1005:$U$1005,1,MATCH(COLUMNS($Q$1006:Q1006),$Q$1006:$U$1006,0))&gt;=100000), " ",IF(INDEX($Q$2:$U$1001,MATCH(ROWS($J$2:J810),$J$2:$J$1001,0),MATCH(COLUMNS($Q$1006:Q1006),$Q$1006:$U$1006,0)), HYPERLINK("#",""), HYPERLINK(CONCATENATE("#metadata!", ADDRESS(INDEX($L$2:$L$1001,MATCH(ROWS($J$2:J810),$J$2:$J$1001,0),0), INDEX($Q$1004:$U$1004,1,MATCH(COLUMNS($Q$1006:Q1006),$Q$1006:$U$1006,0)))),"Fix")))</f>
        <v xml:space="preserve"> </v>
      </c>
      <c r="C810" s="3" t="str">
        <f ca="1">IF(OR(INDEX($K$2:$K$1001,MATCH(ROWS($J$2:J810),$J$2:$J$1001,0),1)&gt;=100000,INDEX($Q$1005:$U$1005,1,MATCH(COLUMNS($Q$1006:R1006),$Q$1006:$U$1006,0))&gt;=100000), " ",IF(INDEX($Q$2:$U$1001,MATCH(ROWS($J$2:J810),$J$2:$J$1001,0),MATCH(COLUMNS($Q$1006:R1006),$Q$1006:$U$1006,0)), HYPERLINK("#",""), HYPERLINK(CONCATENATE("#metadata!", ADDRESS(INDEX($L$2:$L$1001,MATCH(ROWS($J$2:J810),$J$2:$J$1001,0),0), INDEX($Q$1004:$U$1004,1,MATCH(COLUMNS($Q$1006:R1006),$Q$1006:$U$1006,0)))),"Fix")))</f>
        <v xml:space="preserve"> </v>
      </c>
      <c r="D810" s="3" t="str">
        <f ca="1">IF(OR(INDEX($K$2:$K$1001,MATCH(ROWS($J$2:J810),$J$2:$J$1001,0),1)&gt;=100000,INDEX($Q$1005:$U$1005,1,MATCH(COLUMNS($Q$1006:S1006),$Q$1006:$U$1006,0))&gt;=100000), " ",IF(INDEX($Q$2:$U$1001,MATCH(ROWS($J$2:J810),$J$2:$J$1001,0),MATCH(COLUMNS($Q$1006:S1006),$Q$1006:$U$1006,0)), HYPERLINK("#",""), HYPERLINK(CONCATENATE("#metadata!", ADDRESS(INDEX($L$2:$L$1001,MATCH(ROWS($J$2:J810),$J$2:$J$1001,0),0), INDEX($Q$1004:$U$1004,1,MATCH(COLUMNS($Q$1006:S1006),$Q$1006:$U$1006,0)))),"Fix")))</f>
        <v xml:space="preserve"> </v>
      </c>
      <c r="E810" s="3" t="str">
        <f ca="1">IF(OR(INDEX($K$2:$K$1001,MATCH(ROWS($J$2:J810),$J$2:$J$1001,0),1)&gt;=100000,INDEX($Q$1005:$U$1005,1,MATCH(COLUMNS($Q$1006:T1006),$Q$1006:$U$1006,0))&gt;=100000), " ",IF(INDEX($Q$2:$U$1001,MATCH(ROWS($J$2:J810),$J$2:$J$1001,0),MATCH(COLUMNS($Q$1006:T1006),$Q$1006:$U$1006,0)), HYPERLINK("#",""), HYPERLINK(CONCATENATE("#metadata!", ADDRESS(INDEX($L$2:$L$1001,MATCH(ROWS($J$2:J810),$J$2:$J$1001,0),0), INDEX($Q$1004:$U$1004,1,MATCH(COLUMNS($Q$1006:T1006),$Q$1006:$U$1006,0)))),"Fix")))</f>
        <v xml:space="preserve"> </v>
      </c>
      <c r="F810" s="3" t="str">
        <f ca="1">IF(OR(INDEX($K$2:$K$1001,MATCH(ROWS($J$2:J810),$J$2:$J$1001,0),1)&gt;=100000,INDEX($Q$1005:$U$1005,1,MATCH(COLUMNS($Q$1006:U1006),$Q$1006:$U$1006,0))&gt;=100000), " ",IF(INDEX($Q$2:$U$1001,MATCH(ROWS($J$2:J810),$J$2:$J$1001,0),MATCH(COLUMNS($Q$1006:U1006),$Q$1006:$U$1006,0)), HYPERLINK("#",""), HYPERLINK(CONCATENATE("#metadata!", ADDRESS(INDEX($L$2:$L$1001,MATCH(ROWS($J$2:J810),$J$2:$J$1001,0),0), INDEX($Q$1004:$U$1004,1,MATCH(COLUMNS($Q$1006:U1006),$Q$1006:$U$1006,0)))),"Fix")))</f>
        <v xml:space="preserve"> </v>
      </c>
      <c r="J810">
        <v>809</v>
      </c>
      <c r="K810">
        <v>100810</v>
      </c>
      <c r="L810">
        <v>810</v>
      </c>
      <c r="M810" t="b">
        <f t="shared" si="12"/>
        <v>1</v>
      </c>
      <c r="N810" t="b">
        <f>COUNTBLANK(metadata!B810:F810)=COLUMNS(metadata!B810:F810)</f>
        <v>1</v>
      </c>
      <c r="O810" t="str">
        <v/>
      </c>
      <c r="Q810" t="b">
        <f ca="1">AND(IF(metadata!B810="",FALSE,TRUE),COUNTIF(metadata!B:B, metadata!B810) = 1,NOT(ISERROR(SUMPRODUCT(SEARCH(MID(metadata!B810,ROW(INDIRECT("1:"&amp;LEN(metadata!B810))), 1),"0123456789abcdefghijklmnopqrstuvwxyzABCDEFGHIJKLMNOPQRSTUVWXYZ.")))))</f>
        <v>0</v>
      </c>
      <c r="R810" t="b">
        <f>AND(IF(metadata!C810="",FALSE,TRUE),OR(EXACT(metadata!C810,"saline"),EXACT(metadata!C810,"non-saline")))</f>
        <v>0</v>
      </c>
      <c r="S810" t="b">
        <f>AND(IF(metadata!D810="",FALSE,TRUE),OR(EXACT(metadata!D810,"surface (non-saline)"),EXACT(metadata!D810,"aerosol (non-saline)"),EXACT(metadata!D810,"sediment (non-saline)"),EXACT(metadata!D810,"surface (saline)"),EXACT(metadata!D810,"aerosol (saline)"),EXACT(metadata!D810,"sediment (saline)")))</f>
        <v>0</v>
      </c>
      <c r="T810" t="b">
        <f>AND(IF(metadata!E810="",FALSE,TRUE),EXACT(metadata!E810,"built environment"))</f>
        <v>0</v>
      </c>
      <c r="U810" t="b">
        <f>OR(AND(IF(metadata!F810="",FALSE,TRUE),EXACT(metadata!F810,"not applicable")),AND(IF(metadata!F810="",FALSE,TRUE),EXACT(metadata!F810,"anaerobic digester content")))</f>
        <v>0</v>
      </c>
    </row>
    <row r="811" spans="1:21" x14ac:dyDescent="0.2">
      <c r="A811" s="4" t="str">
        <f ca="1">IF(B811=" "," ",HYPERLINK(CONCATENATE("#metadata!",ADDRESS(INDEX($L$2:$L$1001,MATCH(ROWS($J$2:J811),$J$2:$J$1001,0),0),1)),INDEX($O$2:$O$1001,MATCH(ROWS($J$2:J811),$J$2:$J$1001,0),0)))</f>
        <v xml:space="preserve"> </v>
      </c>
      <c r="B811" s="3" t="str">
        <f ca="1">IF(OR(INDEX($K$2:$K$1001,MATCH(ROWS($J$2:J811),$J$2:$J$1001,0),1)&gt;=100000,INDEX($Q$1005:$U$1005,1,MATCH(COLUMNS($Q$1006:Q1006),$Q$1006:$U$1006,0))&gt;=100000), " ",IF(INDEX($Q$2:$U$1001,MATCH(ROWS($J$2:J811),$J$2:$J$1001,0),MATCH(COLUMNS($Q$1006:Q1006),$Q$1006:$U$1006,0)), HYPERLINK("#",""), HYPERLINK(CONCATENATE("#metadata!", ADDRESS(INDEX($L$2:$L$1001,MATCH(ROWS($J$2:J811),$J$2:$J$1001,0),0), INDEX($Q$1004:$U$1004,1,MATCH(COLUMNS($Q$1006:Q1006),$Q$1006:$U$1006,0)))),"Fix")))</f>
        <v xml:space="preserve"> </v>
      </c>
      <c r="C811" s="3" t="str">
        <f ca="1">IF(OR(INDEX($K$2:$K$1001,MATCH(ROWS($J$2:J811),$J$2:$J$1001,0),1)&gt;=100000,INDEX($Q$1005:$U$1005,1,MATCH(COLUMNS($Q$1006:R1006),$Q$1006:$U$1006,0))&gt;=100000), " ",IF(INDEX($Q$2:$U$1001,MATCH(ROWS($J$2:J811),$J$2:$J$1001,0),MATCH(COLUMNS($Q$1006:R1006),$Q$1006:$U$1006,0)), HYPERLINK("#",""), HYPERLINK(CONCATENATE("#metadata!", ADDRESS(INDEX($L$2:$L$1001,MATCH(ROWS($J$2:J811),$J$2:$J$1001,0),0), INDEX($Q$1004:$U$1004,1,MATCH(COLUMNS($Q$1006:R1006),$Q$1006:$U$1006,0)))),"Fix")))</f>
        <v xml:space="preserve"> </v>
      </c>
      <c r="D811" s="3" t="str">
        <f ca="1">IF(OR(INDEX($K$2:$K$1001,MATCH(ROWS($J$2:J811),$J$2:$J$1001,0),1)&gt;=100000,INDEX($Q$1005:$U$1005,1,MATCH(COLUMNS($Q$1006:S1006),$Q$1006:$U$1006,0))&gt;=100000), " ",IF(INDEX($Q$2:$U$1001,MATCH(ROWS($J$2:J811),$J$2:$J$1001,0),MATCH(COLUMNS($Q$1006:S1006),$Q$1006:$U$1006,0)), HYPERLINK("#",""), HYPERLINK(CONCATENATE("#metadata!", ADDRESS(INDEX($L$2:$L$1001,MATCH(ROWS($J$2:J811),$J$2:$J$1001,0),0), INDEX($Q$1004:$U$1004,1,MATCH(COLUMNS($Q$1006:S1006),$Q$1006:$U$1006,0)))),"Fix")))</f>
        <v xml:space="preserve"> </v>
      </c>
      <c r="E811" s="3" t="str">
        <f ca="1">IF(OR(INDEX($K$2:$K$1001,MATCH(ROWS($J$2:J811),$J$2:$J$1001,0),1)&gt;=100000,INDEX($Q$1005:$U$1005,1,MATCH(COLUMNS($Q$1006:T1006),$Q$1006:$U$1006,0))&gt;=100000), " ",IF(INDEX($Q$2:$U$1001,MATCH(ROWS($J$2:J811),$J$2:$J$1001,0),MATCH(COLUMNS($Q$1006:T1006),$Q$1006:$U$1006,0)), HYPERLINK("#",""), HYPERLINK(CONCATENATE("#metadata!", ADDRESS(INDEX($L$2:$L$1001,MATCH(ROWS($J$2:J811),$J$2:$J$1001,0),0), INDEX($Q$1004:$U$1004,1,MATCH(COLUMNS($Q$1006:T1006),$Q$1006:$U$1006,0)))),"Fix")))</f>
        <v xml:space="preserve"> </v>
      </c>
      <c r="F811" s="3" t="str">
        <f ca="1">IF(OR(INDEX($K$2:$K$1001,MATCH(ROWS($J$2:J811),$J$2:$J$1001,0),1)&gt;=100000,INDEX($Q$1005:$U$1005,1,MATCH(COLUMNS($Q$1006:U1006),$Q$1006:$U$1006,0))&gt;=100000), " ",IF(INDEX($Q$2:$U$1001,MATCH(ROWS($J$2:J811),$J$2:$J$1001,0),MATCH(COLUMNS($Q$1006:U1006),$Q$1006:$U$1006,0)), HYPERLINK("#",""), HYPERLINK(CONCATENATE("#metadata!", ADDRESS(INDEX($L$2:$L$1001,MATCH(ROWS($J$2:J811),$J$2:$J$1001,0),0), INDEX($Q$1004:$U$1004,1,MATCH(COLUMNS($Q$1006:U1006),$Q$1006:$U$1006,0)))),"Fix")))</f>
        <v xml:space="preserve"> </v>
      </c>
      <c r="J811">
        <v>810</v>
      </c>
      <c r="K811">
        <v>100811</v>
      </c>
      <c r="L811">
        <v>811</v>
      </c>
      <c r="M811" t="b">
        <f t="shared" si="12"/>
        <v>1</v>
      </c>
      <c r="N811" t="b">
        <f>COUNTBLANK(metadata!B811:F811)=COLUMNS(metadata!B811:F811)</f>
        <v>1</v>
      </c>
      <c r="O811" t="str">
        <v/>
      </c>
      <c r="Q811" t="b">
        <f ca="1">AND(IF(metadata!B811="",FALSE,TRUE),COUNTIF(metadata!B:B, metadata!B811) = 1,NOT(ISERROR(SUMPRODUCT(SEARCH(MID(metadata!B811,ROW(INDIRECT("1:"&amp;LEN(metadata!B811))), 1),"0123456789abcdefghijklmnopqrstuvwxyzABCDEFGHIJKLMNOPQRSTUVWXYZ.")))))</f>
        <v>0</v>
      </c>
      <c r="R811" t="b">
        <f>AND(IF(metadata!C811="",FALSE,TRUE),OR(EXACT(metadata!C811,"saline"),EXACT(metadata!C811,"non-saline")))</f>
        <v>0</v>
      </c>
      <c r="S811" t="b">
        <f>AND(IF(metadata!D811="",FALSE,TRUE),OR(EXACT(metadata!D811,"surface (non-saline)"),EXACT(metadata!D811,"aerosol (non-saline)"),EXACT(metadata!D811,"sediment (non-saline)"),EXACT(metadata!D811,"surface (saline)"),EXACT(metadata!D811,"aerosol (saline)"),EXACT(metadata!D811,"sediment (saline)")))</f>
        <v>0</v>
      </c>
      <c r="T811" t="b">
        <f>AND(IF(metadata!E811="",FALSE,TRUE),EXACT(metadata!E811,"built environment"))</f>
        <v>0</v>
      </c>
      <c r="U811" t="b">
        <f>OR(AND(IF(metadata!F811="",FALSE,TRUE),EXACT(metadata!F811,"not applicable")),AND(IF(metadata!F811="",FALSE,TRUE),EXACT(metadata!F811,"anaerobic digester content")))</f>
        <v>0</v>
      </c>
    </row>
    <row r="812" spans="1:21" x14ac:dyDescent="0.2">
      <c r="A812" s="4" t="str">
        <f ca="1">IF(B812=" "," ",HYPERLINK(CONCATENATE("#metadata!",ADDRESS(INDEX($L$2:$L$1001,MATCH(ROWS($J$2:J812),$J$2:$J$1001,0),0),1)),INDEX($O$2:$O$1001,MATCH(ROWS($J$2:J812),$J$2:$J$1001,0),0)))</f>
        <v xml:space="preserve"> </v>
      </c>
      <c r="B812" s="3" t="str">
        <f ca="1">IF(OR(INDEX($K$2:$K$1001,MATCH(ROWS($J$2:J812),$J$2:$J$1001,0),1)&gt;=100000,INDEX($Q$1005:$U$1005,1,MATCH(COLUMNS($Q$1006:Q1006),$Q$1006:$U$1006,0))&gt;=100000), " ",IF(INDEX($Q$2:$U$1001,MATCH(ROWS($J$2:J812),$J$2:$J$1001,0),MATCH(COLUMNS($Q$1006:Q1006),$Q$1006:$U$1006,0)), HYPERLINK("#",""), HYPERLINK(CONCATENATE("#metadata!", ADDRESS(INDEX($L$2:$L$1001,MATCH(ROWS($J$2:J812),$J$2:$J$1001,0),0), INDEX($Q$1004:$U$1004,1,MATCH(COLUMNS($Q$1006:Q1006),$Q$1006:$U$1006,0)))),"Fix")))</f>
        <v xml:space="preserve"> </v>
      </c>
      <c r="C812" s="3" t="str">
        <f ca="1">IF(OR(INDEX($K$2:$K$1001,MATCH(ROWS($J$2:J812),$J$2:$J$1001,0),1)&gt;=100000,INDEX($Q$1005:$U$1005,1,MATCH(COLUMNS($Q$1006:R1006),$Q$1006:$U$1006,0))&gt;=100000), " ",IF(INDEX($Q$2:$U$1001,MATCH(ROWS($J$2:J812),$J$2:$J$1001,0),MATCH(COLUMNS($Q$1006:R1006),$Q$1006:$U$1006,0)), HYPERLINK("#",""), HYPERLINK(CONCATENATE("#metadata!", ADDRESS(INDEX($L$2:$L$1001,MATCH(ROWS($J$2:J812),$J$2:$J$1001,0),0), INDEX($Q$1004:$U$1004,1,MATCH(COLUMNS($Q$1006:R1006),$Q$1006:$U$1006,0)))),"Fix")))</f>
        <v xml:space="preserve"> </v>
      </c>
      <c r="D812" s="3" t="str">
        <f ca="1">IF(OR(INDEX($K$2:$K$1001,MATCH(ROWS($J$2:J812),$J$2:$J$1001,0),1)&gt;=100000,INDEX($Q$1005:$U$1005,1,MATCH(COLUMNS($Q$1006:S1006),$Q$1006:$U$1006,0))&gt;=100000), " ",IF(INDEX($Q$2:$U$1001,MATCH(ROWS($J$2:J812),$J$2:$J$1001,0),MATCH(COLUMNS($Q$1006:S1006),$Q$1006:$U$1006,0)), HYPERLINK("#",""), HYPERLINK(CONCATENATE("#metadata!", ADDRESS(INDEX($L$2:$L$1001,MATCH(ROWS($J$2:J812),$J$2:$J$1001,0),0), INDEX($Q$1004:$U$1004,1,MATCH(COLUMNS($Q$1006:S1006),$Q$1006:$U$1006,0)))),"Fix")))</f>
        <v xml:space="preserve"> </v>
      </c>
      <c r="E812" s="3" t="str">
        <f ca="1">IF(OR(INDEX($K$2:$K$1001,MATCH(ROWS($J$2:J812),$J$2:$J$1001,0),1)&gt;=100000,INDEX($Q$1005:$U$1005,1,MATCH(COLUMNS($Q$1006:T1006),$Q$1006:$U$1006,0))&gt;=100000), " ",IF(INDEX($Q$2:$U$1001,MATCH(ROWS($J$2:J812),$J$2:$J$1001,0),MATCH(COLUMNS($Q$1006:T1006),$Q$1006:$U$1006,0)), HYPERLINK("#",""), HYPERLINK(CONCATENATE("#metadata!", ADDRESS(INDEX($L$2:$L$1001,MATCH(ROWS($J$2:J812),$J$2:$J$1001,0),0), INDEX($Q$1004:$U$1004,1,MATCH(COLUMNS($Q$1006:T1006),$Q$1006:$U$1006,0)))),"Fix")))</f>
        <v xml:space="preserve"> </v>
      </c>
      <c r="F812" s="3" t="str">
        <f ca="1">IF(OR(INDEX($K$2:$K$1001,MATCH(ROWS($J$2:J812),$J$2:$J$1001,0),1)&gt;=100000,INDEX($Q$1005:$U$1005,1,MATCH(COLUMNS($Q$1006:U1006),$Q$1006:$U$1006,0))&gt;=100000), " ",IF(INDEX($Q$2:$U$1001,MATCH(ROWS($J$2:J812),$J$2:$J$1001,0),MATCH(COLUMNS($Q$1006:U1006),$Q$1006:$U$1006,0)), HYPERLINK("#",""), HYPERLINK(CONCATENATE("#metadata!", ADDRESS(INDEX($L$2:$L$1001,MATCH(ROWS($J$2:J812),$J$2:$J$1001,0),0), INDEX($Q$1004:$U$1004,1,MATCH(COLUMNS($Q$1006:U1006),$Q$1006:$U$1006,0)))),"Fix")))</f>
        <v xml:space="preserve"> </v>
      </c>
      <c r="J812">
        <v>811</v>
      </c>
      <c r="K812">
        <v>100812</v>
      </c>
      <c r="L812">
        <v>812</v>
      </c>
      <c r="M812" t="b">
        <f t="shared" si="12"/>
        <v>1</v>
      </c>
      <c r="N812" t="b">
        <f>COUNTBLANK(metadata!B812:F812)=COLUMNS(metadata!B812:F812)</f>
        <v>1</v>
      </c>
      <c r="O812" t="str">
        <v/>
      </c>
      <c r="Q812" t="b">
        <f ca="1">AND(IF(metadata!B812="",FALSE,TRUE),COUNTIF(metadata!B:B, metadata!B812) = 1,NOT(ISERROR(SUMPRODUCT(SEARCH(MID(metadata!B812,ROW(INDIRECT("1:"&amp;LEN(metadata!B812))), 1),"0123456789abcdefghijklmnopqrstuvwxyzABCDEFGHIJKLMNOPQRSTUVWXYZ.")))))</f>
        <v>0</v>
      </c>
      <c r="R812" t="b">
        <f>AND(IF(metadata!C812="",FALSE,TRUE),OR(EXACT(metadata!C812,"saline"),EXACT(metadata!C812,"non-saline")))</f>
        <v>0</v>
      </c>
      <c r="S812" t="b">
        <f>AND(IF(metadata!D812="",FALSE,TRUE),OR(EXACT(metadata!D812,"surface (non-saline)"),EXACT(metadata!D812,"aerosol (non-saline)"),EXACT(metadata!D812,"sediment (non-saline)"),EXACT(metadata!D812,"surface (saline)"),EXACT(metadata!D812,"aerosol (saline)"),EXACT(metadata!D812,"sediment (saline)")))</f>
        <v>0</v>
      </c>
      <c r="T812" t="b">
        <f>AND(IF(metadata!E812="",FALSE,TRUE),EXACT(metadata!E812,"built environment"))</f>
        <v>0</v>
      </c>
      <c r="U812" t="b">
        <f>OR(AND(IF(metadata!F812="",FALSE,TRUE),EXACT(metadata!F812,"not applicable")),AND(IF(metadata!F812="",FALSE,TRUE),EXACT(metadata!F812,"anaerobic digester content")))</f>
        <v>0</v>
      </c>
    </row>
    <row r="813" spans="1:21" x14ac:dyDescent="0.2">
      <c r="A813" s="4" t="str">
        <f ca="1">IF(B813=" "," ",HYPERLINK(CONCATENATE("#metadata!",ADDRESS(INDEX($L$2:$L$1001,MATCH(ROWS($J$2:J813),$J$2:$J$1001,0),0),1)),INDEX($O$2:$O$1001,MATCH(ROWS($J$2:J813),$J$2:$J$1001,0),0)))</f>
        <v xml:space="preserve"> </v>
      </c>
      <c r="B813" s="3" t="str">
        <f ca="1">IF(OR(INDEX($K$2:$K$1001,MATCH(ROWS($J$2:J813),$J$2:$J$1001,0),1)&gt;=100000,INDEX($Q$1005:$U$1005,1,MATCH(COLUMNS($Q$1006:Q1006),$Q$1006:$U$1006,0))&gt;=100000), " ",IF(INDEX($Q$2:$U$1001,MATCH(ROWS($J$2:J813),$J$2:$J$1001,0),MATCH(COLUMNS($Q$1006:Q1006),$Q$1006:$U$1006,0)), HYPERLINK("#",""), HYPERLINK(CONCATENATE("#metadata!", ADDRESS(INDEX($L$2:$L$1001,MATCH(ROWS($J$2:J813),$J$2:$J$1001,0),0), INDEX($Q$1004:$U$1004,1,MATCH(COLUMNS($Q$1006:Q1006),$Q$1006:$U$1006,0)))),"Fix")))</f>
        <v xml:space="preserve"> </v>
      </c>
      <c r="C813" s="3" t="str">
        <f ca="1">IF(OR(INDEX($K$2:$K$1001,MATCH(ROWS($J$2:J813),$J$2:$J$1001,0),1)&gt;=100000,INDEX($Q$1005:$U$1005,1,MATCH(COLUMNS($Q$1006:R1006),$Q$1006:$U$1006,0))&gt;=100000), " ",IF(INDEX($Q$2:$U$1001,MATCH(ROWS($J$2:J813),$J$2:$J$1001,0),MATCH(COLUMNS($Q$1006:R1006),$Q$1006:$U$1006,0)), HYPERLINK("#",""), HYPERLINK(CONCATENATE("#metadata!", ADDRESS(INDEX($L$2:$L$1001,MATCH(ROWS($J$2:J813),$J$2:$J$1001,0),0), INDEX($Q$1004:$U$1004,1,MATCH(COLUMNS($Q$1006:R1006),$Q$1006:$U$1006,0)))),"Fix")))</f>
        <v xml:space="preserve"> </v>
      </c>
      <c r="D813" s="3" t="str">
        <f ca="1">IF(OR(INDEX($K$2:$K$1001,MATCH(ROWS($J$2:J813),$J$2:$J$1001,0),1)&gt;=100000,INDEX($Q$1005:$U$1005,1,MATCH(COLUMNS($Q$1006:S1006),$Q$1006:$U$1006,0))&gt;=100000), " ",IF(INDEX($Q$2:$U$1001,MATCH(ROWS($J$2:J813),$J$2:$J$1001,0),MATCH(COLUMNS($Q$1006:S1006),$Q$1006:$U$1006,0)), HYPERLINK("#",""), HYPERLINK(CONCATENATE("#metadata!", ADDRESS(INDEX($L$2:$L$1001,MATCH(ROWS($J$2:J813),$J$2:$J$1001,0),0), INDEX($Q$1004:$U$1004,1,MATCH(COLUMNS($Q$1006:S1006),$Q$1006:$U$1006,0)))),"Fix")))</f>
        <v xml:space="preserve"> </v>
      </c>
      <c r="E813" s="3" t="str">
        <f ca="1">IF(OR(INDEX($K$2:$K$1001,MATCH(ROWS($J$2:J813),$J$2:$J$1001,0),1)&gt;=100000,INDEX($Q$1005:$U$1005,1,MATCH(COLUMNS($Q$1006:T1006),$Q$1006:$U$1006,0))&gt;=100000), " ",IF(INDEX($Q$2:$U$1001,MATCH(ROWS($J$2:J813),$J$2:$J$1001,0),MATCH(COLUMNS($Q$1006:T1006),$Q$1006:$U$1006,0)), HYPERLINK("#",""), HYPERLINK(CONCATENATE("#metadata!", ADDRESS(INDEX($L$2:$L$1001,MATCH(ROWS($J$2:J813),$J$2:$J$1001,0),0), INDEX($Q$1004:$U$1004,1,MATCH(COLUMNS($Q$1006:T1006),$Q$1006:$U$1006,0)))),"Fix")))</f>
        <v xml:space="preserve"> </v>
      </c>
      <c r="F813" s="3" t="str">
        <f ca="1">IF(OR(INDEX($K$2:$K$1001,MATCH(ROWS($J$2:J813),$J$2:$J$1001,0),1)&gt;=100000,INDEX($Q$1005:$U$1005,1,MATCH(COLUMNS($Q$1006:U1006),$Q$1006:$U$1006,0))&gt;=100000), " ",IF(INDEX($Q$2:$U$1001,MATCH(ROWS($J$2:J813),$J$2:$J$1001,0),MATCH(COLUMNS($Q$1006:U1006),$Q$1006:$U$1006,0)), HYPERLINK("#",""), HYPERLINK(CONCATENATE("#metadata!", ADDRESS(INDEX($L$2:$L$1001,MATCH(ROWS($J$2:J813),$J$2:$J$1001,0),0), INDEX($Q$1004:$U$1004,1,MATCH(COLUMNS($Q$1006:U1006),$Q$1006:$U$1006,0)))),"Fix")))</f>
        <v xml:space="preserve"> </v>
      </c>
      <c r="J813">
        <v>812</v>
      </c>
      <c r="K813">
        <v>100813</v>
      </c>
      <c r="L813">
        <v>813</v>
      </c>
      <c r="M813" t="b">
        <f t="shared" si="12"/>
        <v>1</v>
      </c>
      <c r="N813" t="b">
        <f>COUNTBLANK(metadata!B813:F813)=COLUMNS(metadata!B813:F813)</f>
        <v>1</v>
      </c>
      <c r="O813" t="str">
        <v/>
      </c>
      <c r="Q813" t="b">
        <f ca="1">AND(IF(metadata!B813="",FALSE,TRUE),COUNTIF(metadata!B:B, metadata!B813) = 1,NOT(ISERROR(SUMPRODUCT(SEARCH(MID(metadata!B813,ROW(INDIRECT("1:"&amp;LEN(metadata!B813))), 1),"0123456789abcdefghijklmnopqrstuvwxyzABCDEFGHIJKLMNOPQRSTUVWXYZ.")))))</f>
        <v>0</v>
      </c>
      <c r="R813" t="b">
        <f>AND(IF(metadata!C813="",FALSE,TRUE),OR(EXACT(metadata!C813,"saline"),EXACT(metadata!C813,"non-saline")))</f>
        <v>0</v>
      </c>
      <c r="S813" t="b">
        <f>AND(IF(metadata!D813="",FALSE,TRUE),OR(EXACT(metadata!D813,"surface (non-saline)"),EXACT(metadata!D813,"aerosol (non-saline)"),EXACT(metadata!D813,"sediment (non-saline)"),EXACT(metadata!D813,"surface (saline)"),EXACT(metadata!D813,"aerosol (saline)"),EXACT(metadata!D813,"sediment (saline)")))</f>
        <v>0</v>
      </c>
      <c r="T813" t="b">
        <f>AND(IF(metadata!E813="",FALSE,TRUE),EXACT(metadata!E813,"built environment"))</f>
        <v>0</v>
      </c>
      <c r="U813" t="b">
        <f>OR(AND(IF(metadata!F813="",FALSE,TRUE),EXACT(metadata!F813,"not applicable")),AND(IF(metadata!F813="",FALSE,TRUE),EXACT(metadata!F813,"anaerobic digester content")))</f>
        <v>0</v>
      </c>
    </row>
    <row r="814" spans="1:21" x14ac:dyDescent="0.2">
      <c r="A814" s="4" t="str">
        <f ca="1">IF(B814=" "," ",HYPERLINK(CONCATENATE("#metadata!",ADDRESS(INDEX($L$2:$L$1001,MATCH(ROWS($J$2:J814),$J$2:$J$1001,0),0),1)),INDEX($O$2:$O$1001,MATCH(ROWS($J$2:J814),$J$2:$J$1001,0),0)))</f>
        <v xml:space="preserve"> </v>
      </c>
      <c r="B814" s="3" t="str">
        <f ca="1">IF(OR(INDEX($K$2:$K$1001,MATCH(ROWS($J$2:J814),$J$2:$J$1001,0),1)&gt;=100000,INDEX($Q$1005:$U$1005,1,MATCH(COLUMNS($Q$1006:Q1006),$Q$1006:$U$1006,0))&gt;=100000), " ",IF(INDEX($Q$2:$U$1001,MATCH(ROWS($J$2:J814),$J$2:$J$1001,0),MATCH(COLUMNS($Q$1006:Q1006),$Q$1006:$U$1006,0)), HYPERLINK("#",""), HYPERLINK(CONCATENATE("#metadata!", ADDRESS(INDEX($L$2:$L$1001,MATCH(ROWS($J$2:J814),$J$2:$J$1001,0),0), INDEX($Q$1004:$U$1004,1,MATCH(COLUMNS($Q$1006:Q1006),$Q$1006:$U$1006,0)))),"Fix")))</f>
        <v xml:space="preserve"> </v>
      </c>
      <c r="C814" s="3" t="str">
        <f ca="1">IF(OR(INDEX($K$2:$K$1001,MATCH(ROWS($J$2:J814),$J$2:$J$1001,0),1)&gt;=100000,INDEX($Q$1005:$U$1005,1,MATCH(COLUMNS($Q$1006:R1006),$Q$1006:$U$1006,0))&gt;=100000), " ",IF(INDEX($Q$2:$U$1001,MATCH(ROWS($J$2:J814),$J$2:$J$1001,0),MATCH(COLUMNS($Q$1006:R1006),$Q$1006:$U$1006,0)), HYPERLINK("#",""), HYPERLINK(CONCATENATE("#metadata!", ADDRESS(INDEX($L$2:$L$1001,MATCH(ROWS($J$2:J814),$J$2:$J$1001,0),0), INDEX($Q$1004:$U$1004,1,MATCH(COLUMNS($Q$1006:R1006),$Q$1006:$U$1006,0)))),"Fix")))</f>
        <v xml:space="preserve"> </v>
      </c>
      <c r="D814" s="3" t="str">
        <f ca="1">IF(OR(INDEX($K$2:$K$1001,MATCH(ROWS($J$2:J814),$J$2:$J$1001,0),1)&gt;=100000,INDEX($Q$1005:$U$1005,1,MATCH(COLUMNS($Q$1006:S1006),$Q$1006:$U$1006,0))&gt;=100000), " ",IF(INDEX($Q$2:$U$1001,MATCH(ROWS($J$2:J814),$J$2:$J$1001,0),MATCH(COLUMNS($Q$1006:S1006),$Q$1006:$U$1006,0)), HYPERLINK("#",""), HYPERLINK(CONCATENATE("#metadata!", ADDRESS(INDEX($L$2:$L$1001,MATCH(ROWS($J$2:J814),$J$2:$J$1001,0),0), INDEX($Q$1004:$U$1004,1,MATCH(COLUMNS($Q$1006:S1006),$Q$1006:$U$1006,0)))),"Fix")))</f>
        <v xml:space="preserve"> </v>
      </c>
      <c r="E814" s="3" t="str">
        <f ca="1">IF(OR(INDEX($K$2:$K$1001,MATCH(ROWS($J$2:J814),$J$2:$J$1001,0),1)&gt;=100000,INDEX($Q$1005:$U$1005,1,MATCH(COLUMNS($Q$1006:T1006),$Q$1006:$U$1006,0))&gt;=100000), " ",IF(INDEX($Q$2:$U$1001,MATCH(ROWS($J$2:J814),$J$2:$J$1001,0),MATCH(COLUMNS($Q$1006:T1006),$Q$1006:$U$1006,0)), HYPERLINK("#",""), HYPERLINK(CONCATENATE("#metadata!", ADDRESS(INDEX($L$2:$L$1001,MATCH(ROWS($J$2:J814),$J$2:$J$1001,0),0), INDEX($Q$1004:$U$1004,1,MATCH(COLUMNS($Q$1006:T1006),$Q$1006:$U$1006,0)))),"Fix")))</f>
        <v xml:space="preserve"> </v>
      </c>
      <c r="F814" s="3" t="str">
        <f ca="1">IF(OR(INDEX($K$2:$K$1001,MATCH(ROWS($J$2:J814),$J$2:$J$1001,0),1)&gt;=100000,INDEX($Q$1005:$U$1005,1,MATCH(COLUMNS($Q$1006:U1006),$Q$1006:$U$1006,0))&gt;=100000), " ",IF(INDEX($Q$2:$U$1001,MATCH(ROWS($J$2:J814),$J$2:$J$1001,0),MATCH(COLUMNS($Q$1006:U1006),$Q$1006:$U$1006,0)), HYPERLINK("#",""), HYPERLINK(CONCATENATE("#metadata!", ADDRESS(INDEX($L$2:$L$1001,MATCH(ROWS($J$2:J814),$J$2:$J$1001,0),0), INDEX($Q$1004:$U$1004,1,MATCH(COLUMNS($Q$1006:U1006),$Q$1006:$U$1006,0)))),"Fix")))</f>
        <v xml:space="preserve"> </v>
      </c>
      <c r="J814">
        <v>813</v>
      </c>
      <c r="K814">
        <v>100814</v>
      </c>
      <c r="L814">
        <v>814</v>
      </c>
      <c r="M814" t="b">
        <f t="shared" si="12"/>
        <v>1</v>
      </c>
      <c r="N814" t="b">
        <f>COUNTBLANK(metadata!B814:F814)=COLUMNS(metadata!B814:F814)</f>
        <v>1</v>
      </c>
      <c r="O814" t="str">
        <v/>
      </c>
      <c r="Q814" t="b">
        <f ca="1">AND(IF(metadata!B814="",FALSE,TRUE),COUNTIF(metadata!B:B, metadata!B814) = 1,NOT(ISERROR(SUMPRODUCT(SEARCH(MID(metadata!B814,ROW(INDIRECT("1:"&amp;LEN(metadata!B814))), 1),"0123456789abcdefghijklmnopqrstuvwxyzABCDEFGHIJKLMNOPQRSTUVWXYZ.")))))</f>
        <v>0</v>
      </c>
      <c r="R814" t="b">
        <f>AND(IF(metadata!C814="",FALSE,TRUE),OR(EXACT(metadata!C814,"saline"),EXACT(metadata!C814,"non-saline")))</f>
        <v>0</v>
      </c>
      <c r="S814" t="b">
        <f>AND(IF(metadata!D814="",FALSE,TRUE),OR(EXACT(metadata!D814,"surface (non-saline)"),EXACT(metadata!D814,"aerosol (non-saline)"),EXACT(metadata!D814,"sediment (non-saline)"),EXACT(metadata!D814,"surface (saline)"),EXACT(metadata!D814,"aerosol (saline)"),EXACT(metadata!D814,"sediment (saline)")))</f>
        <v>0</v>
      </c>
      <c r="T814" t="b">
        <f>AND(IF(metadata!E814="",FALSE,TRUE),EXACT(metadata!E814,"built environment"))</f>
        <v>0</v>
      </c>
      <c r="U814" t="b">
        <f>OR(AND(IF(metadata!F814="",FALSE,TRUE),EXACT(metadata!F814,"not applicable")),AND(IF(metadata!F814="",FALSE,TRUE),EXACT(metadata!F814,"anaerobic digester content")))</f>
        <v>0</v>
      </c>
    </row>
    <row r="815" spans="1:21" x14ac:dyDescent="0.2">
      <c r="A815" s="4" t="str">
        <f ca="1">IF(B815=" "," ",HYPERLINK(CONCATENATE("#metadata!",ADDRESS(INDEX($L$2:$L$1001,MATCH(ROWS($J$2:J815),$J$2:$J$1001,0),0),1)),INDEX($O$2:$O$1001,MATCH(ROWS($J$2:J815),$J$2:$J$1001,0),0)))</f>
        <v xml:space="preserve"> </v>
      </c>
      <c r="B815" s="3" t="str">
        <f ca="1">IF(OR(INDEX($K$2:$K$1001,MATCH(ROWS($J$2:J815),$J$2:$J$1001,0),1)&gt;=100000,INDEX($Q$1005:$U$1005,1,MATCH(COLUMNS($Q$1006:Q1006),$Q$1006:$U$1006,0))&gt;=100000), " ",IF(INDEX($Q$2:$U$1001,MATCH(ROWS($J$2:J815),$J$2:$J$1001,0),MATCH(COLUMNS($Q$1006:Q1006),$Q$1006:$U$1006,0)), HYPERLINK("#",""), HYPERLINK(CONCATENATE("#metadata!", ADDRESS(INDEX($L$2:$L$1001,MATCH(ROWS($J$2:J815),$J$2:$J$1001,0),0), INDEX($Q$1004:$U$1004,1,MATCH(COLUMNS($Q$1006:Q1006),$Q$1006:$U$1006,0)))),"Fix")))</f>
        <v xml:space="preserve"> </v>
      </c>
      <c r="C815" s="3" t="str">
        <f ca="1">IF(OR(INDEX($K$2:$K$1001,MATCH(ROWS($J$2:J815),$J$2:$J$1001,0),1)&gt;=100000,INDEX($Q$1005:$U$1005,1,MATCH(COLUMNS($Q$1006:R1006),$Q$1006:$U$1006,0))&gt;=100000), " ",IF(INDEX($Q$2:$U$1001,MATCH(ROWS($J$2:J815),$J$2:$J$1001,0),MATCH(COLUMNS($Q$1006:R1006),$Q$1006:$U$1006,0)), HYPERLINK("#",""), HYPERLINK(CONCATENATE("#metadata!", ADDRESS(INDEX($L$2:$L$1001,MATCH(ROWS($J$2:J815),$J$2:$J$1001,0),0), INDEX($Q$1004:$U$1004,1,MATCH(COLUMNS($Q$1006:R1006),$Q$1006:$U$1006,0)))),"Fix")))</f>
        <v xml:space="preserve"> </v>
      </c>
      <c r="D815" s="3" t="str">
        <f ca="1">IF(OR(INDEX($K$2:$K$1001,MATCH(ROWS($J$2:J815),$J$2:$J$1001,0),1)&gt;=100000,INDEX($Q$1005:$U$1005,1,MATCH(COLUMNS($Q$1006:S1006),$Q$1006:$U$1006,0))&gt;=100000), " ",IF(INDEX($Q$2:$U$1001,MATCH(ROWS($J$2:J815),$J$2:$J$1001,0),MATCH(COLUMNS($Q$1006:S1006),$Q$1006:$U$1006,0)), HYPERLINK("#",""), HYPERLINK(CONCATENATE("#metadata!", ADDRESS(INDEX($L$2:$L$1001,MATCH(ROWS($J$2:J815),$J$2:$J$1001,0),0), INDEX($Q$1004:$U$1004,1,MATCH(COLUMNS($Q$1006:S1006),$Q$1006:$U$1006,0)))),"Fix")))</f>
        <v xml:space="preserve"> </v>
      </c>
      <c r="E815" s="3" t="str">
        <f ca="1">IF(OR(INDEX($K$2:$K$1001,MATCH(ROWS($J$2:J815),$J$2:$J$1001,0),1)&gt;=100000,INDEX($Q$1005:$U$1005,1,MATCH(COLUMNS($Q$1006:T1006),$Q$1006:$U$1006,0))&gt;=100000), " ",IF(INDEX($Q$2:$U$1001,MATCH(ROWS($J$2:J815),$J$2:$J$1001,0),MATCH(COLUMNS($Q$1006:T1006),$Q$1006:$U$1006,0)), HYPERLINK("#",""), HYPERLINK(CONCATENATE("#metadata!", ADDRESS(INDEX($L$2:$L$1001,MATCH(ROWS($J$2:J815),$J$2:$J$1001,0),0), INDEX($Q$1004:$U$1004,1,MATCH(COLUMNS($Q$1006:T1006),$Q$1006:$U$1006,0)))),"Fix")))</f>
        <v xml:space="preserve"> </v>
      </c>
      <c r="F815" s="3" t="str">
        <f ca="1">IF(OR(INDEX($K$2:$K$1001,MATCH(ROWS($J$2:J815),$J$2:$J$1001,0),1)&gt;=100000,INDEX($Q$1005:$U$1005,1,MATCH(COLUMNS($Q$1006:U1006),$Q$1006:$U$1006,0))&gt;=100000), " ",IF(INDEX($Q$2:$U$1001,MATCH(ROWS($J$2:J815),$J$2:$J$1001,0),MATCH(COLUMNS($Q$1006:U1006),$Q$1006:$U$1006,0)), HYPERLINK("#",""), HYPERLINK(CONCATENATE("#metadata!", ADDRESS(INDEX($L$2:$L$1001,MATCH(ROWS($J$2:J815),$J$2:$J$1001,0),0), INDEX($Q$1004:$U$1004,1,MATCH(COLUMNS($Q$1006:U1006),$Q$1006:$U$1006,0)))),"Fix")))</f>
        <v xml:space="preserve"> </v>
      </c>
      <c r="J815">
        <v>814</v>
      </c>
      <c r="K815">
        <v>100815</v>
      </c>
      <c r="L815">
        <v>815</v>
      </c>
      <c r="M815" t="b">
        <f t="shared" si="12"/>
        <v>1</v>
      </c>
      <c r="N815" t="b">
        <f>COUNTBLANK(metadata!B815:F815)=COLUMNS(metadata!B815:F815)</f>
        <v>1</v>
      </c>
      <c r="O815" t="str">
        <v/>
      </c>
      <c r="Q815" t="b">
        <f ca="1">AND(IF(metadata!B815="",FALSE,TRUE),COUNTIF(metadata!B:B, metadata!B815) = 1,NOT(ISERROR(SUMPRODUCT(SEARCH(MID(metadata!B815,ROW(INDIRECT("1:"&amp;LEN(metadata!B815))), 1),"0123456789abcdefghijklmnopqrstuvwxyzABCDEFGHIJKLMNOPQRSTUVWXYZ.")))))</f>
        <v>0</v>
      </c>
      <c r="R815" t="b">
        <f>AND(IF(metadata!C815="",FALSE,TRUE),OR(EXACT(metadata!C815,"saline"),EXACT(metadata!C815,"non-saline")))</f>
        <v>0</v>
      </c>
      <c r="S815" t="b">
        <f>AND(IF(metadata!D815="",FALSE,TRUE),OR(EXACT(metadata!D815,"surface (non-saline)"),EXACT(metadata!D815,"aerosol (non-saline)"),EXACT(metadata!D815,"sediment (non-saline)"),EXACT(metadata!D815,"surface (saline)"),EXACT(metadata!D815,"aerosol (saline)"),EXACT(metadata!D815,"sediment (saline)")))</f>
        <v>0</v>
      </c>
      <c r="T815" t="b">
        <f>AND(IF(metadata!E815="",FALSE,TRUE),EXACT(metadata!E815,"built environment"))</f>
        <v>0</v>
      </c>
      <c r="U815" t="b">
        <f>OR(AND(IF(metadata!F815="",FALSE,TRUE),EXACT(metadata!F815,"not applicable")),AND(IF(metadata!F815="",FALSE,TRUE),EXACT(metadata!F815,"anaerobic digester content")))</f>
        <v>0</v>
      </c>
    </row>
    <row r="816" spans="1:21" x14ac:dyDescent="0.2">
      <c r="A816" s="4" t="str">
        <f ca="1">IF(B816=" "," ",HYPERLINK(CONCATENATE("#metadata!",ADDRESS(INDEX($L$2:$L$1001,MATCH(ROWS($J$2:J816),$J$2:$J$1001,0),0),1)),INDEX($O$2:$O$1001,MATCH(ROWS($J$2:J816),$J$2:$J$1001,0),0)))</f>
        <v xml:space="preserve"> </v>
      </c>
      <c r="B816" s="3" t="str">
        <f ca="1">IF(OR(INDEX($K$2:$K$1001,MATCH(ROWS($J$2:J816),$J$2:$J$1001,0),1)&gt;=100000,INDEX($Q$1005:$U$1005,1,MATCH(COLUMNS($Q$1006:Q1006),$Q$1006:$U$1006,0))&gt;=100000), " ",IF(INDEX($Q$2:$U$1001,MATCH(ROWS($J$2:J816),$J$2:$J$1001,0),MATCH(COLUMNS($Q$1006:Q1006),$Q$1006:$U$1006,0)), HYPERLINK("#",""), HYPERLINK(CONCATENATE("#metadata!", ADDRESS(INDEX($L$2:$L$1001,MATCH(ROWS($J$2:J816),$J$2:$J$1001,0),0), INDEX($Q$1004:$U$1004,1,MATCH(COLUMNS($Q$1006:Q1006),$Q$1006:$U$1006,0)))),"Fix")))</f>
        <v xml:space="preserve"> </v>
      </c>
      <c r="C816" s="3" t="str">
        <f ca="1">IF(OR(INDEX($K$2:$K$1001,MATCH(ROWS($J$2:J816),$J$2:$J$1001,0),1)&gt;=100000,INDEX($Q$1005:$U$1005,1,MATCH(COLUMNS($Q$1006:R1006),$Q$1006:$U$1006,0))&gt;=100000), " ",IF(INDEX($Q$2:$U$1001,MATCH(ROWS($J$2:J816),$J$2:$J$1001,0),MATCH(COLUMNS($Q$1006:R1006),$Q$1006:$U$1006,0)), HYPERLINK("#",""), HYPERLINK(CONCATENATE("#metadata!", ADDRESS(INDEX($L$2:$L$1001,MATCH(ROWS($J$2:J816),$J$2:$J$1001,0),0), INDEX($Q$1004:$U$1004,1,MATCH(COLUMNS($Q$1006:R1006),$Q$1006:$U$1006,0)))),"Fix")))</f>
        <v xml:space="preserve"> </v>
      </c>
      <c r="D816" s="3" t="str">
        <f ca="1">IF(OR(INDEX($K$2:$K$1001,MATCH(ROWS($J$2:J816),$J$2:$J$1001,0),1)&gt;=100000,INDEX($Q$1005:$U$1005,1,MATCH(COLUMNS($Q$1006:S1006),$Q$1006:$U$1006,0))&gt;=100000), " ",IF(INDEX($Q$2:$U$1001,MATCH(ROWS($J$2:J816),$J$2:$J$1001,0),MATCH(COLUMNS($Q$1006:S1006),$Q$1006:$U$1006,0)), HYPERLINK("#",""), HYPERLINK(CONCATENATE("#metadata!", ADDRESS(INDEX($L$2:$L$1001,MATCH(ROWS($J$2:J816),$J$2:$J$1001,0),0), INDEX($Q$1004:$U$1004,1,MATCH(COLUMNS($Q$1006:S1006),$Q$1006:$U$1006,0)))),"Fix")))</f>
        <v xml:space="preserve"> </v>
      </c>
      <c r="E816" s="3" t="str">
        <f ca="1">IF(OR(INDEX($K$2:$K$1001,MATCH(ROWS($J$2:J816),$J$2:$J$1001,0),1)&gt;=100000,INDEX($Q$1005:$U$1005,1,MATCH(COLUMNS($Q$1006:T1006),$Q$1006:$U$1006,0))&gt;=100000), " ",IF(INDEX($Q$2:$U$1001,MATCH(ROWS($J$2:J816),$J$2:$J$1001,0),MATCH(COLUMNS($Q$1006:T1006),$Q$1006:$U$1006,0)), HYPERLINK("#",""), HYPERLINK(CONCATENATE("#metadata!", ADDRESS(INDEX($L$2:$L$1001,MATCH(ROWS($J$2:J816),$J$2:$J$1001,0),0), INDEX($Q$1004:$U$1004,1,MATCH(COLUMNS($Q$1006:T1006),$Q$1006:$U$1006,0)))),"Fix")))</f>
        <v xml:space="preserve"> </v>
      </c>
      <c r="F816" s="3" t="str">
        <f ca="1">IF(OR(INDEX($K$2:$K$1001,MATCH(ROWS($J$2:J816),$J$2:$J$1001,0),1)&gt;=100000,INDEX($Q$1005:$U$1005,1,MATCH(COLUMNS($Q$1006:U1006),$Q$1006:$U$1006,0))&gt;=100000), " ",IF(INDEX($Q$2:$U$1001,MATCH(ROWS($J$2:J816),$J$2:$J$1001,0),MATCH(COLUMNS($Q$1006:U1006),$Q$1006:$U$1006,0)), HYPERLINK("#",""), HYPERLINK(CONCATENATE("#metadata!", ADDRESS(INDEX($L$2:$L$1001,MATCH(ROWS($J$2:J816),$J$2:$J$1001,0),0), INDEX($Q$1004:$U$1004,1,MATCH(COLUMNS($Q$1006:U1006),$Q$1006:$U$1006,0)))),"Fix")))</f>
        <v xml:space="preserve"> </v>
      </c>
      <c r="J816">
        <v>815</v>
      </c>
      <c r="K816">
        <v>100816</v>
      </c>
      <c r="L816">
        <v>816</v>
      </c>
      <c r="M816" t="b">
        <f t="shared" si="12"/>
        <v>1</v>
      </c>
      <c r="N816" t="b">
        <f>COUNTBLANK(metadata!B816:F816)=COLUMNS(metadata!B816:F816)</f>
        <v>1</v>
      </c>
      <c r="O816" t="str">
        <v/>
      </c>
      <c r="Q816" t="b">
        <f ca="1">AND(IF(metadata!B816="",FALSE,TRUE),COUNTIF(metadata!B:B, metadata!B816) = 1,NOT(ISERROR(SUMPRODUCT(SEARCH(MID(metadata!B816,ROW(INDIRECT("1:"&amp;LEN(metadata!B816))), 1),"0123456789abcdefghijklmnopqrstuvwxyzABCDEFGHIJKLMNOPQRSTUVWXYZ.")))))</f>
        <v>0</v>
      </c>
      <c r="R816" t="b">
        <f>AND(IF(metadata!C816="",FALSE,TRUE),OR(EXACT(metadata!C816,"saline"),EXACT(metadata!C816,"non-saline")))</f>
        <v>0</v>
      </c>
      <c r="S816" t="b">
        <f>AND(IF(metadata!D816="",FALSE,TRUE),OR(EXACT(metadata!D816,"surface (non-saline)"),EXACT(metadata!D816,"aerosol (non-saline)"),EXACT(metadata!D816,"sediment (non-saline)"),EXACT(metadata!D816,"surface (saline)"),EXACT(metadata!D816,"aerosol (saline)"),EXACT(metadata!D816,"sediment (saline)")))</f>
        <v>0</v>
      </c>
      <c r="T816" t="b">
        <f>AND(IF(metadata!E816="",FALSE,TRUE),EXACT(metadata!E816,"built environment"))</f>
        <v>0</v>
      </c>
      <c r="U816" t="b">
        <f>OR(AND(IF(metadata!F816="",FALSE,TRUE),EXACT(metadata!F816,"not applicable")),AND(IF(metadata!F816="",FALSE,TRUE),EXACT(metadata!F816,"anaerobic digester content")))</f>
        <v>0</v>
      </c>
    </row>
    <row r="817" spans="1:21" x14ac:dyDescent="0.2">
      <c r="A817" s="4" t="str">
        <f ca="1">IF(B817=" "," ",HYPERLINK(CONCATENATE("#metadata!",ADDRESS(INDEX($L$2:$L$1001,MATCH(ROWS($J$2:J817),$J$2:$J$1001,0),0),1)),INDEX($O$2:$O$1001,MATCH(ROWS($J$2:J817),$J$2:$J$1001,0),0)))</f>
        <v xml:space="preserve"> </v>
      </c>
      <c r="B817" s="3" t="str">
        <f ca="1">IF(OR(INDEX($K$2:$K$1001,MATCH(ROWS($J$2:J817),$J$2:$J$1001,0),1)&gt;=100000,INDEX($Q$1005:$U$1005,1,MATCH(COLUMNS($Q$1006:Q1006),$Q$1006:$U$1006,0))&gt;=100000), " ",IF(INDEX($Q$2:$U$1001,MATCH(ROWS($J$2:J817),$J$2:$J$1001,0),MATCH(COLUMNS($Q$1006:Q1006),$Q$1006:$U$1006,0)), HYPERLINK("#",""), HYPERLINK(CONCATENATE("#metadata!", ADDRESS(INDEX($L$2:$L$1001,MATCH(ROWS($J$2:J817),$J$2:$J$1001,0),0), INDEX($Q$1004:$U$1004,1,MATCH(COLUMNS($Q$1006:Q1006),$Q$1006:$U$1006,0)))),"Fix")))</f>
        <v xml:space="preserve"> </v>
      </c>
      <c r="C817" s="3" t="str">
        <f ca="1">IF(OR(INDEX($K$2:$K$1001,MATCH(ROWS($J$2:J817),$J$2:$J$1001,0),1)&gt;=100000,INDEX($Q$1005:$U$1005,1,MATCH(COLUMNS($Q$1006:R1006),$Q$1006:$U$1006,0))&gt;=100000), " ",IF(INDEX($Q$2:$U$1001,MATCH(ROWS($J$2:J817),$J$2:$J$1001,0),MATCH(COLUMNS($Q$1006:R1006),$Q$1006:$U$1006,0)), HYPERLINK("#",""), HYPERLINK(CONCATENATE("#metadata!", ADDRESS(INDEX($L$2:$L$1001,MATCH(ROWS($J$2:J817),$J$2:$J$1001,0),0), INDEX($Q$1004:$U$1004,1,MATCH(COLUMNS($Q$1006:R1006),$Q$1006:$U$1006,0)))),"Fix")))</f>
        <v xml:space="preserve"> </v>
      </c>
      <c r="D817" s="3" t="str">
        <f ca="1">IF(OR(INDEX($K$2:$K$1001,MATCH(ROWS($J$2:J817),$J$2:$J$1001,0),1)&gt;=100000,INDEX($Q$1005:$U$1005,1,MATCH(COLUMNS($Q$1006:S1006),$Q$1006:$U$1006,0))&gt;=100000), " ",IF(INDEX($Q$2:$U$1001,MATCH(ROWS($J$2:J817),$J$2:$J$1001,0),MATCH(COLUMNS($Q$1006:S1006),$Q$1006:$U$1006,0)), HYPERLINK("#",""), HYPERLINK(CONCATENATE("#metadata!", ADDRESS(INDEX($L$2:$L$1001,MATCH(ROWS($J$2:J817),$J$2:$J$1001,0),0), INDEX($Q$1004:$U$1004,1,MATCH(COLUMNS($Q$1006:S1006),$Q$1006:$U$1006,0)))),"Fix")))</f>
        <v xml:space="preserve"> </v>
      </c>
      <c r="E817" s="3" t="str">
        <f ca="1">IF(OR(INDEX($K$2:$K$1001,MATCH(ROWS($J$2:J817),$J$2:$J$1001,0),1)&gt;=100000,INDEX($Q$1005:$U$1005,1,MATCH(COLUMNS($Q$1006:T1006),$Q$1006:$U$1006,0))&gt;=100000), " ",IF(INDEX($Q$2:$U$1001,MATCH(ROWS($J$2:J817),$J$2:$J$1001,0),MATCH(COLUMNS($Q$1006:T1006),$Q$1006:$U$1006,0)), HYPERLINK("#",""), HYPERLINK(CONCATENATE("#metadata!", ADDRESS(INDEX($L$2:$L$1001,MATCH(ROWS($J$2:J817),$J$2:$J$1001,0),0), INDEX($Q$1004:$U$1004,1,MATCH(COLUMNS($Q$1006:T1006),$Q$1006:$U$1006,0)))),"Fix")))</f>
        <v xml:space="preserve"> </v>
      </c>
      <c r="F817" s="3" t="str">
        <f ca="1">IF(OR(INDEX($K$2:$K$1001,MATCH(ROWS($J$2:J817),$J$2:$J$1001,0),1)&gt;=100000,INDEX($Q$1005:$U$1005,1,MATCH(COLUMNS($Q$1006:U1006),$Q$1006:$U$1006,0))&gt;=100000), " ",IF(INDEX($Q$2:$U$1001,MATCH(ROWS($J$2:J817),$J$2:$J$1001,0),MATCH(COLUMNS($Q$1006:U1006),$Q$1006:$U$1006,0)), HYPERLINK("#",""), HYPERLINK(CONCATENATE("#metadata!", ADDRESS(INDEX($L$2:$L$1001,MATCH(ROWS($J$2:J817),$J$2:$J$1001,0),0), INDEX($Q$1004:$U$1004,1,MATCH(COLUMNS($Q$1006:U1006),$Q$1006:$U$1006,0)))),"Fix")))</f>
        <v xml:space="preserve"> </v>
      </c>
      <c r="J817">
        <v>816</v>
      </c>
      <c r="K817">
        <v>100817</v>
      </c>
      <c r="L817">
        <v>817</v>
      </c>
      <c r="M817" t="b">
        <f t="shared" si="12"/>
        <v>1</v>
      </c>
      <c r="N817" t="b">
        <f>COUNTBLANK(metadata!B817:F817)=COLUMNS(metadata!B817:F817)</f>
        <v>1</v>
      </c>
      <c r="O817" t="str">
        <v/>
      </c>
      <c r="Q817" t="b">
        <f ca="1">AND(IF(metadata!B817="",FALSE,TRUE),COUNTIF(metadata!B:B, metadata!B817) = 1,NOT(ISERROR(SUMPRODUCT(SEARCH(MID(metadata!B817,ROW(INDIRECT("1:"&amp;LEN(metadata!B817))), 1),"0123456789abcdefghijklmnopqrstuvwxyzABCDEFGHIJKLMNOPQRSTUVWXYZ.")))))</f>
        <v>0</v>
      </c>
      <c r="R817" t="b">
        <f>AND(IF(metadata!C817="",FALSE,TRUE),OR(EXACT(metadata!C817,"saline"),EXACT(metadata!C817,"non-saline")))</f>
        <v>0</v>
      </c>
      <c r="S817" t="b">
        <f>AND(IF(metadata!D817="",FALSE,TRUE),OR(EXACT(metadata!D817,"surface (non-saline)"),EXACT(metadata!D817,"aerosol (non-saline)"),EXACT(metadata!D817,"sediment (non-saline)"),EXACT(metadata!D817,"surface (saline)"),EXACT(metadata!D817,"aerosol (saline)"),EXACT(metadata!D817,"sediment (saline)")))</f>
        <v>0</v>
      </c>
      <c r="T817" t="b">
        <f>AND(IF(metadata!E817="",FALSE,TRUE),EXACT(metadata!E817,"built environment"))</f>
        <v>0</v>
      </c>
      <c r="U817" t="b">
        <f>OR(AND(IF(metadata!F817="",FALSE,TRUE),EXACT(metadata!F817,"not applicable")),AND(IF(metadata!F817="",FALSE,TRUE),EXACT(metadata!F817,"anaerobic digester content")))</f>
        <v>0</v>
      </c>
    </row>
    <row r="818" spans="1:21" x14ac:dyDescent="0.2">
      <c r="A818" s="4" t="str">
        <f ca="1">IF(B818=" "," ",HYPERLINK(CONCATENATE("#metadata!",ADDRESS(INDEX($L$2:$L$1001,MATCH(ROWS($J$2:J818),$J$2:$J$1001,0),0),1)),INDEX($O$2:$O$1001,MATCH(ROWS($J$2:J818),$J$2:$J$1001,0),0)))</f>
        <v xml:space="preserve"> </v>
      </c>
      <c r="B818" s="3" t="str">
        <f ca="1">IF(OR(INDEX($K$2:$K$1001,MATCH(ROWS($J$2:J818),$J$2:$J$1001,0),1)&gt;=100000,INDEX($Q$1005:$U$1005,1,MATCH(COLUMNS($Q$1006:Q1006),$Q$1006:$U$1006,0))&gt;=100000), " ",IF(INDEX($Q$2:$U$1001,MATCH(ROWS($J$2:J818),$J$2:$J$1001,0),MATCH(COLUMNS($Q$1006:Q1006),$Q$1006:$U$1006,0)), HYPERLINK("#",""), HYPERLINK(CONCATENATE("#metadata!", ADDRESS(INDEX($L$2:$L$1001,MATCH(ROWS($J$2:J818),$J$2:$J$1001,0),0), INDEX($Q$1004:$U$1004,1,MATCH(COLUMNS($Q$1006:Q1006),$Q$1006:$U$1006,0)))),"Fix")))</f>
        <v xml:space="preserve"> </v>
      </c>
      <c r="C818" s="3" t="str">
        <f ca="1">IF(OR(INDEX($K$2:$K$1001,MATCH(ROWS($J$2:J818),$J$2:$J$1001,0),1)&gt;=100000,INDEX($Q$1005:$U$1005,1,MATCH(COLUMNS($Q$1006:R1006),$Q$1006:$U$1006,0))&gt;=100000), " ",IF(INDEX($Q$2:$U$1001,MATCH(ROWS($J$2:J818),$J$2:$J$1001,0),MATCH(COLUMNS($Q$1006:R1006),$Q$1006:$U$1006,0)), HYPERLINK("#",""), HYPERLINK(CONCATENATE("#metadata!", ADDRESS(INDEX($L$2:$L$1001,MATCH(ROWS($J$2:J818),$J$2:$J$1001,0),0), INDEX($Q$1004:$U$1004,1,MATCH(COLUMNS($Q$1006:R1006),$Q$1006:$U$1006,0)))),"Fix")))</f>
        <v xml:space="preserve"> </v>
      </c>
      <c r="D818" s="3" t="str">
        <f ca="1">IF(OR(INDEX($K$2:$K$1001,MATCH(ROWS($J$2:J818),$J$2:$J$1001,0),1)&gt;=100000,INDEX($Q$1005:$U$1005,1,MATCH(COLUMNS($Q$1006:S1006),$Q$1006:$U$1006,0))&gt;=100000), " ",IF(INDEX($Q$2:$U$1001,MATCH(ROWS($J$2:J818),$J$2:$J$1001,0),MATCH(COLUMNS($Q$1006:S1006),$Q$1006:$U$1006,0)), HYPERLINK("#",""), HYPERLINK(CONCATENATE("#metadata!", ADDRESS(INDEX($L$2:$L$1001,MATCH(ROWS($J$2:J818),$J$2:$J$1001,0),0), INDEX($Q$1004:$U$1004,1,MATCH(COLUMNS($Q$1006:S1006),$Q$1006:$U$1006,0)))),"Fix")))</f>
        <v xml:space="preserve"> </v>
      </c>
      <c r="E818" s="3" t="str">
        <f ca="1">IF(OR(INDEX($K$2:$K$1001,MATCH(ROWS($J$2:J818),$J$2:$J$1001,0),1)&gt;=100000,INDEX($Q$1005:$U$1005,1,MATCH(COLUMNS($Q$1006:T1006),$Q$1006:$U$1006,0))&gt;=100000), " ",IF(INDEX($Q$2:$U$1001,MATCH(ROWS($J$2:J818),$J$2:$J$1001,0),MATCH(COLUMNS($Q$1006:T1006),$Q$1006:$U$1006,0)), HYPERLINK("#",""), HYPERLINK(CONCATENATE("#metadata!", ADDRESS(INDEX($L$2:$L$1001,MATCH(ROWS($J$2:J818),$J$2:$J$1001,0),0), INDEX($Q$1004:$U$1004,1,MATCH(COLUMNS($Q$1006:T1006),$Q$1006:$U$1006,0)))),"Fix")))</f>
        <v xml:space="preserve"> </v>
      </c>
      <c r="F818" s="3" t="str">
        <f ca="1">IF(OR(INDEX($K$2:$K$1001,MATCH(ROWS($J$2:J818),$J$2:$J$1001,0),1)&gt;=100000,INDEX($Q$1005:$U$1005,1,MATCH(COLUMNS($Q$1006:U1006),$Q$1006:$U$1006,0))&gt;=100000), " ",IF(INDEX($Q$2:$U$1001,MATCH(ROWS($J$2:J818),$J$2:$J$1001,0),MATCH(COLUMNS($Q$1006:U1006),$Q$1006:$U$1006,0)), HYPERLINK("#",""), HYPERLINK(CONCATENATE("#metadata!", ADDRESS(INDEX($L$2:$L$1001,MATCH(ROWS($J$2:J818),$J$2:$J$1001,0),0), INDEX($Q$1004:$U$1004,1,MATCH(COLUMNS($Q$1006:U1006),$Q$1006:$U$1006,0)))),"Fix")))</f>
        <v xml:space="preserve"> </v>
      </c>
      <c r="J818">
        <v>817</v>
      </c>
      <c r="K818">
        <v>100818</v>
      </c>
      <c r="L818">
        <v>818</v>
      </c>
      <c r="M818" t="b">
        <f t="shared" si="12"/>
        <v>1</v>
      </c>
      <c r="N818" t="b">
        <f>COUNTBLANK(metadata!B818:F818)=COLUMNS(metadata!B818:F818)</f>
        <v>1</v>
      </c>
      <c r="O818" t="str">
        <v/>
      </c>
      <c r="Q818" t="b">
        <f ca="1">AND(IF(metadata!B818="",FALSE,TRUE),COUNTIF(metadata!B:B, metadata!B818) = 1,NOT(ISERROR(SUMPRODUCT(SEARCH(MID(metadata!B818,ROW(INDIRECT("1:"&amp;LEN(metadata!B818))), 1),"0123456789abcdefghijklmnopqrstuvwxyzABCDEFGHIJKLMNOPQRSTUVWXYZ.")))))</f>
        <v>0</v>
      </c>
      <c r="R818" t="b">
        <f>AND(IF(metadata!C818="",FALSE,TRUE),OR(EXACT(metadata!C818,"saline"),EXACT(metadata!C818,"non-saline")))</f>
        <v>0</v>
      </c>
      <c r="S818" t="b">
        <f>AND(IF(metadata!D818="",FALSE,TRUE),OR(EXACT(metadata!D818,"surface (non-saline)"),EXACT(metadata!D818,"aerosol (non-saline)"),EXACT(metadata!D818,"sediment (non-saline)"),EXACT(metadata!D818,"surface (saline)"),EXACT(metadata!D818,"aerosol (saline)"),EXACT(metadata!D818,"sediment (saline)")))</f>
        <v>0</v>
      </c>
      <c r="T818" t="b">
        <f>AND(IF(metadata!E818="",FALSE,TRUE),EXACT(metadata!E818,"built environment"))</f>
        <v>0</v>
      </c>
      <c r="U818" t="b">
        <f>OR(AND(IF(metadata!F818="",FALSE,TRUE),EXACT(metadata!F818,"not applicable")),AND(IF(metadata!F818="",FALSE,TRUE),EXACT(metadata!F818,"anaerobic digester content")))</f>
        <v>0</v>
      </c>
    </row>
    <row r="819" spans="1:21" x14ac:dyDescent="0.2">
      <c r="A819" s="4" t="str">
        <f ca="1">IF(B819=" "," ",HYPERLINK(CONCATENATE("#metadata!",ADDRESS(INDEX($L$2:$L$1001,MATCH(ROWS($J$2:J819),$J$2:$J$1001,0),0),1)),INDEX($O$2:$O$1001,MATCH(ROWS($J$2:J819),$J$2:$J$1001,0),0)))</f>
        <v xml:space="preserve"> </v>
      </c>
      <c r="B819" s="3" t="str">
        <f ca="1">IF(OR(INDEX($K$2:$K$1001,MATCH(ROWS($J$2:J819),$J$2:$J$1001,0),1)&gt;=100000,INDEX($Q$1005:$U$1005,1,MATCH(COLUMNS($Q$1006:Q1006),$Q$1006:$U$1006,0))&gt;=100000), " ",IF(INDEX($Q$2:$U$1001,MATCH(ROWS($J$2:J819),$J$2:$J$1001,0),MATCH(COLUMNS($Q$1006:Q1006),$Q$1006:$U$1006,0)), HYPERLINK("#",""), HYPERLINK(CONCATENATE("#metadata!", ADDRESS(INDEX($L$2:$L$1001,MATCH(ROWS($J$2:J819),$J$2:$J$1001,0),0), INDEX($Q$1004:$U$1004,1,MATCH(COLUMNS($Q$1006:Q1006),$Q$1006:$U$1006,0)))),"Fix")))</f>
        <v xml:space="preserve"> </v>
      </c>
      <c r="C819" s="3" t="str">
        <f ca="1">IF(OR(INDEX($K$2:$K$1001,MATCH(ROWS($J$2:J819),$J$2:$J$1001,0),1)&gt;=100000,INDEX($Q$1005:$U$1005,1,MATCH(COLUMNS($Q$1006:R1006),$Q$1006:$U$1006,0))&gt;=100000), " ",IF(INDEX($Q$2:$U$1001,MATCH(ROWS($J$2:J819),$J$2:$J$1001,0),MATCH(COLUMNS($Q$1006:R1006),$Q$1006:$U$1006,0)), HYPERLINK("#",""), HYPERLINK(CONCATENATE("#metadata!", ADDRESS(INDEX($L$2:$L$1001,MATCH(ROWS($J$2:J819),$J$2:$J$1001,0),0), INDEX($Q$1004:$U$1004,1,MATCH(COLUMNS($Q$1006:R1006),$Q$1006:$U$1006,0)))),"Fix")))</f>
        <v xml:space="preserve"> </v>
      </c>
      <c r="D819" s="3" t="str">
        <f ca="1">IF(OR(INDEX($K$2:$K$1001,MATCH(ROWS($J$2:J819),$J$2:$J$1001,0),1)&gt;=100000,INDEX($Q$1005:$U$1005,1,MATCH(COLUMNS($Q$1006:S1006),$Q$1006:$U$1006,0))&gt;=100000), " ",IF(INDEX($Q$2:$U$1001,MATCH(ROWS($J$2:J819),$J$2:$J$1001,0),MATCH(COLUMNS($Q$1006:S1006),$Q$1006:$U$1006,0)), HYPERLINK("#",""), HYPERLINK(CONCATENATE("#metadata!", ADDRESS(INDEX($L$2:$L$1001,MATCH(ROWS($J$2:J819),$J$2:$J$1001,0),0), INDEX($Q$1004:$U$1004,1,MATCH(COLUMNS($Q$1006:S1006),$Q$1006:$U$1006,0)))),"Fix")))</f>
        <v xml:space="preserve"> </v>
      </c>
      <c r="E819" s="3" t="str">
        <f ca="1">IF(OR(INDEX($K$2:$K$1001,MATCH(ROWS($J$2:J819),$J$2:$J$1001,0),1)&gt;=100000,INDEX($Q$1005:$U$1005,1,MATCH(COLUMNS($Q$1006:T1006),$Q$1006:$U$1006,0))&gt;=100000), " ",IF(INDEX($Q$2:$U$1001,MATCH(ROWS($J$2:J819),$J$2:$J$1001,0),MATCH(COLUMNS($Q$1006:T1006),$Q$1006:$U$1006,0)), HYPERLINK("#",""), HYPERLINK(CONCATENATE("#metadata!", ADDRESS(INDEX($L$2:$L$1001,MATCH(ROWS($J$2:J819),$J$2:$J$1001,0),0), INDEX($Q$1004:$U$1004,1,MATCH(COLUMNS($Q$1006:T1006),$Q$1006:$U$1006,0)))),"Fix")))</f>
        <v xml:space="preserve"> </v>
      </c>
      <c r="F819" s="3" t="str">
        <f ca="1">IF(OR(INDEX($K$2:$K$1001,MATCH(ROWS($J$2:J819),$J$2:$J$1001,0),1)&gt;=100000,INDEX($Q$1005:$U$1005,1,MATCH(COLUMNS($Q$1006:U1006),$Q$1006:$U$1006,0))&gt;=100000), " ",IF(INDEX($Q$2:$U$1001,MATCH(ROWS($J$2:J819),$J$2:$J$1001,0),MATCH(COLUMNS($Q$1006:U1006),$Q$1006:$U$1006,0)), HYPERLINK("#",""), HYPERLINK(CONCATENATE("#metadata!", ADDRESS(INDEX($L$2:$L$1001,MATCH(ROWS($J$2:J819),$J$2:$J$1001,0),0), INDEX($Q$1004:$U$1004,1,MATCH(COLUMNS($Q$1006:U1006),$Q$1006:$U$1006,0)))),"Fix")))</f>
        <v xml:space="preserve"> </v>
      </c>
      <c r="J819">
        <v>818</v>
      </c>
      <c r="K819">
        <v>100819</v>
      </c>
      <c r="L819">
        <v>819</v>
      </c>
      <c r="M819" t="b">
        <f t="shared" si="12"/>
        <v>1</v>
      </c>
      <c r="N819" t="b">
        <f>COUNTBLANK(metadata!B819:F819)=COLUMNS(metadata!B819:F819)</f>
        <v>1</v>
      </c>
      <c r="O819" t="str">
        <v/>
      </c>
      <c r="Q819" t="b">
        <f ca="1">AND(IF(metadata!B819="",FALSE,TRUE),COUNTIF(metadata!B:B, metadata!B819) = 1,NOT(ISERROR(SUMPRODUCT(SEARCH(MID(metadata!B819,ROW(INDIRECT("1:"&amp;LEN(metadata!B819))), 1),"0123456789abcdefghijklmnopqrstuvwxyzABCDEFGHIJKLMNOPQRSTUVWXYZ.")))))</f>
        <v>0</v>
      </c>
      <c r="R819" t="b">
        <f>AND(IF(metadata!C819="",FALSE,TRUE),OR(EXACT(metadata!C819,"saline"),EXACT(metadata!C819,"non-saline")))</f>
        <v>0</v>
      </c>
      <c r="S819" t="b">
        <f>AND(IF(metadata!D819="",FALSE,TRUE),OR(EXACT(metadata!D819,"surface (non-saline)"),EXACT(metadata!D819,"aerosol (non-saline)"),EXACT(metadata!D819,"sediment (non-saline)"),EXACT(metadata!D819,"surface (saline)"),EXACT(metadata!D819,"aerosol (saline)"),EXACT(metadata!D819,"sediment (saline)")))</f>
        <v>0</v>
      </c>
      <c r="T819" t="b">
        <f>AND(IF(metadata!E819="",FALSE,TRUE),EXACT(metadata!E819,"built environment"))</f>
        <v>0</v>
      </c>
      <c r="U819" t="b">
        <f>OR(AND(IF(metadata!F819="",FALSE,TRUE),EXACT(metadata!F819,"not applicable")),AND(IF(metadata!F819="",FALSE,TRUE),EXACT(metadata!F819,"anaerobic digester content")))</f>
        <v>0</v>
      </c>
    </row>
    <row r="820" spans="1:21" x14ac:dyDescent="0.2">
      <c r="A820" s="4" t="str">
        <f ca="1">IF(B820=" "," ",HYPERLINK(CONCATENATE("#metadata!",ADDRESS(INDEX($L$2:$L$1001,MATCH(ROWS($J$2:J820),$J$2:$J$1001,0),0),1)),INDEX($O$2:$O$1001,MATCH(ROWS($J$2:J820),$J$2:$J$1001,0),0)))</f>
        <v xml:space="preserve"> </v>
      </c>
      <c r="B820" s="3" t="str">
        <f ca="1">IF(OR(INDEX($K$2:$K$1001,MATCH(ROWS($J$2:J820),$J$2:$J$1001,0),1)&gt;=100000,INDEX($Q$1005:$U$1005,1,MATCH(COLUMNS($Q$1006:Q1006),$Q$1006:$U$1006,0))&gt;=100000), " ",IF(INDEX($Q$2:$U$1001,MATCH(ROWS($J$2:J820),$J$2:$J$1001,0),MATCH(COLUMNS($Q$1006:Q1006),$Q$1006:$U$1006,0)), HYPERLINK("#",""), HYPERLINK(CONCATENATE("#metadata!", ADDRESS(INDEX($L$2:$L$1001,MATCH(ROWS($J$2:J820),$J$2:$J$1001,0),0), INDEX($Q$1004:$U$1004,1,MATCH(COLUMNS($Q$1006:Q1006),$Q$1006:$U$1006,0)))),"Fix")))</f>
        <v xml:space="preserve"> </v>
      </c>
      <c r="C820" s="3" t="str">
        <f ca="1">IF(OR(INDEX($K$2:$K$1001,MATCH(ROWS($J$2:J820),$J$2:$J$1001,0),1)&gt;=100000,INDEX($Q$1005:$U$1005,1,MATCH(COLUMNS($Q$1006:R1006),$Q$1006:$U$1006,0))&gt;=100000), " ",IF(INDEX($Q$2:$U$1001,MATCH(ROWS($J$2:J820),$J$2:$J$1001,0),MATCH(COLUMNS($Q$1006:R1006),$Q$1006:$U$1006,0)), HYPERLINK("#",""), HYPERLINK(CONCATENATE("#metadata!", ADDRESS(INDEX($L$2:$L$1001,MATCH(ROWS($J$2:J820),$J$2:$J$1001,0),0), INDEX($Q$1004:$U$1004,1,MATCH(COLUMNS($Q$1006:R1006),$Q$1006:$U$1006,0)))),"Fix")))</f>
        <v xml:space="preserve"> </v>
      </c>
      <c r="D820" s="3" t="str">
        <f ca="1">IF(OR(INDEX($K$2:$K$1001,MATCH(ROWS($J$2:J820),$J$2:$J$1001,0),1)&gt;=100000,INDEX($Q$1005:$U$1005,1,MATCH(COLUMNS($Q$1006:S1006),$Q$1006:$U$1006,0))&gt;=100000), " ",IF(INDEX($Q$2:$U$1001,MATCH(ROWS($J$2:J820),$J$2:$J$1001,0),MATCH(COLUMNS($Q$1006:S1006),$Q$1006:$U$1006,0)), HYPERLINK("#",""), HYPERLINK(CONCATENATE("#metadata!", ADDRESS(INDEX($L$2:$L$1001,MATCH(ROWS($J$2:J820),$J$2:$J$1001,0),0), INDEX($Q$1004:$U$1004,1,MATCH(COLUMNS($Q$1006:S1006),$Q$1006:$U$1006,0)))),"Fix")))</f>
        <v xml:space="preserve"> </v>
      </c>
      <c r="E820" s="3" t="str">
        <f ca="1">IF(OR(INDEX($K$2:$K$1001,MATCH(ROWS($J$2:J820),$J$2:$J$1001,0),1)&gt;=100000,INDEX($Q$1005:$U$1005,1,MATCH(COLUMNS($Q$1006:T1006),$Q$1006:$U$1006,0))&gt;=100000), " ",IF(INDEX($Q$2:$U$1001,MATCH(ROWS($J$2:J820),$J$2:$J$1001,0),MATCH(COLUMNS($Q$1006:T1006),$Q$1006:$U$1006,0)), HYPERLINK("#",""), HYPERLINK(CONCATENATE("#metadata!", ADDRESS(INDEX($L$2:$L$1001,MATCH(ROWS($J$2:J820),$J$2:$J$1001,0),0), INDEX($Q$1004:$U$1004,1,MATCH(COLUMNS($Q$1006:T1006),$Q$1006:$U$1006,0)))),"Fix")))</f>
        <v xml:space="preserve"> </v>
      </c>
      <c r="F820" s="3" t="str">
        <f ca="1">IF(OR(INDEX($K$2:$K$1001,MATCH(ROWS($J$2:J820),$J$2:$J$1001,0),1)&gt;=100000,INDEX($Q$1005:$U$1005,1,MATCH(COLUMNS($Q$1006:U1006),$Q$1006:$U$1006,0))&gt;=100000), " ",IF(INDEX($Q$2:$U$1001,MATCH(ROWS($J$2:J820),$J$2:$J$1001,0),MATCH(COLUMNS($Q$1006:U1006),$Q$1006:$U$1006,0)), HYPERLINK("#",""), HYPERLINK(CONCATENATE("#metadata!", ADDRESS(INDEX($L$2:$L$1001,MATCH(ROWS($J$2:J820),$J$2:$J$1001,0),0), INDEX($Q$1004:$U$1004,1,MATCH(COLUMNS($Q$1006:U1006),$Q$1006:$U$1006,0)))),"Fix")))</f>
        <v xml:space="preserve"> </v>
      </c>
      <c r="J820">
        <v>819</v>
      </c>
      <c r="K820">
        <v>100820</v>
      </c>
      <c r="L820">
        <v>820</v>
      </c>
      <c r="M820" t="b">
        <f t="shared" si="12"/>
        <v>1</v>
      </c>
      <c r="N820" t="b">
        <f>COUNTBLANK(metadata!B820:F820)=COLUMNS(metadata!B820:F820)</f>
        <v>1</v>
      </c>
      <c r="O820" t="str">
        <v/>
      </c>
      <c r="Q820" t="b">
        <f ca="1">AND(IF(metadata!B820="",FALSE,TRUE),COUNTIF(metadata!B:B, metadata!B820) = 1,NOT(ISERROR(SUMPRODUCT(SEARCH(MID(metadata!B820,ROW(INDIRECT("1:"&amp;LEN(metadata!B820))), 1),"0123456789abcdefghijklmnopqrstuvwxyzABCDEFGHIJKLMNOPQRSTUVWXYZ.")))))</f>
        <v>0</v>
      </c>
      <c r="R820" t="b">
        <f>AND(IF(metadata!C820="",FALSE,TRUE),OR(EXACT(metadata!C820,"saline"),EXACT(metadata!C820,"non-saline")))</f>
        <v>0</v>
      </c>
      <c r="S820" t="b">
        <f>AND(IF(metadata!D820="",FALSE,TRUE),OR(EXACT(metadata!D820,"surface (non-saline)"),EXACT(metadata!D820,"aerosol (non-saline)"),EXACT(metadata!D820,"sediment (non-saline)"),EXACT(metadata!D820,"surface (saline)"),EXACT(metadata!D820,"aerosol (saline)"),EXACT(metadata!D820,"sediment (saline)")))</f>
        <v>0</v>
      </c>
      <c r="T820" t="b">
        <f>AND(IF(metadata!E820="",FALSE,TRUE),EXACT(metadata!E820,"built environment"))</f>
        <v>0</v>
      </c>
      <c r="U820" t="b">
        <f>OR(AND(IF(metadata!F820="",FALSE,TRUE),EXACT(metadata!F820,"not applicable")),AND(IF(metadata!F820="",FALSE,TRUE),EXACT(metadata!F820,"anaerobic digester content")))</f>
        <v>0</v>
      </c>
    </row>
    <row r="821" spans="1:21" x14ac:dyDescent="0.2">
      <c r="A821" s="4" t="str">
        <f ca="1">IF(B821=" "," ",HYPERLINK(CONCATENATE("#metadata!",ADDRESS(INDEX($L$2:$L$1001,MATCH(ROWS($J$2:J821),$J$2:$J$1001,0),0),1)),INDEX($O$2:$O$1001,MATCH(ROWS($J$2:J821),$J$2:$J$1001,0),0)))</f>
        <v xml:space="preserve"> </v>
      </c>
      <c r="B821" s="3" t="str">
        <f ca="1">IF(OR(INDEX($K$2:$K$1001,MATCH(ROWS($J$2:J821),$J$2:$J$1001,0),1)&gt;=100000,INDEX($Q$1005:$U$1005,1,MATCH(COLUMNS($Q$1006:Q1006),$Q$1006:$U$1006,0))&gt;=100000), " ",IF(INDEX($Q$2:$U$1001,MATCH(ROWS($J$2:J821),$J$2:$J$1001,0),MATCH(COLUMNS($Q$1006:Q1006),$Q$1006:$U$1006,0)), HYPERLINK("#",""), HYPERLINK(CONCATENATE("#metadata!", ADDRESS(INDEX($L$2:$L$1001,MATCH(ROWS($J$2:J821),$J$2:$J$1001,0),0), INDEX($Q$1004:$U$1004,1,MATCH(COLUMNS($Q$1006:Q1006),$Q$1006:$U$1006,0)))),"Fix")))</f>
        <v xml:space="preserve"> </v>
      </c>
      <c r="C821" s="3" t="str">
        <f ca="1">IF(OR(INDEX($K$2:$K$1001,MATCH(ROWS($J$2:J821),$J$2:$J$1001,0),1)&gt;=100000,INDEX($Q$1005:$U$1005,1,MATCH(COLUMNS($Q$1006:R1006),$Q$1006:$U$1006,0))&gt;=100000), " ",IF(INDEX($Q$2:$U$1001,MATCH(ROWS($J$2:J821),$J$2:$J$1001,0),MATCH(COLUMNS($Q$1006:R1006),$Q$1006:$U$1006,0)), HYPERLINK("#",""), HYPERLINK(CONCATENATE("#metadata!", ADDRESS(INDEX($L$2:$L$1001,MATCH(ROWS($J$2:J821),$J$2:$J$1001,0),0), INDEX($Q$1004:$U$1004,1,MATCH(COLUMNS($Q$1006:R1006),$Q$1006:$U$1006,0)))),"Fix")))</f>
        <v xml:space="preserve"> </v>
      </c>
      <c r="D821" s="3" t="str">
        <f ca="1">IF(OR(INDEX($K$2:$K$1001,MATCH(ROWS($J$2:J821),$J$2:$J$1001,0),1)&gt;=100000,INDEX($Q$1005:$U$1005,1,MATCH(COLUMNS($Q$1006:S1006),$Q$1006:$U$1006,0))&gt;=100000), " ",IF(INDEX($Q$2:$U$1001,MATCH(ROWS($J$2:J821),$J$2:$J$1001,0),MATCH(COLUMNS($Q$1006:S1006),$Q$1006:$U$1006,0)), HYPERLINK("#",""), HYPERLINK(CONCATENATE("#metadata!", ADDRESS(INDEX($L$2:$L$1001,MATCH(ROWS($J$2:J821),$J$2:$J$1001,0),0), INDEX($Q$1004:$U$1004,1,MATCH(COLUMNS($Q$1006:S1006),$Q$1006:$U$1006,0)))),"Fix")))</f>
        <v xml:space="preserve"> </v>
      </c>
      <c r="E821" s="3" t="str">
        <f ca="1">IF(OR(INDEX($K$2:$K$1001,MATCH(ROWS($J$2:J821),$J$2:$J$1001,0),1)&gt;=100000,INDEX($Q$1005:$U$1005,1,MATCH(COLUMNS($Q$1006:T1006),$Q$1006:$U$1006,0))&gt;=100000), " ",IF(INDEX($Q$2:$U$1001,MATCH(ROWS($J$2:J821),$J$2:$J$1001,0),MATCH(COLUMNS($Q$1006:T1006),$Q$1006:$U$1006,0)), HYPERLINK("#",""), HYPERLINK(CONCATENATE("#metadata!", ADDRESS(INDEX($L$2:$L$1001,MATCH(ROWS($J$2:J821),$J$2:$J$1001,0),0), INDEX($Q$1004:$U$1004,1,MATCH(COLUMNS($Q$1006:T1006),$Q$1006:$U$1006,0)))),"Fix")))</f>
        <v xml:space="preserve"> </v>
      </c>
      <c r="F821" s="3" t="str">
        <f ca="1">IF(OR(INDEX($K$2:$K$1001,MATCH(ROWS($J$2:J821),$J$2:$J$1001,0),1)&gt;=100000,INDEX($Q$1005:$U$1005,1,MATCH(COLUMNS($Q$1006:U1006),$Q$1006:$U$1006,0))&gt;=100000), " ",IF(INDEX($Q$2:$U$1001,MATCH(ROWS($J$2:J821),$J$2:$J$1001,0),MATCH(COLUMNS($Q$1006:U1006),$Q$1006:$U$1006,0)), HYPERLINK("#",""), HYPERLINK(CONCATENATE("#metadata!", ADDRESS(INDEX($L$2:$L$1001,MATCH(ROWS($J$2:J821),$J$2:$J$1001,0),0), INDEX($Q$1004:$U$1004,1,MATCH(COLUMNS($Q$1006:U1006),$Q$1006:$U$1006,0)))),"Fix")))</f>
        <v xml:space="preserve"> </v>
      </c>
      <c r="J821">
        <v>820</v>
      </c>
      <c r="K821">
        <v>100821</v>
      </c>
      <c r="L821">
        <v>821</v>
      </c>
      <c r="M821" t="b">
        <f t="shared" si="12"/>
        <v>1</v>
      </c>
      <c r="N821" t="b">
        <f>COUNTBLANK(metadata!B821:F821)=COLUMNS(metadata!B821:F821)</f>
        <v>1</v>
      </c>
      <c r="O821" t="str">
        <v/>
      </c>
      <c r="Q821" t="b">
        <f ca="1">AND(IF(metadata!B821="",FALSE,TRUE),COUNTIF(metadata!B:B, metadata!B821) = 1,NOT(ISERROR(SUMPRODUCT(SEARCH(MID(metadata!B821,ROW(INDIRECT("1:"&amp;LEN(metadata!B821))), 1),"0123456789abcdefghijklmnopqrstuvwxyzABCDEFGHIJKLMNOPQRSTUVWXYZ.")))))</f>
        <v>0</v>
      </c>
      <c r="R821" t="b">
        <f>AND(IF(metadata!C821="",FALSE,TRUE),OR(EXACT(metadata!C821,"saline"),EXACT(metadata!C821,"non-saline")))</f>
        <v>0</v>
      </c>
      <c r="S821" t="b">
        <f>AND(IF(metadata!D821="",FALSE,TRUE),OR(EXACT(metadata!D821,"surface (non-saline)"),EXACT(metadata!D821,"aerosol (non-saline)"),EXACT(metadata!D821,"sediment (non-saline)"),EXACT(metadata!D821,"surface (saline)"),EXACT(metadata!D821,"aerosol (saline)"),EXACT(metadata!D821,"sediment (saline)")))</f>
        <v>0</v>
      </c>
      <c r="T821" t="b">
        <f>AND(IF(metadata!E821="",FALSE,TRUE),EXACT(metadata!E821,"built environment"))</f>
        <v>0</v>
      </c>
      <c r="U821" t="b">
        <f>OR(AND(IF(metadata!F821="",FALSE,TRUE),EXACT(metadata!F821,"not applicable")),AND(IF(metadata!F821="",FALSE,TRUE),EXACT(metadata!F821,"anaerobic digester content")))</f>
        <v>0</v>
      </c>
    </row>
    <row r="822" spans="1:21" x14ac:dyDescent="0.2">
      <c r="A822" s="4" t="str">
        <f ca="1">IF(B822=" "," ",HYPERLINK(CONCATENATE("#metadata!",ADDRESS(INDEX($L$2:$L$1001,MATCH(ROWS($J$2:J822),$J$2:$J$1001,0),0),1)),INDEX($O$2:$O$1001,MATCH(ROWS($J$2:J822),$J$2:$J$1001,0),0)))</f>
        <v xml:space="preserve"> </v>
      </c>
      <c r="B822" s="3" t="str">
        <f ca="1">IF(OR(INDEX($K$2:$K$1001,MATCH(ROWS($J$2:J822),$J$2:$J$1001,0),1)&gt;=100000,INDEX($Q$1005:$U$1005,1,MATCH(COLUMNS($Q$1006:Q1006),$Q$1006:$U$1006,0))&gt;=100000), " ",IF(INDEX($Q$2:$U$1001,MATCH(ROWS($J$2:J822),$J$2:$J$1001,0),MATCH(COLUMNS($Q$1006:Q1006),$Q$1006:$U$1006,0)), HYPERLINK("#",""), HYPERLINK(CONCATENATE("#metadata!", ADDRESS(INDEX($L$2:$L$1001,MATCH(ROWS($J$2:J822),$J$2:$J$1001,0),0), INDEX($Q$1004:$U$1004,1,MATCH(COLUMNS($Q$1006:Q1006),$Q$1006:$U$1006,0)))),"Fix")))</f>
        <v xml:space="preserve"> </v>
      </c>
      <c r="C822" s="3" t="str">
        <f ca="1">IF(OR(INDEX($K$2:$K$1001,MATCH(ROWS($J$2:J822),$J$2:$J$1001,0),1)&gt;=100000,INDEX($Q$1005:$U$1005,1,MATCH(COLUMNS($Q$1006:R1006),$Q$1006:$U$1006,0))&gt;=100000), " ",IF(INDEX($Q$2:$U$1001,MATCH(ROWS($J$2:J822),$J$2:$J$1001,0),MATCH(COLUMNS($Q$1006:R1006),$Q$1006:$U$1006,0)), HYPERLINK("#",""), HYPERLINK(CONCATENATE("#metadata!", ADDRESS(INDEX($L$2:$L$1001,MATCH(ROWS($J$2:J822),$J$2:$J$1001,0),0), INDEX($Q$1004:$U$1004,1,MATCH(COLUMNS($Q$1006:R1006),$Q$1006:$U$1006,0)))),"Fix")))</f>
        <v xml:space="preserve"> </v>
      </c>
      <c r="D822" s="3" t="str">
        <f ca="1">IF(OR(INDEX($K$2:$K$1001,MATCH(ROWS($J$2:J822),$J$2:$J$1001,0),1)&gt;=100000,INDEX($Q$1005:$U$1005,1,MATCH(COLUMNS($Q$1006:S1006),$Q$1006:$U$1006,0))&gt;=100000), " ",IF(INDEX($Q$2:$U$1001,MATCH(ROWS($J$2:J822),$J$2:$J$1001,0),MATCH(COLUMNS($Q$1006:S1006),$Q$1006:$U$1006,0)), HYPERLINK("#",""), HYPERLINK(CONCATENATE("#metadata!", ADDRESS(INDEX($L$2:$L$1001,MATCH(ROWS($J$2:J822),$J$2:$J$1001,0),0), INDEX($Q$1004:$U$1004,1,MATCH(COLUMNS($Q$1006:S1006),$Q$1006:$U$1006,0)))),"Fix")))</f>
        <v xml:space="preserve"> </v>
      </c>
      <c r="E822" s="3" t="str">
        <f ca="1">IF(OR(INDEX($K$2:$K$1001,MATCH(ROWS($J$2:J822),$J$2:$J$1001,0),1)&gt;=100000,INDEX($Q$1005:$U$1005,1,MATCH(COLUMNS($Q$1006:T1006),$Q$1006:$U$1006,0))&gt;=100000), " ",IF(INDEX($Q$2:$U$1001,MATCH(ROWS($J$2:J822),$J$2:$J$1001,0),MATCH(COLUMNS($Q$1006:T1006),$Q$1006:$U$1006,0)), HYPERLINK("#",""), HYPERLINK(CONCATENATE("#metadata!", ADDRESS(INDEX($L$2:$L$1001,MATCH(ROWS($J$2:J822),$J$2:$J$1001,0),0), INDEX($Q$1004:$U$1004,1,MATCH(COLUMNS($Q$1006:T1006),$Q$1006:$U$1006,0)))),"Fix")))</f>
        <v xml:space="preserve"> </v>
      </c>
      <c r="F822" s="3" t="str">
        <f ca="1">IF(OR(INDEX($K$2:$K$1001,MATCH(ROWS($J$2:J822),$J$2:$J$1001,0),1)&gt;=100000,INDEX($Q$1005:$U$1005,1,MATCH(COLUMNS($Q$1006:U1006),$Q$1006:$U$1006,0))&gt;=100000), " ",IF(INDEX($Q$2:$U$1001,MATCH(ROWS($J$2:J822),$J$2:$J$1001,0),MATCH(COLUMNS($Q$1006:U1006),$Q$1006:$U$1006,0)), HYPERLINK("#",""), HYPERLINK(CONCATENATE("#metadata!", ADDRESS(INDEX($L$2:$L$1001,MATCH(ROWS($J$2:J822),$J$2:$J$1001,0),0), INDEX($Q$1004:$U$1004,1,MATCH(COLUMNS($Q$1006:U1006),$Q$1006:$U$1006,0)))),"Fix")))</f>
        <v xml:space="preserve"> </v>
      </c>
      <c r="J822">
        <v>821</v>
      </c>
      <c r="K822">
        <v>100822</v>
      </c>
      <c r="L822">
        <v>822</v>
      </c>
      <c r="M822" t="b">
        <f t="shared" si="12"/>
        <v>1</v>
      </c>
      <c r="N822" t="b">
        <f>COUNTBLANK(metadata!B822:F822)=COLUMNS(metadata!B822:F822)</f>
        <v>1</v>
      </c>
      <c r="O822" t="str">
        <v/>
      </c>
      <c r="Q822" t="b">
        <f ca="1">AND(IF(metadata!B822="",FALSE,TRUE),COUNTIF(metadata!B:B, metadata!B822) = 1,NOT(ISERROR(SUMPRODUCT(SEARCH(MID(metadata!B822,ROW(INDIRECT("1:"&amp;LEN(metadata!B822))), 1),"0123456789abcdefghijklmnopqrstuvwxyzABCDEFGHIJKLMNOPQRSTUVWXYZ.")))))</f>
        <v>0</v>
      </c>
      <c r="R822" t="b">
        <f>AND(IF(metadata!C822="",FALSE,TRUE),OR(EXACT(metadata!C822,"saline"),EXACT(metadata!C822,"non-saline")))</f>
        <v>0</v>
      </c>
      <c r="S822" t="b">
        <f>AND(IF(metadata!D822="",FALSE,TRUE),OR(EXACT(metadata!D822,"surface (non-saline)"),EXACT(metadata!D822,"aerosol (non-saline)"),EXACT(metadata!D822,"sediment (non-saline)"),EXACT(metadata!D822,"surface (saline)"),EXACT(metadata!D822,"aerosol (saline)"),EXACT(metadata!D822,"sediment (saline)")))</f>
        <v>0</v>
      </c>
      <c r="T822" t="b">
        <f>AND(IF(metadata!E822="",FALSE,TRUE),EXACT(metadata!E822,"built environment"))</f>
        <v>0</v>
      </c>
      <c r="U822" t="b">
        <f>OR(AND(IF(metadata!F822="",FALSE,TRUE),EXACT(metadata!F822,"not applicable")),AND(IF(metadata!F822="",FALSE,TRUE),EXACT(metadata!F822,"anaerobic digester content")))</f>
        <v>0</v>
      </c>
    </row>
    <row r="823" spans="1:21" x14ac:dyDescent="0.2">
      <c r="A823" s="4" t="str">
        <f ca="1">IF(B823=" "," ",HYPERLINK(CONCATENATE("#metadata!",ADDRESS(INDEX($L$2:$L$1001,MATCH(ROWS($J$2:J823),$J$2:$J$1001,0),0),1)),INDEX($O$2:$O$1001,MATCH(ROWS($J$2:J823),$J$2:$J$1001,0),0)))</f>
        <v xml:space="preserve"> </v>
      </c>
      <c r="B823" s="3" t="str">
        <f ca="1">IF(OR(INDEX($K$2:$K$1001,MATCH(ROWS($J$2:J823),$J$2:$J$1001,0),1)&gt;=100000,INDEX($Q$1005:$U$1005,1,MATCH(COLUMNS($Q$1006:Q1006),$Q$1006:$U$1006,0))&gt;=100000), " ",IF(INDEX($Q$2:$U$1001,MATCH(ROWS($J$2:J823),$J$2:$J$1001,0),MATCH(COLUMNS($Q$1006:Q1006),$Q$1006:$U$1006,0)), HYPERLINK("#",""), HYPERLINK(CONCATENATE("#metadata!", ADDRESS(INDEX($L$2:$L$1001,MATCH(ROWS($J$2:J823),$J$2:$J$1001,0),0), INDEX($Q$1004:$U$1004,1,MATCH(COLUMNS($Q$1006:Q1006),$Q$1006:$U$1006,0)))),"Fix")))</f>
        <v xml:space="preserve"> </v>
      </c>
      <c r="C823" s="3" t="str">
        <f ca="1">IF(OR(INDEX($K$2:$K$1001,MATCH(ROWS($J$2:J823),$J$2:$J$1001,0),1)&gt;=100000,INDEX($Q$1005:$U$1005,1,MATCH(COLUMNS($Q$1006:R1006),$Q$1006:$U$1006,0))&gt;=100000), " ",IF(INDEX($Q$2:$U$1001,MATCH(ROWS($J$2:J823),$J$2:$J$1001,0),MATCH(COLUMNS($Q$1006:R1006),$Q$1006:$U$1006,0)), HYPERLINK("#",""), HYPERLINK(CONCATENATE("#metadata!", ADDRESS(INDEX($L$2:$L$1001,MATCH(ROWS($J$2:J823),$J$2:$J$1001,0),0), INDEX($Q$1004:$U$1004,1,MATCH(COLUMNS($Q$1006:R1006),$Q$1006:$U$1006,0)))),"Fix")))</f>
        <v xml:space="preserve"> </v>
      </c>
      <c r="D823" s="3" t="str">
        <f ca="1">IF(OR(INDEX($K$2:$K$1001,MATCH(ROWS($J$2:J823),$J$2:$J$1001,0),1)&gt;=100000,INDEX($Q$1005:$U$1005,1,MATCH(COLUMNS($Q$1006:S1006),$Q$1006:$U$1006,0))&gt;=100000), " ",IF(INDEX($Q$2:$U$1001,MATCH(ROWS($J$2:J823),$J$2:$J$1001,0),MATCH(COLUMNS($Q$1006:S1006),$Q$1006:$U$1006,0)), HYPERLINK("#",""), HYPERLINK(CONCATENATE("#metadata!", ADDRESS(INDEX($L$2:$L$1001,MATCH(ROWS($J$2:J823),$J$2:$J$1001,0),0), INDEX($Q$1004:$U$1004,1,MATCH(COLUMNS($Q$1006:S1006),$Q$1006:$U$1006,0)))),"Fix")))</f>
        <v xml:space="preserve"> </v>
      </c>
      <c r="E823" s="3" t="str">
        <f ca="1">IF(OR(INDEX($K$2:$K$1001,MATCH(ROWS($J$2:J823),$J$2:$J$1001,0),1)&gt;=100000,INDEX($Q$1005:$U$1005,1,MATCH(COLUMNS($Q$1006:T1006),$Q$1006:$U$1006,0))&gt;=100000), " ",IF(INDEX($Q$2:$U$1001,MATCH(ROWS($J$2:J823),$J$2:$J$1001,0),MATCH(COLUMNS($Q$1006:T1006),$Q$1006:$U$1006,0)), HYPERLINK("#",""), HYPERLINK(CONCATENATE("#metadata!", ADDRESS(INDEX($L$2:$L$1001,MATCH(ROWS($J$2:J823),$J$2:$J$1001,0),0), INDEX($Q$1004:$U$1004,1,MATCH(COLUMNS($Q$1006:T1006),$Q$1006:$U$1006,0)))),"Fix")))</f>
        <v xml:space="preserve"> </v>
      </c>
      <c r="F823" s="3" t="str">
        <f ca="1">IF(OR(INDEX($K$2:$K$1001,MATCH(ROWS($J$2:J823),$J$2:$J$1001,0),1)&gt;=100000,INDEX($Q$1005:$U$1005,1,MATCH(COLUMNS($Q$1006:U1006),$Q$1006:$U$1006,0))&gt;=100000), " ",IF(INDEX($Q$2:$U$1001,MATCH(ROWS($J$2:J823),$J$2:$J$1001,0),MATCH(COLUMNS($Q$1006:U1006),$Q$1006:$U$1006,0)), HYPERLINK("#",""), HYPERLINK(CONCATENATE("#metadata!", ADDRESS(INDEX($L$2:$L$1001,MATCH(ROWS($J$2:J823),$J$2:$J$1001,0),0), INDEX($Q$1004:$U$1004,1,MATCH(COLUMNS($Q$1006:U1006),$Q$1006:$U$1006,0)))),"Fix")))</f>
        <v xml:space="preserve"> </v>
      </c>
      <c r="J823">
        <v>822</v>
      </c>
      <c r="K823">
        <v>100823</v>
      </c>
      <c r="L823">
        <v>823</v>
      </c>
      <c r="M823" t="b">
        <f t="shared" si="12"/>
        <v>1</v>
      </c>
      <c r="N823" t="b">
        <f>COUNTBLANK(metadata!B823:F823)=COLUMNS(metadata!B823:F823)</f>
        <v>1</v>
      </c>
      <c r="O823" t="str">
        <v/>
      </c>
      <c r="Q823" t="b">
        <f ca="1">AND(IF(metadata!B823="",FALSE,TRUE),COUNTIF(metadata!B:B, metadata!B823) = 1,NOT(ISERROR(SUMPRODUCT(SEARCH(MID(metadata!B823,ROW(INDIRECT("1:"&amp;LEN(metadata!B823))), 1),"0123456789abcdefghijklmnopqrstuvwxyzABCDEFGHIJKLMNOPQRSTUVWXYZ.")))))</f>
        <v>0</v>
      </c>
      <c r="R823" t="b">
        <f>AND(IF(metadata!C823="",FALSE,TRUE),OR(EXACT(metadata!C823,"saline"),EXACT(metadata!C823,"non-saline")))</f>
        <v>0</v>
      </c>
      <c r="S823" t="b">
        <f>AND(IF(metadata!D823="",FALSE,TRUE),OR(EXACT(metadata!D823,"surface (non-saline)"),EXACT(metadata!D823,"aerosol (non-saline)"),EXACT(metadata!D823,"sediment (non-saline)"),EXACT(metadata!D823,"surface (saline)"),EXACT(metadata!D823,"aerosol (saline)"),EXACT(metadata!D823,"sediment (saline)")))</f>
        <v>0</v>
      </c>
      <c r="T823" t="b">
        <f>AND(IF(metadata!E823="",FALSE,TRUE),EXACT(metadata!E823,"built environment"))</f>
        <v>0</v>
      </c>
      <c r="U823" t="b">
        <f>OR(AND(IF(metadata!F823="",FALSE,TRUE),EXACT(metadata!F823,"not applicable")),AND(IF(metadata!F823="",FALSE,TRUE),EXACT(metadata!F823,"anaerobic digester content")))</f>
        <v>0</v>
      </c>
    </row>
    <row r="824" spans="1:21" x14ac:dyDescent="0.2">
      <c r="A824" s="4" t="str">
        <f ca="1">IF(B824=" "," ",HYPERLINK(CONCATENATE("#metadata!",ADDRESS(INDEX($L$2:$L$1001,MATCH(ROWS($J$2:J824),$J$2:$J$1001,0),0),1)),INDEX($O$2:$O$1001,MATCH(ROWS($J$2:J824),$J$2:$J$1001,0),0)))</f>
        <v xml:space="preserve"> </v>
      </c>
      <c r="B824" s="3" t="str">
        <f ca="1">IF(OR(INDEX($K$2:$K$1001,MATCH(ROWS($J$2:J824),$J$2:$J$1001,0),1)&gt;=100000,INDEX($Q$1005:$U$1005,1,MATCH(COLUMNS($Q$1006:Q1006),$Q$1006:$U$1006,0))&gt;=100000), " ",IF(INDEX($Q$2:$U$1001,MATCH(ROWS($J$2:J824),$J$2:$J$1001,0),MATCH(COLUMNS($Q$1006:Q1006),$Q$1006:$U$1006,0)), HYPERLINK("#",""), HYPERLINK(CONCATENATE("#metadata!", ADDRESS(INDEX($L$2:$L$1001,MATCH(ROWS($J$2:J824),$J$2:$J$1001,0),0), INDEX($Q$1004:$U$1004,1,MATCH(COLUMNS($Q$1006:Q1006),$Q$1006:$U$1006,0)))),"Fix")))</f>
        <v xml:space="preserve"> </v>
      </c>
      <c r="C824" s="3" t="str">
        <f ca="1">IF(OR(INDEX($K$2:$K$1001,MATCH(ROWS($J$2:J824),$J$2:$J$1001,0),1)&gt;=100000,INDEX($Q$1005:$U$1005,1,MATCH(COLUMNS($Q$1006:R1006),$Q$1006:$U$1006,0))&gt;=100000), " ",IF(INDEX($Q$2:$U$1001,MATCH(ROWS($J$2:J824),$J$2:$J$1001,0),MATCH(COLUMNS($Q$1006:R1006),$Q$1006:$U$1006,0)), HYPERLINK("#",""), HYPERLINK(CONCATENATE("#metadata!", ADDRESS(INDEX($L$2:$L$1001,MATCH(ROWS($J$2:J824),$J$2:$J$1001,0),0), INDEX($Q$1004:$U$1004,1,MATCH(COLUMNS($Q$1006:R1006),$Q$1006:$U$1006,0)))),"Fix")))</f>
        <v xml:space="preserve"> </v>
      </c>
      <c r="D824" s="3" t="str">
        <f ca="1">IF(OR(INDEX($K$2:$K$1001,MATCH(ROWS($J$2:J824),$J$2:$J$1001,0),1)&gt;=100000,INDEX($Q$1005:$U$1005,1,MATCH(COLUMNS($Q$1006:S1006),$Q$1006:$U$1006,0))&gt;=100000), " ",IF(INDEX($Q$2:$U$1001,MATCH(ROWS($J$2:J824),$J$2:$J$1001,0),MATCH(COLUMNS($Q$1006:S1006),$Q$1006:$U$1006,0)), HYPERLINK("#",""), HYPERLINK(CONCATENATE("#metadata!", ADDRESS(INDEX($L$2:$L$1001,MATCH(ROWS($J$2:J824),$J$2:$J$1001,0),0), INDEX($Q$1004:$U$1004,1,MATCH(COLUMNS($Q$1006:S1006),$Q$1006:$U$1006,0)))),"Fix")))</f>
        <v xml:space="preserve"> </v>
      </c>
      <c r="E824" s="3" t="str">
        <f ca="1">IF(OR(INDEX($K$2:$K$1001,MATCH(ROWS($J$2:J824),$J$2:$J$1001,0),1)&gt;=100000,INDEX($Q$1005:$U$1005,1,MATCH(COLUMNS($Q$1006:T1006),$Q$1006:$U$1006,0))&gt;=100000), " ",IF(INDEX($Q$2:$U$1001,MATCH(ROWS($J$2:J824),$J$2:$J$1001,0),MATCH(COLUMNS($Q$1006:T1006),$Q$1006:$U$1006,0)), HYPERLINK("#",""), HYPERLINK(CONCATENATE("#metadata!", ADDRESS(INDEX($L$2:$L$1001,MATCH(ROWS($J$2:J824),$J$2:$J$1001,0),0), INDEX($Q$1004:$U$1004,1,MATCH(COLUMNS($Q$1006:T1006),$Q$1006:$U$1006,0)))),"Fix")))</f>
        <v xml:space="preserve"> </v>
      </c>
      <c r="F824" s="3" t="str">
        <f ca="1">IF(OR(INDEX($K$2:$K$1001,MATCH(ROWS($J$2:J824),$J$2:$J$1001,0),1)&gt;=100000,INDEX($Q$1005:$U$1005,1,MATCH(COLUMNS($Q$1006:U1006),$Q$1006:$U$1006,0))&gt;=100000), " ",IF(INDEX($Q$2:$U$1001,MATCH(ROWS($J$2:J824),$J$2:$J$1001,0),MATCH(COLUMNS($Q$1006:U1006),$Q$1006:$U$1006,0)), HYPERLINK("#",""), HYPERLINK(CONCATENATE("#metadata!", ADDRESS(INDEX($L$2:$L$1001,MATCH(ROWS($J$2:J824),$J$2:$J$1001,0),0), INDEX($Q$1004:$U$1004,1,MATCH(COLUMNS($Q$1006:U1006),$Q$1006:$U$1006,0)))),"Fix")))</f>
        <v xml:space="preserve"> </v>
      </c>
      <c r="J824">
        <v>823</v>
      </c>
      <c r="K824">
        <v>100824</v>
      </c>
      <c r="L824">
        <v>824</v>
      </c>
      <c r="M824" t="b">
        <f t="shared" si="12"/>
        <v>1</v>
      </c>
      <c r="N824" t="b">
        <f>COUNTBLANK(metadata!B824:F824)=COLUMNS(metadata!B824:F824)</f>
        <v>1</v>
      </c>
      <c r="O824" t="str">
        <v/>
      </c>
      <c r="Q824" t="b">
        <f ca="1">AND(IF(metadata!B824="",FALSE,TRUE),COUNTIF(metadata!B:B, metadata!B824) = 1,NOT(ISERROR(SUMPRODUCT(SEARCH(MID(metadata!B824,ROW(INDIRECT("1:"&amp;LEN(metadata!B824))), 1),"0123456789abcdefghijklmnopqrstuvwxyzABCDEFGHIJKLMNOPQRSTUVWXYZ.")))))</f>
        <v>0</v>
      </c>
      <c r="R824" t="b">
        <f>AND(IF(metadata!C824="",FALSE,TRUE),OR(EXACT(metadata!C824,"saline"),EXACT(metadata!C824,"non-saline")))</f>
        <v>0</v>
      </c>
      <c r="S824" t="b">
        <f>AND(IF(metadata!D824="",FALSE,TRUE),OR(EXACT(metadata!D824,"surface (non-saline)"),EXACT(metadata!D824,"aerosol (non-saline)"),EXACT(metadata!D824,"sediment (non-saline)"),EXACT(metadata!D824,"surface (saline)"),EXACT(metadata!D824,"aerosol (saline)"),EXACT(metadata!D824,"sediment (saline)")))</f>
        <v>0</v>
      </c>
      <c r="T824" t="b">
        <f>AND(IF(metadata!E824="",FALSE,TRUE),EXACT(metadata!E824,"built environment"))</f>
        <v>0</v>
      </c>
      <c r="U824" t="b">
        <f>OR(AND(IF(metadata!F824="",FALSE,TRUE),EXACT(metadata!F824,"not applicable")),AND(IF(metadata!F824="",FALSE,TRUE),EXACT(metadata!F824,"anaerobic digester content")))</f>
        <v>0</v>
      </c>
    </row>
    <row r="825" spans="1:21" x14ac:dyDescent="0.2">
      <c r="A825" s="4" t="str">
        <f ca="1">IF(B825=" "," ",HYPERLINK(CONCATENATE("#metadata!",ADDRESS(INDEX($L$2:$L$1001,MATCH(ROWS($J$2:J825),$J$2:$J$1001,0),0),1)),INDEX($O$2:$O$1001,MATCH(ROWS($J$2:J825),$J$2:$J$1001,0),0)))</f>
        <v xml:space="preserve"> </v>
      </c>
      <c r="B825" s="3" t="str">
        <f ca="1">IF(OR(INDEX($K$2:$K$1001,MATCH(ROWS($J$2:J825),$J$2:$J$1001,0),1)&gt;=100000,INDEX($Q$1005:$U$1005,1,MATCH(COLUMNS($Q$1006:Q1006),$Q$1006:$U$1006,0))&gt;=100000), " ",IF(INDEX($Q$2:$U$1001,MATCH(ROWS($J$2:J825),$J$2:$J$1001,0),MATCH(COLUMNS($Q$1006:Q1006),$Q$1006:$U$1006,0)), HYPERLINK("#",""), HYPERLINK(CONCATENATE("#metadata!", ADDRESS(INDEX($L$2:$L$1001,MATCH(ROWS($J$2:J825),$J$2:$J$1001,0),0), INDEX($Q$1004:$U$1004,1,MATCH(COLUMNS($Q$1006:Q1006),$Q$1006:$U$1006,0)))),"Fix")))</f>
        <v xml:space="preserve"> </v>
      </c>
      <c r="C825" s="3" t="str">
        <f ca="1">IF(OR(INDEX($K$2:$K$1001,MATCH(ROWS($J$2:J825),$J$2:$J$1001,0),1)&gt;=100000,INDEX($Q$1005:$U$1005,1,MATCH(COLUMNS($Q$1006:R1006),$Q$1006:$U$1006,0))&gt;=100000), " ",IF(INDEX($Q$2:$U$1001,MATCH(ROWS($J$2:J825),$J$2:$J$1001,0),MATCH(COLUMNS($Q$1006:R1006),$Q$1006:$U$1006,0)), HYPERLINK("#",""), HYPERLINK(CONCATENATE("#metadata!", ADDRESS(INDEX($L$2:$L$1001,MATCH(ROWS($J$2:J825),$J$2:$J$1001,0),0), INDEX($Q$1004:$U$1004,1,MATCH(COLUMNS($Q$1006:R1006),$Q$1006:$U$1006,0)))),"Fix")))</f>
        <v xml:space="preserve"> </v>
      </c>
      <c r="D825" s="3" t="str">
        <f ca="1">IF(OR(INDEX($K$2:$K$1001,MATCH(ROWS($J$2:J825),$J$2:$J$1001,0),1)&gt;=100000,INDEX($Q$1005:$U$1005,1,MATCH(COLUMNS($Q$1006:S1006),$Q$1006:$U$1006,0))&gt;=100000), " ",IF(INDEX($Q$2:$U$1001,MATCH(ROWS($J$2:J825),$J$2:$J$1001,0),MATCH(COLUMNS($Q$1006:S1006),$Q$1006:$U$1006,0)), HYPERLINK("#",""), HYPERLINK(CONCATENATE("#metadata!", ADDRESS(INDEX($L$2:$L$1001,MATCH(ROWS($J$2:J825),$J$2:$J$1001,0),0), INDEX($Q$1004:$U$1004,1,MATCH(COLUMNS($Q$1006:S1006),$Q$1006:$U$1006,0)))),"Fix")))</f>
        <v xml:space="preserve"> </v>
      </c>
      <c r="E825" s="3" t="str">
        <f ca="1">IF(OR(INDEX($K$2:$K$1001,MATCH(ROWS($J$2:J825),$J$2:$J$1001,0),1)&gt;=100000,INDEX($Q$1005:$U$1005,1,MATCH(COLUMNS($Q$1006:T1006),$Q$1006:$U$1006,0))&gt;=100000), " ",IF(INDEX($Q$2:$U$1001,MATCH(ROWS($J$2:J825),$J$2:$J$1001,0),MATCH(COLUMNS($Q$1006:T1006),$Q$1006:$U$1006,0)), HYPERLINK("#",""), HYPERLINK(CONCATENATE("#metadata!", ADDRESS(INDEX($L$2:$L$1001,MATCH(ROWS($J$2:J825),$J$2:$J$1001,0),0), INDEX($Q$1004:$U$1004,1,MATCH(COLUMNS($Q$1006:T1006),$Q$1006:$U$1006,0)))),"Fix")))</f>
        <v xml:space="preserve"> </v>
      </c>
      <c r="F825" s="3" t="str">
        <f ca="1">IF(OR(INDEX($K$2:$K$1001,MATCH(ROWS($J$2:J825),$J$2:$J$1001,0),1)&gt;=100000,INDEX($Q$1005:$U$1005,1,MATCH(COLUMNS($Q$1006:U1006),$Q$1006:$U$1006,0))&gt;=100000), " ",IF(INDEX($Q$2:$U$1001,MATCH(ROWS($J$2:J825),$J$2:$J$1001,0),MATCH(COLUMNS($Q$1006:U1006),$Q$1006:$U$1006,0)), HYPERLINK("#",""), HYPERLINK(CONCATENATE("#metadata!", ADDRESS(INDEX($L$2:$L$1001,MATCH(ROWS($J$2:J825),$J$2:$J$1001,0),0), INDEX($Q$1004:$U$1004,1,MATCH(COLUMNS($Q$1006:U1006),$Q$1006:$U$1006,0)))),"Fix")))</f>
        <v xml:space="preserve"> </v>
      </c>
      <c r="J825">
        <v>824</v>
      </c>
      <c r="K825">
        <v>100825</v>
      </c>
      <c r="L825">
        <v>825</v>
      </c>
      <c r="M825" t="b">
        <f t="shared" si="12"/>
        <v>1</v>
      </c>
      <c r="N825" t="b">
        <f>COUNTBLANK(metadata!B825:F825)=COLUMNS(metadata!B825:F825)</f>
        <v>1</v>
      </c>
      <c r="O825" t="str">
        <v/>
      </c>
      <c r="Q825" t="b">
        <f ca="1">AND(IF(metadata!B825="",FALSE,TRUE),COUNTIF(metadata!B:B, metadata!B825) = 1,NOT(ISERROR(SUMPRODUCT(SEARCH(MID(metadata!B825,ROW(INDIRECT("1:"&amp;LEN(metadata!B825))), 1),"0123456789abcdefghijklmnopqrstuvwxyzABCDEFGHIJKLMNOPQRSTUVWXYZ.")))))</f>
        <v>0</v>
      </c>
      <c r="R825" t="b">
        <f>AND(IF(metadata!C825="",FALSE,TRUE),OR(EXACT(metadata!C825,"saline"),EXACT(metadata!C825,"non-saline")))</f>
        <v>0</v>
      </c>
      <c r="S825" t="b">
        <f>AND(IF(metadata!D825="",FALSE,TRUE),OR(EXACT(metadata!D825,"surface (non-saline)"),EXACT(metadata!D825,"aerosol (non-saline)"),EXACT(metadata!D825,"sediment (non-saline)"),EXACT(metadata!D825,"surface (saline)"),EXACT(metadata!D825,"aerosol (saline)"),EXACT(metadata!D825,"sediment (saline)")))</f>
        <v>0</v>
      </c>
      <c r="T825" t="b">
        <f>AND(IF(metadata!E825="",FALSE,TRUE),EXACT(metadata!E825,"built environment"))</f>
        <v>0</v>
      </c>
      <c r="U825" t="b">
        <f>OR(AND(IF(metadata!F825="",FALSE,TRUE),EXACT(metadata!F825,"not applicable")),AND(IF(metadata!F825="",FALSE,TRUE),EXACT(metadata!F825,"anaerobic digester content")))</f>
        <v>0</v>
      </c>
    </row>
    <row r="826" spans="1:21" x14ac:dyDescent="0.2">
      <c r="A826" s="4" t="str">
        <f ca="1">IF(B826=" "," ",HYPERLINK(CONCATENATE("#metadata!",ADDRESS(INDEX($L$2:$L$1001,MATCH(ROWS($J$2:J826),$J$2:$J$1001,0),0),1)),INDEX($O$2:$O$1001,MATCH(ROWS($J$2:J826),$J$2:$J$1001,0),0)))</f>
        <v xml:space="preserve"> </v>
      </c>
      <c r="B826" s="3" t="str">
        <f ca="1">IF(OR(INDEX($K$2:$K$1001,MATCH(ROWS($J$2:J826),$J$2:$J$1001,0),1)&gt;=100000,INDEX($Q$1005:$U$1005,1,MATCH(COLUMNS($Q$1006:Q1006),$Q$1006:$U$1006,0))&gt;=100000), " ",IF(INDEX($Q$2:$U$1001,MATCH(ROWS($J$2:J826),$J$2:$J$1001,0),MATCH(COLUMNS($Q$1006:Q1006),$Q$1006:$U$1006,0)), HYPERLINK("#",""), HYPERLINK(CONCATENATE("#metadata!", ADDRESS(INDEX($L$2:$L$1001,MATCH(ROWS($J$2:J826),$J$2:$J$1001,0),0), INDEX($Q$1004:$U$1004,1,MATCH(COLUMNS($Q$1006:Q1006),$Q$1006:$U$1006,0)))),"Fix")))</f>
        <v xml:space="preserve"> </v>
      </c>
      <c r="C826" s="3" t="str">
        <f ca="1">IF(OR(INDEX($K$2:$K$1001,MATCH(ROWS($J$2:J826),$J$2:$J$1001,0),1)&gt;=100000,INDEX($Q$1005:$U$1005,1,MATCH(COLUMNS($Q$1006:R1006),$Q$1006:$U$1006,0))&gt;=100000), " ",IF(INDEX($Q$2:$U$1001,MATCH(ROWS($J$2:J826),$J$2:$J$1001,0),MATCH(COLUMNS($Q$1006:R1006),$Q$1006:$U$1006,0)), HYPERLINK("#",""), HYPERLINK(CONCATENATE("#metadata!", ADDRESS(INDEX($L$2:$L$1001,MATCH(ROWS($J$2:J826),$J$2:$J$1001,0),0), INDEX($Q$1004:$U$1004,1,MATCH(COLUMNS($Q$1006:R1006),$Q$1006:$U$1006,0)))),"Fix")))</f>
        <v xml:space="preserve"> </v>
      </c>
      <c r="D826" s="3" t="str">
        <f ca="1">IF(OR(INDEX($K$2:$K$1001,MATCH(ROWS($J$2:J826),$J$2:$J$1001,0),1)&gt;=100000,INDEX($Q$1005:$U$1005,1,MATCH(COLUMNS($Q$1006:S1006),$Q$1006:$U$1006,0))&gt;=100000), " ",IF(INDEX($Q$2:$U$1001,MATCH(ROWS($J$2:J826),$J$2:$J$1001,0),MATCH(COLUMNS($Q$1006:S1006),$Q$1006:$U$1006,0)), HYPERLINK("#",""), HYPERLINK(CONCATENATE("#metadata!", ADDRESS(INDEX($L$2:$L$1001,MATCH(ROWS($J$2:J826),$J$2:$J$1001,0),0), INDEX($Q$1004:$U$1004,1,MATCH(COLUMNS($Q$1006:S1006),$Q$1006:$U$1006,0)))),"Fix")))</f>
        <v xml:space="preserve"> </v>
      </c>
      <c r="E826" s="3" t="str">
        <f ca="1">IF(OR(INDEX($K$2:$K$1001,MATCH(ROWS($J$2:J826),$J$2:$J$1001,0),1)&gt;=100000,INDEX($Q$1005:$U$1005,1,MATCH(COLUMNS($Q$1006:T1006),$Q$1006:$U$1006,0))&gt;=100000), " ",IF(INDEX($Q$2:$U$1001,MATCH(ROWS($J$2:J826),$J$2:$J$1001,0),MATCH(COLUMNS($Q$1006:T1006),$Q$1006:$U$1006,0)), HYPERLINK("#",""), HYPERLINK(CONCATENATE("#metadata!", ADDRESS(INDEX($L$2:$L$1001,MATCH(ROWS($J$2:J826),$J$2:$J$1001,0),0), INDEX($Q$1004:$U$1004,1,MATCH(COLUMNS($Q$1006:T1006),$Q$1006:$U$1006,0)))),"Fix")))</f>
        <v xml:space="preserve"> </v>
      </c>
      <c r="F826" s="3" t="str">
        <f ca="1">IF(OR(INDEX($K$2:$K$1001,MATCH(ROWS($J$2:J826),$J$2:$J$1001,0),1)&gt;=100000,INDEX($Q$1005:$U$1005,1,MATCH(COLUMNS($Q$1006:U1006),$Q$1006:$U$1006,0))&gt;=100000), " ",IF(INDEX($Q$2:$U$1001,MATCH(ROWS($J$2:J826),$J$2:$J$1001,0),MATCH(COLUMNS($Q$1006:U1006),$Q$1006:$U$1006,0)), HYPERLINK("#",""), HYPERLINK(CONCATENATE("#metadata!", ADDRESS(INDEX($L$2:$L$1001,MATCH(ROWS($J$2:J826),$J$2:$J$1001,0),0), INDEX($Q$1004:$U$1004,1,MATCH(COLUMNS($Q$1006:U1006),$Q$1006:$U$1006,0)))),"Fix")))</f>
        <v xml:space="preserve"> </v>
      </c>
      <c r="J826">
        <v>825</v>
      </c>
      <c r="K826">
        <v>100826</v>
      </c>
      <c r="L826">
        <v>826</v>
      </c>
      <c r="M826" t="b">
        <f t="shared" si="12"/>
        <v>1</v>
      </c>
      <c r="N826" t="b">
        <f>COUNTBLANK(metadata!B826:F826)=COLUMNS(metadata!B826:F826)</f>
        <v>1</v>
      </c>
      <c r="O826" t="str">
        <v/>
      </c>
      <c r="Q826" t="b">
        <f ca="1">AND(IF(metadata!B826="",FALSE,TRUE),COUNTIF(metadata!B:B, metadata!B826) = 1,NOT(ISERROR(SUMPRODUCT(SEARCH(MID(metadata!B826,ROW(INDIRECT("1:"&amp;LEN(metadata!B826))), 1),"0123456789abcdefghijklmnopqrstuvwxyzABCDEFGHIJKLMNOPQRSTUVWXYZ.")))))</f>
        <v>0</v>
      </c>
      <c r="R826" t="b">
        <f>AND(IF(metadata!C826="",FALSE,TRUE),OR(EXACT(metadata!C826,"saline"),EXACT(metadata!C826,"non-saline")))</f>
        <v>0</v>
      </c>
      <c r="S826" t="b">
        <f>AND(IF(metadata!D826="",FALSE,TRUE),OR(EXACT(metadata!D826,"surface (non-saline)"),EXACT(metadata!D826,"aerosol (non-saline)"),EXACT(metadata!D826,"sediment (non-saline)"),EXACT(metadata!D826,"surface (saline)"),EXACT(metadata!D826,"aerosol (saline)"),EXACT(metadata!D826,"sediment (saline)")))</f>
        <v>0</v>
      </c>
      <c r="T826" t="b">
        <f>AND(IF(metadata!E826="",FALSE,TRUE),EXACT(metadata!E826,"built environment"))</f>
        <v>0</v>
      </c>
      <c r="U826" t="b">
        <f>OR(AND(IF(metadata!F826="",FALSE,TRUE),EXACT(metadata!F826,"not applicable")),AND(IF(metadata!F826="",FALSE,TRUE),EXACT(metadata!F826,"anaerobic digester content")))</f>
        <v>0</v>
      </c>
    </row>
    <row r="827" spans="1:21" x14ac:dyDescent="0.2">
      <c r="A827" s="4" t="str">
        <f ca="1">IF(B827=" "," ",HYPERLINK(CONCATENATE("#metadata!",ADDRESS(INDEX($L$2:$L$1001,MATCH(ROWS($J$2:J827),$J$2:$J$1001,0),0),1)),INDEX($O$2:$O$1001,MATCH(ROWS($J$2:J827),$J$2:$J$1001,0),0)))</f>
        <v xml:space="preserve"> </v>
      </c>
      <c r="B827" s="3" t="str">
        <f ca="1">IF(OR(INDEX($K$2:$K$1001,MATCH(ROWS($J$2:J827),$J$2:$J$1001,0),1)&gt;=100000,INDEX($Q$1005:$U$1005,1,MATCH(COLUMNS($Q$1006:Q1006),$Q$1006:$U$1006,0))&gt;=100000), " ",IF(INDEX($Q$2:$U$1001,MATCH(ROWS($J$2:J827),$J$2:$J$1001,0),MATCH(COLUMNS($Q$1006:Q1006),$Q$1006:$U$1006,0)), HYPERLINK("#",""), HYPERLINK(CONCATENATE("#metadata!", ADDRESS(INDEX($L$2:$L$1001,MATCH(ROWS($J$2:J827),$J$2:$J$1001,0),0), INDEX($Q$1004:$U$1004,1,MATCH(COLUMNS($Q$1006:Q1006),$Q$1006:$U$1006,0)))),"Fix")))</f>
        <v xml:space="preserve"> </v>
      </c>
      <c r="C827" s="3" t="str">
        <f ca="1">IF(OR(INDEX($K$2:$K$1001,MATCH(ROWS($J$2:J827),$J$2:$J$1001,0),1)&gt;=100000,INDEX($Q$1005:$U$1005,1,MATCH(COLUMNS($Q$1006:R1006),$Q$1006:$U$1006,0))&gt;=100000), " ",IF(INDEX($Q$2:$U$1001,MATCH(ROWS($J$2:J827),$J$2:$J$1001,0),MATCH(COLUMNS($Q$1006:R1006),$Q$1006:$U$1006,0)), HYPERLINK("#",""), HYPERLINK(CONCATENATE("#metadata!", ADDRESS(INDEX($L$2:$L$1001,MATCH(ROWS($J$2:J827),$J$2:$J$1001,0),0), INDEX($Q$1004:$U$1004,1,MATCH(COLUMNS($Q$1006:R1006),$Q$1006:$U$1006,0)))),"Fix")))</f>
        <v xml:space="preserve"> </v>
      </c>
      <c r="D827" s="3" t="str">
        <f ca="1">IF(OR(INDEX($K$2:$K$1001,MATCH(ROWS($J$2:J827),$J$2:$J$1001,0),1)&gt;=100000,INDEX($Q$1005:$U$1005,1,MATCH(COLUMNS($Q$1006:S1006),$Q$1006:$U$1006,0))&gt;=100000), " ",IF(INDEX($Q$2:$U$1001,MATCH(ROWS($J$2:J827),$J$2:$J$1001,0),MATCH(COLUMNS($Q$1006:S1006),$Q$1006:$U$1006,0)), HYPERLINK("#",""), HYPERLINK(CONCATENATE("#metadata!", ADDRESS(INDEX($L$2:$L$1001,MATCH(ROWS($J$2:J827),$J$2:$J$1001,0),0), INDEX($Q$1004:$U$1004,1,MATCH(COLUMNS($Q$1006:S1006),$Q$1006:$U$1006,0)))),"Fix")))</f>
        <v xml:space="preserve"> </v>
      </c>
      <c r="E827" s="3" t="str">
        <f ca="1">IF(OR(INDEX($K$2:$K$1001,MATCH(ROWS($J$2:J827),$J$2:$J$1001,0),1)&gt;=100000,INDEX($Q$1005:$U$1005,1,MATCH(COLUMNS($Q$1006:T1006),$Q$1006:$U$1006,0))&gt;=100000), " ",IF(INDEX($Q$2:$U$1001,MATCH(ROWS($J$2:J827),$J$2:$J$1001,0),MATCH(COLUMNS($Q$1006:T1006),$Q$1006:$U$1006,0)), HYPERLINK("#",""), HYPERLINK(CONCATENATE("#metadata!", ADDRESS(INDEX($L$2:$L$1001,MATCH(ROWS($J$2:J827),$J$2:$J$1001,0),0), INDEX($Q$1004:$U$1004,1,MATCH(COLUMNS($Q$1006:T1006),$Q$1006:$U$1006,0)))),"Fix")))</f>
        <v xml:space="preserve"> </v>
      </c>
      <c r="F827" s="3" t="str">
        <f ca="1">IF(OR(INDEX($K$2:$K$1001,MATCH(ROWS($J$2:J827),$J$2:$J$1001,0),1)&gt;=100000,INDEX($Q$1005:$U$1005,1,MATCH(COLUMNS($Q$1006:U1006),$Q$1006:$U$1006,0))&gt;=100000), " ",IF(INDEX($Q$2:$U$1001,MATCH(ROWS($J$2:J827),$J$2:$J$1001,0),MATCH(COLUMNS($Q$1006:U1006),$Q$1006:$U$1006,0)), HYPERLINK("#",""), HYPERLINK(CONCATENATE("#metadata!", ADDRESS(INDEX($L$2:$L$1001,MATCH(ROWS($J$2:J827),$J$2:$J$1001,0),0), INDEX($Q$1004:$U$1004,1,MATCH(COLUMNS($Q$1006:U1006),$Q$1006:$U$1006,0)))),"Fix")))</f>
        <v xml:space="preserve"> </v>
      </c>
      <c r="J827">
        <v>826</v>
      </c>
      <c r="K827">
        <v>100827</v>
      </c>
      <c r="L827">
        <v>827</v>
      </c>
      <c r="M827" t="b">
        <f t="shared" si="12"/>
        <v>1</v>
      </c>
      <c r="N827" t="b">
        <f>COUNTBLANK(metadata!B827:F827)=COLUMNS(metadata!B827:F827)</f>
        <v>1</v>
      </c>
      <c r="O827" t="str">
        <v/>
      </c>
      <c r="Q827" t="b">
        <f ca="1">AND(IF(metadata!B827="",FALSE,TRUE),COUNTIF(metadata!B:B, metadata!B827) = 1,NOT(ISERROR(SUMPRODUCT(SEARCH(MID(metadata!B827,ROW(INDIRECT("1:"&amp;LEN(metadata!B827))), 1),"0123456789abcdefghijklmnopqrstuvwxyzABCDEFGHIJKLMNOPQRSTUVWXYZ.")))))</f>
        <v>0</v>
      </c>
      <c r="R827" t="b">
        <f>AND(IF(metadata!C827="",FALSE,TRUE),OR(EXACT(metadata!C827,"saline"),EXACT(metadata!C827,"non-saline")))</f>
        <v>0</v>
      </c>
      <c r="S827" t="b">
        <f>AND(IF(metadata!D827="",FALSE,TRUE),OR(EXACT(metadata!D827,"surface (non-saline)"),EXACT(metadata!D827,"aerosol (non-saline)"),EXACT(metadata!D827,"sediment (non-saline)"),EXACT(metadata!D827,"surface (saline)"),EXACT(metadata!D827,"aerosol (saline)"),EXACT(metadata!D827,"sediment (saline)")))</f>
        <v>0</v>
      </c>
      <c r="T827" t="b">
        <f>AND(IF(metadata!E827="",FALSE,TRUE),EXACT(metadata!E827,"built environment"))</f>
        <v>0</v>
      </c>
      <c r="U827" t="b">
        <f>OR(AND(IF(metadata!F827="",FALSE,TRUE),EXACT(metadata!F827,"not applicable")),AND(IF(metadata!F827="",FALSE,TRUE),EXACT(metadata!F827,"anaerobic digester content")))</f>
        <v>0</v>
      </c>
    </row>
    <row r="828" spans="1:21" x14ac:dyDescent="0.2">
      <c r="A828" s="4" t="str">
        <f ca="1">IF(B828=" "," ",HYPERLINK(CONCATENATE("#metadata!",ADDRESS(INDEX($L$2:$L$1001,MATCH(ROWS($J$2:J828),$J$2:$J$1001,0),0),1)),INDEX($O$2:$O$1001,MATCH(ROWS($J$2:J828),$J$2:$J$1001,0),0)))</f>
        <v xml:space="preserve"> </v>
      </c>
      <c r="B828" s="3" t="str">
        <f ca="1">IF(OR(INDEX($K$2:$K$1001,MATCH(ROWS($J$2:J828),$J$2:$J$1001,0),1)&gt;=100000,INDEX($Q$1005:$U$1005,1,MATCH(COLUMNS($Q$1006:Q1006),$Q$1006:$U$1006,0))&gt;=100000), " ",IF(INDEX($Q$2:$U$1001,MATCH(ROWS($J$2:J828),$J$2:$J$1001,0),MATCH(COLUMNS($Q$1006:Q1006),$Q$1006:$U$1006,0)), HYPERLINK("#",""), HYPERLINK(CONCATENATE("#metadata!", ADDRESS(INDEX($L$2:$L$1001,MATCH(ROWS($J$2:J828),$J$2:$J$1001,0),0), INDEX($Q$1004:$U$1004,1,MATCH(COLUMNS($Q$1006:Q1006),$Q$1006:$U$1006,0)))),"Fix")))</f>
        <v xml:space="preserve"> </v>
      </c>
      <c r="C828" s="3" t="str">
        <f ca="1">IF(OR(INDEX($K$2:$K$1001,MATCH(ROWS($J$2:J828),$J$2:$J$1001,0),1)&gt;=100000,INDEX($Q$1005:$U$1005,1,MATCH(COLUMNS($Q$1006:R1006),$Q$1006:$U$1006,0))&gt;=100000), " ",IF(INDEX($Q$2:$U$1001,MATCH(ROWS($J$2:J828),$J$2:$J$1001,0),MATCH(COLUMNS($Q$1006:R1006),$Q$1006:$U$1006,0)), HYPERLINK("#",""), HYPERLINK(CONCATENATE("#metadata!", ADDRESS(INDEX($L$2:$L$1001,MATCH(ROWS($J$2:J828),$J$2:$J$1001,0),0), INDEX($Q$1004:$U$1004,1,MATCH(COLUMNS($Q$1006:R1006),$Q$1006:$U$1006,0)))),"Fix")))</f>
        <v xml:space="preserve"> </v>
      </c>
      <c r="D828" s="3" t="str">
        <f ca="1">IF(OR(INDEX($K$2:$K$1001,MATCH(ROWS($J$2:J828),$J$2:$J$1001,0),1)&gt;=100000,INDEX($Q$1005:$U$1005,1,MATCH(COLUMNS($Q$1006:S1006),$Q$1006:$U$1006,0))&gt;=100000), " ",IF(INDEX($Q$2:$U$1001,MATCH(ROWS($J$2:J828),$J$2:$J$1001,0),MATCH(COLUMNS($Q$1006:S1006),$Q$1006:$U$1006,0)), HYPERLINK("#",""), HYPERLINK(CONCATENATE("#metadata!", ADDRESS(INDEX($L$2:$L$1001,MATCH(ROWS($J$2:J828),$J$2:$J$1001,0),0), INDEX($Q$1004:$U$1004,1,MATCH(COLUMNS($Q$1006:S1006),$Q$1006:$U$1006,0)))),"Fix")))</f>
        <v xml:space="preserve"> </v>
      </c>
      <c r="E828" s="3" t="str">
        <f ca="1">IF(OR(INDEX($K$2:$K$1001,MATCH(ROWS($J$2:J828),$J$2:$J$1001,0),1)&gt;=100000,INDEX($Q$1005:$U$1005,1,MATCH(COLUMNS($Q$1006:T1006),$Q$1006:$U$1006,0))&gt;=100000), " ",IF(INDEX($Q$2:$U$1001,MATCH(ROWS($J$2:J828),$J$2:$J$1001,0),MATCH(COLUMNS($Q$1006:T1006),$Q$1006:$U$1006,0)), HYPERLINK("#",""), HYPERLINK(CONCATENATE("#metadata!", ADDRESS(INDEX($L$2:$L$1001,MATCH(ROWS($J$2:J828),$J$2:$J$1001,0),0), INDEX($Q$1004:$U$1004,1,MATCH(COLUMNS($Q$1006:T1006),$Q$1006:$U$1006,0)))),"Fix")))</f>
        <v xml:space="preserve"> </v>
      </c>
      <c r="F828" s="3" t="str">
        <f ca="1">IF(OR(INDEX($K$2:$K$1001,MATCH(ROWS($J$2:J828),$J$2:$J$1001,0),1)&gt;=100000,INDEX($Q$1005:$U$1005,1,MATCH(COLUMNS($Q$1006:U1006),$Q$1006:$U$1006,0))&gt;=100000), " ",IF(INDEX($Q$2:$U$1001,MATCH(ROWS($J$2:J828),$J$2:$J$1001,0),MATCH(COLUMNS($Q$1006:U1006),$Q$1006:$U$1006,0)), HYPERLINK("#",""), HYPERLINK(CONCATENATE("#metadata!", ADDRESS(INDEX($L$2:$L$1001,MATCH(ROWS($J$2:J828),$J$2:$J$1001,0),0), INDEX($Q$1004:$U$1004,1,MATCH(COLUMNS($Q$1006:U1006),$Q$1006:$U$1006,0)))),"Fix")))</f>
        <v xml:space="preserve"> </v>
      </c>
      <c r="J828">
        <v>827</v>
      </c>
      <c r="K828">
        <v>100828</v>
      </c>
      <c r="L828">
        <v>828</v>
      </c>
      <c r="M828" t="b">
        <f t="shared" si="12"/>
        <v>1</v>
      </c>
      <c r="N828" t="b">
        <f>COUNTBLANK(metadata!B828:F828)=COLUMNS(metadata!B828:F828)</f>
        <v>1</v>
      </c>
      <c r="O828" t="str">
        <v/>
      </c>
      <c r="Q828" t="b">
        <f ca="1">AND(IF(metadata!B828="",FALSE,TRUE),COUNTIF(metadata!B:B, metadata!B828) = 1,NOT(ISERROR(SUMPRODUCT(SEARCH(MID(metadata!B828,ROW(INDIRECT("1:"&amp;LEN(metadata!B828))), 1),"0123456789abcdefghijklmnopqrstuvwxyzABCDEFGHIJKLMNOPQRSTUVWXYZ.")))))</f>
        <v>0</v>
      </c>
      <c r="R828" t="b">
        <f>AND(IF(metadata!C828="",FALSE,TRUE),OR(EXACT(metadata!C828,"saline"),EXACT(metadata!C828,"non-saline")))</f>
        <v>0</v>
      </c>
      <c r="S828" t="b">
        <f>AND(IF(metadata!D828="",FALSE,TRUE),OR(EXACT(metadata!D828,"surface (non-saline)"),EXACT(metadata!D828,"aerosol (non-saline)"),EXACT(metadata!D828,"sediment (non-saline)"),EXACT(metadata!D828,"surface (saline)"),EXACT(metadata!D828,"aerosol (saline)"),EXACT(metadata!D828,"sediment (saline)")))</f>
        <v>0</v>
      </c>
      <c r="T828" t="b">
        <f>AND(IF(metadata!E828="",FALSE,TRUE),EXACT(metadata!E828,"built environment"))</f>
        <v>0</v>
      </c>
      <c r="U828" t="b">
        <f>OR(AND(IF(metadata!F828="",FALSE,TRUE),EXACT(metadata!F828,"not applicable")),AND(IF(metadata!F828="",FALSE,TRUE),EXACT(metadata!F828,"anaerobic digester content")))</f>
        <v>0</v>
      </c>
    </row>
    <row r="829" spans="1:21" x14ac:dyDescent="0.2">
      <c r="A829" s="4" t="str">
        <f ca="1">IF(B829=" "," ",HYPERLINK(CONCATENATE("#metadata!",ADDRESS(INDEX($L$2:$L$1001,MATCH(ROWS($J$2:J829),$J$2:$J$1001,0),0),1)),INDEX($O$2:$O$1001,MATCH(ROWS($J$2:J829),$J$2:$J$1001,0),0)))</f>
        <v xml:space="preserve"> </v>
      </c>
      <c r="B829" s="3" t="str">
        <f ca="1">IF(OR(INDEX($K$2:$K$1001,MATCH(ROWS($J$2:J829),$J$2:$J$1001,0),1)&gt;=100000,INDEX($Q$1005:$U$1005,1,MATCH(COLUMNS($Q$1006:Q1006),$Q$1006:$U$1006,0))&gt;=100000), " ",IF(INDEX($Q$2:$U$1001,MATCH(ROWS($J$2:J829),$J$2:$J$1001,0),MATCH(COLUMNS($Q$1006:Q1006),$Q$1006:$U$1006,0)), HYPERLINK("#",""), HYPERLINK(CONCATENATE("#metadata!", ADDRESS(INDEX($L$2:$L$1001,MATCH(ROWS($J$2:J829),$J$2:$J$1001,0),0), INDEX($Q$1004:$U$1004,1,MATCH(COLUMNS($Q$1006:Q1006),$Q$1006:$U$1006,0)))),"Fix")))</f>
        <v xml:space="preserve"> </v>
      </c>
      <c r="C829" s="3" t="str">
        <f ca="1">IF(OR(INDEX($K$2:$K$1001,MATCH(ROWS($J$2:J829),$J$2:$J$1001,0),1)&gt;=100000,INDEX($Q$1005:$U$1005,1,MATCH(COLUMNS($Q$1006:R1006),$Q$1006:$U$1006,0))&gt;=100000), " ",IF(INDEX($Q$2:$U$1001,MATCH(ROWS($J$2:J829),$J$2:$J$1001,0),MATCH(COLUMNS($Q$1006:R1006),$Q$1006:$U$1006,0)), HYPERLINK("#",""), HYPERLINK(CONCATENATE("#metadata!", ADDRESS(INDEX($L$2:$L$1001,MATCH(ROWS($J$2:J829),$J$2:$J$1001,0),0), INDEX($Q$1004:$U$1004,1,MATCH(COLUMNS($Q$1006:R1006),$Q$1006:$U$1006,0)))),"Fix")))</f>
        <v xml:space="preserve"> </v>
      </c>
      <c r="D829" s="3" t="str">
        <f ca="1">IF(OR(INDEX($K$2:$K$1001,MATCH(ROWS($J$2:J829),$J$2:$J$1001,0),1)&gt;=100000,INDEX($Q$1005:$U$1005,1,MATCH(COLUMNS($Q$1006:S1006),$Q$1006:$U$1006,0))&gt;=100000), " ",IF(INDEX($Q$2:$U$1001,MATCH(ROWS($J$2:J829),$J$2:$J$1001,0),MATCH(COLUMNS($Q$1006:S1006),$Q$1006:$U$1006,0)), HYPERLINK("#",""), HYPERLINK(CONCATENATE("#metadata!", ADDRESS(INDEX($L$2:$L$1001,MATCH(ROWS($J$2:J829),$J$2:$J$1001,0),0), INDEX($Q$1004:$U$1004,1,MATCH(COLUMNS($Q$1006:S1006),$Q$1006:$U$1006,0)))),"Fix")))</f>
        <v xml:space="preserve"> </v>
      </c>
      <c r="E829" s="3" t="str">
        <f ca="1">IF(OR(INDEX($K$2:$K$1001,MATCH(ROWS($J$2:J829),$J$2:$J$1001,0),1)&gt;=100000,INDEX($Q$1005:$U$1005,1,MATCH(COLUMNS($Q$1006:T1006),$Q$1006:$U$1006,0))&gt;=100000), " ",IF(INDEX($Q$2:$U$1001,MATCH(ROWS($J$2:J829),$J$2:$J$1001,0),MATCH(COLUMNS($Q$1006:T1006),$Q$1006:$U$1006,0)), HYPERLINK("#",""), HYPERLINK(CONCATENATE("#metadata!", ADDRESS(INDEX($L$2:$L$1001,MATCH(ROWS($J$2:J829),$J$2:$J$1001,0),0), INDEX($Q$1004:$U$1004,1,MATCH(COLUMNS($Q$1006:T1006),$Q$1006:$U$1006,0)))),"Fix")))</f>
        <v xml:space="preserve"> </v>
      </c>
      <c r="F829" s="3" t="str">
        <f ca="1">IF(OR(INDEX($K$2:$K$1001,MATCH(ROWS($J$2:J829),$J$2:$J$1001,0),1)&gt;=100000,INDEX($Q$1005:$U$1005,1,MATCH(COLUMNS($Q$1006:U1006),$Q$1006:$U$1006,0))&gt;=100000), " ",IF(INDEX($Q$2:$U$1001,MATCH(ROWS($J$2:J829),$J$2:$J$1001,0),MATCH(COLUMNS($Q$1006:U1006),$Q$1006:$U$1006,0)), HYPERLINK("#",""), HYPERLINK(CONCATENATE("#metadata!", ADDRESS(INDEX($L$2:$L$1001,MATCH(ROWS($J$2:J829),$J$2:$J$1001,0),0), INDEX($Q$1004:$U$1004,1,MATCH(COLUMNS($Q$1006:U1006),$Q$1006:$U$1006,0)))),"Fix")))</f>
        <v xml:space="preserve"> </v>
      </c>
      <c r="J829">
        <v>828</v>
      </c>
      <c r="K829">
        <v>100829</v>
      </c>
      <c r="L829">
        <v>829</v>
      </c>
      <c r="M829" t="b">
        <f t="shared" si="12"/>
        <v>1</v>
      </c>
      <c r="N829" t="b">
        <f>COUNTBLANK(metadata!B829:F829)=COLUMNS(metadata!B829:F829)</f>
        <v>1</v>
      </c>
      <c r="O829" t="str">
        <v/>
      </c>
      <c r="Q829" t="b">
        <f ca="1">AND(IF(metadata!B829="",FALSE,TRUE),COUNTIF(metadata!B:B, metadata!B829) = 1,NOT(ISERROR(SUMPRODUCT(SEARCH(MID(metadata!B829,ROW(INDIRECT("1:"&amp;LEN(metadata!B829))), 1),"0123456789abcdefghijklmnopqrstuvwxyzABCDEFGHIJKLMNOPQRSTUVWXYZ.")))))</f>
        <v>0</v>
      </c>
      <c r="R829" t="b">
        <f>AND(IF(metadata!C829="",FALSE,TRUE),OR(EXACT(metadata!C829,"saline"),EXACT(metadata!C829,"non-saline")))</f>
        <v>0</v>
      </c>
      <c r="S829" t="b">
        <f>AND(IF(metadata!D829="",FALSE,TRUE),OR(EXACT(metadata!D829,"surface (non-saline)"),EXACT(metadata!D829,"aerosol (non-saline)"),EXACT(metadata!D829,"sediment (non-saline)"),EXACT(metadata!D829,"surface (saline)"),EXACT(metadata!D829,"aerosol (saline)"),EXACT(metadata!D829,"sediment (saline)")))</f>
        <v>0</v>
      </c>
      <c r="T829" t="b">
        <f>AND(IF(metadata!E829="",FALSE,TRUE),EXACT(metadata!E829,"built environment"))</f>
        <v>0</v>
      </c>
      <c r="U829" t="b">
        <f>OR(AND(IF(metadata!F829="",FALSE,TRUE),EXACT(metadata!F829,"not applicable")),AND(IF(metadata!F829="",FALSE,TRUE),EXACT(metadata!F829,"anaerobic digester content")))</f>
        <v>0</v>
      </c>
    </row>
    <row r="830" spans="1:21" x14ac:dyDescent="0.2">
      <c r="A830" s="4" t="str">
        <f ca="1">IF(B830=" "," ",HYPERLINK(CONCATENATE("#metadata!",ADDRESS(INDEX($L$2:$L$1001,MATCH(ROWS($J$2:J830),$J$2:$J$1001,0),0),1)),INDEX($O$2:$O$1001,MATCH(ROWS($J$2:J830),$J$2:$J$1001,0),0)))</f>
        <v xml:space="preserve"> </v>
      </c>
      <c r="B830" s="3" t="str">
        <f ca="1">IF(OR(INDEX($K$2:$K$1001,MATCH(ROWS($J$2:J830),$J$2:$J$1001,0),1)&gt;=100000,INDEX($Q$1005:$U$1005,1,MATCH(COLUMNS($Q$1006:Q1006),$Q$1006:$U$1006,0))&gt;=100000), " ",IF(INDEX($Q$2:$U$1001,MATCH(ROWS($J$2:J830),$J$2:$J$1001,0),MATCH(COLUMNS($Q$1006:Q1006),$Q$1006:$U$1006,0)), HYPERLINK("#",""), HYPERLINK(CONCATENATE("#metadata!", ADDRESS(INDEX($L$2:$L$1001,MATCH(ROWS($J$2:J830),$J$2:$J$1001,0),0), INDEX($Q$1004:$U$1004,1,MATCH(COLUMNS($Q$1006:Q1006),$Q$1006:$U$1006,0)))),"Fix")))</f>
        <v xml:space="preserve"> </v>
      </c>
      <c r="C830" s="3" t="str">
        <f ca="1">IF(OR(INDEX($K$2:$K$1001,MATCH(ROWS($J$2:J830),$J$2:$J$1001,0),1)&gt;=100000,INDEX($Q$1005:$U$1005,1,MATCH(COLUMNS($Q$1006:R1006),$Q$1006:$U$1006,0))&gt;=100000), " ",IF(INDEX($Q$2:$U$1001,MATCH(ROWS($J$2:J830),$J$2:$J$1001,0),MATCH(COLUMNS($Q$1006:R1006),$Q$1006:$U$1006,0)), HYPERLINK("#",""), HYPERLINK(CONCATENATE("#metadata!", ADDRESS(INDEX($L$2:$L$1001,MATCH(ROWS($J$2:J830),$J$2:$J$1001,0),0), INDEX($Q$1004:$U$1004,1,MATCH(COLUMNS($Q$1006:R1006),$Q$1006:$U$1006,0)))),"Fix")))</f>
        <v xml:space="preserve"> </v>
      </c>
      <c r="D830" s="3" t="str">
        <f ca="1">IF(OR(INDEX($K$2:$K$1001,MATCH(ROWS($J$2:J830),$J$2:$J$1001,0),1)&gt;=100000,INDEX($Q$1005:$U$1005,1,MATCH(COLUMNS($Q$1006:S1006),$Q$1006:$U$1006,0))&gt;=100000), " ",IF(INDEX($Q$2:$U$1001,MATCH(ROWS($J$2:J830),$J$2:$J$1001,0),MATCH(COLUMNS($Q$1006:S1006),$Q$1006:$U$1006,0)), HYPERLINK("#",""), HYPERLINK(CONCATENATE("#metadata!", ADDRESS(INDEX($L$2:$L$1001,MATCH(ROWS($J$2:J830),$J$2:$J$1001,0),0), INDEX($Q$1004:$U$1004,1,MATCH(COLUMNS($Q$1006:S1006),$Q$1006:$U$1006,0)))),"Fix")))</f>
        <v xml:space="preserve"> </v>
      </c>
      <c r="E830" s="3" t="str">
        <f ca="1">IF(OR(INDEX($K$2:$K$1001,MATCH(ROWS($J$2:J830),$J$2:$J$1001,0),1)&gt;=100000,INDEX($Q$1005:$U$1005,1,MATCH(COLUMNS($Q$1006:T1006),$Q$1006:$U$1006,0))&gt;=100000), " ",IF(INDEX($Q$2:$U$1001,MATCH(ROWS($J$2:J830),$J$2:$J$1001,0),MATCH(COLUMNS($Q$1006:T1006),$Q$1006:$U$1006,0)), HYPERLINK("#",""), HYPERLINK(CONCATENATE("#metadata!", ADDRESS(INDEX($L$2:$L$1001,MATCH(ROWS($J$2:J830),$J$2:$J$1001,0),0), INDEX($Q$1004:$U$1004,1,MATCH(COLUMNS($Q$1006:T1006),$Q$1006:$U$1006,0)))),"Fix")))</f>
        <v xml:space="preserve"> </v>
      </c>
      <c r="F830" s="3" t="str">
        <f ca="1">IF(OR(INDEX($K$2:$K$1001,MATCH(ROWS($J$2:J830),$J$2:$J$1001,0),1)&gt;=100000,INDEX($Q$1005:$U$1005,1,MATCH(COLUMNS($Q$1006:U1006),$Q$1006:$U$1006,0))&gt;=100000), " ",IF(INDEX($Q$2:$U$1001,MATCH(ROWS($J$2:J830),$J$2:$J$1001,0),MATCH(COLUMNS($Q$1006:U1006),$Q$1006:$U$1006,0)), HYPERLINK("#",""), HYPERLINK(CONCATENATE("#metadata!", ADDRESS(INDEX($L$2:$L$1001,MATCH(ROWS($J$2:J830),$J$2:$J$1001,0),0), INDEX($Q$1004:$U$1004,1,MATCH(COLUMNS($Q$1006:U1006),$Q$1006:$U$1006,0)))),"Fix")))</f>
        <v xml:space="preserve"> </v>
      </c>
      <c r="J830">
        <v>829</v>
      </c>
      <c r="K830">
        <v>100830</v>
      </c>
      <c r="L830">
        <v>830</v>
      </c>
      <c r="M830" t="b">
        <f t="shared" si="12"/>
        <v>1</v>
      </c>
      <c r="N830" t="b">
        <f>COUNTBLANK(metadata!B830:F830)=COLUMNS(metadata!B830:F830)</f>
        <v>1</v>
      </c>
      <c r="O830" t="str">
        <v/>
      </c>
      <c r="Q830" t="b">
        <f ca="1">AND(IF(metadata!B830="",FALSE,TRUE),COUNTIF(metadata!B:B, metadata!B830) = 1,NOT(ISERROR(SUMPRODUCT(SEARCH(MID(metadata!B830,ROW(INDIRECT("1:"&amp;LEN(metadata!B830))), 1),"0123456789abcdefghijklmnopqrstuvwxyzABCDEFGHIJKLMNOPQRSTUVWXYZ.")))))</f>
        <v>0</v>
      </c>
      <c r="R830" t="b">
        <f>AND(IF(metadata!C830="",FALSE,TRUE),OR(EXACT(metadata!C830,"saline"),EXACT(metadata!C830,"non-saline")))</f>
        <v>0</v>
      </c>
      <c r="S830" t="b">
        <f>AND(IF(metadata!D830="",FALSE,TRUE),OR(EXACT(metadata!D830,"surface (non-saline)"),EXACT(metadata!D830,"aerosol (non-saline)"),EXACT(metadata!D830,"sediment (non-saline)"),EXACT(metadata!D830,"surface (saline)"),EXACT(metadata!D830,"aerosol (saline)"),EXACT(metadata!D830,"sediment (saline)")))</f>
        <v>0</v>
      </c>
      <c r="T830" t="b">
        <f>AND(IF(metadata!E830="",FALSE,TRUE),EXACT(metadata!E830,"built environment"))</f>
        <v>0</v>
      </c>
      <c r="U830" t="b">
        <f>OR(AND(IF(metadata!F830="",FALSE,TRUE),EXACT(metadata!F830,"not applicable")),AND(IF(metadata!F830="",FALSE,TRUE),EXACT(metadata!F830,"anaerobic digester content")))</f>
        <v>0</v>
      </c>
    </row>
    <row r="831" spans="1:21" x14ac:dyDescent="0.2">
      <c r="A831" s="4" t="str">
        <f ca="1">IF(B831=" "," ",HYPERLINK(CONCATENATE("#metadata!",ADDRESS(INDEX($L$2:$L$1001,MATCH(ROWS($J$2:J831),$J$2:$J$1001,0),0),1)),INDEX($O$2:$O$1001,MATCH(ROWS($J$2:J831),$J$2:$J$1001,0),0)))</f>
        <v xml:space="preserve"> </v>
      </c>
      <c r="B831" s="3" t="str">
        <f ca="1">IF(OR(INDEX($K$2:$K$1001,MATCH(ROWS($J$2:J831),$J$2:$J$1001,0),1)&gt;=100000,INDEX($Q$1005:$U$1005,1,MATCH(COLUMNS($Q$1006:Q1006),$Q$1006:$U$1006,0))&gt;=100000), " ",IF(INDEX($Q$2:$U$1001,MATCH(ROWS($J$2:J831),$J$2:$J$1001,0),MATCH(COLUMNS($Q$1006:Q1006),$Q$1006:$U$1006,0)), HYPERLINK("#",""), HYPERLINK(CONCATENATE("#metadata!", ADDRESS(INDEX($L$2:$L$1001,MATCH(ROWS($J$2:J831),$J$2:$J$1001,0),0), INDEX($Q$1004:$U$1004,1,MATCH(COLUMNS($Q$1006:Q1006),$Q$1006:$U$1006,0)))),"Fix")))</f>
        <v xml:space="preserve"> </v>
      </c>
      <c r="C831" s="3" t="str">
        <f ca="1">IF(OR(INDEX($K$2:$K$1001,MATCH(ROWS($J$2:J831),$J$2:$J$1001,0),1)&gt;=100000,INDEX($Q$1005:$U$1005,1,MATCH(COLUMNS($Q$1006:R1006),$Q$1006:$U$1006,0))&gt;=100000), " ",IF(INDEX($Q$2:$U$1001,MATCH(ROWS($J$2:J831),$J$2:$J$1001,0),MATCH(COLUMNS($Q$1006:R1006),$Q$1006:$U$1006,0)), HYPERLINK("#",""), HYPERLINK(CONCATENATE("#metadata!", ADDRESS(INDEX($L$2:$L$1001,MATCH(ROWS($J$2:J831),$J$2:$J$1001,0),0), INDEX($Q$1004:$U$1004,1,MATCH(COLUMNS($Q$1006:R1006),$Q$1006:$U$1006,0)))),"Fix")))</f>
        <v xml:space="preserve"> </v>
      </c>
      <c r="D831" s="3" t="str">
        <f ca="1">IF(OR(INDEX($K$2:$K$1001,MATCH(ROWS($J$2:J831),$J$2:$J$1001,0),1)&gt;=100000,INDEX($Q$1005:$U$1005,1,MATCH(COLUMNS($Q$1006:S1006),$Q$1006:$U$1006,0))&gt;=100000), " ",IF(INDEX($Q$2:$U$1001,MATCH(ROWS($J$2:J831),$J$2:$J$1001,0),MATCH(COLUMNS($Q$1006:S1006),$Q$1006:$U$1006,0)), HYPERLINK("#",""), HYPERLINK(CONCATENATE("#metadata!", ADDRESS(INDEX($L$2:$L$1001,MATCH(ROWS($J$2:J831),$J$2:$J$1001,0),0), INDEX($Q$1004:$U$1004,1,MATCH(COLUMNS($Q$1006:S1006),$Q$1006:$U$1006,0)))),"Fix")))</f>
        <v xml:space="preserve"> </v>
      </c>
      <c r="E831" s="3" t="str">
        <f ca="1">IF(OR(INDEX($K$2:$K$1001,MATCH(ROWS($J$2:J831),$J$2:$J$1001,0),1)&gt;=100000,INDEX($Q$1005:$U$1005,1,MATCH(COLUMNS($Q$1006:T1006),$Q$1006:$U$1006,0))&gt;=100000), " ",IF(INDEX($Q$2:$U$1001,MATCH(ROWS($J$2:J831),$J$2:$J$1001,0),MATCH(COLUMNS($Q$1006:T1006),$Q$1006:$U$1006,0)), HYPERLINK("#",""), HYPERLINK(CONCATENATE("#metadata!", ADDRESS(INDEX($L$2:$L$1001,MATCH(ROWS($J$2:J831),$J$2:$J$1001,0),0), INDEX($Q$1004:$U$1004,1,MATCH(COLUMNS($Q$1006:T1006),$Q$1006:$U$1006,0)))),"Fix")))</f>
        <v xml:space="preserve"> </v>
      </c>
      <c r="F831" s="3" t="str">
        <f ca="1">IF(OR(INDEX($K$2:$K$1001,MATCH(ROWS($J$2:J831),$J$2:$J$1001,0),1)&gt;=100000,INDEX($Q$1005:$U$1005,1,MATCH(COLUMNS($Q$1006:U1006),$Q$1006:$U$1006,0))&gt;=100000), " ",IF(INDEX($Q$2:$U$1001,MATCH(ROWS($J$2:J831),$J$2:$J$1001,0),MATCH(COLUMNS($Q$1006:U1006),$Q$1006:$U$1006,0)), HYPERLINK("#",""), HYPERLINK(CONCATENATE("#metadata!", ADDRESS(INDEX($L$2:$L$1001,MATCH(ROWS($J$2:J831),$J$2:$J$1001,0),0), INDEX($Q$1004:$U$1004,1,MATCH(COLUMNS($Q$1006:U1006),$Q$1006:$U$1006,0)))),"Fix")))</f>
        <v xml:space="preserve"> </v>
      </c>
      <c r="J831">
        <v>830</v>
      </c>
      <c r="K831">
        <v>100831</v>
      </c>
      <c r="L831">
        <v>831</v>
      </c>
      <c r="M831" t="b">
        <f t="shared" si="12"/>
        <v>1</v>
      </c>
      <c r="N831" t="b">
        <f>COUNTBLANK(metadata!B831:F831)=COLUMNS(metadata!B831:F831)</f>
        <v>1</v>
      </c>
      <c r="O831" t="str">
        <v/>
      </c>
      <c r="Q831" t="b">
        <f ca="1">AND(IF(metadata!B831="",FALSE,TRUE),COUNTIF(metadata!B:B, metadata!B831) = 1,NOT(ISERROR(SUMPRODUCT(SEARCH(MID(metadata!B831,ROW(INDIRECT("1:"&amp;LEN(metadata!B831))), 1),"0123456789abcdefghijklmnopqrstuvwxyzABCDEFGHIJKLMNOPQRSTUVWXYZ.")))))</f>
        <v>0</v>
      </c>
      <c r="R831" t="b">
        <f>AND(IF(metadata!C831="",FALSE,TRUE),OR(EXACT(metadata!C831,"saline"),EXACT(metadata!C831,"non-saline")))</f>
        <v>0</v>
      </c>
      <c r="S831" t="b">
        <f>AND(IF(metadata!D831="",FALSE,TRUE),OR(EXACT(metadata!D831,"surface (non-saline)"),EXACT(metadata!D831,"aerosol (non-saline)"),EXACT(metadata!D831,"sediment (non-saline)"),EXACT(metadata!D831,"surface (saline)"),EXACT(metadata!D831,"aerosol (saline)"),EXACT(metadata!D831,"sediment (saline)")))</f>
        <v>0</v>
      </c>
      <c r="T831" t="b">
        <f>AND(IF(metadata!E831="",FALSE,TRUE),EXACT(metadata!E831,"built environment"))</f>
        <v>0</v>
      </c>
      <c r="U831" t="b">
        <f>OR(AND(IF(metadata!F831="",FALSE,TRUE),EXACT(metadata!F831,"not applicable")),AND(IF(metadata!F831="",FALSE,TRUE),EXACT(metadata!F831,"anaerobic digester content")))</f>
        <v>0</v>
      </c>
    </row>
    <row r="832" spans="1:21" x14ac:dyDescent="0.2">
      <c r="A832" s="4" t="str">
        <f ca="1">IF(B832=" "," ",HYPERLINK(CONCATENATE("#metadata!",ADDRESS(INDEX($L$2:$L$1001,MATCH(ROWS($J$2:J832),$J$2:$J$1001,0),0),1)),INDEX($O$2:$O$1001,MATCH(ROWS($J$2:J832),$J$2:$J$1001,0),0)))</f>
        <v xml:space="preserve"> </v>
      </c>
      <c r="B832" s="3" t="str">
        <f ca="1">IF(OR(INDEX($K$2:$K$1001,MATCH(ROWS($J$2:J832),$J$2:$J$1001,0),1)&gt;=100000,INDEX($Q$1005:$U$1005,1,MATCH(COLUMNS($Q$1006:Q1006),$Q$1006:$U$1006,0))&gt;=100000), " ",IF(INDEX($Q$2:$U$1001,MATCH(ROWS($J$2:J832),$J$2:$J$1001,0),MATCH(COLUMNS($Q$1006:Q1006),$Q$1006:$U$1006,0)), HYPERLINK("#",""), HYPERLINK(CONCATENATE("#metadata!", ADDRESS(INDEX($L$2:$L$1001,MATCH(ROWS($J$2:J832),$J$2:$J$1001,0),0), INDEX($Q$1004:$U$1004,1,MATCH(COLUMNS($Q$1006:Q1006),$Q$1006:$U$1006,0)))),"Fix")))</f>
        <v xml:space="preserve"> </v>
      </c>
      <c r="C832" s="3" t="str">
        <f ca="1">IF(OR(INDEX($K$2:$K$1001,MATCH(ROWS($J$2:J832),$J$2:$J$1001,0),1)&gt;=100000,INDEX($Q$1005:$U$1005,1,MATCH(COLUMNS($Q$1006:R1006),$Q$1006:$U$1006,0))&gt;=100000), " ",IF(INDEX($Q$2:$U$1001,MATCH(ROWS($J$2:J832),$J$2:$J$1001,0),MATCH(COLUMNS($Q$1006:R1006),$Q$1006:$U$1006,0)), HYPERLINK("#",""), HYPERLINK(CONCATENATE("#metadata!", ADDRESS(INDEX($L$2:$L$1001,MATCH(ROWS($J$2:J832),$J$2:$J$1001,0),0), INDEX($Q$1004:$U$1004,1,MATCH(COLUMNS($Q$1006:R1006),$Q$1006:$U$1006,0)))),"Fix")))</f>
        <v xml:space="preserve"> </v>
      </c>
      <c r="D832" s="3" t="str">
        <f ca="1">IF(OR(INDEX($K$2:$K$1001,MATCH(ROWS($J$2:J832),$J$2:$J$1001,0),1)&gt;=100000,INDEX($Q$1005:$U$1005,1,MATCH(COLUMNS($Q$1006:S1006),$Q$1006:$U$1006,0))&gt;=100000), " ",IF(INDEX($Q$2:$U$1001,MATCH(ROWS($J$2:J832),$J$2:$J$1001,0),MATCH(COLUMNS($Q$1006:S1006),$Q$1006:$U$1006,0)), HYPERLINK("#",""), HYPERLINK(CONCATENATE("#metadata!", ADDRESS(INDEX($L$2:$L$1001,MATCH(ROWS($J$2:J832),$J$2:$J$1001,0),0), INDEX($Q$1004:$U$1004,1,MATCH(COLUMNS($Q$1006:S1006),$Q$1006:$U$1006,0)))),"Fix")))</f>
        <v xml:space="preserve"> </v>
      </c>
      <c r="E832" s="3" t="str">
        <f ca="1">IF(OR(INDEX($K$2:$K$1001,MATCH(ROWS($J$2:J832),$J$2:$J$1001,0),1)&gt;=100000,INDEX($Q$1005:$U$1005,1,MATCH(COLUMNS($Q$1006:T1006),$Q$1006:$U$1006,0))&gt;=100000), " ",IF(INDEX($Q$2:$U$1001,MATCH(ROWS($J$2:J832),$J$2:$J$1001,0),MATCH(COLUMNS($Q$1006:T1006),$Q$1006:$U$1006,0)), HYPERLINK("#",""), HYPERLINK(CONCATENATE("#metadata!", ADDRESS(INDEX($L$2:$L$1001,MATCH(ROWS($J$2:J832),$J$2:$J$1001,0),0), INDEX($Q$1004:$U$1004,1,MATCH(COLUMNS($Q$1006:T1006),$Q$1006:$U$1006,0)))),"Fix")))</f>
        <v xml:space="preserve"> </v>
      </c>
      <c r="F832" s="3" t="str">
        <f ca="1">IF(OR(INDEX($K$2:$K$1001,MATCH(ROWS($J$2:J832),$J$2:$J$1001,0),1)&gt;=100000,INDEX($Q$1005:$U$1005,1,MATCH(COLUMNS($Q$1006:U1006),$Q$1006:$U$1006,0))&gt;=100000), " ",IF(INDEX($Q$2:$U$1001,MATCH(ROWS($J$2:J832),$J$2:$J$1001,0),MATCH(COLUMNS($Q$1006:U1006),$Q$1006:$U$1006,0)), HYPERLINK("#",""), HYPERLINK(CONCATENATE("#metadata!", ADDRESS(INDEX($L$2:$L$1001,MATCH(ROWS($J$2:J832),$J$2:$J$1001,0),0), INDEX($Q$1004:$U$1004,1,MATCH(COLUMNS($Q$1006:U1006),$Q$1006:$U$1006,0)))),"Fix")))</f>
        <v xml:space="preserve"> </v>
      </c>
      <c r="J832">
        <v>831</v>
      </c>
      <c r="K832">
        <v>100832</v>
      </c>
      <c r="L832">
        <v>832</v>
      </c>
      <c r="M832" t="b">
        <f t="shared" si="12"/>
        <v>1</v>
      </c>
      <c r="N832" t="b">
        <f>COUNTBLANK(metadata!B832:F832)=COLUMNS(metadata!B832:F832)</f>
        <v>1</v>
      </c>
      <c r="O832" t="str">
        <v/>
      </c>
      <c r="Q832" t="b">
        <f ca="1">AND(IF(metadata!B832="",FALSE,TRUE),COUNTIF(metadata!B:B, metadata!B832) = 1,NOT(ISERROR(SUMPRODUCT(SEARCH(MID(metadata!B832,ROW(INDIRECT("1:"&amp;LEN(metadata!B832))), 1),"0123456789abcdefghijklmnopqrstuvwxyzABCDEFGHIJKLMNOPQRSTUVWXYZ.")))))</f>
        <v>0</v>
      </c>
      <c r="R832" t="b">
        <f>AND(IF(metadata!C832="",FALSE,TRUE),OR(EXACT(metadata!C832,"saline"),EXACT(metadata!C832,"non-saline")))</f>
        <v>0</v>
      </c>
      <c r="S832" t="b">
        <f>AND(IF(metadata!D832="",FALSE,TRUE),OR(EXACT(metadata!D832,"surface (non-saline)"),EXACT(metadata!D832,"aerosol (non-saline)"),EXACT(metadata!D832,"sediment (non-saline)"),EXACT(metadata!D832,"surface (saline)"),EXACT(metadata!D832,"aerosol (saline)"),EXACT(metadata!D832,"sediment (saline)")))</f>
        <v>0</v>
      </c>
      <c r="T832" t="b">
        <f>AND(IF(metadata!E832="",FALSE,TRUE),EXACT(metadata!E832,"built environment"))</f>
        <v>0</v>
      </c>
      <c r="U832" t="b">
        <f>OR(AND(IF(metadata!F832="",FALSE,TRUE),EXACT(metadata!F832,"not applicable")),AND(IF(metadata!F832="",FALSE,TRUE),EXACT(metadata!F832,"anaerobic digester content")))</f>
        <v>0</v>
      </c>
    </row>
    <row r="833" spans="1:21" x14ac:dyDescent="0.2">
      <c r="A833" s="4" t="str">
        <f ca="1">IF(B833=" "," ",HYPERLINK(CONCATENATE("#metadata!",ADDRESS(INDEX($L$2:$L$1001,MATCH(ROWS($J$2:J833),$J$2:$J$1001,0),0),1)),INDEX($O$2:$O$1001,MATCH(ROWS($J$2:J833),$J$2:$J$1001,0),0)))</f>
        <v xml:space="preserve"> </v>
      </c>
      <c r="B833" s="3" t="str">
        <f ca="1">IF(OR(INDEX($K$2:$K$1001,MATCH(ROWS($J$2:J833),$J$2:$J$1001,0),1)&gt;=100000,INDEX($Q$1005:$U$1005,1,MATCH(COLUMNS($Q$1006:Q1006),$Q$1006:$U$1006,0))&gt;=100000), " ",IF(INDEX($Q$2:$U$1001,MATCH(ROWS($J$2:J833),$J$2:$J$1001,0),MATCH(COLUMNS($Q$1006:Q1006),$Q$1006:$U$1006,0)), HYPERLINK("#",""), HYPERLINK(CONCATENATE("#metadata!", ADDRESS(INDEX($L$2:$L$1001,MATCH(ROWS($J$2:J833),$J$2:$J$1001,0),0), INDEX($Q$1004:$U$1004,1,MATCH(COLUMNS($Q$1006:Q1006),$Q$1006:$U$1006,0)))),"Fix")))</f>
        <v xml:space="preserve"> </v>
      </c>
      <c r="C833" s="3" t="str">
        <f ca="1">IF(OR(INDEX($K$2:$K$1001,MATCH(ROWS($J$2:J833),$J$2:$J$1001,0),1)&gt;=100000,INDEX($Q$1005:$U$1005,1,MATCH(COLUMNS($Q$1006:R1006),$Q$1006:$U$1006,0))&gt;=100000), " ",IF(INDEX($Q$2:$U$1001,MATCH(ROWS($J$2:J833),$J$2:$J$1001,0),MATCH(COLUMNS($Q$1006:R1006),$Q$1006:$U$1006,0)), HYPERLINK("#",""), HYPERLINK(CONCATENATE("#metadata!", ADDRESS(INDEX($L$2:$L$1001,MATCH(ROWS($J$2:J833),$J$2:$J$1001,0),0), INDEX($Q$1004:$U$1004,1,MATCH(COLUMNS($Q$1006:R1006),$Q$1006:$U$1006,0)))),"Fix")))</f>
        <v xml:space="preserve"> </v>
      </c>
      <c r="D833" s="3" t="str">
        <f ca="1">IF(OR(INDEX($K$2:$K$1001,MATCH(ROWS($J$2:J833),$J$2:$J$1001,0),1)&gt;=100000,INDEX($Q$1005:$U$1005,1,MATCH(COLUMNS($Q$1006:S1006),$Q$1006:$U$1006,0))&gt;=100000), " ",IF(INDEX($Q$2:$U$1001,MATCH(ROWS($J$2:J833),$J$2:$J$1001,0),MATCH(COLUMNS($Q$1006:S1006),$Q$1006:$U$1006,0)), HYPERLINK("#",""), HYPERLINK(CONCATENATE("#metadata!", ADDRESS(INDEX($L$2:$L$1001,MATCH(ROWS($J$2:J833),$J$2:$J$1001,0),0), INDEX($Q$1004:$U$1004,1,MATCH(COLUMNS($Q$1006:S1006),$Q$1006:$U$1006,0)))),"Fix")))</f>
        <v xml:space="preserve"> </v>
      </c>
      <c r="E833" s="3" t="str">
        <f ca="1">IF(OR(INDEX($K$2:$K$1001,MATCH(ROWS($J$2:J833),$J$2:$J$1001,0),1)&gt;=100000,INDEX($Q$1005:$U$1005,1,MATCH(COLUMNS($Q$1006:T1006),$Q$1006:$U$1006,0))&gt;=100000), " ",IF(INDEX($Q$2:$U$1001,MATCH(ROWS($J$2:J833),$J$2:$J$1001,0),MATCH(COLUMNS($Q$1006:T1006),$Q$1006:$U$1006,0)), HYPERLINK("#",""), HYPERLINK(CONCATENATE("#metadata!", ADDRESS(INDEX($L$2:$L$1001,MATCH(ROWS($J$2:J833),$J$2:$J$1001,0),0), INDEX($Q$1004:$U$1004,1,MATCH(COLUMNS($Q$1006:T1006),$Q$1006:$U$1006,0)))),"Fix")))</f>
        <v xml:space="preserve"> </v>
      </c>
      <c r="F833" s="3" t="str">
        <f ca="1">IF(OR(INDEX($K$2:$K$1001,MATCH(ROWS($J$2:J833),$J$2:$J$1001,0),1)&gt;=100000,INDEX($Q$1005:$U$1005,1,MATCH(COLUMNS($Q$1006:U1006),$Q$1006:$U$1006,0))&gt;=100000), " ",IF(INDEX($Q$2:$U$1001,MATCH(ROWS($J$2:J833),$J$2:$J$1001,0),MATCH(COLUMNS($Q$1006:U1006),$Q$1006:$U$1006,0)), HYPERLINK("#",""), HYPERLINK(CONCATENATE("#metadata!", ADDRESS(INDEX($L$2:$L$1001,MATCH(ROWS($J$2:J833),$J$2:$J$1001,0),0), INDEX($Q$1004:$U$1004,1,MATCH(COLUMNS($Q$1006:U1006),$Q$1006:$U$1006,0)))),"Fix")))</f>
        <v xml:space="preserve"> </v>
      </c>
      <c r="J833">
        <v>832</v>
      </c>
      <c r="K833">
        <v>100833</v>
      </c>
      <c r="L833">
        <v>833</v>
      </c>
      <c r="M833" t="b">
        <f t="shared" si="12"/>
        <v>1</v>
      </c>
      <c r="N833" t="b">
        <f>COUNTBLANK(metadata!B833:F833)=COLUMNS(metadata!B833:F833)</f>
        <v>1</v>
      </c>
      <c r="O833" t="str">
        <v/>
      </c>
      <c r="Q833" t="b">
        <f ca="1">AND(IF(metadata!B833="",FALSE,TRUE),COUNTIF(metadata!B:B, metadata!B833) = 1,NOT(ISERROR(SUMPRODUCT(SEARCH(MID(metadata!B833,ROW(INDIRECT("1:"&amp;LEN(metadata!B833))), 1),"0123456789abcdefghijklmnopqrstuvwxyzABCDEFGHIJKLMNOPQRSTUVWXYZ.")))))</f>
        <v>0</v>
      </c>
      <c r="R833" t="b">
        <f>AND(IF(metadata!C833="",FALSE,TRUE),OR(EXACT(metadata!C833,"saline"),EXACT(metadata!C833,"non-saline")))</f>
        <v>0</v>
      </c>
      <c r="S833" t="b">
        <f>AND(IF(metadata!D833="",FALSE,TRUE),OR(EXACT(metadata!D833,"surface (non-saline)"),EXACT(metadata!D833,"aerosol (non-saline)"),EXACT(metadata!D833,"sediment (non-saline)"),EXACT(metadata!D833,"surface (saline)"),EXACT(metadata!D833,"aerosol (saline)"),EXACT(metadata!D833,"sediment (saline)")))</f>
        <v>0</v>
      </c>
      <c r="T833" t="b">
        <f>AND(IF(metadata!E833="",FALSE,TRUE),EXACT(metadata!E833,"built environment"))</f>
        <v>0</v>
      </c>
      <c r="U833" t="b">
        <f>OR(AND(IF(metadata!F833="",FALSE,TRUE),EXACT(metadata!F833,"not applicable")),AND(IF(metadata!F833="",FALSE,TRUE),EXACT(metadata!F833,"anaerobic digester content")))</f>
        <v>0</v>
      </c>
    </row>
    <row r="834" spans="1:21" x14ac:dyDescent="0.2">
      <c r="A834" s="4" t="str">
        <f ca="1">IF(B834=" "," ",HYPERLINK(CONCATENATE("#metadata!",ADDRESS(INDEX($L$2:$L$1001,MATCH(ROWS($J$2:J834),$J$2:$J$1001,0),0),1)),INDEX($O$2:$O$1001,MATCH(ROWS($J$2:J834),$J$2:$J$1001,0),0)))</f>
        <v xml:space="preserve"> </v>
      </c>
      <c r="B834" s="3" t="str">
        <f ca="1">IF(OR(INDEX($K$2:$K$1001,MATCH(ROWS($J$2:J834),$J$2:$J$1001,0),1)&gt;=100000,INDEX($Q$1005:$U$1005,1,MATCH(COLUMNS($Q$1006:Q1006),$Q$1006:$U$1006,0))&gt;=100000), " ",IF(INDEX($Q$2:$U$1001,MATCH(ROWS($J$2:J834),$J$2:$J$1001,0),MATCH(COLUMNS($Q$1006:Q1006),$Q$1006:$U$1006,0)), HYPERLINK("#",""), HYPERLINK(CONCATENATE("#metadata!", ADDRESS(INDEX($L$2:$L$1001,MATCH(ROWS($J$2:J834),$J$2:$J$1001,0),0), INDEX($Q$1004:$U$1004,1,MATCH(COLUMNS($Q$1006:Q1006),$Q$1006:$U$1006,0)))),"Fix")))</f>
        <v xml:space="preserve"> </v>
      </c>
      <c r="C834" s="3" t="str">
        <f ca="1">IF(OR(INDEX($K$2:$K$1001,MATCH(ROWS($J$2:J834),$J$2:$J$1001,0),1)&gt;=100000,INDEX($Q$1005:$U$1005,1,MATCH(COLUMNS($Q$1006:R1006),$Q$1006:$U$1006,0))&gt;=100000), " ",IF(INDEX($Q$2:$U$1001,MATCH(ROWS($J$2:J834),$J$2:$J$1001,0),MATCH(COLUMNS($Q$1006:R1006),$Q$1006:$U$1006,0)), HYPERLINK("#",""), HYPERLINK(CONCATENATE("#metadata!", ADDRESS(INDEX($L$2:$L$1001,MATCH(ROWS($J$2:J834),$J$2:$J$1001,0),0), INDEX($Q$1004:$U$1004,1,MATCH(COLUMNS($Q$1006:R1006),$Q$1006:$U$1006,0)))),"Fix")))</f>
        <v xml:space="preserve"> </v>
      </c>
      <c r="D834" s="3" t="str">
        <f ca="1">IF(OR(INDEX($K$2:$K$1001,MATCH(ROWS($J$2:J834),$J$2:$J$1001,0),1)&gt;=100000,INDEX($Q$1005:$U$1005,1,MATCH(COLUMNS($Q$1006:S1006),$Q$1006:$U$1006,0))&gt;=100000), " ",IF(INDEX($Q$2:$U$1001,MATCH(ROWS($J$2:J834),$J$2:$J$1001,0),MATCH(COLUMNS($Q$1006:S1006),$Q$1006:$U$1006,0)), HYPERLINK("#",""), HYPERLINK(CONCATENATE("#metadata!", ADDRESS(INDEX($L$2:$L$1001,MATCH(ROWS($J$2:J834),$J$2:$J$1001,0),0), INDEX($Q$1004:$U$1004,1,MATCH(COLUMNS($Q$1006:S1006),$Q$1006:$U$1006,0)))),"Fix")))</f>
        <v xml:space="preserve"> </v>
      </c>
      <c r="E834" s="3" t="str">
        <f ca="1">IF(OR(INDEX($K$2:$K$1001,MATCH(ROWS($J$2:J834),$J$2:$J$1001,0),1)&gt;=100000,INDEX($Q$1005:$U$1005,1,MATCH(COLUMNS($Q$1006:T1006),$Q$1006:$U$1006,0))&gt;=100000), " ",IF(INDEX($Q$2:$U$1001,MATCH(ROWS($J$2:J834),$J$2:$J$1001,0),MATCH(COLUMNS($Q$1006:T1006),$Q$1006:$U$1006,0)), HYPERLINK("#",""), HYPERLINK(CONCATENATE("#metadata!", ADDRESS(INDEX($L$2:$L$1001,MATCH(ROWS($J$2:J834),$J$2:$J$1001,0),0), INDEX($Q$1004:$U$1004,1,MATCH(COLUMNS($Q$1006:T1006),$Q$1006:$U$1006,0)))),"Fix")))</f>
        <v xml:space="preserve"> </v>
      </c>
      <c r="F834" s="3" t="str">
        <f ca="1">IF(OR(INDEX($K$2:$K$1001,MATCH(ROWS($J$2:J834),$J$2:$J$1001,0),1)&gt;=100000,INDEX($Q$1005:$U$1005,1,MATCH(COLUMNS($Q$1006:U1006),$Q$1006:$U$1006,0))&gt;=100000), " ",IF(INDEX($Q$2:$U$1001,MATCH(ROWS($J$2:J834),$J$2:$J$1001,0),MATCH(COLUMNS($Q$1006:U1006),$Q$1006:$U$1006,0)), HYPERLINK("#",""), HYPERLINK(CONCATENATE("#metadata!", ADDRESS(INDEX($L$2:$L$1001,MATCH(ROWS($J$2:J834),$J$2:$J$1001,0),0), INDEX($Q$1004:$U$1004,1,MATCH(COLUMNS($Q$1006:U1006),$Q$1006:$U$1006,0)))),"Fix")))</f>
        <v xml:space="preserve"> </v>
      </c>
      <c r="J834">
        <v>833</v>
      </c>
      <c r="K834">
        <v>100834</v>
      </c>
      <c r="L834">
        <v>834</v>
      </c>
      <c r="M834" t="b">
        <f t="shared" ref="M834:M897" si="13">IF(N834,TRUE,AND(Q834:U834))</f>
        <v>1</v>
      </c>
      <c r="N834" t="b">
        <f>COUNTBLANK(metadata!B834:F834)=COLUMNS(metadata!B834:F834)</f>
        <v>1</v>
      </c>
      <c r="O834" t="str">
        <v/>
      </c>
      <c r="Q834" t="b">
        <f ca="1">AND(IF(metadata!B834="",FALSE,TRUE),COUNTIF(metadata!B:B, metadata!B834) = 1,NOT(ISERROR(SUMPRODUCT(SEARCH(MID(metadata!B834,ROW(INDIRECT("1:"&amp;LEN(metadata!B834))), 1),"0123456789abcdefghijklmnopqrstuvwxyzABCDEFGHIJKLMNOPQRSTUVWXYZ.")))))</f>
        <v>0</v>
      </c>
      <c r="R834" t="b">
        <f>AND(IF(metadata!C834="",FALSE,TRUE),OR(EXACT(metadata!C834,"saline"),EXACT(metadata!C834,"non-saline")))</f>
        <v>0</v>
      </c>
      <c r="S834" t="b">
        <f>AND(IF(metadata!D834="",FALSE,TRUE),OR(EXACT(metadata!D834,"surface (non-saline)"),EXACT(metadata!D834,"aerosol (non-saline)"),EXACT(metadata!D834,"sediment (non-saline)"),EXACT(metadata!D834,"surface (saline)"),EXACT(metadata!D834,"aerosol (saline)"),EXACT(metadata!D834,"sediment (saline)")))</f>
        <v>0</v>
      </c>
      <c r="T834" t="b">
        <f>AND(IF(metadata!E834="",FALSE,TRUE),EXACT(metadata!E834,"built environment"))</f>
        <v>0</v>
      </c>
      <c r="U834" t="b">
        <f>OR(AND(IF(metadata!F834="",FALSE,TRUE),EXACT(metadata!F834,"not applicable")),AND(IF(metadata!F834="",FALSE,TRUE),EXACT(metadata!F834,"anaerobic digester content")))</f>
        <v>0</v>
      </c>
    </row>
    <row r="835" spans="1:21" x14ac:dyDescent="0.2">
      <c r="A835" s="4" t="str">
        <f ca="1">IF(B835=" "," ",HYPERLINK(CONCATENATE("#metadata!",ADDRESS(INDEX($L$2:$L$1001,MATCH(ROWS($J$2:J835),$J$2:$J$1001,0),0),1)),INDEX($O$2:$O$1001,MATCH(ROWS($J$2:J835),$J$2:$J$1001,0),0)))</f>
        <v xml:space="preserve"> </v>
      </c>
      <c r="B835" s="3" t="str">
        <f ca="1">IF(OR(INDEX($K$2:$K$1001,MATCH(ROWS($J$2:J835),$J$2:$J$1001,0),1)&gt;=100000,INDEX($Q$1005:$U$1005,1,MATCH(COLUMNS($Q$1006:Q1006),$Q$1006:$U$1006,0))&gt;=100000), " ",IF(INDEX($Q$2:$U$1001,MATCH(ROWS($J$2:J835),$J$2:$J$1001,0),MATCH(COLUMNS($Q$1006:Q1006),$Q$1006:$U$1006,0)), HYPERLINK("#",""), HYPERLINK(CONCATENATE("#metadata!", ADDRESS(INDEX($L$2:$L$1001,MATCH(ROWS($J$2:J835),$J$2:$J$1001,0),0), INDEX($Q$1004:$U$1004,1,MATCH(COLUMNS($Q$1006:Q1006),$Q$1006:$U$1006,0)))),"Fix")))</f>
        <v xml:space="preserve"> </v>
      </c>
      <c r="C835" s="3" t="str">
        <f ca="1">IF(OR(INDEX($K$2:$K$1001,MATCH(ROWS($J$2:J835),$J$2:$J$1001,0),1)&gt;=100000,INDEX($Q$1005:$U$1005,1,MATCH(COLUMNS($Q$1006:R1006),$Q$1006:$U$1006,0))&gt;=100000), " ",IF(INDEX($Q$2:$U$1001,MATCH(ROWS($J$2:J835),$J$2:$J$1001,0),MATCH(COLUMNS($Q$1006:R1006),$Q$1006:$U$1006,0)), HYPERLINK("#",""), HYPERLINK(CONCATENATE("#metadata!", ADDRESS(INDEX($L$2:$L$1001,MATCH(ROWS($J$2:J835),$J$2:$J$1001,0),0), INDEX($Q$1004:$U$1004,1,MATCH(COLUMNS($Q$1006:R1006),$Q$1006:$U$1006,0)))),"Fix")))</f>
        <v xml:space="preserve"> </v>
      </c>
      <c r="D835" s="3" t="str">
        <f ca="1">IF(OR(INDEX($K$2:$K$1001,MATCH(ROWS($J$2:J835),$J$2:$J$1001,0),1)&gt;=100000,INDEX($Q$1005:$U$1005,1,MATCH(COLUMNS($Q$1006:S1006),$Q$1006:$U$1006,0))&gt;=100000), " ",IF(INDEX($Q$2:$U$1001,MATCH(ROWS($J$2:J835),$J$2:$J$1001,0),MATCH(COLUMNS($Q$1006:S1006),$Q$1006:$U$1006,0)), HYPERLINK("#",""), HYPERLINK(CONCATENATE("#metadata!", ADDRESS(INDEX($L$2:$L$1001,MATCH(ROWS($J$2:J835),$J$2:$J$1001,0),0), INDEX($Q$1004:$U$1004,1,MATCH(COLUMNS($Q$1006:S1006),$Q$1006:$U$1006,0)))),"Fix")))</f>
        <v xml:space="preserve"> </v>
      </c>
      <c r="E835" s="3" t="str">
        <f ca="1">IF(OR(INDEX($K$2:$K$1001,MATCH(ROWS($J$2:J835),$J$2:$J$1001,0),1)&gt;=100000,INDEX($Q$1005:$U$1005,1,MATCH(COLUMNS($Q$1006:T1006),$Q$1006:$U$1006,0))&gt;=100000), " ",IF(INDEX($Q$2:$U$1001,MATCH(ROWS($J$2:J835),$J$2:$J$1001,0),MATCH(COLUMNS($Q$1006:T1006),$Q$1006:$U$1006,0)), HYPERLINK("#",""), HYPERLINK(CONCATENATE("#metadata!", ADDRESS(INDEX($L$2:$L$1001,MATCH(ROWS($J$2:J835),$J$2:$J$1001,0),0), INDEX($Q$1004:$U$1004,1,MATCH(COLUMNS($Q$1006:T1006),$Q$1006:$U$1006,0)))),"Fix")))</f>
        <v xml:space="preserve"> </v>
      </c>
      <c r="F835" s="3" t="str">
        <f ca="1">IF(OR(INDEX($K$2:$K$1001,MATCH(ROWS($J$2:J835),$J$2:$J$1001,0),1)&gt;=100000,INDEX($Q$1005:$U$1005,1,MATCH(COLUMNS($Q$1006:U1006),$Q$1006:$U$1006,0))&gt;=100000), " ",IF(INDEX($Q$2:$U$1001,MATCH(ROWS($J$2:J835),$J$2:$J$1001,0),MATCH(COLUMNS($Q$1006:U1006),$Q$1006:$U$1006,0)), HYPERLINK("#",""), HYPERLINK(CONCATENATE("#metadata!", ADDRESS(INDEX($L$2:$L$1001,MATCH(ROWS($J$2:J835),$J$2:$J$1001,0),0), INDEX($Q$1004:$U$1004,1,MATCH(COLUMNS($Q$1006:U1006),$Q$1006:$U$1006,0)))),"Fix")))</f>
        <v xml:space="preserve"> </v>
      </c>
      <c r="J835">
        <v>834</v>
      </c>
      <c r="K835">
        <v>100835</v>
      </c>
      <c r="L835">
        <v>835</v>
      </c>
      <c r="M835" t="b">
        <f t="shared" si="13"/>
        <v>1</v>
      </c>
      <c r="N835" t="b">
        <f>COUNTBLANK(metadata!B835:F835)=COLUMNS(metadata!B835:F835)</f>
        <v>1</v>
      </c>
      <c r="O835" t="str">
        <v/>
      </c>
      <c r="Q835" t="b">
        <f ca="1">AND(IF(metadata!B835="",FALSE,TRUE),COUNTIF(metadata!B:B, metadata!B835) = 1,NOT(ISERROR(SUMPRODUCT(SEARCH(MID(metadata!B835,ROW(INDIRECT("1:"&amp;LEN(metadata!B835))), 1),"0123456789abcdefghijklmnopqrstuvwxyzABCDEFGHIJKLMNOPQRSTUVWXYZ.")))))</f>
        <v>0</v>
      </c>
      <c r="R835" t="b">
        <f>AND(IF(metadata!C835="",FALSE,TRUE),OR(EXACT(metadata!C835,"saline"),EXACT(metadata!C835,"non-saline")))</f>
        <v>0</v>
      </c>
      <c r="S835" t="b">
        <f>AND(IF(metadata!D835="",FALSE,TRUE),OR(EXACT(metadata!D835,"surface (non-saline)"),EXACT(metadata!D835,"aerosol (non-saline)"),EXACT(metadata!D835,"sediment (non-saline)"),EXACT(metadata!D835,"surface (saline)"),EXACT(metadata!D835,"aerosol (saline)"),EXACT(metadata!D835,"sediment (saline)")))</f>
        <v>0</v>
      </c>
      <c r="T835" t="b">
        <f>AND(IF(metadata!E835="",FALSE,TRUE),EXACT(metadata!E835,"built environment"))</f>
        <v>0</v>
      </c>
      <c r="U835" t="b">
        <f>OR(AND(IF(metadata!F835="",FALSE,TRUE),EXACT(metadata!F835,"not applicable")),AND(IF(metadata!F835="",FALSE,TRUE),EXACT(metadata!F835,"anaerobic digester content")))</f>
        <v>0</v>
      </c>
    </row>
    <row r="836" spans="1:21" x14ac:dyDescent="0.2">
      <c r="A836" s="4" t="str">
        <f ca="1">IF(B836=" "," ",HYPERLINK(CONCATENATE("#metadata!",ADDRESS(INDEX($L$2:$L$1001,MATCH(ROWS($J$2:J836),$J$2:$J$1001,0),0),1)),INDEX($O$2:$O$1001,MATCH(ROWS($J$2:J836),$J$2:$J$1001,0),0)))</f>
        <v xml:space="preserve"> </v>
      </c>
      <c r="B836" s="3" t="str">
        <f ca="1">IF(OR(INDEX($K$2:$K$1001,MATCH(ROWS($J$2:J836),$J$2:$J$1001,0),1)&gt;=100000,INDEX($Q$1005:$U$1005,1,MATCH(COLUMNS($Q$1006:Q1006),$Q$1006:$U$1006,0))&gt;=100000), " ",IF(INDEX($Q$2:$U$1001,MATCH(ROWS($J$2:J836),$J$2:$J$1001,0),MATCH(COLUMNS($Q$1006:Q1006),$Q$1006:$U$1006,0)), HYPERLINK("#",""), HYPERLINK(CONCATENATE("#metadata!", ADDRESS(INDEX($L$2:$L$1001,MATCH(ROWS($J$2:J836),$J$2:$J$1001,0),0), INDEX($Q$1004:$U$1004,1,MATCH(COLUMNS($Q$1006:Q1006),$Q$1006:$U$1006,0)))),"Fix")))</f>
        <v xml:space="preserve"> </v>
      </c>
      <c r="C836" s="3" t="str">
        <f ca="1">IF(OR(INDEX($K$2:$K$1001,MATCH(ROWS($J$2:J836),$J$2:$J$1001,0),1)&gt;=100000,INDEX($Q$1005:$U$1005,1,MATCH(COLUMNS($Q$1006:R1006),$Q$1006:$U$1006,0))&gt;=100000), " ",IF(INDEX($Q$2:$U$1001,MATCH(ROWS($J$2:J836),$J$2:$J$1001,0),MATCH(COLUMNS($Q$1006:R1006),$Q$1006:$U$1006,0)), HYPERLINK("#",""), HYPERLINK(CONCATENATE("#metadata!", ADDRESS(INDEX($L$2:$L$1001,MATCH(ROWS($J$2:J836),$J$2:$J$1001,0),0), INDEX($Q$1004:$U$1004,1,MATCH(COLUMNS($Q$1006:R1006),$Q$1006:$U$1006,0)))),"Fix")))</f>
        <v xml:space="preserve"> </v>
      </c>
      <c r="D836" s="3" t="str">
        <f ca="1">IF(OR(INDEX($K$2:$K$1001,MATCH(ROWS($J$2:J836),$J$2:$J$1001,0),1)&gt;=100000,INDEX($Q$1005:$U$1005,1,MATCH(COLUMNS($Q$1006:S1006),$Q$1006:$U$1006,0))&gt;=100000), " ",IF(INDEX($Q$2:$U$1001,MATCH(ROWS($J$2:J836),$J$2:$J$1001,0),MATCH(COLUMNS($Q$1006:S1006),$Q$1006:$U$1006,0)), HYPERLINK("#",""), HYPERLINK(CONCATENATE("#metadata!", ADDRESS(INDEX($L$2:$L$1001,MATCH(ROWS($J$2:J836),$J$2:$J$1001,0),0), INDEX($Q$1004:$U$1004,1,MATCH(COLUMNS($Q$1006:S1006),$Q$1006:$U$1006,0)))),"Fix")))</f>
        <v xml:space="preserve"> </v>
      </c>
      <c r="E836" s="3" t="str">
        <f ca="1">IF(OR(INDEX($K$2:$K$1001,MATCH(ROWS($J$2:J836),$J$2:$J$1001,0),1)&gt;=100000,INDEX($Q$1005:$U$1005,1,MATCH(COLUMNS($Q$1006:T1006),$Q$1006:$U$1006,0))&gt;=100000), " ",IF(INDEX($Q$2:$U$1001,MATCH(ROWS($J$2:J836),$J$2:$J$1001,0),MATCH(COLUMNS($Q$1006:T1006),$Q$1006:$U$1006,0)), HYPERLINK("#",""), HYPERLINK(CONCATENATE("#metadata!", ADDRESS(INDEX($L$2:$L$1001,MATCH(ROWS($J$2:J836),$J$2:$J$1001,0),0), INDEX($Q$1004:$U$1004,1,MATCH(COLUMNS($Q$1006:T1006),$Q$1006:$U$1006,0)))),"Fix")))</f>
        <v xml:space="preserve"> </v>
      </c>
      <c r="F836" s="3" t="str">
        <f ca="1">IF(OR(INDEX($K$2:$K$1001,MATCH(ROWS($J$2:J836),$J$2:$J$1001,0),1)&gt;=100000,INDEX($Q$1005:$U$1005,1,MATCH(COLUMNS($Q$1006:U1006),$Q$1006:$U$1006,0))&gt;=100000), " ",IF(INDEX($Q$2:$U$1001,MATCH(ROWS($J$2:J836),$J$2:$J$1001,0),MATCH(COLUMNS($Q$1006:U1006),$Q$1006:$U$1006,0)), HYPERLINK("#",""), HYPERLINK(CONCATENATE("#metadata!", ADDRESS(INDEX($L$2:$L$1001,MATCH(ROWS($J$2:J836),$J$2:$J$1001,0),0), INDEX($Q$1004:$U$1004,1,MATCH(COLUMNS($Q$1006:U1006),$Q$1006:$U$1006,0)))),"Fix")))</f>
        <v xml:space="preserve"> </v>
      </c>
      <c r="J836">
        <v>835</v>
      </c>
      <c r="K836">
        <v>100836</v>
      </c>
      <c r="L836">
        <v>836</v>
      </c>
      <c r="M836" t="b">
        <f t="shared" si="13"/>
        <v>1</v>
      </c>
      <c r="N836" t="b">
        <f>COUNTBLANK(metadata!B836:F836)=COLUMNS(metadata!B836:F836)</f>
        <v>1</v>
      </c>
      <c r="O836" t="str">
        <v/>
      </c>
      <c r="Q836" t="b">
        <f ca="1">AND(IF(metadata!B836="",FALSE,TRUE),COUNTIF(metadata!B:B, metadata!B836) = 1,NOT(ISERROR(SUMPRODUCT(SEARCH(MID(metadata!B836,ROW(INDIRECT("1:"&amp;LEN(metadata!B836))), 1),"0123456789abcdefghijklmnopqrstuvwxyzABCDEFGHIJKLMNOPQRSTUVWXYZ.")))))</f>
        <v>0</v>
      </c>
      <c r="R836" t="b">
        <f>AND(IF(metadata!C836="",FALSE,TRUE),OR(EXACT(metadata!C836,"saline"),EXACT(metadata!C836,"non-saline")))</f>
        <v>0</v>
      </c>
      <c r="S836" t="b">
        <f>AND(IF(metadata!D836="",FALSE,TRUE),OR(EXACT(metadata!D836,"surface (non-saline)"),EXACT(metadata!D836,"aerosol (non-saline)"),EXACT(metadata!D836,"sediment (non-saline)"),EXACT(metadata!D836,"surface (saline)"),EXACT(metadata!D836,"aerosol (saline)"),EXACT(metadata!D836,"sediment (saline)")))</f>
        <v>0</v>
      </c>
      <c r="T836" t="b">
        <f>AND(IF(metadata!E836="",FALSE,TRUE),EXACT(metadata!E836,"built environment"))</f>
        <v>0</v>
      </c>
      <c r="U836" t="b">
        <f>OR(AND(IF(metadata!F836="",FALSE,TRUE),EXACT(metadata!F836,"not applicable")),AND(IF(metadata!F836="",FALSE,TRUE),EXACT(metadata!F836,"anaerobic digester content")))</f>
        <v>0</v>
      </c>
    </row>
    <row r="837" spans="1:21" x14ac:dyDescent="0.2">
      <c r="A837" s="4" t="str">
        <f ca="1">IF(B837=" "," ",HYPERLINK(CONCATENATE("#metadata!",ADDRESS(INDEX($L$2:$L$1001,MATCH(ROWS($J$2:J837),$J$2:$J$1001,0),0),1)),INDEX($O$2:$O$1001,MATCH(ROWS($J$2:J837),$J$2:$J$1001,0),0)))</f>
        <v xml:space="preserve"> </v>
      </c>
      <c r="B837" s="3" t="str">
        <f ca="1">IF(OR(INDEX($K$2:$K$1001,MATCH(ROWS($J$2:J837),$J$2:$J$1001,0),1)&gt;=100000,INDEX($Q$1005:$U$1005,1,MATCH(COLUMNS($Q$1006:Q1006),$Q$1006:$U$1006,0))&gt;=100000), " ",IF(INDEX($Q$2:$U$1001,MATCH(ROWS($J$2:J837),$J$2:$J$1001,0),MATCH(COLUMNS($Q$1006:Q1006),$Q$1006:$U$1006,0)), HYPERLINK("#",""), HYPERLINK(CONCATENATE("#metadata!", ADDRESS(INDEX($L$2:$L$1001,MATCH(ROWS($J$2:J837),$J$2:$J$1001,0),0), INDEX($Q$1004:$U$1004,1,MATCH(COLUMNS($Q$1006:Q1006),$Q$1006:$U$1006,0)))),"Fix")))</f>
        <v xml:space="preserve"> </v>
      </c>
      <c r="C837" s="3" t="str">
        <f ca="1">IF(OR(INDEX($K$2:$K$1001,MATCH(ROWS($J$2:J837),$J$2:$J$1001,0),1)&gt;=100000,INDEX($Q$1005:$U$1005,1,MATCH(COLUMNS($Q$1006:R1006),$Q$1006:$U$1006,0))&gt;=100000), " ",IF(INDEX($Q$2:$U$1001,MATCH(ROWS($J$2:J837),$J$2:$J$1001,0),MATCH(COLUMNS($Q$1006:R1006),$Q$1006:$U$1006,0)), HYPERLINK("#",""), HYPERLINK(CONCATENATE("#metadata!", ADDRESS(INDEX($L$2:$L$1001,MATCH(ROWS($J$2:J837),$J$2:$J$1001,0),0), INDEX($Q$1004:$U$1004,1,MATCH(COLUMNS($Q$1006:R1006),$Q$1006:$U$1006,0)))),"Fix")))</f>
        <v xml:space="preserve"> </v>
      </c>
      <c r="D837" s="3" t="str">
        <f ca="1">IF(OR(INDEX($K$2:$K$1001,MATCH(ROWS($J$2:J837),$J$2:$J$1001,0),1)&gt;=100000,INDEX($Q$1005:$U$1005,1,MATCH(COLUMNS($Q$1006:S1006),$Q$1006:$U$1006,0))&gt;=100000), " ",IF(INDEX($Q$2:$U$1001,MATCH(ROWS($J$2:J837),$J$2:$J$1001,0),MATCH(COLUMNS($Q$1006:S1006),$Q$1006:$U$1006,0)), HYPERLINK("#",""), HYPERLINK(CONCATENATE("#metadata!", ADDRESS(INDEX($L$2:$L$1001,MATCH(ROWS($J$2:J837),$J$2:$J$1001,0),0), INDEX($Q$1004:$U$1004,1,MATCH(COLUMNS($Q$1006:S1006),$Q$1006:$U$1006,0)))),"Fix")))</f>
        <v xml:space="preserve"> </v>
      </c>
      <c r="E837" s="3" t="str">
        <f ca="1">IF(OR(INDEX($K$2:$K$1001,MATCH(ROWS($J$2:J837),$J$2:$J$1001,0),1)&gt;=100000,INDEX($Q$1005:$U$1005,1,MATCH(COLUMNS($Q$1006:T1006),$Q$1006:$U$1006,0))&gt;=100000), " ",IF(INDEX($Q$2:$U$1001,MATCH(ROWS($J$2:J837),$J$2:$J$1001,0),MATCH(COLUMNS($Q$1006:T1006),$Q$1006:$U$1006,0)), HYPERLINK("#",""), HYPERLINK(CONCATENATE("#metadata!", ADDRESS(INDEX($L$2:$L$1001,MATCH(ROWS($J$2:J837),$J$2:$J$1001,0),0), INDEX($Q$1004:$U$1004,1,MATCH(COLUMNS($Q$1006:T1006),$Q$1006:$U$1006,0)))),"Fix")))</f>
        <v xml:space="preserve"> </v>
      </c>
      <c r="F837" s="3" t="str">
        <f ca="1">IF(OR(INDEX($K$2:$K$1001,MATCH(ROWS($J$2:J837),$J$2:$J$1001,0),1)&gt;=100000,INDEX($Q$1005:$U$1005,1,MATCH(COLUMNS($Q$1006:U1006),$Q$1006:$U$1006,0))&gt;=100000), " ",IF(INDEX($Q$2:$U$1001,MATCH(ROWS($J$2:J837),$J$2:$J$1001,0),MATCH(COLUMNS($Q$1006:U1006),$Q$1006:$U$1006,0)), HYPERLINK("#",""), HYPERLINK(CONCATENATE("#metadata!", ADDRESS(INDEX($L$2:$L$1001,MATCH(ROWS($J$2:J837),$J$2:$J$1001,0),0), INDEX($Q$1004:$U$1004,1,MATCH(COLUMNS($Q$1006:U1006),$Q$1006:$U$1006,0)))),"Fix")))</f>
        <v xml:space="preserve"> </v>
      </c>
      <c r="J837">
        <v>836</v>
      </c>
      <c r="K837">
        <v>100837</v>
      </c>
      <c r="L837">
        <v>837</v>
      </c>
      <c r="M837" t="b">
        <f t="shared" si="13"/>
        <v>1</v>
      </c>
      <c r="N837" t="b">
        <f>COUNTBLANK(metadata!B837:F837)=COLUMNS(metadata!B837:F837)</f>
        <v>1</v>
      </c>
      <c r="O837" t="str">
        <v/>
      </c>
      <c r="Q837" t="b">
        <f ca="1">AND(IF(metadata!B837="",FALSE,TRUE),COUNTIF(metadata!B:B, metadata!B837) = 1,NOT(ISERROR(SUMPRODUCT(SEARCH(MID(metadata!B837,ROW(INDIRECT("1:"&amp;LEN(metadata!B837))), 1),"0123456789abcdefghijklmnopqrstuvwxyzABCDEFGHIJKLMNOPQRSTUVWXYZ.")))))</f>
        <v>0</v>
      </c>
      <c r="R837" t="b">
        <f>AND(IF(metadata!C837="",FALSE,TRUE),OR(EXACT(metadata!C837,"saline"),EXACT(metadata!C837,"non-saline")))</f>
        <v>0</v>
      </c>
      <c r="S837" t="b">
        <f>AND(IF(metadata!D837="",FALSE,TRUE),OR(EXACT(metadata!D837,"surface (non-saline)"),EXACT(metadata!D837,"aerosol (non-saline)"),EXACT(metadata!D837,"sediment (non-saline)"),EXACT(metadata!D837,"surface (saline)"),EXACT(metadata!D837,"aerosol (saline)"),EXACT(metadata!D837,"sediment (saline)")))</f>
        <v>0</v>
      </c>
      <c r="T837" t="b">
        <f>AND(IF(metadata!E837="",FALSE,TRUE),EXACT(metadata!E837,"built environment"))</f>
        <v>0</v>
      </c>
      <c r="U837" t="b">
        <f>OR(AND(IF(metadata!F837="",FALSE,TRUE),EXACT(metadata!F837,"not applicable")),AND(IF(metadata!F837="",FALSE,TRUE),EXACT(metadata!F837,"anaerobic digester content")))</f>
        <v>0</v>
      </c>
    </row>
    <row r="838" spans="1:21" x14ac:dyDescent="0.2">
      <c r="A838" s="4" t="str">
        <f ca="1">IF(B838=" "," ",HYPERLINK(CONCATENATE("#metadata!",ADDRESS(INDEX($L$2:$L$1001,MATCH(ROWS($J$2:J838),$J$2:$J$1001,0),0),1)),INDEX($O$2:$O$1001,MATCH(ROWS($J$2:J838),$J$2:$J$1001,0),0)))</f>
        <v xml:space="preserve"> </v>
      </c>
      <c r="B838" s="3" t="str">
        <f ca="1">IF(OR(INDEX($K$2:$K$1001,MATCH(ROWS($J$2:J838),$J$2:$J$1001,0),1)&gt;=100000,INDEX($Q$1005:$U$1005,1,MATCH(COLUMNS($Q$1006:Q1006),$Q$1006:$U$1006,0))&gt;=100000), " ",IF(INDEX($Q$2:$U$1001,MATCH(ROWS($J$2:J838),$J$2:$J$1001,0),MATCH(COLUMNS($Q$1006:Q1006),$Q$1006:$U$1006,0)), HYPERLINK("#",""), HYPERLINK(CONCATENATE("#metadata!", ADDRESS(INDEX($L$2:$L$1001,MATCH(ROWS($J$2:J838),$J$2:$J$1001,0),0), INDEX($Q$1004:$U$1004,1,MATCH(COLUMNS($Q$1006:Q1006),$Q$1006:$U$1006,0)))),"Fix")))</f>
        <v xml:space="preserve"> </v>
      </c>
      <c r="C838" s="3" t="str">
        <f ca="1">IF(OR(INDEX($K$2:$K$1001,MATCH(ROWS($J$2:J838),$J$2:$J$1001,0),1)&gt;=100000,INDEX($Q$1005:$U$1005,1,MATCH(COLUMNS($Q$1006:R1006),$Q$1006:$U$1006,0))&gt;=100000), " ",IF(INDEX($Q$2:$U$1001,MATCH(ROWS($J$2:J838),$J$2:$J$1001,0),MATCH(COLUMNS($Q$1006:R1006),$Q$1006:$U$1006,0)), HYPERLINK("#",""), HYPERLINK(CONCATENATE("#metadata!", ADDRESS(INDEX($L$2:$L$1001,MATCH(ROWS($J$2:J838),$J$2:$J$1001,0),0), INDEX($Q$1004:$U$1004,1,MATCH(COLUMNS($Q$1006:R1006),$Q$1006:$U$1006,0)))),"Fix")))</f>
        <v xml:space="preserve"> </v>
      </c>
      <c r="D838" s="3" t="str">
        <f ca="1">IF(OR(INDEX($K$2:$K$1001,MATCH(ROWS($J$2:J838),$J$2:$J$1001,0),1)&gt;=100000,INDEX($Q$1005:$U$1005,1,MATCH(COLUMNS($Q$1006:S1006),$Q$1006:$U$1006,0))&gt;=100000), " ",IF(INDEX($Q$2:$U$1001,MATCH(ROWS($J$2:J838),$J$2:$J$1001,0),MATCH(COLUMNS($Q$1006:S1006),$Q$1006:$U$1006,0)), HYPERLINK("#",""), HYPERLINK(CONCATENATE("#metadata!", ADDRESS(INDEX($L$2:$L$1001,MATCH(ROWS($J$2:J838),$J$2:$J$1001,0),0), INDEX($Q$1004:$U$1004,1,MATCH(COLUMNS($Q$1006:S1006),$Q$1006:$U$1006,0)))),"Fix")))</f>
        <v xml:space="preserve"> </v>
      </c>
      <c r="E838" s="3" t="str">
        <f ca="1">IF(OR(INDEX($K$2:$K$1001,MATCH(ROWS($J$2:J838),$J$2:$J$1001,0),1)&gt;=100000,INDEX($Q$1005:$U$1005,1,MATCH(COLUMNS($Q$1006:T1006),$Q$1006:$U$1006,0))&gt;=100000), " ",IF(INDEX($Q$2:$U$1001,MATCH(ROWS($J$2:J838),$J$2:$J$1001,0),MATCH(COLUMNS($Q$1006:T1006),$Q$1006:$U$1006,0)), HYPERLINK("#",""), HYPERLINK(CONCATENATE("#metadata!", ADDRESS(INDEX($L$2:$L$1001,MATCH(ROWS($J$2:J838),$J$2:$J$1001,0),0), INDEX($Q$1004:$U$1004,1,MATCH(COLUMNS($Q$1006:T1006),$Q$1006:$U$1006,0)))),"Fix")))</f>
        <v xml:space="preserve"> </v>
      </c>
      <c r="F838" s="3" t="str">
        <f ca="1">IF(OR(INDEX($K$2:$K$1001,MATCH(ROWS($J$2:J838),$J$2:$J$1001,0),1)&gt;=100000,INDEX($Q$1005:$U$1005,1,MATCH(COLUMNS($Q$1006:U1006),$Q$1006:$U$1006,0))&gt;=100000), " ",IF(INDEX($Q$2:$U$1001,MATCH(ROWS($J$2:J838),$J$2:$J$1001,0),MATCH(COLUMNS($Q$1006:U1006),$Q$1006:$U$1006,0)), HYPERLINK("#",""), HYPERLINK(CONCATENATE("#metadata!", ADDRESS(INDEX($L$2:$L$1001,MATCH(ROWS($J$2:J838),$J$2:$J$1001,0),0), INDEX($Q$1004:$U$1004,1,MATCH(COLUMNS($Q$1006:U1006),$Q$1006:$U$1006,0)))),"Fix")))</f>
        <v xml:space="preserve"> </v>
      </c>
      <c r="J838">
        <v>837</v>
      </c>
      <c r="K838">
        <v>100838</v>
      </c>
      <c r="L838">
        <v>838</v>
      </c>
      <c r="M838" t="b">
        <f t="shared" si="13"/>
        <v>1</v>
      </c>
      <c r="N838" t="b">
        <f>COUNTBLANK(metadata!B838:F838)=COLUMNS(metadata!B838:F838)</f>
        <v>1</v>
      </c>
      <c r="O838" t="str">
        <v/>
      </c>
      <c r="Q838" t="b">
        <f ca="1">AND(IF(metadata!B838="",FALSE,TRUE),COUNTIF(metadata!B:B, metadata!B838) = 1,NOT(ISERROR(SUMPRODUCT(SEARCH(MID(metadata!B838,ROW(INDIRECT("1:"&amp;LEN(metadata!B838))), 1),"0123456789abcdefghijklmnopqrstuvwxyzABCDEFGHIJKLMNOPQRSTUVWXYZ.")))))</f>
        <v>0</v>
      </c>
      <c r="R838" t="b">
        <f>AND(IF(metadata!C838="",FALSE,TRUE),OR(EXACT(metadata!C838,"saline"),EXACT(metadata!C838,"non-saline")))</f>
        <v>0</v>
      </c>
      <c r="S838" t="b">
        <f>AND(IF(metadata!D838="",FALSE,TRUE),OR(EXACT(metadata!D838,"surface (non-saline)"),EXACT(metadata!D838,"aerosol (non-saline)"),EXACT(metadata!D838,"sediment (non-saline)"),EXACT(metadata!D838,"surface (saline)"),EXACT(metadata!D838,"aerosol (saline)"),EXACT(metadata!D838,"sediment (saline)")))</f>
        <v>0</v>
      </c>
      <c r="T838" t="b">
        <f>AND(IF(metadata!E838="",FALSE,TRUE),EXACT(metadata!E838,"built environment"))</f>
        <v>0</v>
      </c>
      <c r="U838" t="b">
        <f>OR(AND(IF(metadata!F838="",FALSE,TRUE),EXACT(metadata!F838,"not applicable")),AND(IF(metadata!F838="",FALSE,TRUE),EXACT(metadata!F838,"anaerobic digester content")))</f>
        <v>0</v>
      </c>
    </row>
    <row r="839" spans="1:21" x14ac:dyDescent="0.2">
      <c r="A839" s="4" t="str">
        <f ca="1">IF(B839=" "," ",HYPERLINK(CONCATENATE("#metadata!",ADDRESS(INDEX($L$2:$L$1001,MATCH(ROWS($J$2:J839),$J$2:$J$1001,0),0),1)),INDEX($O$2:$O$1001,MATCH(ROWS($J$2:J839),$J$2:$J$1001,0),0)))</f>
        <v xml:space="preserve"> </v>
      </c>
      <c r="B839" s="3" t="str">
        <f ca="1">IF(OR(INDEX($K$2:$K$1001,MATCH(ROWS($J$2:J839),$J$2:$J$1001,0),1)&gt;=100000,INDEX($Q$1005:$U$1005,1,MATCH(COLUMNS($Q$1006:Q1006),$Q$1006:$U$1006,0))&gt;=100000), " ",IF(INDEX($Q$2:$U$1001,MATCH(ROWS($J$2:J839),$J$2:$J$1001,0),MATCH(COLUMNS($Q$1006:Q1006),$Q$1006:$U$1006,0)), HYPERLINK("#",""), HYPERLINK(CONCATENATE("#metadata!", ADDRESS(INDEX($L$2:$L$1001,MATCH(ROWS($J$2:J839),$J$2:$J$1001,0),0), INDEX($Q$1004:$U$1004,1,MATCH(COLUMNS($Q$1006:Q1006),$Q$1006:$U$1006,0)))),"Fix")))</f>
        <v xml:space="preserve"> </v>
      </c>
      <c r="C839" s="3" t="str">
        <f ca="1">IF(OR(INDEX($K$2:$K$1001,MATCH(ROWS($J$2:J839),$J$2:$J$1001,0),1)&gt;=100000,INDEX($Q$1005:$U$1005,1,MATCH(COLUMNS($Q$1006:R1006),$Q$1006:$U$1006,0))&gt;=100000), " ",IF(INDEX($Q$2:$U$1001,MATCH(ROWS($J$2:J839),$J$2:$J$1001,0),MATCH(COLUMNS($Q$1006:R1006),$Q$1006:$U$1006,0)), HYPERLINK("#",""), HYPERLINK(CONCATENATE("#metadata!", ADDRESS(INDEX($L$2:$L$1001,MATCH(ROWS($J$2:J839),$J$2:$J$1001,0),0), INDEX($Q$1004:$U$1004,1,MATCH(COLUMNS($Q$1006:R1006),$Q$1006:$U$1006,0)))),"Fix")))</f>
        <v xml:space="preserve"> </v>
      </c>
      <c r="D839" s="3" t="str">
        <f ca="1">IF(OR(INDEX($K$2:$K$1001,MATCH(ROWS($J$2:J839),$J$2:$J$1001,0),1)&gt;=100000,INDEX($Q$1005:$U$1005,1,MATCH(COLUMNS($Q$1006:S1006),$Q$1006:$U$1006,0))&gt;=100000), " ",IF(INDEX($Q$2:$U$1001,MATCH(ROWS($J$2:J839),$J$2:$J$1001,0),MATCH(COLUMNS($Q$1006:S1006),$Q$1006:$U$1006,0)), HYPERLINK("#",""), HYPERLINK(CONCATENATE("#metadata!", ADDRESS(INDEX($L$2:$L$1001,MATCH(ROWS($J$2:J839),$J$2:$J$1001,0),0), INDEX($Q$1004:$U$1004,1,MATCH(COLUMNS($Q$1006:S1006),$Q$1006:$U$1006,0)))),"Fix")))</f>
        <v xml:space="preserve"> </v>
      </c>
      <c r="E839" s="3" t="str">
        <f ca="1">IF(OR(INDEX($K$2:$K$1001,MATCH(ROWS($J$2:J839),$J$2:$J$1001,0),1)&gt;=100000,INDEX($Q$1005:$U$1005,1,MATCH(COLUMNS($Q$1006:T1006),$Q$1006:$U$1006,0))&gt;=100000), " ",IF(INDEX($Q$2:$U$1001,MATCH(ROWS($J$2:J839),$J$2:$J$1001,0),MATCH(COLUMNS($Q$1006:T1006),$Q$1006:$U$1006,0)), HYPERLINK("#",""), HYPERLINK(CONCATENATE("#metadata!", ADDRESS(INDEX($L$2:$L$1001,MATCH(ROWS($J$2:J839),$J$2:$J$1001,0),0), INDEX($Q$1004:$U$1004,1,MATCH(COLUMNS($Q$1006:T1006),$Q$1006:$U$1006,0)))),"Fix")))</f>
        <v xml:space="preserve"> </v>
      </c>
      <c r="F839" s="3" t="str">
        <f ca="1">IF(OR(INDEX($K$2:$K$1001,MATCH(ROWS($J$2:J839),$J$2:$J$1001,0),1)&gt;=100000,INDEX($Q$1005:$U$1005,1,MATCH(COLUMNS($Q$1006:U1006),$Q$1006:$U$1006,0))&gt;=100000), " ",IF(INDEX($Q$2:$U$1001,MATCH(ROWS($J$2:J839),$J$2:$J$1001,0),MATCH(COLUMNS($Q$1006:U1006),$Q$1006:$U$1006,0)), HYPERLINK("#",""), HYPERLINK(CONCATENATE("#metadata!", ADDRESS(INDEX($L$2:$L$1001,MATCH(ROWS($J$2:J839),$J$2:$J$1001,0),0), INDEX($Q$1004:$U$1004,1,MATCH(COLUMNS($Q$1006:U1006),$Q$1006:$U$1006,0)))),"Fix")))</f>
        <v xml:space="preserve"> </v>
      </c>
      <c r="J839">
        <v>838</v>
      </c>
      <c r="K839">
        <v>100839</v>
      </c>
      <c r="L839">
        <v>839</v>
      </c>
      <c r="M839" t="b">
        <f t="shared" si="13"/>
        <v>1</v>
      </c>
      <c r="N839" t="b">
        <f>COUNTBLANK(metadata!B839:F839)=COLUMNS(metadata!B839:F839)</f>
        <v>1</v>
      </c>
      <c r="O839" t="str">
        <v/>
      </c>
      <c r="Q839" t="b">
        <f ca="1">AND(IF(metadata!B839="",FALSE,TRUE),COUNTIF(metadata!B:B, metadata!B839) = 1,NOT(ISERROR(SUMPRODUCT(SEARCH(MID(metadata!B839,ROW(INDIRECT("1:"&amp;LEN(metadata!B839))), 1),"0123456789abcdefghijklmnopqrstuvwxyzABCDEFGHIJKLMNOPQRSTUVWXYZ.")))))</f>
        <v>0</v>
      </c>
      <c r="R839" t="b">
        <f>AND(IF(metadata!C839="",FALSE,TRUE),OR(EXACT(metadata!C839,"saline"),EXACT(metadata!C839,"non-saline")))</f>
        <v>0</v>
      </c>
      <c r="S839" t="b">
        <f>AND(IF(metadata!D839="",FALSE,TRUE),OR(EXACT(metadata!D839,"surface (non-saline)"),EXACT(metadata!D839,"aerosol (non-saline)"),EXACT(metadata!D839,"sediment (non-saline)"),EXACT(metadata!D839,"surface (saline)"),EXACT(metadata!D839,"aerosol (saline)"),EXACT(metadata!D839,"sediment (saline)")))</f>
        <v>0</v>
      </c>
      <c r="T839" t="b">
        <f>AND(IF(metadata!E839="",FALSE,TRUE),EXACT(metadata!E839,"built environment"))</f>
        <v>0</v>
      </c>
      <c r="U839" t="b">
        <f>OR(AND(IF(metadata!F839="",FALSE,TRUE),EXACT(metadata!F839,"not applicable")),AND(IF(metadata!F839="",FALSE,TRUE),EXACT(metadata!F839,"anaerobic digester content")))</f>
        <v>0</v>
      </c>
    </row>
    <row r="840" spans="1:21" x14ac:dyDescent="0.2">
      <c r="A840" s="4" t="str">
        <f ca="1">IF(B840=" "," ",HYPERLINK(CONCATENATE("#metadata!",ADDRESS(INDEX($L$2:$L$1001,MATCH(ROWS($J$2:J840),$J$2:$J$1001,0),0),1)),INDEX($O$2:$O$1001,MATCH(ROWS($J$2:J840),$J$2:$J$1001,0),0)))</f>
        <v xml:space="preserve"> </v>
      </c>
      <c r="B840" s="3" t="str">
        <f ca="1">IF(OR(INDEX($K$2:$K$1001,MATCH(ROWS($J$2:J840),$J$2:$J$1001,0),1)&gt;=100000,INDEX($Q$1005:$U$1005,1,MATCH(COLUMNS($Q$1006:Q1006),$Q$1006:$U$1006,0))&gt;=100000), " ",IF(INDEX($Q$2:$U$1001,MATCH(ROWS($J$2:J840),$J$2:$J$1001,0),MATCH(COLUMNS($Q$1006:Q1006),$Q$1006:$U$1006,0)), HYPERLINK("#",""), HYPERLINK(CONCATENATE("#metadata!", ADDRESS(INDEX($L$2:$L$1001,MATCH(ROWS($J$2:J840),$J$2:$J$1001,0),0), INDEX($Q$1004:$U$1004,1,MATCH(COLUMNS($Q$1006:Q1006),$Q$1006:$U$1006,0)))),"Fix")))</f>
        <v xml:space="preserve"> </v>
      </c>
      <c r="C840" s="3" t="str">
        <f ca="1">IF(OR(INDEX($K$2:$K$1001,MATCH(ROWS($J$2:J840),$J$2:$J$1001,0),1)&gt;=100000,INDEX($Q$1005:$U$1005,1,MATCH(COLUMNS($Q$1006:R1006),$Q$1006:$U$1006,0))&gt;=100000), " ",IF(INDEX($Q$2:$U$1001,MATCH(ROWS($J$2:J840),$J$2:$J$1001,0),MATCH(COLUMNS($Q$1006:R1006),$Q$1006:$U$1006,0)), HYPERLINK("#",""), HYPERLINK(CONCATENATE("#metadata!", ADDRESS(INDEX($L$2:$L$1001,MATCH(ROWS($J$2:J840),$J$2:$J$1001,0),0), INDEX($Q$1004:$U$1004,1,MATCH(COLUMNS($Q$1006:R1006),$Q$1006:$U$1006,0)))),"Fix")))</f>
        <v xml:space="preserve"> </v>
      </c>
      <c r="D840" s="3" t="str">
        <f ca="1">IF(OR(INDEX($K$2:$K$1001,MATCH(ROWS($J$2:J840),$J$2:$J$1001,0),1)&gt;=100000,INDEX($Q$1005:$U$1005,1,MATCH(COLUMNS($Q$1006:S1006),$Q$1006:$U$1006,0))&gt;=100000), " ",IF(INDEX($Q$2:$U$1001,MATCH(ROWS($J$2:J840),$J$2:$J$1001,0),MATCH(COLUMNS($Q$1006:S1006),$Q$1006:$U$1006,0)), HYPERLINK("#",""), HYPERLINK(CONCATENATE("#metadata!", ADDRESS(INDEX($L$2:$L$1001,MATCH(ROWS($J$2:J840),$J$2:$J$1001,0),0), INDEX($Q$1004:$U$1004,1,MATCH(COLUMNS($Q$1006:S1006),$Q$1006:$U$1006,0)))),"Fix")))</f>
        <v xml:space="preserve"> </v>
      </c>
      <c r="E840" s="3" t="str">
        <f ca="1">IF(OR(INDEX($K$2:$K$1001,MATCH(ROWS($J$2:J840),$J$2:$J$1001,0),1)&gt;=100000,INDEX($Q$1005:$U$1005,1,MATCH(COLUMNS($Q$1006:T1006),$Q$1006:$U$1006,0))&gt;=100000), " ",IF(INDEX($Q$2:$U$1001,MATCH(ROWS($J$2:J840),$J$2:$J$1001,0),MATCH(COLUMNS($Q$1006:T1006),$Q$1006:$U$1006,0)), HYPERLINK("#",""), HYPERLINK(CONCATENATE("#metadata!", ADDRESS(INDEX($L$2:$L$1001,MATCH(ROWS($J$2:J840),$J$2:$J$1001,0),0), INDEX($Q$1004:$U$1004,1,MATCH(COLUMNS($Q$1006:T1006),$Q$1006:$U$1006,0)))),"Fix")))</f>
        <v xml:space="preserve"> </v>
      </c>
      <c r="F840" s="3" t="str">
        <f ca="1">IF(OR(INDEX($K$2:$K$1001,MATCH(ROWS($J$2:J840),$J$2:$J$1001,0),1)&gt;=100000,INDEX($Q$1005:$U$1005,1,MATCH(COLUMNS($Q$1006:U1006),$Q$1006:$U$1006,0))&gt;=100000), " ",IF(INDEX($Q$2:$U$1001,MATCH(ROWS($J$2:J840),$J$2:$J$1001,0),MATCH(COLUMNS($Q$1006:U1006),$Q$1006:$U$1006,0)), HYPERLINK("#",""), HYPERLINK(CONCATENATE("#metadata!", ADDRESS(INDEX($L$2:$L$1001,MATCH(ROWS($J$2:J840),$J$2:$J$1001,0),0), INDEX($Q$1004:$U$1004,1,MATCH(COLUMNS($Q$1006:U1006),$Q$1006:$U$1006,0)))),"Fix")))</f>
        <v xml:space="preserve"> </v>
      </c>
      <c r="J840">
        <v>839</v>
      </c>
      <c r="K840">
        <v>100840</v>
      </c>
      <c r="L840">
        <v>840</v>
      </c>
      <c r="M840" t="b">
        <f t="shared" si="13"/>
        <v>1</v>
      </c>
      <c r="N840" t="b">
        <f>COUNTBLANK(metadata!B840:F840)=COLUMNS(metadata!B840:F840)</f>
        <v>1</v>
      </c>
      <c r="O840" t="str">
        <v/>
      </c>
      <c r="Q840" t="b">
        <f ca="1">AND(IF(metadata!B840="",FALSE,TRUE),COUNTIF(metadata!B:B, metadata!B840) = 1,NOT(ISERROR(SUMPRODUCT(SEARCH(MID(metadata!B840,ROW(INDIRECT("1:"&amp;LEN(metadata!B840))), 1),"0123456789abcdefghijklmnopqrstuvwxyzABCDEFGHIJKLMNOPQRSTUVWXYZ.")))))</f>
        <v>0</v>
      </c>
      <c r="R840" t="b">
        <f>AND(IF(metadata!C840="",FALSE,TRUE),OR(EXACT(metadata!C840,"saline"),EXACT(metadata!C840,"non-saline")))</f>
        <v>0</v>
      </c>
      <c r="S840" t="b">
        <f>AND(IF(metadata!D840="",FALSE,TRUE),OR(EXACT(metadata!D840,"surface (non-saline)"),EXACT(metadata!D840,"aerosol (non-saline)"),EXACT(metadata!D840,"sediment (non-saline)"),EXACT(metadata!D840,"surface (saline)"),EXACT(metadata!D840,"aerosol (saline)"),EXACT(metadata!D840,"sediment (saline)")))</f>
        <v>0</v>
      </c>
      <c r="T840" t="b">
        <f>AND(IF(metadata!E840="",FALSE,TRUE),EXACT(metadata!E840,"built environment"))</f>
        <v>0</v>
      </c>
      <c r="U840" t="b">
        <f>OR(AND(IF(metadata!F840="",FALSE,TRUE),EXACT(metadata!F840,"not applicable")),AND(IF(metadata!F840="",FALSE,TRUE),EXACT(metadata!F840,"anaerobic digester content")))</f>
        <v>0</v>
      </c>
    </row>
    <row r="841" spans="1:21" x14ac:dyDescent="0.2">
      <c r="A841" s="4" t="str">
        <f ca="1">IF(B841=" "," ",HYPERLINK(CONCATENATE("#metadata!",ADDRESS(INDEX($L$2:$L$1001,MATCH(ROWS($J$2:J841),$J$2:$J$1001,0),0),1)),INDEX($O$2:$O$1001,MATCH(ROWS($J$2:J841),$J$2:$J$1001,0),0)))</f>
        <v xml:space="preserve"> </v>
      </c>
      <c r="B841" s="3" t="str">
        <f ca="1">IF(OR(INDEX($K$2:$K$1001,MATCH(ROWS($J$2:J841),$J$2:$J$1001,0),1)&gt;=100000,INDEX($Q$1005:$U$1005,1,MATCH(COLUMNS($Q$1006:Q1006),$Q$1006:$U$1006,0))&gt;=100000), " ",IF(INDEX($Q$2:$U$1001,MATCH(ROWS($J$2:J841),$J$2:$J$1001,0),MATCH(COLUMNS($Q$1006:Q1006),$Q$1006:$U$1006,0)), HYPERLINK("#",""), HYPERLINK(CONCATENATE("#metadata!", ADDRESS(INDEX($L$2:$L$1001,MATCH(ROWS($J$2:J841),$J$2:$J$1001,0),0), INDEX($Q$1004:$U$1004,1,MATCH(COLUMNS($Q$1006:Q1006),$Q$1006:$U$1006,0)))),"Fix")))</f>
        <v xml:space="preserve"> </v>
      </c>
      <c r="C841" s="3" t="str">
        <f ca="1">IF(OR(INDEX($K$2:$K$1001,MATCH(ROWS($J$2:J841),$J$2:$J$1001,0),1)&gt;=100000,INDEX($Q$1005:$U$1005,1,MATCH(COLUMNS($Q$1006:R1006),$Q$1006:$U$1006,0))&gt;=100000), " ",IF(INDEX($Q$2:$U$1001,MATCH(ROWS($J$2:J841),$J$2:$J$1001,0),MATCH(COLUMNS($Q$1006:R1006),$Q$1006:$U$1006,0)), HYPERLINK("#",""), HYPERLINK(CONCATENATE("#metadata!", ADDRESS(INDEX($L$2:$L$1001,MATCH(ROWS($J$2:J841),$J$2:$J$1001,0),0), INDEX($Q$1004:$U$1004,1,MATCH(COLUMNS($Q$1006:R1006),$Q$1006:$U$1006,0)))),"Fix")))</f>
        <v xml:space="preserve"> </v>
      </c>
      <c r="D841" s="3" t="str">
        <f ca="1">IF(OR(INDEX($K$2:$K$1001,MATCH(ROWS($J$2:J841),$J$2:$J$1001,0),1)&gt;=100000,INDEX($Q$1005:$U$1005,1,MATCH(COLUMNS($Q$1006:S1006),$Q$1006:$U$1006,0))&gt;=100000), " ",IF(INDEX($Q$2:$U$1001,MATCH(ROWS($J$2:J841),$J$2:$J$1001,0),MATCH(COLUMNS($Q$1006:S1006),$Q$1006:$U$1006,0)), HYPERLINK("#",""), HYPERLINK(CONCATENATE("#metadata!", ADDRESS(INDEX($L$2:$L$1001,MATCH(ROWS($J$2:J841),$J$2:$J$1001,0),0), INDEX($Q$1004:$U$1004,1,MATCH(COLUMNS($Q$1006:S1006),$Q$1006:$U$1006,0)))),"Fix")))</f>
        <v xml:space="preserve"> </v>
      </c>
      <c r="E841" s="3" t="str">
        <f ca="1">IF(OR(INDEX($K$2:$K$1001,MATCH(ROWS($J$2:J841),$J$2:$J$1001,0),1)&gt;=100000,INDEX($Q$1005:$U$1005,1,MATCH(COLUMNS($Q$1006:T1006),$Q$1006:$U$1006,0))&gt;=100000), " ",IF(INDEX($Q$2:$U$1001,MATCH(ROWS($J$2:J841),$J$2:$J$1001,0),MATCH(COLUMNS($Q$1006:T1006),$Q$1006:$U$1006,0)), HYPERLINK("#",""), HYPERLINK(CONCATENATE("#metadata!", ADDRESS(INDEX($L$2:$L$1001,MATCH(ROWS($J$2:J841),$J$2:$J$1001,0),0), INDEX($Q$1004:$U$1004,1,MATCH(COLUMNS($Q$1006:T1006),$Q$1006:$U$1006,0)))),"Fix")))</f>
        <v xml:space="preserve"> </v>
      </c>
      <c r="F841" s="3" t="str">
        <f ca="1">IF(OR(INDEX($K$2:$K$1001,MATCH(ROWS($J$2:J841),$J$2:$J$1001,0),1)&gt;=100000,INDEX($Q$1005:$U$1005,1,MATCH(COLUMNS($Q$1006:U1006),$Q$1006:$U$1006,0))&gt;=100000), " ",IF(INDEX($Q$2:$U$1001,MATCH(ROWS($J$2:J841),$J$2:$J$1001,0),MATCH(COLUMNS($Q$1006:U1006),$Q$1006:$U$1006,0)), HYPERLINK("#",""), HYPERLINK(CONCATENATE("#metadata!", ADDRESS(INDEX($L$2:$L$1001,MATCH(ROWS($J$2:J841),$J$2:$J$1001,0),0), INDEX($Q$1004:$U$1004,1,MATCH(COLUMNS($Q$1006:U1006),$Q$1006:$U$1006,0)))),"Fix")))</f>
        <v xml:space="preserve"> </v>
      </c>
      <c r="J841">
        <v>840</v>
      </c>
      <c r="K841">
        <v>100841</v>
      </c>
      <c r="L841">
        <v>841</v>
      </c>
      <c r="M841" t="b">
        <f t="shared" si="13"/>
        <v>1</v>
      </c>
      <c r="N841" t="b">
        <f>COUNTBLANK(metadata!B841:F841)=COLUMNS(metadata!B841:F841)</f>
        <v>1</v>
      </c>
      <c r="O841" t="str">
        <v/>
      </c>
      <c r="Q841" t="b">
        <f ca="1">AND(IF(metadata!B841="",FALSE,TRUE),COUNTIF(metadata!B:B, metadata!B841) = 1,NOT(ISERROR(SUMPRODUCT(SEARCH(MID(metadata!B841,ROW(INDIRECT("1:"&amp;LEN(metadata!B841))), 1),"0123456789abcdefghijklmnopqrstuvwxyzABCDEFGHIJKLMNOPQRSTUVWXYZ.")))))</f>
        <v>0</v>
      </c>
      <c r="R841" t="b">
        <f>AND(IF(metadata!C841="",FALSE,TRUE),OR(EXACT(metadata!C841,"saline"),EXACT(metadata!C841,"non-saline")))</f>
        <v>0</v>
      </c>
      <c r="S841" t="b">
        <f>AND(IF(metadata!D841="",FALSE,TRUE),OR(EXACT(metadata!D841,"surface (non-saline)"),EXACT(metadata!D841,"aerosol (non-saline)"),EXACT(metadata!D841,"sediment (non-saline)"),EXACT(metadata!D841,"surface (saline)"),EXACT(metadata!D841,"aerosol (saline)"),EXACT(metadata!D841,"sediment (saline)")))</f>
        <v>0</v>
      </c>
      <c r="T841" t="b">
        <f>AND(IF(metadata!E841="",FALSE,TRUE),EXACT(metadata!E841,"built environment"))</f>
        <v>0</v>
      </c>
      <c r="U841" t="b">
        <f>OR(AND(IF(metadata!F841="",FALSE,TRUE),EXACT(metadata!F841,"not applicable")),AND(IF(metadata!F841="",FALSE,TRUE),EXACT(metadata!F841,"anaerobic digester content")))</f>
        <v>0</v>
      </c>
    </row>
    <row r="842" spans="1:21" x14ac:dyDescent="0.2">
      <c r="A842" s="4" t="str">
        <f ca="1">IF(B842=" "," ",HYPERLINK(CONCATENATE("#metadata!",ADDRESS(INDEX($L$2:$L$1001,MATCH(ROWS($J$2:J842),$J$2:$J$1001,0),0),1)),INDEX($O$2:$O$1001,MATCH(ROWS($J$2:J842),$J$2:$J$1001,0),0)))</f>
        <v xml:space="preserve"> </v>
      </c>
      <c r="B842" s="3" t="str">
        <f ca="1">IF(OR(INDEX($K$2:$K$1001,MATCH(ROWS($J$2:J842),$J$2:$J$1001,0),1)&gt;=100000,INDEX($Q$1005:$U$1005,1,MATCH(COLUMNS($Q$1006:Q1006),$Q$1006:$U$1006,0))&gt;=100000), " ",IF(INDEX($Q$2:$U$1001,MATCH(ROWS($J$2:J842),$J$2:$J$1001,0),MATCH(COLUMNS($Q$1006:Q1006),$Q$1006:$U$1006,0)), HYPERLINK("#",""), HYPERLINK(CONCATENATE("#metadata!", ADDRESS(INDEX($L$2:$L$1001,MATCH(ROWS($J$2:J842),$J$2:$J$1001,0),0), INDEX($Q$1004:$U$1004,1,MATCH(COLUMNS($Q$1006:Q1006),$Q$1006:$U$1006,0)))),"Fix")))</f>
        <v xml:space="preserve"> </v>
      </c>
      <c r="C842" s="3" t="str">
        <f ca="1">IF(OR(INDEX($K$2:$K$1001,MATCH(ROWS($J$2:J842),$J$2:$J$1001,0),1)&gt;=100000,INDEX($Q$1005:$U$1005,1,MATCH(COLUMNS($Q$1006:R1006),$Q$1006:$U$1006,0))&gt;=100000), " ",IF(INDEX($Q$2:$U$1001,MATCH(ROWS($J$2:J842),$J$2:$J$1001,0),MATCH(COLUMNS($Q$1006:R1006),$Q$1006:$U$1006,0)), HYPERLINK("#",""), HYPERLINK(CONCATENATE("#metadata!", ADDRESS(INDEX($L$2:$L$1001,MATCH(ROWS($J$2:J842),$J$2:$J$1001,0),0), INDEX($Q$1004:$U$1004,1,MATCH(COLUMNS($Q$1006:R1006),$Q$1006:$U$1006,0)))),"Fix")))</f>
        <v xml:space="preserve"> </v>
      </c>
      <c r="D842" s="3" t="str">
        <f ca="1">IF(OR(INDEX($K$2:$K$1001,MATCH(ROWS($J$2:J842),$J$2:$J$1001,0),1)&gt;=100000,INDEX($Q$1005:$U$1005,1,MATCH(COLUMNS($Q$1006:S1006),$Q$1006:$U$1006,0))&gt;=100000), " ",IF(INDEX($Q$2:$U$1001,MATCH(ROWS($J$2:J842),$J$2:$J$1001,0),MATCH(COLUMNS($Q$1006:S1006),$Q$1006:$U$1006,0)), HYPERLINK("#",""), HYPERLINK(CONCATENATE("#metadata!", ADDRESS(INDEX($L$2:$L$1001,MATCH(ROWS($J$2:J842),$J$2:$J$1001,0),0), INDEX($Q$1004:$U$1004,1,MATCH(COLUMNS($Q$1006:S1006),$Q$1006:$U$1006,0)))),"Fix")))</f>
        <v xml:space="preserve"> </v>
      </c>
      <c r="E842" s="3" t="str">
        <f ca="1">IF(OR(INDEX($K$2:$K$1001,MATCH(ROWS($J$2:J842),$J$2:$J$1001,0),1)&gt;=100000,INDEX($Q$1005:$U$1005,1,MATCH(COLUMNS($Q$1006:T1006),$Q$1006:$U$1006,0))&gt;=100000), " ",IF(INDEX($Q$2:$U$1001,MATCH(ROWS($J$2:J842),$J$2:$J$1001,0),MATCH(COLUMNS($Q$1006:T1006),$Q$1006:$U$1006,0)), HYPERLINK("#",""), HYPERLINK(CONCATENATE("#metadata!", ADDRESS(INDEX($L$2:$L$1001,MATCH(ROWS($J$2:J842),$J$2:$J$1001,0),0), INDEX($Q$1004:$U$1004,1,MATCH(COLUMNS($Q$1006:T1006),$Q$1006:$U$1006,0)))),"Fix")))</f>
        <v xml:space="preserve"> </v>
      </c>
      <c r="F842" s="3" t="str">
        <f ca="1">IF(OR(INDEX($K$2:$K$1001,MATCH(ROWS($J$2:J842),$J$2:$J$1001,0),1)&gt;=100000,INDEX($Q$1005:$U$1005,1,MATCH(COLUMNS($Q$1006:U1006),$Q$1006:$U$1006,0))&gt;=100000), " ",IF(INDEX($Q$2:$U$1001,MATCH(ROWS($J$2:J842),$J$2:$J$1001,0),MATCH(COLUMNS($Q$1006:U1006),$Q$1006:$U$1006,0)), HYPERLINK("#",""), HYPERLINK(CONCATENATE("#metadata!", ADDRESS(INDEX($L$2:$L$1001,MATCH(ROWS($J$2:J842),$J$2:$J$1001,0),0), INDEX($Q$1004:$U$1004,1,MATCH(COLUMNS($Q$1006:U1006),$Q$1006:$U$1006,0)))),"Fix")))</f>
        <v xml:space="preserve"> </v>
      </c>
      <c r="J842">
        <v>841</v>
      </c>
      <c r="K842">
        <v>100842</v>
      </c>
      <c r="L842">
        <v>842</v>
      </c>
      <c r="M842" t="b">
        <f t="shared" si="13"/>
        <v>1</v>
      </c>
      <c r="N842" t="b">
        <f>COUNTBLANK(metadata!B842:F842)=COLUMNS(metadata!B842:F842)</f>
        <v>1</v>
      </c>
      <c r="O842" t="str">
        <v/>
      </c>
      <c r="Q842" t="b">
        <f ca="1">AND(IF(metadata!B842="",FALSE,TRUE),COUNTIF(metadata!B:B, metadata!B842) = 1,NOT(ISERROR(SUMPRODUCT(SEARCH(MID(metadata!B842,ROW(INDIRECT("1:"&amp;LEN(metadata!B842))), 1),"0123456789abcdefghijklmnopqrstuvwxyzABCDEFGHIJKLMNOPQRSTUVWXYZ.")))))</f>
        <v>0</v>
      </c>
      <c r="R842" t="b">
        <f>AND(IF(metadata!C842="",FALSE,TRUE),OR(EXACT(metadata!C842,"saline"),EXACT(metadata!C842,"non-saline")))</f>
        <v>0</v>
      </c>
      <c r="S842" t="b">
        <f>AND(IF(metadata!D842="",FALSE,TRUE),OR(EXACT(metadata!D842,"surface (non-saline)"),EXACT(metadata!D842,"aerosol (non-saline)"),EXACT(metadata!D842,"sediment (non-saline)"),EXACT(metadata!D842,"surface (saline)"),EXACT(metadata!D842,"aerosol (saline)"),EXACT(metadata!D842,"sediment (saline)")))</f>
        <v>0</v>
      </c>
      <c r="T842" t="b">
        <f>AND(IF(metadata!E842="",FALSE,TRUE),EXACT(metadata!E842,"built environment"))</f>
        <v>0</v>
      </c>
      <c r="U842" t="b">
        <f>OR(AND(IF(metadata!F842="",FALSE,TRUE),EXACT(metadata!F842,"not applicable")),AND(IF(metadata!F842="",FALSE,TRUE),EXACT(metadata!F842,"anaerobic digester content")))</f>
        <v>0</v>
      </c>
    </row>
    <row r="843" spans="1:21" x14ac:dyDescent="0.2">
      <c r="A843" s="4" t="str">
        <f ca="1">IF(B843=" "," ",HYPERLINK(CONCATENATE("#metadata!",ADDRESS(INDEX($L$2:$L$1001,MATCH(ROWS($J$2:J843),$J$2:$J$1001,0),0),1)),INDEX($O$2:$O$1001,MATCH(ROWS($J$2:J843),$J$2:$J$1001,0),0)))</f>
        <v xml:space="preserve"> </v>
      </c>
      <c r="B843" s="3" t="str">
        <f ca="1">IF(OR(INDEX($K$2:$K$1001,MATCH(ROWS($J$2:J843),$J$2:$J$1001,0),1)&gt;=100000,INDEX($Q$1005:$U$1005,1,MATCH(COLUMNS($Q$1006:Q1006),$Q$1006:$U$1006,0))&gt;=100000), " ",IF(INDEX($Q$2:$U$1001,MATCH(ROWS($J$2:J843),$J$2:$J$1001,0),MATCH(COLUMNS($Q$1006:Q1006),$Q$1006:$U$1006,0)), HYPERLINK("#",""), HYPERLINK(CONCATENATE("#metadata!", ADDRESS(INDEX($L$2:$L$1001,MATCH(ROWS($J$2:J843),$J$2:$J$1001,0),0), INDEX($Q$1004:$U$1004,1,MATCH(COLUMNS($Q$1006:Q1006),$Q$1006:$U$1006,0)))),"Fix")))</f>
        <v xml:space="preserve"> </v>
      </c>
      <c r="C843" s="3" t="str">
        <f ca="1">IF(OR(INDEX($K$2:$K$1001,MATCH(ROWS($J$2:J843),$J$2:$J$1001,0),1)&gt;=100000,INDEX($Q$1005:$U$1005,1,MATCH(COLUMNS($Q$1006:R1006),$Q$1006:$U$1006,0))&gt;=100000), " ",IF(INDEX($Q$2:$U$1001,MATCH(ROWS($J$2:J843),$J$2:$J$1001,0),MATCH(COLUMNS($Q$1006:R1006),$Q$1006:$U$1006,0)), HYPERLINK("#",""), HYPERLINK(CONCATENATE("#metadata!", ADDRESS(INDEX($L$2:$L$1001,MATCH(ROWS($J$2:J843),$J$2:$J$1001,0),0), INDEX($Q$1004:$U$1004,1,MATCH(COLUMNS($Q$1006:R1006),$Q$1006:$U$1006,0)))),"Fix")))</f>
        <v xml:space="preserve"> </v>
      </c>
      <c r="D843" s="3" t="str">
        <f ca="1">IF(OR(INDEX($K$2:$K$1001,MATCH(ROWS($J$2:J843),$J$2:$J$1001,0),1)&gt;=100000,INDEX($Q$1005:$U$1005,1,MATCH(COLUMNS($Q$1006:S1006),$Q$1006:$U$1006,0))&gt;=100000), " ",IF(INDEX($Q$2:$U$1001,MATCH(ROWS($J$2:J843),$J$2:$J$1001,0),MATCH(COLUMNS($Q$1006:S1006),$Q$1006:$U$1006,0)), HYPERLINK("#",""), HYPERLINK(CONCATENATE("#metadata!", ADDRESS(INDEX($L$2:$L$1001,MATCH(ROWS($J$2:J843),$J$2:$J$1001,0),0), INDEX($Q$1004:$U$1004,1,MATCH(COLUMNS($Q$1006:S1006),$Q$1006:$U$1006,0)))),"Fix")))</f>
        <v xml:space="preserve"> </v>
      </c>
      <c r="E843" s="3" t="str">
        <f ca="1">IF(OR(INDEX($K$2:$K$1001,MATCH(ROWS($J$2:J843),$J$2:$J$1001,0),1)&gt;=100000,INDEX($Q$1005:$U$1005,1,MATCH(COLUMNS($Q$1006:T1006),$Q$1006:$U$1006,0))&gt;=100000), " ",IF(INDEX($Q$2:$U$1001,MATCH(ROWS($J$2:J843),$J$2:$J$1001,0),MATCH(COLUMNS($Q$1006:T1006),$Q$1006:$U$1006,0)), HYPERLINK("#",""), HYPERLINK(CONCATENATE("#metadata!", ADDRESS(INDEX($L$2:$L$1001,MATCH(ROWS($J$2:J843),$J$2:$J$1001,0),0), INDEX($Q$1004:$U$1004,1,MATCH(COLUMNS($Q$1006:T1006),$Q$1006:$U$1006,0)))),"Fix")))</f>
        <v xml:space="preserve"> </v>
      </c>
      <c r="F843" s="3" t="str">
        <f ca="1">IF(OR(INDEX($K$2:$K$1001,MATCH(ROWS($J$2:J843),$J$2:$J$1001,0),1)&gt;=100000,INDEX($Q$1005:$U$1005,1,MATCH(COLUMNS($Q$1006:U1006),$Q$1006:$U$1006,0))&gt;=100000), " ",IF(INDEX($Q$2:$U$1001,MATCH(ROWS($J$2:J843),$J$2:$J$1001,0),MATCH(COLUMNS($Q$1006:U1006),$Q$1006:$U$1006,0)), HYPERLINK("#",""), HYPERLINK(CONCATENATE("#metadata!", ADDRESS(INDEX($L$2:$L$1001,MATCH(ROWS($J$2:J843),$J$2:$J$1001,0),0), INDEX($Q$1004:$U$1004,1,MATCH(COLUMNS($Q$1006:U1006),$Q$1006:$U$1006,0)))),"Fix")))</f>
        <v xml:space="preserve"> </v>
      </c>
      <c r="J843">
        <v>842</v>
      </c>
      <c r="K843">
        <v>100843</v>
      </c>
      <c r="L843">
        <v>843</v>
      </c>
      <c r="M843" t="b">
        <f t="shared" si="13"/>
        <v>1</v>
      </c>
      <c r="N843" t="b">
        <f>COUNTBLANK(metadata!B843:F843)=COLUMNS(metadata!B843:F843)</f>
        <v>1</v>
      </c>
      <c r="O843" t="str">
        <v/>
      </c>
      <c r="Q843" t="b">
        <f ca="1">AND(IF(metadata!B843="",FALSE,TRUE),COUNTIF(metadata!B:B, metadata!B843) = 1,NOT(ISERROR(SUMPRODUCT(SEARCH(MID(metadata!B843,ROW(INDIRECT("1:"&amp;LEN(metadata!B843))), 1),"0123456789abcdefghijklmnopqrstuvwxyzABCDEFGHIJKLMNOPQRSTUVWXYZ.")))))</f>
        <v>0</v>
      </c>
      <c r="R843" t="b">
        <f>AND(IF(metadata!C843="",FALSE,TRUE),OR(EXACT(metadata!C843,"saline"),EXACT(metadata!C843,"non-saline")))</f>
        <v>0</v>
      </c>
      <c r="S843" t="b">
        <f>AND(IF(metadata!D843="",FALSE,TRUE),OR(EXACT(metadata!D843,"surface (non-saline)"),EXACT(metadata!D843,"aerosol (non-saline)"),EXACT(metadata!D843,"sediment (non-saline)"),EXACT(metadata!D843,"surface (saline)"),EXACT(metadata!D843,"aerosol (saline)"),EXACT(metadata!D843,"sediment (saline)")))</f>
        <v>0</v>
      </c>
      <c r="T843" t="b">
        <f>AND(IF(metadata!E843="",FALSE,TRUE),EXACT(metadata!E843,"built environment"))</f>
        <v>0</v>
      </c>
      <c r="U843" t="b">
        <f>OR(AND(IF(metadata!F843="",FALSE,TRUE),EXACT(metadata!F843,"not applicable")),AND(IF(metadata!F843="",FALSE,TRUE),EXACT(metadata!F843,"anaerobic digester content")))</f>
        <v>0</v>
      </c>
    </row>
    <row r="844" spans="1:21" x14ac:dyDescent="0.2">
      <c r="A844" s="4" t="str">
        <f ca="1">IF(B844=" "," ",HYPERLINK(CONCATENATE("#metadata!",ADDRESS(INDEX($L$2:$L$1001,MATCH(ROWS($J$2:J844),$J$2:$J$1001,0),0),1)),INDEX($O$2:$O$1001,MATCH(ROWS($J$2:J844),$J$2:$J$1001,0),0)))</f>
        <v xml:space="preserve"> </v>
      </c>
      <c r="B844" s="3" t="str">
        <f ca="1">IF(OR(INDEX($K$2:$K$1001,MATCH(ROWS($J$2:J844),$J$2:$J$1001,0),1)&gt;=100000,INDEX($Q$1005:$U$1005,1,MATCH(COLUMNS($Q$1006:Q1006),$Q$1006:$U$1006,0))&gt;=100000), " ",IF(INDEX($Q$2:$U$1001,MATCH(ROWS($J$2:J844),$J$2:$J$1001,0),MATCH(COLUMNS($Q$1006:Q1006),$Q$1006:$U$1006,0)), HYPERLINK("#",""), HYPERLINK(CONCATENATE("#metadata!", ADDRESS(INDEX($L$2:$L$1001,MATCH(ROWS($J$2:J844),$J$2:$J$1001,0),0), INDEX($Q$1004:$U$1004,1,MATCH(COLUMNS($Q$1006:Q1006),$Q$1006:$U$1006,0)))),"Fix")))</f>
        <v xml:space="preserve"> </v>
      </c>
      <c r="C844" s="3" t="str">
        <f ca="1">IF(OR(INDEX($K$2:$K$1001,MATCH(ROWS($J$2:J844),$J$2:$J$1001,0),1)&gt;=100000,INDEX($Q$1005:$U$1005,1,MATCH(COLUMNS($Q$1006:R1006),$Q$1006:$U$1006,0))&gt;=100000), " ",IF(INDEX($Q$2:$U$1001,MATCH(ROWS($J$2:J844),$J$2:$J$1001,0),MATCH(COLUMNS($Q$1006:R1006),$Q$1006:$U$1006,0)), HYPERLINK("#",""), HYPERLINK(CONCATENATE("#metadata!", ADDRESS(INDEX($L$2:$L$1001,MATCH(ROWS($J$2:J844),$J$2:$J$1001,0),0), INDEX($Q$1004:$U$1004,1,MATCH(COLUMNS($Q$1006:R1006),$Q$1006:$U$1006,0)))),"Fix")))</f>
        <v xml:space="preserve"> </v>
      </c>
      <c r="D844" s="3" t="str">
        <f ca="1">IF(OR(INDEX($K$2:$K$1001,MATCH(ROWS($J$2:J844),$J$2:$J$1001,0),1)&gt;=100000,INDEX($Q$1005:$U$1005,1,MATCH(COLUMNS($Q$1006:S1006),$Q$1006:$U$1006,0))&gt;=100000), " ",IF(INDEX($Q$2:$U$1001,MATCH(ROWS($J$2:J844),$J$2:$J$1001,0),MATCH(COLUMNS($Q$1006:S1006),$Q$1006:$U$1006,0)), HYPERLINK("#",""), HYPERLINK(CONCATENATE("#metadata!", ADDRESS(INDEX($L$2:$L$1001,MATCH(ROWS($J$2:J844),$J$2:$J$1001,0),0), INDEX($Q$1004:$U$1004,1,MATCH(COLUMNS($Q$1006:S1006),$Q$1006:$U$1006,0)))),"Fix")))</f>
        <v xml:space="preserve"> </v>
      </c>
      <c r="E844" s="3" t="str">
        <f ca="1">IF(OR(INDEX($K$2:$K$1001,MATCH(ROWS($J$2:J844),$J$2:$J$1001,0),1)&gt;=100000,INDEX($Q$1005:$U$1005,1,MATCH(COLUMNS($Q$1006:T1006),$Q$1006:$U$1006,0))&gt;=100000), " ",IF(INDEX($Q$2:$U$1001,MATCH(ROWS($J$2:J844),$J$2:$J$1001,0),MATCH(COLUMNS($Q$1006:T1006),$Q$1006:$U$1006,0)), HYPERLINK("#",""), HYPERLINK(CONCATENATE("#metadata!", ADDRESS(INDEX($L$2:$L$1001,MATCH(ROWS($J$2:J844),$J$2:$J$1001,0),0), INDEX($Q$1004:$U$1004,1,MATCH(COLUMNS($Q$1006:T1006),$Q$1006:$U$1006,0)))),"Fix")))</f>
        <v xml:space="preserve"> </v>
      </c>
      <c r="F844" s="3" t="str">
        <f ca="1">IF(OR(INDEX($K$2:$K$1001,MATCH(ROWS($J$2:J844),$J$2:$J$1001,0),1)&gt;=100000,INDEX($Q$1005:$U$1005,1,MATCH(COLUMNS($Q$1006:U1006),$Q$1006:$U$1006,0))&gt;=100000), " ",IF(INDEX($Q$2:$U$1001,MATCH(ROWS($J$2:J844),$J$2:$J$1001,0),MATCH(COLUMNS($Q$1006:U1006),$Q$1006:$U$1006,0)), HYPERLINK("#",""), HYPERLINK(CONCATENATE("#metadata!", ADDRESS(INDEX($L$2:$L$1001,MATCH(ROWS($J$2:J844),$J$2:$J$1001,0),0), INDEX($Q$1004:$U$1004,1,MATCH(COLUMNS($Q$1006:U1006),$Q$1006:$U$1006,0)))),"Fix")))</f>
        <v xml:space="preserve"> </v>
      </c>
      <c r="J844">
        <v>843</v>
      </c>
      <c r="K844">
        <v>100844</v>
      </c>
      <c r="L844">
        <v>844</v>
      </c>
      <c r="M844" t="b">
        <f t="shared" si="13"/>
        <v>1</v>
      </c>
      <c r="N844" t="b">
        <f>COUNTBLANK(metadata!B844:F844)=COLUMNS(metadata!B844:F844)</f>
        <v>1</v>
      </c>
      <c r="O844" t="str">
        <v/>
      </c>
      <c r="Q844" t="b">
        <f ca="1">AND(IF(metadata!B844="",FALSE,TRUE),COUNTIF(metadata!B:B, metadata!B844) = 1,NOT(ISERROR(SUMPRODUCT(SEARCH(MID(metadata!B844,ROW(INDIRECT("1:"&amp;LEN(metadata!B844))), 1),"0123456789abcdefghijklmnopqrstuvwxyzABCDEFGHIJKLMNOPQRSTUVWXYZ.")))))</f>
        <v>0</v>
      </c>
      <c r="R844" t="b">
        <f>AND(IF(metadata!C844="",FALSE,TRUE),OR(EXACT(metadata!C844,"saline"),EXACT(metadata!C844,"non-saline")))</f>
        <v>0</v>
      </c>
      <c r="S844" t="b">
        <f>AND(IF(metadata!D844="",FALSE,TRUE),OR(EXACT(metadata!D844,"surface (non-saline)"),EXACT(metadata!D844,"aerosol (non-saline)"),EXACT(metadata!D844,"sediment (non-saline)"),EXACT(metadata!D844,"surface (saline)"),EXACT(metadata!D844,"aerosol (saline)"),EXACT(metadata!D844,"sediment (saline)")))</f>
        <v>0</v>
      </c>
      <c r="T844" t="b">
        <f>AND(IF(metadata!E844="",FALSE,TRUE),EXACT(metadata!E844,"built environment"))</f>
        <v>0</v>
      </c>
      <c r="U844" t="b">
        <f>OR(AND(IF(metadata!F844="",FALSE,TRUE),EXACT(metadata!F844,"not applicable")),AND(IF(metadata!F844="",FALSE,TRUE),EXACT(metadata!F844,"anaerobic digester content")))</f>
        <v>0</v>
      </c>
    </row>
    <row r="845" spans="1:21" x14ac:dyDescent="0.2">
      <c r="A845" s="4" t="str">
        <f ca="1">IF(B845=" "," ",HYPERLINK(CONCATENATE("#metadata!",ADDRESS(INDEX($L$2:$L$1001,MATCH(ROWS($J$2:J845),$J$2:$J$1001,0),0),1)),INDEX($O$2:$O$1001,MATCH(ROWS($J$2:J845),$J$2:$J$1001,0),0)))</f>
        <v xml:space="preserve"> </v>
      </c>
      <c r="B845" s="3" t="str">
        <f ca="1">IF(OR(INDEX($K$2:$K$1001,MATCH(ROWS($J$2:J845),$J$2:$J$1001,0),1)&gt;=100000,INDEX($Q$1005:$U$1005,1,MATCH(COLUMNS($Q$1006:Q1006),$Q$1006:$U$1006,0))&gt;=100000), " ",IF(INDEX($Q$2:$U$1001,MATCH(ROWS($J$2:J845),$J$2:$J$1001,0),MATCH(COLUMNS($Q$1006:Q1006),$Q$1006:$U$1006,0)), HYPERLINK("#",""), HYPERLINK(CONCATENATE("#metadata!", ADDRESS(INDEX($L$2:$L$1001,MATCH(ROWS($J$2:J845),$J$2:$J$1001,0),0), INDEX($Q$1004:$U$1004,1,MATCH(COLUMNS($Q$1006:Q1006),$Q$1006:$U$1006,0)))),"Fix")))</f>
        <v xml:space="preserve"> </v>
      </c>
      <c r="C845" s="3" t="str">
        <f ca="1">IF(OR(INDEX($K$2:$K$1001,MATCH(ROWS($J$2:J845),$J$2:$J$1001,0),1)&gt;=100000,INDEX($Q$1005:$U$1005,1,MATCH(COLUMNS($Q$1006:R1006),$Q$1006:$U$1006,0))&gt;=100000), " ",IF(INDEX($Q$2:$U$1001,MATCH(ROWS($J$2:J845),$J$2:$J$1001,0),MATCH(COLUMNS($Q$1006:R1006),$Q$1006:$U$1006,0)), HYPERLINK("#",""), HYPERLINK(CONCATENATE("#metadata!", ADDRESS(INDEX($L$2:$L$1001,MATCH(ROWS($J$2:J845),$J$2:$J$1001,0),0), INDEX($Q$1004:$U$1004,1,MATCH(COLUMNS($Q$1006:R1006),$Q$1006:$U$1006,0)))),"Fix")))</f>
        <v xml:space="preserve"> </v>
      </c>
      <c r="D845" s="3" t="str">
        <f ca="1">IF(OR(INDEX($K$2:$K$1001,MATCH(ROWS($J$2:J845),$J$2:$J$1001,0),1)&gt;=100000,INDEX($Q$1005:$U$1005,1,MATCH(COLUMNS($Q$1006:S1006),$Q$1006:$U$1006,0))&gt;=100000), " ",IF(INDEX($Q$2:$U$1001,MATCH(ROWS($J$2:J845),$J$2:$J$1001,0),MATCH(COLUMNS($Q$1006:S1006),$Q$1006:$U$1006,0)), HYPERLINK("#",""), HYPERLINK(CONCATENATE("#metadata!", ADDRESS(INDEX($L$2:$L$1001,MATCH(ROWS($J$2:J845),$J$2:$J$1001,0),0), INDEX($Q$1004:$U$1004,1,MATCH(COLUMNS($Q$1006:S1006),$Q$1006:$U$1006,0)))),"Fix")))</f>
        <v xml:space="preserve"> </v>
      </c>
      <c r="E845" s="3" t="str">
        <f ca="1">IF(OR(INDEX($K$2:$K$1001,MATCH(ROWS($J$2:J845),$J$2:$J$1001,0),1)&gt;=100000,INDEX($Q$1005:$U$1005,1,MATCH(COLUMNS($Q$1006:T1006),$Q$1006:$U$1006,0))&gt;=100000), " ",IF(INDEX($Q$2:$U$1001,MATCH(ROWS($J$2:J845),$J$2:$J$1001,0),MATCH(COLUMNS($Q$1006:T1006),$Q$1006:$U$1006,0)), HYPERLINK("#",""), HYPERLINK(CONCATENATE("#metadata!", ADDRESS(INDEX($L$2:$L$1001,MATCH(ROWS($J$2:J845),$J$2:$J$1001,0),0), INDEX($Q$1004:$U$1004,1,MATCH(COLUMNS($Q$1006:T1006),$Q$1006:$U$1006,0)))),"Fix")))</f>
        <v xml:space="preserve"> </v>
      </c>
      <c r="F845" s="3" t="str">
        <f ca="1">IF(OR(INDEX($K$2:$K$1001,MATCH(ROWS($J$2:J845),$J$2:$J$1001,0),1)&gt;=100000,INDEX($Q$1005:$U$1005,1,MATCH(COLUMNS($Q$1006:U1006),$Q$1006:$U$1006,0))&gt;=100000), " ",IF(INDEX($Q$2:$U$1001,MATCH(ROWS($J$2:J845),$J$2:$J$1001,0),MATCH(COLUMNS($Q$1006:U1006),$Q$1006:$U$1006,0)), HYPERLINK("#",""), HYPERLINK(CONCATENATE("#metadata!", ADDRESS(INDEX($L$2:$L$1001,MATCH(ROWS($J$2:J845),$J$2:$J$1001,0),0), INDEX($Q$1004:$U$1004,1,MATCH(COLUMNS($Q$1006:U1006),$Q$1006:$U$1006,0)))),"Fix")))</f>
        <v xml:space="preserve"> </v>
      </c>
      <c r="J845">
        <v>844</v>
      </c>
      <c r="K845">
        <v>100845</v>
      </c>
      <c r="L845">
        <v>845</v>
      </c>
      <c r="M845" t="b">
        <f t="shared" si="13"/>
        <v>1</v>
      </c>
      <c r="N845" t="b">
        <f>COUNTBLANK(metadata!B845:F845)=COLUMNS(metadata!B845:F845)</f>
        <v>1</v>
      </c>
      <c r="O845" t="str">
        <v/>
      </c>
      <c r="Q845" t="b">
        <f ca="1">AND(IF(metadata!B845="",FALSE,TRUE),COUNTIF(metadata!B:B, metadata!B845) = 1,NOT(ISERROR(SUMPRODUCT(SEARCH(MID(metadata!B845,ROW(INDIRECT("1:"&amp;LEN(metadata!B845))), 1),"0123456789abcdefghijklmnopqrstuvwxyzABCDEFGHIJKLMNOPQRSTUVWXYZ.")))))</f>
        <v>0</v>
      </c>
      <c r="R845" t="b">
        <f>AND(IF(metadata!C845="",FALSE,TRUE),OR(EXACT(metadata!C845,"saline"),EXACT(metadata!C845,"non-saline")))</f>
        <v>0</v>
      </c>
      <c r="S845" t="b">
        <f>AND(IF(metadata!D845="",FALSE,TRUE),OR(EXACT(metadata!D845,"surface (non-saline)"),EXACT(metadata!D845,"aerosol (non-saline)"),EXACT(metadata!D845,"sediment (non-saline)"),EXACT(metadata!D845,"surface (saline)"),EXACT(metadata!D845,"aerosol (saline)"),EXACT(metadata!D845,"sediment (saline)")))</f>
        <v>0</v>
      </c>
      <c r="T845" t="b">
        <f>AND(IF(metadata!E845="",FALSE,TRUE),EXACT(metadata!E845,"built environment"))</f>
        <v>0</v>
      </c>
      <c r="U845" t="b">
        <f>OR(AND(IF(metadata!F845="",FALSE,TRUE),EXACT(metadata!F845,"not applicable")),AND(IF(metadata!F845="",FALSE,TRUE),EXACT(metadata!F845,"anaerobic digester content")))</f>
        <v>0</v>
      </c>
    </row>
    <row r="846" spans="1:21" x14ac:dyDescent="0.2">
      <c r="A846" s="4" t="str">
        <f ca="1">IF(B846=" "," ",HYPERLINK(CONCATENATE("#metadata!",ADDRESS(INDEX($L$2:$L$1001,MATCH(ROWS($J$2:J846),$J$2:$J$1001,0),0),1)),INDEX($O$2:$O$1001,MATCH(ROWS($J$2:J846),$J$2:$J$1001,0),0)))</f>
        <v xml:space="preserve"> </v>
      </c>
      <c r="B846" s="3" t="str">
        <f ca="1">IF(OR(INDEX($K$2:$K$1001,MATCH(ROWS($J$2:J846),$J$2:$J$1001,0),1)&gt;=100000,INDEX($Q$1005:$U$1005,1,MATCH(COLUMNS($Q$1006:Q1006),$Q$1006:$U$1006,0))&gt;=100000), " ",IF(INDEX($Q$2:$U$1001,MATCH(ROWS($J$2:J846),$J$2:$J$1001,0),MATCH(COLUMNS($Q$1006:Q1006),$Q$1006:$U$1006,0)), HYPERLINK("#",""), HYPERLINK(CONCATENATE("#metadata!", ADDRESS(INDEX($L$2:$L$1001,MATCH(ROWS($J$2:J846),$J$2:$J$1001,0),0), INDEX($Q$1004:$U$1004,1,MATCH(COLUMNS($Q$1006:Q1006),$Q$1006:$U$1006,0)))),"Fix")))</f>
        <v xml:space="preserve"> </v>
      </c>
      <c r="C846" s="3" t="str">
        <f ca="1">IF(OR(INDEX($K$2:$K$1001,MATCH(ROWS($J$2:J846),$J$2:$J$1001,0),1)&gt;=100000,INDEX($Q$1005:$U$1005,1,MATCH(COLUMNS($Q$1006:R1006),$Q$1006:$U$1006,0))&gt;=100000), " ",IF(INDEX($Q$2:$U$1001,MATCH(ROWS($J$2:J846),$J$2:$J$1001,0),MATCH(COLUMNS($Q$1006:R1006),$Q$1006:$U$1006,0)), HYPERLINK("#",""), HYPERLINK(CONCATENATE("#metadata!", ADDRESS(INDEX($L$2:$L$1001,MATCH(ROWS($J$2:J846),$J$2:$J$1001,0),0), INDEX($Q$1004:$U$1004,1,MATCH(COLUMNS($Q$1006:R1006),$Q$1006:$U$1006,0)))),"Fix")))</f>
        <v xml:space="preserve"> </v>
      </c>
      <c r="D846" s="3" t="str">
        <f ca="1">IF(OR(INDEX($K$2:$K$1001,MATCH(ROWS($J$2:J846),$J$2:$J$1001,0),1)&gt;=100000,INDEX($Q$1005:$U$1005,1,MATCH(COLUMNS($Q$1006:S1006),$Q$1006:$U$1006,0))&gt;=100000), " ",IF(INDEX($Q$2:$U$1001,MATCH(ROWS($J$2:J846),$J$2:$J$1001,0),MATCH(COLUMNS($Q$1006:S1006),$Q$1006:$U$1006,0)), HYPERLINK("#",""), HYPERLINK(CONCATENATE("#metadata!", ADDRESS(INDEX($L$2:$L$1001,MATCH(ROWS($J$2:J846),$J$2:$J$1001,0),0), INDEX($Q$1004:$U$1004,1,MATCH(COLUMNS($Q$1006:S1006),$Q$1006:$U$1006,0)))),"Fix")))</f>
        <v xml:space="preserve"> </v>
      </c>
      <c r="E846" s="3" t="str">
        <f ca="1">IF(OR(INDEX($K$2:$K$1001,MATCH(ROWS($J$2:J846),$J$2:$J$1001,0),1)&gt;=100000,INDEX($Q$1005:$U$1005,1,MATCH(COLUMNS($Q$1006:T1006),$Q$1006:$U$1006,0))&gt;=100000), " ",IF(INDEX($Q$2:$U$1001,MATCH(ROWS($J$2:J846),$J$2:$J$1001,0),MATCH(COLUMNS($Q$1006:T1006),$Q$1006:$U$1006,0)), HYPERLINK("#",""), HYPERLINK(CONCATENATE("#metadata!", ADDRESS(INDEX($L$2:$L$1001,MATCH(ROWS($J$2:J846),$J$2:$J$1001,0),0), INDEX($Q$1004:$U$1004,1,MATCH(COLUMNS($Q$1006:T1006),$Q$1006:$U$1006,0)))),"Fix")))</f>
        <v xml:space="preserve"> </v>
      </c>
      <c r="F846" s="3" t="str">
        <f ca="1">IF(OR(INDEX($K$2:$K$1001,MATCH(ROWS($J$2:J846),$J$2:$J$1001,0),1)&gt;=100000,INDEX($Q$1005:$U$1005,1,MATCH(COLUMNS($Q$1006:U1006),$Q$1006:$U$1006,0))&gt;=100000), " ",IF(INDEX($Q$2:$U$1001,MATCH(ROWS($J$2:J846),$J$2:$J$1001,0),MATCH(COLUMNS($Q$1006:U1006),$Q$1006:$U$1006,0)), HYPERLINK("#",""), HYPERLINK(CONCATENATE("#metadata!", ADDRESS(INDEX($L$2:$L$1001,MATCH(ROWS($J$2:J846),$J$2:$J$1001,0),0), INDEX($Q$1004:$U$1004,1,MATCH(COLUMNS($Q$1006:U1006),$Q$1006:$U$1006,0)))),"Fix")))</f>
        <v xml:space="preserve"> </v>
      </c>
      <c r="J846">
        <v>845</v>
      </c>
      <c r="K846">
        <v>100846</v>
      </c>
      <c r="L846">
        <v>846</v>
      </c>
      <c r="M846" t="b">
        <f t="shared" si="13"/>
        <v>1</v>
      </c>
      <c r="N846" t="b">
        <f>COUNTBLANK(metadata!B846:F846)=COLUMNS(metadata!B846:F846)</f>
        <v>1</v>
      </c>
      <c r="O846" t="str">
        <v/>
      </c>
      <c r="Q846" t="b">
        <f ca="1">AND(IF(metadata!B846="",FALSE,TRUE),COUNTIF(metadata!B:B, metadata!B846) = 1,NOT(ISERROR(SUMPRODUCT(SEARCH(MID(metadata!B846,ROW(INDIRECT("1:"&amp;LEN(metadata!B846))), 1),"0123456789abcdefghijklmnopqrstuvwxyzABCDEFGHIJKLMNOPQRSTUVWXYZ.")))))</f>
        <v>0</v>
      </c>
      <c r="R846" t="b">
        <f>AND(IF(metadata!C846="",FALSE,TRUE),OR(EXACT(metadata!C846,"saline"),EXACT(metadata!C846,"non-saline")))</f>
        <v>0</v>
      </c>
      <c r="S846" t="b">
        <f>AND(IF(metadata!D846="",FALSE,TRUE),OR(EXACT(metadata!D846,"surface (non-saline)"),EXACT(metadata!D846,"aerosol (non-saline)"),EXACT(metadata!D846,"sediment (non-saline)"),EXACT(metadata!D846,"surface (saline)"),EXACT(metadata!D846,"aerosol (saline)"),EXACT(metadata!D846,"sediment (saline)")))</f>
        <v>0</v>
      </c>
      <c r="T846" t="b">
        <f>AND(IF(metadata!E846="",FALSE,TRUE),EXACT(metadata!E846,"built environment"))</f>
        <v>0</v>
      </c>
      <c r="U846" t="b">
        <f>OR(AND(IF(metadata!F846="",FALSE,TRUE),EXACT(metadata!F846,"not applicable")),AND(IF(metadata!F846="",FALSE,TRUE),EXACT(metadata!F846,"anaerobic digester content")))</f>
        <v>0</v>
      </c>
    </row>
    <row r="847" spans="1:21" x14ac:dyDescent="0.2">
      <c r="A847" s="4" t="str">
        <f ca="1">IF(B847=" "," ",HYPERLINK(CONCATENATE("#metadata!",ADDRESS(INDEX($L$2:$L$1001,MATCH(ROWS($J$2:J847),$J$2:$J$1001,0),0),1)),INDEX($O$2:$O$1001,MATCH(ROWS($J$2:J847),$J$2:$J$1001,0),0)))</f>
        <v xml:space="preserve"> </v>
      </c>
      <c r="B847" s="3" t="str">
        <f ca="1">IF(OR(INDEX($K$2:$K$1001,MATCH(ROWS($J$2:J847),$J$2:$J$1001,0),1)&gt;=100000,INDEX($Q$1005:$U$1005,1,MATCH(COLUMNS($Q$1006:Q1006),$Q$1006:$U$1006,0))&gt;=100000), " ",IF(INDEX($Q$2:$U$1001,MATCH(ROWS($J$2:J847),$J$2:$J$1001,0),MATCH(COLUMNS($Q$1006:Q1006),$Q$1006:$U$1006,0)), HYPERLINK("#",""), HYPERLINK(CONCATENATE("#metadata!", ADDRESS(INDEX($L$2:$L$1001,MATCH(ROWS($J$2:J847),$J$2:$J$1001,0),0), INDEX($Q$1004:$U$1004,1,MATCH(COLUMNS($Q$1006:Q1006),$Q$1006:$U$1006,0)))),"Fix")))</f>
        <v xml:space="preserve"> </v>
      </c>
      <c r="C847" s="3" t="str">
        <f ca="1">IF(OR(INDEX($K$2:$K$1001,MATCH(ROWS($J$2:J847),$J$2:$J$1001,0),1)&gt;=100000,INDEX($Q$1005:$U$1005,1,MATCH(COLUMNS($Q$1006:R1006),$Q$1006:$U$1006,0))&gt;=100000), " ",IF(INDEX($Q$2:$U$1001,MATCH(ROWS($J$2:J847),$J$2:$J$1001,0),MATCH(COLUMNS($Q$1006:R1006),$Q$1006:$U$1006,0)), HYPERLINK("#",""), HYPERLINK(CONCATENATE("#metadata!", ADDRESS(INDEX($L$2:$L$1001,MATCH(ROWS($J$2:J847),$J$2:$J$1001,0),0), INDEX($Q$1004:$U$1004,1,MATCH(COLUMNS($Q$1006:R1006),$Q$1006:$U$1006,0)))),"Fix")))</f>
        <v xml:space="preserve"> </v>
      </c>
      <c r="D847" s="3" t="str">
        <f ca="1">IF(OR(INDEX($K$2:$K$1001,MATCH(ROWS($J$2:J847),$J$2:$J$1001,0),1)&gt;=100000,INDEX($Q$1005:$U$1005,1,MATCH(COLUMNS($Q$1006:S1006),$Q$1006:$U$1006,0))&gt;=100000), " ",IF(INDEX($Q$2:$U$1001,MATCH(ROWS($J$2:J847),$J$2:$J$1001,0),MATCH(COLUMNS($Q$1006:S1006),$Q$1006:$U$1006,0)), HYPERLINK("#",""), HYPERLINK(CONCATENATE("#metadata!", ADDRESS(INDEX($L$2:$L$1001,MATCH(ROWS($J$2:J847),$J$2:$J$1001,0),0), INDEX($Q$1004:$U$1004,1,MATCH(COLUMNS($Q$1006:S1006),$Q$1006:$U$1006,0)))),"Fix")))</f>
        <v xml:space="preserve"> </v>
      </c>
      <c r="E847" s="3" t="str">
        <f ca="1">IF(OR(INDEX($K$2:$K$1001,MATCH(ROWS($J$2:J847),$J$2:$J$1001,0),1)&gt;=100000,INDEX($Q$1005:$U$1005,1,MATCH(COLUMNS($Q$1006:T1006),$Q$1006:$U$1006,0))&gt;=100000), " ",IF(INDEX($Q$2:$U$1001,MATCH(ROWS($J$2:J847),$J$2:$J$1001,0),MATCH(COLUMNS($Q$1006:T1006),$Q$1006:$U$1006,0)), HYPERLINK("#",""), HYPERLINK(CONCATENATE("#metadata!", ADDRESS(INDEX($L$2:$L$1001,MATCH(ROWS($J$2:J847),$J$2:$J$1001,0),0), INDEX($Q$1004:$U$1004,1,MATCH(COLUMNS($Q$1006:T1006),$Q$1006:$U$1006,0)))),"Fix")))</f>
        <v xml:space="preserve"> </v>
      </c>
      <c r="F847" s="3" t="str">
        <f ca="1">IF(OR(INDEX($K$2:$K$1001,MATCH(ROWS($J$2:J847),$J$2:$J$1001,0),1)&gt;=100000,INDEX($Q$1005:$U$1005,1,MATCH(COLUMNS($Q$1006:U1006),$Q$1006:$U$1006,0))&gt;=100000), " ",IF(INDEX($Q$2:$U$1001,MATCH(ROWS($J$2:J847),$J$2:$J$1001,0),MATCH(COLUMNS($Q$1006:U1006),$Q$1006:$U$1006,0)), HYPERLINK("#",""), HYPERLINK(CONCATENATE("#metadata!", ADDRESS(INDEX($L$2:$L$1001,MATCH(ROWS($J$2:J847),$J$2:$J$1001,0),0), INDEX($Q$1004:$U$1004,1,MATCH(COLUMNS($Q$1006:U1006),$Q$1006:$U$1006,0)))),"Fix")))</f>
        <v xml:space="preserve"> </v>
      </c>
      <c r="J847">
        <v>846</v>
      </c>
      <c r="K847">
        <v>100847</v>
      </c>
      <c r="L847">
        <v>847</v>
      </c>
      <c r="M847" t="b">
        <f t="shared" si="13"/>
        <v>1</v>
      </c>
      <c r="N847" t="b">
        <f>COUNTBLANK(metadata!B847:F847)=COLUMNS(metadata!B847:F847)</f>
        <v>1</v>
      </c>
      <c r="O847" t="str">
        <v/>
      </c>
      <c r="Q847" t="b">
        <f ca="1">AND(IF(metadata!B847="",FALSE,TRUE),COUNTIF(metadata!B:B, metadata!B847) = 1,NOT(ISERROR(SUMPRODUCT(SEARCH(MID(metadata!B847,ROW(INDIRECT("1:"&amp;LEN(metadata!B847))), 1),"0123456789abcdefghijklmnopqrstuvwxyzABCDEFGHIJKLMNOPQRSTUVWXYZ.")))))</f>
        <v>0</v>
      </c>
      <c r="R847" t="b">
        <f>AND(IF(metadata!C847="",FALSE,TRUE),OR(EXACT(metadata!C847,"saline"),EXACT(metadata!C847,"non-saline")))</f>
        <v>0</v>
      </c>
      <c r="S847" t="b">
        <f>AND(IF(metadata!D847="",FALSE,TRUE),OR(EXACT(metadata!D847,"surface (non-saline)"),EXACT(metadata!D847,"aerosol (non-saline)"),EXACT(metadata!D847,"sediment (non-saline)"),EXACT(metadata!D847,"surface (saline)"),EXACT(metadata!D847,"aerosol (saline)"),EXACT(metadata!D847,"sediment (saline)")))</f>
        <v>0</v>
      </c>
      <c r="T847" t="b">
        <f>AND(IF(metadata!E847="",FALSE,TRUE),EXACT(metadata!E847,"built environment"))</f>
        <v>0</v>
      </c>
      <c r="U847" t="b">
        <f>OR(AND(IF(metadata!F847="",FALSE,TRUE),EXACT(metadata!F847,"not applicable")),AND(IF(metadata!F847="",FALSE,TRUE),EXACT(metadata!F847,"anaerobic digester content")))</f>
        <v>0</v>
      </c>
    </row>
    <row r="848" spans="1:21" x14ac:dyDescent="0.2">
      <c r="A848" s="4" t="str">
        <f ca="1">IF(B848=" "," ",HYPERLINK(CONCATENATE("#metadata!",ADDRESS(INDEX($L$2:$L$1001,MATCH(ROWS($J$2:J848),$J$2:$J$1001,0),0),1)),INDEX($O$2:$O$1001,MATCH(ROWS($J$2:J848),$J$2:$J$1001,0),0)))</f>
        <v xml:space="preserve"> </v>
      </c>
      <c r="B848" s="3" t="str">
        <f ca="1">IF(OR(INDEX($K$2:$K$1001,MATCH(ROWS($J$2:J848),$J$2:$J$1001,0),1)&gt;=100000,INDEX($Q$1005:$U$1005,1,MATCH(COLUMNS($Q$1006:Q1006),$Q$1006:$U$1006,0))&gt;=100000), " ",IF(INDEX($Q$2:$U$1001,MATCH(ROWS($J$2:J848),$J$2:$J$1001,0),MATCH(COLUMNS($Q$1006:Q1006),$Q$1006:$U$1006,0)), HYPERLINK("#",""), HYPERLINK(CONCATENATE("#metadata!", ADDRESS(INDEX($L$2:$L$1001,MATCH(ROWS($J$2:J848),$J$2:$J$1001,0),0), INDEX($Q$1004:$U$1004,1,MATCH(COLUMNS($Q$1006:Q1006),$Q$1006:$U$1006,0)))),"Fix")))</f>
        <v xml:space="preserve"> </v>
      </c>
      <c r="C848" s="3" t="str">
        <f ca="1">IF(OR(INDEX($K$2:$K$1001,MATCH(ROWS($J$2:J848),$J$2:$J$1001,0),1)&gt;=100000,INDEX($Q$1005:$U$1005,1,MATCH(COLUMNS($Q$1006:R1006),$Q$1006:$U$1006,0))&gt;=100000), " ",IF(INDEX($Q$2:$U$1001,MATCH(ROWS($J$2:J848),$J$2:$J$1001,0),MATCH(COLUMNS($Q$1006:R1006),$Q$1006:$U$1006,0)), HYPERLINK("#",""), HYPERLINK(CONCATENATE("#metadata!", ADDRESS(INDEX($L$2:$L$1001,MATCH(ROWS($J$2:J848),$J$2:$J$1001,0),0), INDEX($Q$1004:$U$1004,1,MATCH(COLUMNS($Q$1006:R1006),$Q$1006:$U$1006,0)))),"Fix")))</f>
        <v xml:space="preserve"> </v>
      </c>
      <c r="D848" s="3" t="str">
        <f ca="1">IF(OR(INDEX($K$2:$K$1001,MATCH(ROWS($J$2:J848),$J$2:$J$1001,0),1)&gt;=100000,INDEX($Q$1005:$U$1005,1,MATCH(COLUMNS($Q$1006:S1006),$Q$1006:$U$1006,0))&gt;=100000), " ",IF(INDEX($Q$2:$U$1001,MATCH(ROWS($J$2:J848),$J$2:$J$1001,0),MATCH(COLUMNS($Q$1006:S1006),$Q$1006:$U$1006,0)), HYPERLINK("#",""), HYPERLINK(CONCATENATE("#metadata!", ADDRESS(INDEX($L$2:$L$1001,MATCH(ROWS($J$2:J848),$J$2:$J$1001,0),0), INDEX($Q$1004:$U$1004,1,MATCH(COLUMNS($Q$1006:S1006),$Q$1006:$U$1006,0)))),"Fix")))</f>
        <v xml:space="preserve"> </v>
      </c>
      <c r="E848" s="3" t="str">
        <f ca="1">IF(OR(INDEX($K$2:$K$1001,MATCH(ROWS($J$2:J848),$J$2:$J$1001,0),1)&gt;=100000,INDEX($Q$1005:$U$1005,1,MATCH(COLUMNS($Q$1006:T1006),$Q$1006:$U$1006,0))&gt;=100000), " ",IF(INDEX($Q$2:$U$1001,MATCH(ROWS($J$2:J848),$J$2:$J$1001,0),MATCH(COLUMNS($Q$1006:T1006),$Q$1006:$U$1006,0)), HYPERLINK("#",""), HYPERLINK(CONCATENATE("#metadata!", ADDRESS(INDEX($L$2:$L$1001,MATCH(ROWS($J$2:J848),$J$2:$J$1001,0),0), INDEX($Q$1004:$U$1004,1,MATCH(COLUMNS($Q$1006:T1006),$Q$1006:$U$1006,0)))),"Fix")))</f>
        <v xml:space="preserve"> </v>
      </c>
      <c r="F848" s="3" t="str">
        <f ca="1">IF(OR(INDEX($K$2:$K$1001,MATCH(ROWS($J$2:J848),$J$2:$J$1001,0),1)&gt;=100000,INDEX($Q$1005:$U$1005,1,MATCH(COLUMNS($Q$1006:U1006),$Q$1006:$U$1006,0))&gt;=100000), " ",IF(INDEX($Q$2:$U$1001,MATCH(ROWS($J$2:J848),$J$2:$J$1001,0),MATCH(COLUMNS($Q$1006:U1006),$Q$1006:$U$1006,0)), HYPERLINK("#",""), HYPERLINK(CONCATENATE("#metadata!", ADDRESS(INDEX($L$2:$L$1001,MATCH(ROWS($J$2:J848),$J$2:$J$1001,0),0), INDEX($Q$1004:$U$1004,1,MATCH(COLUMNS($Q$1006:U1006),$Q$1006:$U$1006,0)))),"Fix")))</f>
        <v xml:space="preserve"> </v>
      </c>
      <c r="J848">
        <v>847</v>
      </c>
      <c r="K848">
        <v>100848</v>
      </c>
      <c r="L848">
        <v>848</v>
      </c>
      <c r="M848" t="b">
        <f t="shared" si="13"/>
        <v>1</v>
      </c>
      <c r="N848" t="b">
        <f>COUNTBLANK(metadata!B848:F848)=COLUMNS(metadata!B848:F848)</f>
        <v>1</v>
      </c>
      <c r="O848" t="str">
        <v/>
      </c>
      <c r="Q848" t="b">
        <f ca="1">AND(IF(metadata!B848="",FALSE,TRUE),COUNTIF(metadata!B:B, metadata!B848) = 1,NOT(ISERROR(SUMPRODUCT(SEARCH(MID(metadata!B848,ROW(INDIRECT("1:"&amp;LEN(metadata!B848))), 1),"0123456789abcdefghijklmnopqrstuvwxyzABCDEFGHIJKLMNOPQRSTUVWXYZ.")))))</f>
        <v>0</v>
      </c>
      <c r="R848" t="b">
        <f>AND(IF(metadata!C848="",FALSE,TRUE),OR(EXACT(metadata!C848,"saline"),EXACT(metadata!C848,"non-saline")))</f>
        <v>0</v>
      </c>
      <c r="S848" t="b">
        <f>AND(IF(metadata!D848="",FALSE,TRUE),OR(EXACT(metadata!D848,"surface (non-saline)"),EXACT(metadata!D848,"aerosol (non-saline)"),EXACT(metadata!D848,"sediment (non-saline)"),EXACT(metadata!D848,"surface (saline)"),EXACT(metadata!D848,"aerosol (saline)"),EXACT(metadata!D848,"sediment (saline)")))</f>
        <v>0</v>
      </c>
      <c r="T848" t="b">
        <f>AND(IF(metadata!E848="",FALSE,TRUE),EXACT(metadata!E848,"built environment"))</f>
        <v>0</v>
      </c>
      <c r="U848" t="b">
        <f>OR(AND(IF(metadata!F848="",FALSE,TRUE),EXACT(metadata!F848,"not applicable")),AND(IF(metadata!F848="",FALSE,TRUE),EXACT(metadata!F848,"anaerobic digester content")))</f>
        <v>0</v>
      </c>
    </row>
    <row r="849" spans="1:21" x14ac:dyDescent="0.2">
      <c r="A849" s="4" t="str">
        <f ca="1">IF(B849=" "," ",HYPERLINK(CONCATENATE("#metadata!",ADDRESS(INDEX($L$2:$L$1001,MATCH(ROWS($J$2:J849),$J$2:$J$1001,0),0),1)),INDEX($O$2:$O$1001,MATCH(ROWS($J$2:J849),$J$2:$J$1001,0),0)))</f>
        <v xml:space="preserve"> </v>
      </c>
      <c r="B849" s="3" t="str">
        <f ca="1">IF(OR(INDEX($K$2:$K$1001,MATCH(ROWS($J$2:J849),$J$2:$J$1001,0),1)&gt;=100000,INDEX($Q$1005:$U$1005,1,MATCH(COLUMNS($Q$1006:Q1006),$Q$1006:$U$1006,0))&gt;=100000), " ",IF(INDEX($Q$2:$U$1001,MATCH(ROWS($J$2:J849),$J$2:$J$1001,0),MATCH(COLUMNS($Q$1006:Q1006),$Q$1006:$U$1006,0)), HYPERLINK("#",""), HYPERLINK(CONCATENATE("#metadata!", ADDRESS(INDEX($L$2:$L$1001,MATCH(ROWS($J$2:J849),$J$2:$J$1001,0),0), INDEX($Q$1004:$U$1004,1,MATCH(COLUMNS($Q$1006:Q1006),$Q$1006:$U$1006,0)))),"Fix")))</f>
        <v xml:space="preserve"> </v>
      </c>
      <c r="C849" s="3" t="str">
        <f ca="1">IF(OR(INDEX($K$2:$K$1001,MATCH(ROWS($J$2:J849),$J$2:$J$1001,0),1)&gt;=100000,INDEX($Q$1005:$U$1005,1,MATCH(COLUMNS($Q$1006:R1006),$Q$1006:$U$1006,0))&gt;=100000), " ",IF(INDEX($Q$2:$U$1001,MATCH(ROWS($J$2:J849),$J$2:$J$1001,0),MATCH(COLUMNS($Q$1006:R1006),$Q$1006:$U$1006,0)), HYPERLINK("#",""), HYPERLINK(CONCATENATE("#metadata!", ADDRESS(INDEX($L$2:$L$1001,MATCH(ROWS($J$2:J849),$J$2:$J$1001,0),0), INDEX($Q$1004:$U$1004,1,MATCH(COLUMNS($Q$1006:R1006),$Q$1006:$U$1006,0)))),"Fix")))</f>
        <v xml:space="preserve"> </v>
      </c>
      <c r="D849" s="3" t="str">
        <f ca="1">IF(OR(INDEX($K$2:$K$1001,MATCH(ROWS($J$2:J849),$J$2:$J$1001,0),1)&gt;=100000,INDEX($Q$1005:$U$1005,1,MATCH(COLUMNS($Q$1006:S1006),$Q$1006:$U$1006,0))&gt;=100000), " ",IF(INDEX($Q$2:$U$1001,MATCH(ROWS($J$2:J849),$J$2:$J$1001,0),MATCH(COLUMNS($Q$1006:S1006),$Q$1006:$U$1006,0)), HYPERLINK("#",""), HYPERLINK(CONCATENATE("#metadata!", ADDRESS(INDEX($L$2:$L$1001,MATCH(ROWS($J$2:J849),$J$2:$J$1001,0),0), INDEX($Q$1004:$U$1004,1,MATCH(COLUMNS($Q$1006:S1006),$Q$1006:$U$1006,0)))),"Fix")))</f>
        <v xml:space="preserve"> </v>
      </c>
      <c r="E849" s="3" t="str">
        <f ca="1">IF(OR(INDEX($K$2:$K$1001,MATCH(ROWS($J$2:J849),$J$2:$J$1001,0),1)&gt;=100000,INDEX($Q$1005:$U$1005,1,MATCH(COLUMNS($Q$1006:T1006),$Q$1006:$U$1006,0))&gt;=100000), " ",IF(INDEX($Q$2:$U$1001,MATCH(ROWS($J$2:J849),$J$2:$J$1001,0),MATCH(COLUMNS($Q$1006:T1006),$Q$1006:$U$1006,0)), HYPERLINK("#",""), HYPERLINK(CONCATENATE("#metadata!", ADDRESS(INDEX($L$2:$L$1001,MATCH(ROWS($J$2:J849),$J$2:$J$1001,0),0), INDEX($Q$1004:$U$1004,1,MATCH(COLUMNS($Q$1006:T1006),$Q$1006:$U$1006,0)))),"Fix")))</f>
        <v xml:space="preserve"> </v>
      </c>
      <c r="F849" s="3" t="str">
        <f ca="1">IF(OR(INDEX($K$2:$K$1001,MATCH(ROWS($J$2:J849),$J$2:$J$1001,0),1)&gt;=100000,INDEX($Q$1005:$U$1005,1,MATCH(COLUMNS($Q$1006:U1006),$Q$1006:$U$1006,0))&gt;=100000), " ",IF(INDEX($Q$2:$U$1001,MATCH(ROWS($J$2:J849),$J$2:$J$1001,0),MATCH(COLUMNS($Q$1006:U1006),$Q$1006:$U$1006,0)), HYPERLINK("#",""), HYPERLINK(CONCATENATE("#metadata!", ADDRESS(INDEX($L$2:$L$1001,MATCH(ROWS($J$2:J849),$J$2:$J$1001,0),0), INDEX($Q$1004:$U$1004,1,MATCH(COLUMNS($Q$1006:U1006),$Q$1006:$U$1006,0)))),"Fix")))</f>
        <v xml:space="preserve"> </v>
      </c>
      <c r="J849">
        <v>848</v>
      </c>
      <c r="K849">
        <v>100849</v>
      </c>
      <c r="L849">
        <v>849</v>
      </c>
      <c r="M849" t="b">
        <f t="shared" si="13"/>
        <v>1</v>
      </c>
      <c r="N849" t="b">
        <f>COUNTBLANK(metadata!B849:F849)=COLUMNS(metadata!B849:F849)</f>
        <v>1</v>
      </c>
      <c r="O849" t="str">
        <v/>
      </c>
      <c r="Q849" t="b">
        <f ca="1">AND(IF(metadata!B849="",FALSE,TRUE),COUNTIF(metadata!B:B, metadata!B849) = 1,NOT(ISERROR(SUMPRODUCT(SEARCH(MID(metadata!B849,ROW(INDIRECT("1:"&amp;LEN(metadata!B849))), 1),"0123456789abcdefghijklmnopqrstuvwxyzABCDEFGHIJKLMNOPQRSTUVWXYZ.")))))</f>
        <v>0</v>
      </c>
      <c r="R849" t="b">
        <f>AND(IF(metadata!C849="",FALSE,TRUE),OR(EXACT(metadata!C849,"saline"),EXACT(metadata!C849,"non-saline")))</f>
        <v>0</v>
      </c>
      <c r="S849" t="b">
        <f>AND(IF(metadata!D849="",FALSE,TRUE),OR(EXACT(metadata!D849,"surface (non-saline)"),EXACT(metadata!D849,"aerosol (non-saline)"),EXACT(metadata!D849,"sediment (non-saline)"),EXACT(metadata!D849,"surface (saline)"),EXACT(metadata!D849,"aerosol (saline)"),EXACT(metadata!D849,"sediment (saline)")))</f>
        <v>0</v>
      </c>
      <c r="T849" t="b">
        <f>AND(IF(metadata!E849="",FALSE,TRUE),EXACT(metadata!E849,"built environment"))</f>
        <v>0</v>
      </c>
      <c r="U849" t="b">
        <f>OR(AND(IF(metadata!F849="",FALSE,TRUE),EXACT(metadata!F849,"not applicable")),AND(IF(metadata!F849="",FALSE,TRUE),EXACT(metadata!F849,"anaerobic digester content")))</f>
        <v>0</v>
      </c>
    </row>
    <row r="850" spans="1:21" x14ac:dyDescent="0.2">
      <c r="A850" s="4" t="str">
        <f ca="1">IF(B850=" "," ",HYPERLINK(CONCATENATE("#metadata!",ADDRESS(INDEX($L$2:$L$1001,MATCH(ROWS($J$2:J850),$J$2:$J$1001,0),0),1)),INDEX($O$2:$O$1001,MATCH(ROWS($J$2:J850),$J$2:$J$1001,0),0)))</f>
        <v xml:space="preserve"> </v>
      </c>
      <c r="B850" s="3" t="str">
        <f ca="1">IF(OR(INDEX($K$2:$K$1001,MATCH(ROWS($J$2:J850),$J$2:$J$1001,0),1)&gt;=100000,INDEX($Q$1005:$U$1005,1,MATCH(COLUMNS($Q$1006:Q1006),$Q$1006:$U$1006,0))&gt;=100000), " ",IF(INDEX($Q$2:$U$1001,MATCH(ROWS($J$2:J850),$J$2:$J$1001,0),MATCH(COLUMNS($Q$1006:Q1006),$Q$1006:$U$1006,0)), HYPERLINK("#",""), HYPERLINK(CONCATENATE("#metadata!", ADDRESS(INDEX($L$2:$L$1001,MATCH(ROWS($J$2:J850),$J$2:$J$1001,0),0), INDEX($Q$1004:$U$1004,1,MATCH(COLUMNS($Q$1006:Q1006),$Q$1006:$U$1006,0)))),"Fix")))</f>
        <v xml:space="preserve"> </v>
      </c>
      <c r="C850" s="3" t="str">
        <f ca="1">IF(OR(INDEX($K$2:$K$1001,MATCH(ROWS($J$2:J850),$J$2:$J$1001,0),1)&gt;=100000,INDEX($Q$1005:$U$1005,1,MATCH(COLUMNS($Q$1006:R1006),$Q$1006:$U$1006,0))&gt;=100000), " ",IF(INDEX($Q$2:$U$1001,MATCH(ROWS($J$2:J850),$J$2:$J$1001,0),MATCH(COLUMNS($Q$1006:R1006),$Q$1006:$U$1006,0)), HYPERLINK("#",""), HYPERLINK(CONCATENATE("#metadata!", ADDRESS(INDEX($L$2:$L$1001,MATCH(ROWS($J$2:J850),$J$2:$J$1001,0),0), INDEX($Q$1004:$U$1004,1,MATCH(COLUMNS($Q$1006:R1006),$Q$1006:$U$1006,0)))),"Fix")))</f>
        <v xml:space="preserve"> </v>
      </c>
      <c r="D850" s="3" t="str">
        <f ca="1">IF(OR(INDEX($K$2:$K$1001,MATCH(ROWS($J$2:J850),$J$2:$J$1001,0),1)&gt;=100000,INDEX($Q$1005:$U$1005,1,MATCH(COLUMNS($Q$1006:S1006),$Q$1006:$U$1006,0))&gt;=100000), " ",IF(INDEX($Q$2:$U$1001,MATCH(ROWS($J$2:J850),$J$2:$J$1001,0),MATCH(COLUMNS($Q$1006:S1006),$Q$1006:$U$1006,0)), HYPERLINK("#",""), HYPERLINK(CONCATENATE("#metadata!", ADDRESS(INDEX($L$2:$L$1001,MATCH(ROWS($J$2:J850),$J$2:$J$1001,0),0), INDEX($Q$1004:$U$1004,1,MATCH(COLUMNS($Q$1006:S1006),$Q$1006:$U$1006,0)))),"Fix")))</f>
        <v xml:space="preserve"> </v>
      </c>
      <c r="E850" s="3" t="str">
        <f ca="1">IF(OR(INDEX($K$2:$K$1001,MATCH(ROWS($J$2:J850),$J$2:$J$1001,0),1)&gt;=100000,INDEX($Q$1005:$U$1005,1,MATCH(COLUMNS($Q$1006:T1006),$Q$1006:$U$1006,0))&gt;=100000), " ",IF(INDEX($Q$2:$U$1001,MATCH(ROWS($J$2:J850),$J$2:$J$1001,0),MATCH(COLUMNS($Q$1006:T1006),$Q$1006:$U$1006,0)), HYPERLINK("#",""), HYPERLINK(CONCATENATE("#metadata!", ADDRESS(INDEX($L$2:$L$1001,MATCH(ROWS($J$2:J850),$J$2:$J$1001,0),0), INDEX($Q$1004:$U$1004,1,MATCH(COLUMNS($Q$1006:T1006),$Q$1006:$U$1006,0)))),"Fix")))</f>
        <v xml:space="preserve"> </v>
      </c>
      <c r="F850" s="3" t="str">
        <f ca="1">IF(OR(INDEX($K$2:$K$1001,MATCH(ROWS($J$2:J850),$J$2:$J$1001,0),1)&gt;=100000,INDEX($Q$1005:$U$1005,1,MATCH(COLUMNS($Q$1006:U1006),$Q$1006:$U$1006,0))&gt;=100000), " ",IF(INDEX($Q$2:$U$1001,MATCH(ROWS($J$2:J850),$J$2:$J$1001,0),MATCH(COLUMNS($Q$1006:U1006),$Q$1006:$U$1006,0)), HYPERLINK("#",""), HYPERLINK(CONCATENATE("#metadata!", ADDRESS(INDEX($L$2:$L$1001,MATCH(ROWS($J$2:J850),$J$2:$J$1001,0),0), INDEX($Q$1004:$U$1004,1,MATCH(COLUMNS($Q$1006:U1006),$Q$1006:$U$1006,0)))),"Fix")))</f>
        <v xml:space="preserve"> </v>
      </c>
      <c r="J850">
        <v>849</v>
      </c>
      <c r="K850">
        <v>100850</v>
      </c>
      <c r="L850">
        <v>850</v>
      </c>
      <c r="M850" t="b">
        <f t="shared" si="13"/>
        <v>1</v>
      </c>
      <c r="N850" t="b">
        <f>COUNTBLANK(metadata!B850:F850)=COLUMNS(metadata!B850:F850)</f>
        <v>1</v>
      </c>
      <c r="O850" t="str">
        <v/>
      </c>
      <c r="Q850" t="b">
        <f ca="1">AND(IF(metadata!B850="",FALSE,TRUE),COUNTIF(metadata!B:B, metadata!B850) = 1,NOT(ISERROR(SUMPRODUCT(SEARCH(MID(metadata!B850,ROW(INDIRECT("1:"&amp;LEN(metadata!B850))), 1),"0123456789abcdefghijklmnopqrstuvwxyzABCDEFGHIJKLMNOPQRSTUVWXYZ.")))))</f>
        <v>0</v>
      </c>
      <c r="R850" t="b">
        <f>AND(IF(metadata!C850="",FALSE,TRUE),OR(EXACT(metadata!C850,"saline"),EXACT(metadata!C850,"non-saline")))</f>
        <v>0</v>
      </c>
      <c r="S850" t="b">
        <f>AND(IF(metadata!D850="",FALSE,TRUE),OR(EXACT(metadata!D850,"surface (non-saline)"),EXACT(metadata!D850,"aerosol (non-saline)"),EXACT(metadata!D850,"sediment (non-saline)"),EXACT(metadata!D850,"surface (saline)"),EXACT(metadata!D850,"aerosol (saline)"),EXACT(metadata!D850,"sediment (saline)")))</f>
        <v>0</v>
      </c>
      <c r="T850" t="b">
        <f>AND(IF(metadata!E850="",FALSE,TRUE),EXACT(metadata!E850,"built environment"))</f>
        <v>0</v>
      </c>
      <c r="U850" t="b">
        <f>OR(AND(IF(metadata!F850="",FALSE,TRUE),EXACT(metadata!F850,"not applicable")),AND(IF(metadata!F850="",FALSE,TRUE),EXACT(metadata!F850,"anaerobic digester content")))</f>
        <v>0</v>
      </c>
    </row>
    <row r="851" spans="1:21" x14ac:dyDescent="0.2">
      <c r="A851" s="4" t="str">
        <f ca="1">IF(B851=" "," ",HYPERLINK(CONCATENATE("#metadata!",ADDRESS(INDEX($L$2:$L$1001,MATCH(ROWS($J$2:J851),$J$2:$J$1001,0),0),1)),INDEX($O$2:$O$1001,MATCH(ROWS($J$2:J851),$J$2:$J$1001,0),0)))</f>
        <v xml:space="preserve"> </v>
      </c>
      <c r="B851" s="3" t="str">
        <f ca="1">IF(OR(INDEX($K$2:$K$1001,MATCH(ROWS($J$2:J851),$J$2:$J$1001,0),1)&gt;=100000,INDEX($Q$1005:$U$1005,1,MATCH(COLUMNS($Q$1006:Q1006),$Q$1006:$U$1006,0))&gt;=100000), " ",IF(INDEX($Q$2:$U$1001,MATCH(ROWS($J$2:J851),$J$2:$J$1001,0),MATCH(COLUMNS($Q$1006:Q1006),$Q$1006:$U$1006,0)), HYPERLINK("#",""), HYPERLINK(CONCATENATE("#metadata!", ADDRESS(INDEX($L$2:$L$1001,MATCH(ROWS($J$2:J851),$J$2:$J$1001,0),0), INDEX($Q$1004:$U$1004,1,MATCH(COLUMNS($Q$1006:Q1006),$Q$1006:$U$1006,0)))),"Fix")))</f>
        <v xml:space="preserve"> </v>
      </c>
      <c r="C851" s="3" t="str">
        <f ca="1">IF(OR(INDEX($K$2:$K$1001,MATCH(ROWS($J$2:J851),$J$2:$J$1001,0),1)&gt;=100000,INDEX($Q$1005:$U$1005,1,MATCH(COLUMNS($Q$1006:R1006),$Q$1006:$U$1006,0))&gt;=100000), " ",IF(INDEX($Q$2:$U$1001,MATCH(ROWS($J$2:J851),$J$2:$J$1001,0),MATCH(COLUMNS($Q$1006:R1006),$Q$1006:$U$1006,0)), HYPERLINK("#",""), HYPERLINK(CONCATENATE("#metadata!", ADDRESS(INDEX($L$2:$L$1001,MATCH(ROWS($J$2:J851),$J$2:$J$1001,0),0), INDEX($Q$1004:$U$1004,1,MATCH(COLUMNS($Q$1006:R1006),$Q$1006:$U$1006,0)))),"Fix")))</f>
        <v xml:space="preserve"> </v>
      </c>
      <c r="D851" s="3" t="str">
        <f ca="1">IF(OR(INDEX($K$2:$K$1001,MATCH(ROWS($J$2:J851),$J$2:$J$1001,0),1)&gt;=100000,INDEX($Q$1005:$U$1005,1,MATCH(COLUMNS($Q$1006:S1006),$Q$1006:$U$1006,0))&gt;=100000), " ",IF(INDEX($Q$2:$U$1001,MATCH(ROWS($J$2:J851),$J$2:$J$1001,0),MATCH(COLUMNS($Q$1006:S1006),$Q$1006:$U$1006,0)), HYPERLINK("#",""), HYPERLINK(CONCATENATE("#metadata!", ADDRESS(INDEX($L$2:$L$1001,MATCH(ROWS($J$2:J851),$J$2:$J$1001,0),0), INDEX($Q$1004:$U$1004,1,MATCH(COLUMNS($Q$1006:S1006),$Q$1006:$U$1006,0)))),"Fix")))</f>
        <v xml:space="preserve"> </v>
      </c>
      <c r="E851" s="3" t="str">
        <f ca="1">IF(OR(INDEX($K$2:$K$1001,MATCH(ROWS($J$2:J851),$J$2:$J$1001,0),1)&gt;=100000,INDEX($Q$1005:$U$1005,1,MATCH(COLUMNS($Q$1006:T1006),$Q$1006:$U$1006,0))&gt;=100000), " ",IF(INDEX($Q$2:$U$1001,MATCH(ROWS($J$2:J851),$J$2:$J$1001,0),MATCH(COLUMNS($Q$1006:T1006),$Q$1006:$U$1006,0)), HYPERLINK("#",""), HYPERLINK(CONCATENATE("#metadata!", ADDRESS(INDEX($L$2:$L$1001,MATCH(ROWS($J$2:J851),$J$2:$J$1001,0),0), INDEX($Q$1004:$U$1004,1,MATCH(COLUMNS($Q$1006:T1006),$Q$1006:$U$1006,0)))),"Fix")))</f>
        <v xml:space="preserve"> </v>
      </c>
      <c r="F851" s="3" t="str">
        <f ca="1">IF(OR(INDEX($K$2:$K$1001,MATCH(ROWS($J$2:J851),$J$2:$J$1001,0),1)&gt;=100000,INDEX($Q$1005:$U$1005,1,MATCH(COLUMNS($Q$1006:U1006),$Q$1006:$U$1006,0))&gt;=100000), " ",IF(INDEX($Q$2:$U$1001,MATCH(ROWS($J$2:J851),$J$2:$J$1001,0),MATCH(COLUMNS($Q$1006:U1006),$Q$1006:$U$1006,0)), HYPERLINK("#",""), HYPERLINK(CONCATENATE("#metadata!", ADDRESS(INDEX($L$2:$L$1001,MATCH(ROWS($J$2:J851),$J$2:$J$1001,0),0), INDEX($Q$1004:$U$1004,1,MATCH(COLUMNS($Q$1006:U1006),$Q$1006:$U$1006,0)))),"Fix")))</f>
        <v xml:space="preserve"> </v>
      </c>
      <c r="J851">
        <v>850</v>
      </c>
      <c r="K851">
        <v>100851</v>
      </c>
      <c r="L851">
        <v>851</v>
      </c>
      <c r="M851" t="b">
        <f t="shared" si="13"/>
        <v>1</v>
      </c>
      <c r="N851" t="b">
        <f>COUNTBLANK(metadata!B851:F851)=COLUMNS(metadata!B851:F851)</f>
        <v>1</v>
      </c>
      <c r="O851" t="str">
        <v/>
      </c>
      <c r="Q851" t="b">
        <f ca="1">AND(IF(metadata!B851="",FALSE,TRUE),COUNTIF(metadata!B:B, metadata!B851) = 1,NOT(ISERROR(SUMPRODUCT(SEARCH(MID(metadata!B851,ROW(INDIRECT("1:"&amp;LEN(metadata!B851))), 1),"0123456789abcdefghijklmnopqrstuvwxyzABCDEFGHIJKLMNOPQRSTUVWXYZ.")))))</f>
        <v>0</v>
      </c>
      <c r="R851" t="b">
        <f>AND(IF(metadata!C851="",FALSE,TRUE),OR(EXACT(metadata!C851,"saline"),EXACT(metadata!C851,"non-saline")))</f>
        <v>0</v>
      </c>
      <c r="S851" t="b">
        <f>AND(IF(metadata!D851="",FALSE,TRUE),OR(EXACT(metadata!D851,"surface (non-saline)"),EXACT(metadata!D851,"aerosol (non-saline)"),EXACT(metadata!D851,"sediment (non-saline)"),EXACT(metadata!D851,"surface (saline)"),EXACT(metadata!D851,"aerosol (saline)"),EXACT(metadata!D851,"sediment (saline)")))</f>
        <v>0</v>
      </c>
      <c r="T851" t="b">
        <f>AND(IF(metadata!E851="",FALSE,TRUE),EXACT(metadata!E851,"built environment"))</f>
        <v>0</v>
      </c>
      <c r="U851" t="b">
        <f>OR(AND(IF(metadata!F851="",FALSE,TRUE),EXACT(metadata!F851,"not applicable")),AND(IF(metadata!F851="",FALSE,TRUE),EXACT(metadata!F851,"anaerobic digester content")))</f>
        <v>0</v>
      </c>
    </row>
    <row r="852" spans="1:21" x14ac:dyDescent="0.2">
      <c r="A852" s="4" t="str">
        <f ca="1">IF(B852=" "," ",HYPERLINK(CONCATENATE("#metadata!",ADDRESS(INDEX($L$2:$L$1001,MATCH(ROWS($J$2:J852),$J$2:$J$1001,0),0),1)),INDEX($O$2:$O$1001,MATCH(ROWS($J$2:J852),$J$2:$J$1001,0),0)))</f>
        <v xml:space="preserve"> </v>
      </c>
      <c r="B852" s="3" t="str">
        <f ca="1">IF(OR(INDEX($K$2:$K$1001,MATCH(ROWS($J$2:J852),$J$2:$J$1001,0),1)&gt;=100000,INDEX($Q$1005:$U$1005,1,MATCH(COLUMNS($Q$1006:Q1006),$Q$1006:$U$1006,0))&gt;=100000), " ",IF(INDEX($Q$2:$U$1001,MATCH(ROWS($J$2:J852),$J$2:$J$1001,0),MATCH(COLUMNS($Q$1006:Q1006),$Q$1006:$U$1006,0)), HYPERLINK("#",""), HYPERLINK(CONCATENATE("#metadata!", ADDRESS(INDEX($L$2:$L$1001,MATCH(ROWS($J$2:J852),$J$2:$J$1001,0),0), INDEX($Q$1004:$U$1004,1,MATCH(COLUMNS($Q$1006:Q1006),$Q$1006:$U$1006,0)))),"Fix")))</f>
        <v xml:space="preserve"> </v>
      </c>
      <c r="C852" s="3" t="str">
        <f ca="1">IF(OR(INDEX($K$2:$K$1001,MATCH(ROWS($J$2:J852),$J$2:$J$1001,0),1)&gt;=100000,INDEX($Q$1005:$U$1005,1,MATCH(COLUMNS($Q$1006:R1006),$Q$1006:$U$1006,0))&gt;=100000), " ",IF(INDEX($Q$2:$U$1001,MATCH(ROWS($J$2:J852),$J$2:$J$1001,0),MATCH(COLUMNS($Q$1006:R1006),$Q$1006:$U$1006,0)), HYPERLINK("#",""), HYPERLINK(CONCATENATE("#metadata!", ADDRESS(INDEX($L$2:$L$1001,MATCH(ROWS($J$2:J852),$J$2:$J$1001,0),0), INDEX($Q$1004:$U$1004,1,MATCH(COLUMNS($Q$1006:R1006),$Q$1006:$U$1006,0)))),"Fix")))</f>
        <v xml:space="preserve"> </v>
      </c>
      <c r="D852" s="3" t="str">
        <f ca="1">IF(OR(INDEX($K$2:$K$1001,MATCH(ROWS($J$2:J852),$J$2:$J$1001,0),1)&gt;=100000,INDEX($Q$1005:$U$1005,1,MATCH(COLUMNS($Q$1006:S1006),$Q$1006:$U$1006,0))&gt;=100000), " ",IF(INDEX($Q$2:$U$1001,MATCH(ROWS($J$2:J852),$J$2:$J$1001,0),MATCH(COLUMNS($Q$1006:S1006),$Q$1006:$U$1006,0)), HYPERLINK("#",""), HYPERLINK(CONCATENATE("#metadata!", ADDRESS(INDEX($L$2:$L$1001,MATCH(ROWS($J$2:J852),$J$2:$J$1001,0),0), INDEX($Q$1004:$U$1004,1,MATCH(COLUMNS($Q$1006:S1006),$Q$1006:$U$1006,0)))),"Fix")))</f>
        <v xml:space="preserve"> </v>
      </c>
      <c r="E852" s="3" t="str">
        <f ca="1">IF(OR(INDEX($K$2:$K$1001,MATCH(ROWS($J$2:J852),$J$2:$J$1001,0),1)&gt;=100000,INDEX($Q$1005:$U$1005,1,MATCH(COLUMNS($Q$1006:T1006),$Q$1006:$U$1006,0))&gt;=100000), " ",IF(INDEX($Q$2:$U$1001,MATCH(ROWS($J$2:J852),$J$2:$J$1001,0),MATCH(COLUMNS($Q$1006:T1006),$Q$1006:$U$1006,0)), HYPERLINK("#",""), HYPERLINK(CONCATENATE("#metadata!", ADDRESS(INDEX($L$2:$L$1001,MATCH(ROWS($J$2:J852),$J$2:$J$1001,0),0), INDEX($Q$1004:$U$1004,1,MATCH(COLUMNS($Q$1006:T1006),$Q$1006:$U$1006,0)))),"Fix")))</f>
        <v xml:space="preserve"> </v>
      </c>
      <c r="F852" s="3" t="str">
        <f ca="1">IF(OR(INDEX($K$2:$K$1001,MATCH(ROWS($J$2:J852),$J$2:$J$1001,0),1)&gt;=100000,INDEX($Q$1005:$U$1005,1,MATCH(COLUMNS($Q$1006:U1006),$Q$1006:$U$1006,0))&gt;=100000), " ",IF(INDEX($Q$2:$U$1001,MATCH(ROWS($J$2:J852),$J$2:$J$1001,0),MATCH(COLUMNS($Q$1006:U1006),$Q$1006:$U$1006,0)), HYPERLINK("#",""), HYPERLINK(CONCATENATE("#metadata!", ADDRESS(INDEX($L$2:$L$1001,MATCH(ROWS($J$2:J852),$J$2:$J$1001,0),0), INDEX($Q$1004:$U$1004,1,MATCH(COLUMNS($Q$1006:U1006),$Q$1006:$U$1006,0)))),"Fix")))</f>
        <v xml:space="preserve"> </v>
      </c>
      <c r="J852">
        <v>851</v>
      </c>
      <c r="K852">
        <v>100852</v>
      </c>
      <c r="L852">
        <v>852</v>
      </c>
      <c r="M852" t="b">
        <f t="shared" si="13"/>
        <v>1</v>
      </c>
      <c r="N852" t="b">
        <f>COUNTBLANK(metadata!B852:F852)=COLUMNS(metadata!B852:F852)</f>
        <v>1</v>
      </c>
      <c r="O852" t="str">
        <v/>
      </c>
      <c r="Q852" t="b">
        <f ca="1">AND(IF(metadata!B852="",FALSE,TRUE),COUNTIF(metadata!B:B, metadata!B852) = 1,NOT(ISERROR(SUMPRODUCT(SEARCH(MID(metadata!B852,ROW(INDIRECT("1:"&amp;LEN(metadata!B852))), 1),"0123456789abcdefghijklmnopqrstuvwxyzABCDEFGHIJKLMNOPQRSTUVWXYZ.")))))</f>
        <v>0</v>
      </c>
      <c r="R852" t="b">
        <f>AND(IF(metadata!C852="",FALSE,TRUE),OR(EXACT(metadata!C852,"saline"),EXACT(metadata!C852,"non-saline")))</f>
        <v>0</v>
      </c>
      <c r="S852" t="b">
        <f>AND(IF(metadata!D852="",FALSE,TRUE),OR(EXACT(metadata!D852,"surface (non-saline)"),EXACT(metadata!D852,"aerosol (non-saline)"),EXACT(metadata!D852,"sediment (non-saline)"),EXACT(metadata!D852,"surface (saline)"),EXACT(metadata!D852,"aerosol (saline)"),EXACT(metadata!D852,"sediment (saline)")))</f>
        <v>0</v>
      </c>
      <c r="T852" t="b">
        <f>AND(IF(metadata!E852="",FALSE,TRUE),EXACT(metadata!E852,"built environment"))</f>
        <v>0</v>
      </c>
      <c r="U852" t="b">
        <f>OR(AND(IF(metadata!F852="",FALSE,TRUE),EXACT(metadata!F852,"not applicable")),AND(IF(metadata!F852="",FALSE,TRUE),EXACT(metadata!F852,"anaerobic digester content")))</f>
        <v>0</v>
      </c>
    </row>
    <row r="853" spans="1:21" x14ac:dyDescent="0.2">
      <c r="A853" s="4" t="str">
        <f ca="1">IF(B853=" "," ",HYPERLINK(CONCATENATE("#metadata!",ADDRESS(INDEX($L$2:$L$1001,MATCH(ROWS($J$2:J853),$J$2:$J$1001,0),0),1)),INDEX($O$2:$O$1001,MATCH(ROWS($J$2:J853),$J$2:$J$1001,0),0)))</f>
        <v xml:space="preserve"> </v>
      </c>
      <c r="B853" s="3" t="str">
        <f ca="1">IF(OR(INDEX($K$2:$K$1001,MATCH(ROWS($J$2:J853),$J$2:$J$1001,0),1)&gt;=100000,INDEX($Q$1005:$U$1005,1,MATCH(COLUMNS($Q$1006:Q1006),$Q$1006:$U$1006,0))&gt;=100000), " ",IF(INDEX($Q$2:$U$1001,MATCH(ROWS($J$2:J853),$J$2:$J$1001,0),MATCH(COLUMNS($Q$1006:Q1006),$Q$1006:$U$1006,0)), HYPERLINK("#",""), HYPERLINK(CONCATENATE("#metadata!", ADDRESS(INDEX($L$2:$L$1001,MATCH(ROWS($J$2:J853),$J$2:$J$1001,0),0), INDEX($Q$1004:$U$1004,1,MATCH(COLUMNS($Q$1006:Q1006),$Q$1006:$U$1006,0)))),"Fix")))</f>
        <v xml:space="preserve"> </v>
      </c>
      <c r="C853" s="3" t="str">
        <f ca="1">IF(OR(INDEX($K$2:$K$1001,MATCH(ROWS($J$2:J853),$J$2:$J$1001,0),1)&gt;=100000,INDEX($Q$1005:$U$1005,1,MATCH(COLUMNS($Q$1006:R1006),$Q$1006:$U$1006,0))&gt;=100000), " ",IF(INDEX($Q$2:$U$1001,MATCH(ROWS($J$2:J853),$J$2:$J$1001,0),MATCH(COLUMNS($Q$1006:R1006),$Q$1006:$U$1006,0)), HYPERLINK("#",""), HYPERLINK(CONCATENATE("#metadata!", ADDRESS(INDEX($L$2:$L$1001,MATCH(ROWS($J$2:J853),$J$2:$J$1001,0),0), INDEX($Q$1004:$U$1004,1,MATCH(COLUMNS($Q$1006:R1006),$Q$1006:$U$1006,0)))),"Fix")))</f>
        <v xml:space="preserve"> </v>
      </c>
      <c r="D853" s="3" t="str">
        <f ca="1">IF(OR(INDEX($K$2:$K$1001,MATCH(ROWS($J$2:J853),$J$2:$J$1001,0),1)&gt;=100000,INDEX($Q$1005:$U$1005,1,MATCH(COLUMNS($Q$1006:S1006),$Q$1006:$U$1006,0))&gt;=100000), " ",IF(INDEX($Q$2:$U$1001,MATCH(ROWS($J$2:J853),$J$2:$J$1001,0),MATCH(COLUMNS($Q$1006:S1006),$Q$1006:$U$1006,0)), HYPERLINK("#",""), HYPERLINK(CONCATENATE("#metadata!", ADDRESS(INDEX($L$2:$L$1001,MATCH(ROWS($J$2:J853),$J$2:$J$1001,0),0), INDEX($Q$1004:$U$1004,1,MATCH(COLUMNS($Q$1006:S1006),$Q$1006:$U$1006,0)))),"Fix")))</f>
        <v xml:space="preserve"> </v>
      </c>
      <c r="E853" s="3" t="str">
        <f ca="1">IF(OR(INDEX($K$2:$K$1001,MATCH(ROWS($J$2:J853),$J$2:$J$1001,0),1)&gt;=100000,INDEX($Q$1005:$U$1005,1,MATCH(COLUMNS($Q$1006:T1006),$Q$1006:$U$1006,0))&gt;=100000), " ",IF(INDEX($Q$2:$U$1001,MATCH(ROWS($J$2:J853),$J$2:$J$1001,0),MATCH(COLUMNS($Q$1006:T1006),$Q$1006:$U$1006,0)), HYPERLINK("#",""), HYPERLINK(CONCATENATE("#metadata!", ADDRESS(INDEX($L$2:$L$1001,MATCH(ROWS($J$2:J853),$J$2:$J$1001,0),0), INDEX($Q$1004:$U$1004,1,MATCH(COLUMNS($Q$1006:T1006),$Q$1006:$U$1006,0)))),"Fix")))</f>
        <v xml:space="preserve"> </v>
      </c>
      <c r="F853" s="3" t="str">
        <f ca="1">IF(OR(INDEX($K$2:$K$1001,MATCH(ROWS($J$2:J853),$J$2:$J$1001,0),1)&gt;=100000,INDEX($Q$1005:$U$1005,1,MATCH(COLUMNS($Q$1006:U1006),$Q$1006:$U$1006,0))&gt;=100000), " ",IF(INDEX($Q$2:$U$1001,MATCH(ROWS($J$2:J853),$J$2:$J$1001,0),MATCH(COLUMNS($Q$1006:U1006),$Q$1006:$U$1006,0)), HYPERLINK("#",""), HYPERLINK(CONCATENATE("#metadata!", ADDRESS(INDEX($L$2:$L$1001,MATCH(ROWS($J$2:J853),$J$2:$J$1001,0),0), INDEX($Q$1004:$U$1004,1,MATCH(COLUMNS($Q$1006:U1006),$Q$1006:$U$1006,0)))),"Fix")))</f>
        <v xml:space="preserve"> </v>
      </c>
      <c r="J853">
        <v>852</v>
      </c>
      <c r="K853">
        <v>100853</v>
      </c>
      <c r="L853">
        <v>853</v>
      </c>
      <c r="M853" t="b">
        <f t="shared" si="13"/>
        <v>1</v>
      </c>
      <c r="N853" t="b">
        <f>COUNTBLANK(metadata!B853:F853)=COLUMNS(metadata!B853:F853)</f>
        <v>1</v>
      </c>
      <c r="O853" t="str">
        <v/>
      </c>
      <c r="Q853" t="b">
        <f ca="1">AND(IF(metadata!B853="",FALSE,TRUE),COUNTIF(metadata!B:B, metadata!B853) = 1,NOT(ISERROR(SUMPRODUCT(SEARCH(MID(metadata!B853,ROW(INDIRECT("1:"&amp;LEN(metadata!B853))), 1),"0123456789abcdefghijklmnopqrstuvwxyzABCDEFGHIJKLMNOPQRSTUVWXYZ.")))))</f>
        <v>0</v>
      </c>
      <c r="R853" t="b">
        <f>AND(IF(metadata!C853="",FALSE,TRUE),OR(EXACT(metadata!C853,"saline"),EXACT(metadata!C853,"non-saline")))</f>
        <v>0</v>
      </c>
      <c r="S853" t="b">
        <f>AND(IF(metadata!D853="",FALSE,TRUE),OR(EXACT(metadata!D853,"surface (non-saline)"),EXACT(metadata!D853,"aerosol (non-saline)"),EXACT(metadata!D853,"sediment (non-saline)"),EXACT(metadata!D853,"surface (saline)"),EXACT(metadata!D853,"aerosol (saline)"),EXACT(metadata!D853,"sediment (saline)")))</f>
        <v>0</v>
      </c>
      <c r="T853" t="b">
        <f>AND(IF(metadata!E853="",FALSE,TRUE),EXACT(metadata!E853,"built environment"))</f>
        <v>0</v>
      </c>
      <c r="U853" t="b">
        <f>OR(AND(IF(metadata!F853="",FALSE,TRUE),EXACT(metadata!F853,"not applicable")),AND(IF(metadata!F853="",FALSE,TRUE),EXACT(metadata!F853,"anaerobic digester content")))</f>
        <v>0</v>
      </c>
    </row>
    <row r="854" spans="1:21" x14ac:dyDescent="0.2">
      <c r="A854" s="4" t="str">
        <f ca="1">IF(B854=" "," ",HYPERLINK(CONCATENATE("#metadata!",ADDRESS(INDEX($L$2:$L$1001,MATCH(ROWS($J$2:J854),$J$2:$J$1001,0),0),1)),INDEX($O$2:$O$1001,MATCH(ROWS($J$2:J854),$J$2:$J$1001,0),0)))</f>
        <v xml:space="preserve"> </v>
      </c>
      <c r="B854" s="3" t="str">
        <f ca="1">IF(OR(INDEX($K$2:$K$1001,MATCH(ROWS($J$2:J854),$J$2:$J$1001,0),1)&gt;=100000,INDEX($Q$1005:$U$1005,1,MATCH(COLUMNS($Q$1006:Q1006),$Q$1006:$U$1006,0))&gt;=100000), " ",IF(INDEX($Q$2:$U$1001,MATCH(ROWS($J$2:J854),$J$2:$J$1001,0),MATCH(COLUMNS($Q$1006:Q1006),$Q$1006:$U$1006,0)), HYPERLINK("#",""), HYPERLINK(CONCATENATE("#metadata!", ADDRESS(INDEX($L$2:$L$1001,MATCH(ROWS($J$2:J854),$J$2:$J$1001,0),0), INDEX($Q$1004:$U$1004,1,MATCH(COLUMNS($Q$1006:Q1006),$Q$1006:$U$1006,0)))),"Fix")))</f>
        <v xml:space="preserve"> </v>
      </c>
      <c r="C854" s="3" t="str">
        <f ca="1">IF(OR(INDEX($K$2:$K$1001,MATCH(ROWS($J$2:J854),$J$2:$J$1001,0),1)&gt;=100000,INDEX($Q$1005:$U$1005,1,MATCH(COLUMNS($Q$1006:R1006),$Q$1006:$U$1006,0))&gt;=100000), " ",IF(INDEX($Q$2:$U$1001,MATCH(ROWS($J$2:J854),$J$2:$J$1001,0),MATCH(COLUMNS($Q$1006:R1006),$Q$1006:$U$1006,0)), HYPERLINK("#",""), HYPERLINK(CONCATENATE("#metadata!", ADDRESS(INDEX($L$2:$L$1001,MATCH(ROWS($J$2:J854),$J$2:$J$1001,0),0), INDEX($Q$1004:$U$1004,1,MATCH(COLUMNS($Q$1006:R1006),$Q$1006:$U$1006,0)))),"Fix")))</f>
        <v xml:space="preserve"> </v>
      </c>
      <c r="D854" s="3" t="str">
        <f ca="1">IF(OR(INDEX($K$2:$K$1001,MATCH(ROWS($J$2:J854),$J$2:$J$1001,0),1)&gt;=100000,INDEX($Q$1005:$U$1005,1,MATCH(COLUMNS($Q$1006:S1006),$Q$1006:$U$1006,0))&gt;=100000), " ",IF(INDEX($Q$2:$U$1001,MATCH(ROWS($J$2:J854),$J$2:$J$1001,0),MATCH(COLUMNS($Q$1006:S1006),$Q$1006:$U$1006,0)), HYPERLINK("#",""), HYPERLINK(CONCATENATE("#metadata!", ADDRESS(INDEX($L$2:$L$1001,MATCH(ROWS($J$2:J854),$J$2:$J$1001,0),0), INDEX($Q$1004:$U$1004,1,MATCH(COLUMNS($Q$1006:S1006),$Q$1006:$U$1006,0)))),"Fix")))</f>
        <v xml:space="preserve"> </v>
      </c>
      <c r="E854" s="3" t="str">
        <f ca="1">IF(OR(INDEX($K$2:$K$1001,MATCH(ROWS($J$2:J854),$J$2:$J$1001,0),1)&gt;=100000,INDEX($Q$1005:$U$1005,1,MATCH(COLUMNS($Q$1006:T1006),$Q$1006:$U$1006,0))&gt;=100000), " ",IF(INDEX($Q$2:$U$1001,MATCH(ROWS($J$2:J854),$J$2:$J$1001,0),MATCH(COLUMNS($Q$1006:T1006),$Q$1006:$U$1006,0)), HYPERLINK("#",""), HYPERLINK(CONCATENATE("#metadata!", ADDRESS(INDEX($L$2:$L$1001,MATCH(ROWS($J$2:J854),$J$2:$J$1001,0),0), INDEX($Q$1004:$U$1004,1,MATCH(COLUMNS($Q$1006:T1006),$Q$1006:$U$1006,0)))),"Fix")))</f>
        <v xml:space="preserve"> </v>
      </c>
      <c r="F854" s="3" t="str">
        <f ca="1">IF(OR(INDEX($K$2:$K$1001,MATCH(ROWS($J$2:J854),$J$2:$J$1001,0),1)&gt;=100000,INDEX($Q$1005:$U$1005,1,MATCH(COLUMNS($Q$1006:U1006),$Q$1006:$U$1006,0))&gt;=100000), " ",IF(INDEX($Q$2:$U$1001,MATCH(ROWS($J$2:J854),$J$2:$J$1001,0),MATCH(COLUMNS($Q$1006:U1006),$Q$1006:$U$1006,0)), HYPERLINK("#",""), HYPERLINK(CONCATENATE("#metadata!", ADDRESS(INDEX($L$2:$L$1001,MATCH(ROWS($J$2:J854),$J$2:$J$1001,0),0), INDEX($Q$1004:$U$1004,1,MATCH(COLUMNS($Q$1006:U1006),$Q$1006:$U$1006,0)))),"Fix")))</f>
        <v xml:space="preserve"> </v>
      </c>
      <c r="J854">
        <v>853</v>
      </c>
      <c r="K854">
        <v>100854</v>
      </c>
      <c r="L854">
        <v>854</v>
      </c>
      <c r="M854" t="b">
        <f t="shared" si="13"/>
        <v>1</v>
      </c>
      <c r="N854" t="b">
        <f>COUNTBLANK(metadata!B854:F854)=COLUMNS(metadata!B854:F854)</f>
        <v>1</v>
      </c>
      <c r="O854" t="str">
        <v/>
      </c>
      <c r="Q854" t="b">
        <f ca="1">AND(IF(metadata!B854="",FALSE,TRUE),COUNTIF(metadata!B:B, metadata!B854) = 1,NOT(ISERROR(SUMPRODUCT(SEARCH(MID(metadata!B854,ROW(INDIRECT("1:"&amp;LEN(metadata!B854))), 1),"0123456789abcdefghijklmnopqrstuvwxyzABCDEFGHIJKLMNOPQRSTUVWXYZ.")))))</f>
        <v>0</v>
      </c>
      <c r="R854" t="b">
        <f>AND(IF(metadata!C854="",FALSE,TRUE),OR(EXACT(metadata!C854,"saline"),EXACT(metadata!C854,"non-saline")))</f>
        <v>0</v>
      </c>
      <c r="S854" t="b">
        <f>AND(IF(metadata!D854="",FALSE,TRUE),OR(EXACT(metadata!D854,"surface (non-saline)"),EXACT(metadata!D854,"aerosol (non-saline)"),EXACT(metadata!D854,"sediment (non-saline)"),EXACT(metadata!D854,"surface (saline)"),EXACT(metadata!D854,"aerosol (saline)"),EXACT(metadata!D854,"sediment (saline)")))</f>
        <v>0</v>
      </c>
      <c r="T854" t="b">
        <f>AND(IF(metadata!E854="",FALSE,TRUE),EXACT(metadata!E854,"built environment"))</f>
        <v>0</v>
      </c>
      <c r="U854" t="b">
        <f>OR(AND(IF(metadata!F854="",FALSE,TRUE),EXACT(metadata!F854,"not applicable")),AND(IF(metadata!F854="",FALSE,TRUE),EXACT(metadata!F854,"anaerobic digester content")))</f>
        <v>0</v>
      </c>
    </row>
    <row r="855" spans="1:21" x14ac:dyDescent="0.2">
      <c r="A855" s="4" t="str">
        <f ca="1">IF(B855=" "," ",HYPERLINK(CONCATENATE("#metadata!",ADDRESS(INDEX($L$2:$L$1001,MATCH(ROWS($J$2:J855),$J$2:$J$1001,0),0),1)),INDEX($O$2:$O$1001,MATCH(ROWS($J$2:J855),$J$2:$J$1001,0),0)))</f>
        <v xml:space="preserve"> </v>
      </c>
      <c r="B855" s="3" t="str">
        <f ca="1">IF(OR(INDEX($K$2:$K$1001,MATCH(ROWS($J$2:J855),$J$2:$J$1001,0),1)&gt;=100000,INDEX($Q$1005:$U$1005,1,MATCH(COLUMNS($Q$1006:Q1006),$Q$1006:$U$1006,0))&gt;=100000), " ",IF(INDEX($Q$2:$U$1001,MATCH(ROWS($J$2:J855),$J$2:$J$1001,0),MATCH(COLUMNS($Q$1006:Q1006),$Q$1006:$U$1006,0)), HYPERLINK("#",""), HYPERLINK(CONCATENATE("#metadata!", ADDRESS(INDEX($L$2:$L$1001,MATCH(ROWS($J$2:J855),$J$2:$J$1001,0),0), INDEX($Q$1004:$U$1004,1,MATCH(COLUMNS($Q$1006:Q1006),$Q$1006:$U$1006,0)))),"Fix")))</f>
        <v xml:space="preserve"> </v>
      </c>
      <c r="C855" s="3" t="str">
        <f ca="1">IF(OR(INDEX($K$2:$K$1001,MATCH(ROWS($J$2:J855),$J$2:$J$1001,0),1)&gt;=100000,INDEX($Q$1005:$U$1005,1,MATCH(COLUMNS($Q$1006:R1006),$Q$1006:$U$1006,0))&gt;=100000), " ",IF(INDEX($Q$2:$U$1001,MATCH(ROWS($J$2:J855),$J$2:$J$1001,0),MATCH(COLUMNS($Q$1006:R1006),$Q$1006:$U$1006,0)), HYPERLINK("#",""), HYPERLINK(CONCATENATE("#metadata!", ADDRESS(INDEX($L$2:$L$1001,MATCH(ROWS($J$2:J855),$J$2:$J$1001,0),0), INDEX($Q$1004:$U$1004,1,MATCH(COLUMNS($Q$1006:R1006),$Q$1006:$U$1006,0)))),"Fix")))</f>
        <v xml:space="preserve"> </v>
      </c>
      <c r="D855" s="3" t="str">
        <f ca="1">IF(OR(INDEX($K$2:$K$1001,MATCH(ROWS($J$2:J855),$J$2:$J$1001,0),1)&gt;=100000,INDEX($Q$1005:$U$1005,1,MATCH(COLUMNS($Q$1006:S1006),$Q$1006:$U$1006,0))&gt;=100000), " ",IF(INDEX($Q$2:$U$1001,MATCH(ROWS($J$2:J855),$J$2:$J$1001,0),MATCH(COLUMNS($Q$1006:S1006),$Q$1006:$U$1006,0)), HYPERLINK("#",""), HYPERLINK(CONCATENATE("#metadata!", ADDRESS(INDEX($L$2:$L$1001,MATCH(ROWS($J$2:J855),$J$2:$J$1001,0),0), INDEX($Q$1004:$U$1004,1,MATCH(COLUMNS($Q$1006:S1006),$Q$1006:$U$1006,0)))),"Fix")))</f>
        <v xml:space="preserve"> </v>
      </c>
      <c r="E855" s="3" t="str">
        <f ca="1">IF(OR(INDEX($K$2:$K$1001,MATCH(ROWS($J$2:J855),$J$2:$J$1001,0),1)&gt;=100000,INDEX($Q$1005:$U$1005,1,MATCH(COLUMNS($Q$1006:T1006),$Q$1006:$U$1006,0))&gt;=100000), " ",IF(INDEX($Q$2:$U$1001,MATCH(ROWS($J$2:J855),$J$2:$J$1001,0),MATCH(COLUMNS($Q$1006:T1006),$Q$1006:$U$1006,0)), HYPERLINK("#",""), HYPERLINK(CONCATENATE("#metadata!", ADDRESS(INDEX($L$2:$L$1001,MATCH(ROWS($J$2:J855),$J$2:$J$1001,0),0), INDEX($Q$1004:$U$1004,1,MATCH(COLUMNS($Q$1006:T1006),$Q$1006:$U$1006,0)))),"Fix")))</f>
        <v xml:space="preserve"> </v>
      </c>
      <c r="F855" s="3" t="str">
        <f ca="1">IF(OR(INDEX($K$2:$K$1001,MATCH(ROWS($J$2:J855),$J$2:$J$1001,0),1)&gt;=100000,INDEX($Q$1005:$U$1005,1,MATCH(COLUMNS($Q$1006:U1006),$Q$1006:$U$1006,0))&gt;=100000), " ",IF(INDEX($Q$2:$U$1001,MATCH(ROWS($J$2:J855),$J$2:$J$1001,0),MATCH(COLUMNS($Q$1006:U1006),$Q$1006:$U$1006,0)), HYPERLINK("#",""), HYPERLINK(CONCATENATE("#metadata!", ADDRESS(INDEX($L$2:$L$1001,MATCH(ROWS($J$2:J855),$J$2:$J$1001,0),0), INDEX($Q$1004:$U$1004,1,MATCH(COLUMNS($Q$1006:U1006),$Q$1006:$U$1006,0)))),"Fix")))</f>
        <v xml:space="preserve"> </v>
      </c>
      <c r="J855">
        <v>854</v>
      </c>
      <c r="K855">
        <v>100855</v>
      </c>
      <c r="L855">
        <v>855</v>
      </c>
      <c r="M855" t="b">
        <f t="shared" si="13"/>
        <v>1</v>
      </c>
      <c r="N855" t="b">
        <f>COUNTBLANK(metadata!B855:F855)=COLUMNS(metadata!B855:F855)</f>
        <v>1</v>
      </c>
      <c r="O855" t="str">
        <v/>
      </c>
      <c r="Q855" t="b">
        <f ca="1">AND(IF(metadata!B855="",FALSE,TRUE),COUNTIF(metadata!B:B, metadata!B855) = 1,NOT(ISERROR(SUMPRODUCT(SEARCH(MID(metadata!B855,ROW(INDIRECT("1:"&amp;LEN(metadata!B855))), 1),"0123456789abcdefghijklmnopqrstuvwxyzABCDEFGHIJKLMNOPQRSTUVWXYZ.")))))</f>
        <v>0</v>
      </c>
      <c r="R855" t="b">
        <f>AND(IF(metadata!C855="",FALSE,TRUE),OR(EXACT(metadata!C855,"saline"),EXACT(metadata!C855,"non-saline")))</f>
        <v>0</v>
      </c>
      <c r="S855" t="b">
        <f>AND(IF(metadata!D855="",FALSE,TRUE),OR(EXACT(metadata!D855,"surface (non-saline)"),EXACT(metadata!D855,"aerosol (non-saline)"),EXACT(metadata!D855,"sediment (non-saline)"),EXACT(metadata!D855,"surface (saline)"),EXACT(metadata!D855,"aerosol (saline)"),EXACT(metadata!D855,"sediment (saline)")))</f>
        <v>0</v>
      </c>
      <c r="T855" t="b">
        <f>AND(IF(metadata!E855="",FALSE,TRUE),EXACT(metadata!E855,"built environment"))</f>
        <v>0</v>
      </c>
      <c r="U855" t="b">
        <f>OR(AND(IF(metadata!F855="",FALSE,TRUE),EXACT(metadata!F855,"not applicable")),AND(IF(metadata!F855="",FALSE,TRUE),EXACT(metadata!F855,"anaerobic digester content")))</f>
        <v>0</v>
      </c>
    </row>
    <row r="856" spans="1:21" x14ac:dyDescent="0.2">
      <c r="A856" s="4" t="str">
        <f ca="1">IF(B856=" "," ",HYPERLINK(CONCATENATE("#metadata!",ADDRESS(INDEX($L$2:$L$1001,MATCH(ROWS($J$2:J856),$J$2:$J$1001,0),0),1)),INDEX($O$2:$O$1001,MATCH(ROWS($J$2:J856),$J$2:$J$1001,0),0)))</f>
        <v xml:space="preserve"> </v>
      </c>
      <c r="B856" s="3" t="str">
        <f ca="1">IF(OR(INDEX($K$2:$K$1001,MATCH(ROWS($J$2:J856),$J$2:$J$1001,0),1)&gt;=100000,INDEX($Q$1005:$U$1005,1,MATCH(COLUMNS($Q$1006:Q1006),$Q$1006:$U$1006,0))&gt;=100000), " ",IF(INDEX($Q$2:$U$1001,MATCH(ROWS($J$2:J856),$J$2:$J$1001,0),MATCH(COLUMNS($Q$1006:Q1006),$Q$1006:$U$1006,0)), HYPERLINK("#",""), HYPERLINK(CONCATENATE("#metadata!", ADDRESS(INDEX($L$2:$L$1001,MATCH(ROWS($J$2:J856),$J$2:$J$1001,0),0), INDEX($Q$1004:$U$1004,1,MATCH(COLUMNS($Q$1006:Q1006),$Q$1006:$U$1006,0)))),"Fix")))</f>
        <v xml:space="preserve"> </v>
      </c>
      <c r="C856" s="3" t="str">
        <f ca="1">IF(OR(INDEX($K$2:$K$1001,MATCH(ROWS($J$2:J856),$J$2:$J$1001,0),1)&gt;=100000,INDEX($Q$1005:$U$1005,1,MATCH(COLUMNS($Q$1006:R1006),$Q$1006:$U$1006,0))&gt;=100000), " ",IF(INDEX($Q$2:$U$1001,MATCH(ROWS($J$2:J856),$J$2:$J$1001,0),MATCH(COLUMNS($Q$1006:R1006),$Q$1006:$U$1006,0)), HYPERLINK("#",""), HYPERLINK(CONCATENATE("#metadata!", ADDRESS(INDEX($L$2:$L$1001,MATCH(ROWS($J$2:J856),$J$2:$J$1001,0),0), INDEX($Q$1004:$U$1004,1,MATCH(COLUMNS($Q$1006:R1006),$Q$1006:$U$1006,0)))),"Fix")))</f>
        <v xml:space="preserve"> </v>
      </c>
      <c r="D856" s="3" t="str">
        <f ca="1">IF(OR(INDEX($K$2:$K$1001,MATCH(ROWS($J$2:J856),$J$2:$J$1001,0),1)&gt;=100000,INDEX($Q$1005:$U$1005,1,MATCH(COLUMNS($Q$1006:S1006),$Q$1006:$U$1006,0))&gt;=100000), " ",IF(INDEX($Q$2:$U$1001,MATCH(ROWS($J$2:J856),$J$2:$J$1001,0),MATCH(COLUMNS($Q$1006:S1006),$Q$1006:$U$1006,0)), HYPERLINK("#",""), HYPERLINK(CONCATENATE("#metadata!", ADDRESS(INDEX($L$2:$L$1001,MATCH(ROWS($J$2:J856),$J$2:$J$1001,0),0), INDEX($Q$1004:$U$1004,1,MATCH(COLUMNS($Q$1006:S1006),$Q$1006:$U$1006,0)))),"Fix")))</f>
        <v xml:space="preserve"> </v>
      </c>
      <c r="E856" s="3" t="str">
        <f ca="1">IF(OR(INDEX($K$2:$K$1001,MATCH(ROWS($J$2:J856),$J$2:$J$1001,0),1)&gt;=100000,INDEX($Q$1005:$U$1005,1,MATCH(COLUMNS($Q$1006:T1006),$Q$1006:$U$1006,0))&gt;=100000), " ",IF(INDEX($Q$2:$U$1001,MATCH(ROWS($J$2:J856),$J$2:$J$1001,0),MATCH(COLUMNS($Q$1006:T1006),$Q$1006:$U$1006,0)), HYPERLINK("#",""), HYPERLINK(CONCATENATE("#metadata!", ADDRESS(INDEX($L$2:$L$1001,MATCH(ROWS($J$2:J856),$J$2:$J$1001,0),0), INDEX($Q$1004:$U$1004,1,MATCH(COLUMNS($Q$1006:T1006),$Q$1006:$U$1006,0)))),"Fix")))</f>
        <v xml:space="preserve"> </v>
      </c>
      <c r="F856" s="3" t="str">
        <f ca="1">IF(OR(INDEX($K$2:$K$1001,MATCH(ROWS($J$2:J856),$J$2:$J$1001,0),1)&gt;=100000,INDEX($Q$1005:$U$1005,1,MATCH(COLUMNS($Q$1006:U1006),$Q$1006:$U$1006,0))&gt;=100000), " ",IF(INDEX($Q$2:$U$1001,MATCH(ROWS($J$2:J856),$J$2:$J$1001,0),MATCH(COLUMNS($Q$1006:U1006),$Q$1006:$U$1006,0)), HYPERLINK("#",""), HYPERLINK(CONCATENATE("#metadata!", ADDRESS(INDEX($L$2:$L$1001,MATCH(ROWS($J$2:J856),$J$2:$J$1001,0),0), INDEX($Q$1004:$U$1004,1,MATCH(COLUMNS($Q$1006:U1006),$Q$1006:$U$1006,0)))),"Fix")))</f>
        <v xml:space="preserve"> </v>
      </c>
      <c r="J856">
        <v>855</v>
      </c>
      <c r="K856">
        <v>100856</v>
      </c>
      <c r="L856">
        <v>856</v>
      </c>
      <c r="M856" t="b">
        <f t="shared" si="13"/>
        <v>1</v>
      </c>
      <c r="N856" t="b">
        <f>COUNTBLANK(metadata!B856:F856)=COLUMNS(metadata!B856:F856)</f>
        <v>1</v>
      </c>
      <c r="O856" t="str">
        <v/>
      </c>
      <c r="Q856" t="b">
        <f ca="1">AND(IF(metadata!B856="",FALSE,TRUE),COUNTIF(metadata!B:B, metadata!B856) = 1,NOT(ISERROR(SUMPRODUCT(SEARCH(MID(metadata!B856,ROW(INDIRECT("1:"&amp;LEN(metadata!B856))), 1),"0123456789abcdefghijklmnopqrstuvwxyzABCDEFGHIJKLMNOPQRSTUVWXYZ.")))))</f>
        <v>0</v>
      </c>
      <c r="R856" t="b">
        <f>AND(IF(metadata!C856="",FALSE,TRUE),OR(EXACT(metadata!C856,"saline"),EXACT(metadata!C856,"non-saline")))</f>
        <v>0</v>
      </c>
      <c r="S856" t="b">
        <f>AND(IF(metadata!D856="",FALSE,TRUE),OR(EXACT(metadata!D856,"surface (non-saline)"),EXACT(metadata!D856,"aerosol (non-saline)"),EXACT(metadata!D856,"sediment (non-saline)"),EXACT(metadata!D856,"surface (saline)"),EXACT(metadata!D856,"aerosol (saline)"),EXACT(metadata!D856,"sediment (saline)")))</f>
        <v>0</v>
      </c>
      <c r="T856" t="b">
        <f>AND(IF(metadata!E856="",FALSE,TRUE),EXACT(metadata!E856,"built environment"))</f>
        <v>0</v>
      </c>
      <c r="U856" t="b">
        <f>OR(AND(IF(metadata!F856="",FALSE,TRUE),EXACT(metadata!F856,"not applicable")),AND(IF(metadata!F856="",FALSE,TRUE),EXACT(metadata!F856,"anaerobic digester content")))</f>
        <v>0</v>
      </c>
    </row>
    <row r="857" spans="1:21" x14ac:dyDescent="0.2">
      <c r="A857" s="4" t="str">
        <f ca="1">IF(B857=" "," ",HYPERLINK(CONCATENATE("#metadata!",ADDRESS(INDEX($L$2:$L$1001,MATCH(ROWS($J$2:J857),$J$2:$J$1001,0),0),1)),INDEX($O$2:$O$1001,MATCH(ROWS($J$2:J857),$J$2:$J$1001,0),0)))</f>
        <v xml:space="preserve"> </v>
      </c>
      <c r="B857" s="3" t="str">
        <f ca="1">IF(OR(INDEX($K$2:$K$1001,MATCH(ROWS($J$2:J857),$J$2:$J$1001,0),1)&gt;=100000,INDEX($Q$1005:$U$1005,1,MATCH(COLUMNS($Q$1006:Q1006),$Q$1006:$U$1006,0))&gt;=100000), " ",IF(INDEX($Q$2:$U$1001,MATCH(ROWS($J$2:J857),$J$2:$J$1001,0),MATCH(COLUMNS($Q$1006:Q1006),$Q$1006:$U$1006,0)), HYPERLINK("#",""), HYPERLINK(CONCATENATE("#metadata!", ADDRESS(INDEX($L$2:$L$1001,MATCH(ROWS($J$2:J857),$J$2:$J$1001,0),0), INDEX($Q$1004:$U$1004,1,MATCH(COLUMNS($Q$1006:Q1006),$Q$1006:$U$1006,0)))),"Fix")))</f>
        <v xml:space="preserve"> </v>
      </c>
      <c r="C857" s="3" t="str">
        <f ca="1">IF(OR(INDEX($K$2:$K$1001,MATCH(ROWS($J$2:J857),$J$2:$J$1001,0),1)&gt;=100000,INDEX($Q$1005:$U$1005,1,MATCH(COLUMNS($Q$1006:R1006),$Q$1006:$U$1006,0))&gt;=100000), " ",IF(INDEX($Q$2:$U$1001,MATCH(ROWS($J$2:J857),$J$2:$J$1001,0),MATCH(COLUMNS($Q$1006:R1006),$Q$1006:$U$1006,0)), HYPERLINK("#",""), HYPERLINK(CONCATENATE("#metadata!", ADDRESS(INDEX($L$2:$L$1001,MATCH(ROWS($J$2:J857),$J$2:$J$1001,0),0), INDEX($Q$1004:$U$1004,1,MATCH(COLUMNS($Q$1006:R1006),$Q$1006:$U$1006,0)))),"Fix")))</f>
        <v xml:space="preserve"> </v>
      </c>
      <c r="D857" s="3" t="str">
        <f ca="1">IF(OR(INDEX($K$2:$K$1001,MATCH(ROWS($J$2:J857),$J$2:$J$1001,0),1)&gt;=100000,INDEX($Q$1005:$U$1005,1,MATCH(COLUMNS($Q$1006:S1006),$Q$1006:$U$1006,0))&gt;=100000), " ",IF(INDEX($Q$2:$U$1001,MATCH(ROWS($J$2:J857),$J$2:$J$1001,0),MATCH(COLUMNS($Q$1006:S1006),$Q$1006:$U$1006,0)), HYPERLINK("#",""), HYPERLINK(CONCATENATE("#metadata!", ADDRESS(INDEX($L$2:$L$1001,MATCH(ROWS($J$2:J857),$J$2:$J$1001,0),0), INDEX($Q$1004:$U$1004,1,MATCH(COLUMNS($Q$1006:S1006),$Q$1006:$U$1006,0)))),"Fix")))</f>
        <v xml:space="preserve"> </v>
      </c>
      <c r="E857" s="3" t="str">
        <f ca="1">IF(OR(INDEX($K$2:$K$1001,MATCH(ROWS($J$2:J857),$J$2:$J$1001,0),1)&gt;=100000,INDEX($Q$1005:$U$1005,1,MATCH(COLUMNS($Q$1006:T1006),$Q$1006:$U$1006,0))&gt;=100000), " ",IF(INDEX($Q$2:$U$1001,MATCH(ROWS($J$2:J857),$J$2:$J$1001,0),MATCH(COLUMNS($Q$1006:T1006),$Q$1006:$U$1006,0)), HYPERLINK("#",""), HYPERLINK(CONCATENATE("#metadata!", ADDRESS(INDEX($L$2:$L$1001,MATCH(ROWS($J$2:J857),$J$2:$J$1001,0),0), INDEX($Q$1004:$U$1004,1,MATCH(COLUMNS($Q$1006:T1006),$Q$1006:$U$1006,0)))),"Fix")))</f>
        <v xml:space="preserve"> </v>
      </c>
      <c r="F857" s="3" t="str">
        <f ca="1">IF(OR(INDEX($K$2:$K$1001,MATCH(ROWS($J$2:J857),$J$2:$J$1001,0),1)&gt;=100000,INDEX($Q$1005:$U$1005,1,MATCH(COLUMNS($Q$1006:U1006),$Q$1006:$U$1006,0))&gt;=100000), " ",IF(INDEX($Q$2:$U$1001,MATCH(ROWS($J$2:J857),$J$2:$J$1001,0),MATCH(COLUMNS($Q$1006:U1006),$Q$1006:$U$1006,0)), HYPERLINK("#",""), HYPERLINK(CONCATENATE("#metadata!", ADDRESS(INDEX($L$2:$L$1001,MATCH(ROWS($J$2:J857),$J$2:$J$1001,0),0), INDEX($Q$1004:$U$1004,1,MATCH(COLUMNS($Q$1006:U1006),$Q$1006:$U$1006,0)))),"Fix")))</f>
        <v xml:space="preserve"> </v>
      </c>
      <c r="J857">
        <v>856</v>
      </c>
      <c r="K857">
        <v>100857</v>
      </c>
      <c r="L857">
        <v>857</v>
      </c>
      <c r="M857" t="b">
        <f t="shared" si="13"/>
        <v>1</v>
      </c>
      <c r="N857" t="b">
        <f>COUNTBLANK(metadata!B857:F857)=COLUMNS(metadata!B857:F857)</f>
        <v>1</v>
      </c>
      <c r="O857" t="str">
        <v/>
      </c>
      <c r="Q857" t="b">
        <f ca="1">AND(IF(metadata!B857="",FALSE,TRUE),COUNTIF(metadata!B:B, metadata!B857) = 1,NOT(ISERROR(SUMPRODUCT(SEARCH(MID(metadata!B857,ROW(INDIRECT("1:"&amp;LEN(metadata!B857))), 1),"0123456789abcdefghijklmnopqrstuvwxyzABCDEFGHIJKLMNOPQRSTUVWXYZ.")))))</f>
        <v>0</v>
      </c>
      <c r="R857" t="b">
        <f>AND(IF(metadata!C857="",FALSE,TRUE),OR(EXACT(metadata!C857,"saline"),EXACT(metadata!C857,"non-saline")))</f>
        <v>0</v>
      </c>
      <c r="S857" t="b">
        <f>AND(IF(metadata!D857="",FALSE,TRUE),OR(EXACT(metadata!D857,"surface (non-saline)"),EXACT(metadata!D857,"aerosol (non-saline)"),EXACT(metadata!D857,"sediment (non-saline)"),EXACT(metadata!D857,"surface (saline)"),EXACT(metadata!D857,"aerosol (saline)"),EXACT(metadata!D857,"sediment (saline)")))</f>
        <v>0</v>
      </c>
      <c r="T857" t="b">
        <f>AND(IF(metadata!E857="",FALSE,TRUE),EXACT(metadata!E857,"built environment"))</f>
        <v>0</v>
      </c>
      <c r="U857" t="b">
        <f>OR(AND(IF(metadata!F857="",FALSE,TRUE),EXACT(metadata!F857,"not applicable")),AND(IF(metadata!F857="",FALSE,TRUE),EXACT(metadata!F857,"anaerobic digester content")))</f>
        <v>0</v>
      </c>
    </row>
    <row r="858" spans="1:21" x14ac:dyDescent="0.2">
      <c r="A858" s="4" t="str">
        <f ca="1">IF(B858=" "," ",HYPERLINK(CONCATENATE("#metadata!",ADDRESS(INDEX($L$2:$L$1001,MATCH(ROWS($J$2:J858),$J$2:$J$1001,0),0),1)),INDEX($O$2:$O$1001,MATCH(ROWS($J$2:J858),$J$2:$J$1001,0),0)))</f>
        <v xml:space="preserve"> </v>
      </c>
      <c r="B858" s="3" t="str">
        <f ca="1">IF(OR(INDEX($K$2:$K$1001,MATCH(ROWS($J$2:J858),$J$2:$J$1001,0),1)&gt;=100000,INDEX($Q$1005:$U$1005,1,MATCH(COLUMNS($Q$1006:Q1006),$Q$1006:$U$1006,0))&gt;=100000), " ",IF(INDEX($Q$2:$U$1001,MATCH(ROWS($J$2:J858),$J$2:$J$1001,0),MATCH(COLUMNS($Q$1006:Q1006),$Q$1006:$U$1006,0)), HYPERLINK("#",""), HYPERLINK(CONCATENATE("#metadata!", ADDRESS(INDEX($L$2:$L$1001,MATCH(ROWS($J$2:J858),$J$2:$J$1001,0),0), INDEX($Q$1004:$U$1004,1,MATCH(COLUMNS($Q$1006:Q1006),$Q$1006:$U$1006,0)))),"Fix")))</f>
        <v xml:space="preserve"> </v>
      </c>
      <c r="C858" s="3" t="str">
        <f ca="1">IF(OR(INDEX($K$2:$K$1001,MATCH(ROWS($J$2:J858),$J$2:$J$1001,0),1)&gt;=100000,INDEX($Q$1005:$U$1005,1,MATCH(COLUMNS($Q$1006:R1006),$Q$1006:$U$1006,0))&gt;=100000), " ",IF(INDEX($Q$2:$U$1001,MATCH(ROWS($J$2:J858),$J$2:$J$1001,0),MATCH(COLUMNS($Q$1006:R1006),$Q$1006:$U$1006,0)), HYPERLINK("#",""), HYPERLINK(CONCATENATE("#metadata!", ADDRESS(INDEX($L$2:$L$1001,MATCH(ROWS($J$2:J858),$J$2:$J$1001,0),0), INDEX($Q$1004:$U$1004,1,MATCH(COLUMNS($Q$1006:R1006),$Q$1006:$U$1006,0)))),"Fix")))</f>
        <v xml:space="preserve"> </v>
      </c>
      <c r="D858" s="3" t="str">
        <f ca="1">IF(OR(INDEX($K$2:$K$1001,MATCH(ROWS($J$2:J858),$J$2:$J$1001,0),1)&gt;=100000,INDEX($Q$1005:$U$1005,1,MATCH(COLUMNS($Q$1006:S1006),$Q$1006:$U$1006,0))&gt;=100000), " ",IF(INDEX($Q$2:$U$1001,MATCH(ROWS($J$2:J858),$J$2:$J$1001,0),MATCH(COLUMNS($Q$1006:S1006),$Q$1006:$U$1006,0)), HYPERLINK("#",""), HYPERLINK(CONCATENATE("#metadata!", ADDRESS(INDEX($L$2:$L$1001,MATCH(ROWS($J$2:J858),$J$2:$J$1001,0),0), INDEX($Q$1004:$U$1004,1,MATCH(COLUMNS($Q$1006:S1006),$Q$1006:$U$1006,0)))),"Fix")))</f>
        <v xml:space="preserve"> </v>
      </c>
      <c r="E858" s="3" t="str">
        <f ca="1">IF(OR(INDEX($K$2:$K$1001,MATCH(ROWS($J$2:J858),$J$2:$J$1001,0),1)&gt;=100000,INDEX($Q$1005:$U$1005,1,MATCH(COLUMNS($Q$1006:T1006),$Q$1006:$U$1006,0))&gt;=100000), " ",IF(INDEX($Q$2:$U$1001,MATCH(ROWS($J$2:J858),$J$2:$J$1001,0),MATCH(COLUMNS($Q$1006:T1006),$Q$1006:$U$1006,0)), HYPERLINK("#",""), HYPERLINK(CONCATENATE("#metadata!", ADDRESS(INDEX($L$2:$L$1001,MATCH(ROWS($J$2:J858),$J$2:$J$1001,0),0), INDEX($Q$1004:$U$1004,1,MATCH(COLUMNS($Q$1006:T1006),$Q$1006:$U$1006,0)))),"Fix")))</f>
        <v xml:space="preserve"> </v>
      </c>
      <c r="F858" s="3" t="str">
        <f ca="1">IF(OR(INDEX($K$2:$K$1001,MATCH(ROWS($J$2:J858),$J$2:$J$1001,0),1)&gt;=100000,INDEX($Q$1005:$U$1005,1,MATCH(COLUMNS($Q$1006:U1006),$Q$1006:$U$1006,0))&gt;=100000), " ",IF(INDEX($Q$2:$U$1001,MATCH(ROWS($J$2:J858),$J$2:$J$1001,0),MATCH(COLUMNS($Q$1006:U1006),$Q$1006:$U$1006,0)), HYPERLINK("#",""), HYPERLINK(CONCATENATE("#metadata!", ADDRESS(INDEX($L$2:$L$1001,MATCH(ROWS($J$2:J858),$J$2:$J$1001,0),0), INDEX($Q$1004:$U$1004,1,MATCH(COLUMNS($Q$1006:U1006),$Q$1006:$U$1006,0)))),"Fix")))</f>
        <v xml:space="preserve"> </v>
      </c>
      <c r="J858">
        <v>857</v>
      </c>
      <c r="K858">
        <v>100858</v>
      </c>
      <c r="L858">
        <v>858</v>
      </c>
      <c r="M858" t="b">
        <f t="shared" si="13"/>
        <v>1</v>
      </c>
      <c r="N858" t="b">
        <f>COUNTBLANK(metadata!B858:F858)=COLUMNS(metadata!B858:F858)</f>
        <v>1</v>
      </c>
      <c r="O858" t="str">
        <v/>
      </c>
      <c r="Q858" t="b">
        <f ca="1">AND(IF(metadata!B858="",FALSE,TRUE),COUNTIF(metadata!B:B, metadata!B858) = 1,NOT(ISERROR(SUMPRODUCT(SEARCH(MID(metadata!B858,ROW(INDIRECT("1:"&amp;LEN(metadata!B858))), 1),"0123456789abcdefghijklmnopqrstuvwxyzABCDEFGHIJKLMNOPQRSTUVWXYZ.")))))</f>
        <v>0</v>
      </c>
      <c r="R858" t="b">
        <f>AND(IF(metadata!C858="",FALSE,TRUE),OR(EXACT(metadata!C858,"saline"),EXACT(metadata!C858,"non-saline")))</f>
        <v>0</v>
      </c>
      <c r="S858" t="b">
        <f>AND(IF(metadata!D858="",FALSE,TRUE),OR(EXACT(metadata!D858,"surface (non-saline)"),EXACT(metadata!D858,"aerosol (non-saline)"),EXACT(metadata!D858,"sediment (non-saline)"),EXACT(metadata!D858,"surface (saline)"),EXACT(metadata!D858,"aerosol (saline)"),EXACT(metadata!D858,"sediment (saline)")))</f>
        <v>0</v>
      </c>
      <c r="T858" t="b">
        <f>AND(IF(metadata!E858="",FALSE,TRUE),EXACT(metadata!E858,"built environment"))</f>
        <v>0</v>
      </c>
      <c r="U858" t="b">
        <f>OR(AND(IF(metadata!F858="",FALSE,TRUE),EXACT(metadata!F858,"not applicable")),AND(IF(metadata!F858="",FALSE,TRUE),EXACT(metadata!F858,"anaerobic digester content")))</f>
        <v>0</v>
      </c>
    </row>
    <row r="859" spans="1:21" x14ac:dyDescent="0.2">
      <c r="A859" s="4" t="str">
        <f ca="1">IF(B859=" "," ",HYPERLINK(CONCATENATE("#metadata!",ADDRESS(INDEX($L$2:$L$1001,MATCH(ROWS($J$2:J859),$J$2:$J$1001,0),0),1)),INDEX($O$2:$O$1001,MATCH(ROWS($J$2:J859),$J$2:$J$1001,0),0)))</f>
        <v xml:space="preserve"> </v>
      </c>
      <c r="B859" s="3" t="str">
        <f ca="1">IF(OR(INDEX($K$2:$K$1001,MATCH(ROWS($J$2:J859),$J$2:$J$1001,0),1)&gt;=100000,INDEX($Q$1005:$U$1005,1,MATCH(COLUMNS($Q$1006:Q1006),$Q$1006:$U$1006,0))&gt;=100000), " ",IF(INDEX($Q$2:$U$1001,MATCH(ROWS($J$2:J859),$J$2:$J$1001,0),MATCH(COLUMNS($Q$1006:Q1006),$Q$1006:$U$1006,0)), HYPERLINK("#",""), HYPERLINK(CONCATENATE("#metadata!", ADDRESS(INDEX($L$2:$L$1001,MATCH(ROWS($J$2:J859),$J$2:$J$1001,0),0), INDEX($Q$1004:$U$1004,1,MATCH(COLUMNS($Q$1006:Q1006),$Q$1006:$U$1006,0)))),"Fix")))</f>
        <v xml:space="preserve"> </v>
      </c>
      <c r="C859" s="3" t="str">
        <f ca="1">IF(OR(INDEX($K$2:$K$1001,MATCH(ROWS($J$2:J859),$J$2:$J$1001,0),1)&gt;=100000,INDEX($Q$1005:$U$1005,1,MATCH(COLUMNS($Q$1006:R1006),$Q$1006:$U$1006,0))&gt;=100000), " ",IF(INDEX($Q$2:$U$1001,MATCH(ROWS($J$2:J859),$J$2:$J$1001,0),MATCH(COLUMNS($Q$1006:R1006),$Q$1006:$U$1006,0)), HYPERLINK("#",""), HYPERLINK(CONCATENATE("#metadata!", ADDRESS(INDEX($L$2:$L$1001,MATCH(ROWS($J$2:J859),$J$2:$J$1001,0),0), INDEX($Q$1004:$U$1004,1,MATCH(COLUMNS($Q$1006:R1006),$Q$1006:$U$1006,0)))),"Fix")))</f>
        <v xml:space="preserve"> </v>
      </c>
      <c r="D859" s="3" t="str">
        <f ca="1">IF(OR(INDEX($K$2:$K$1001,MATCH(ROWS($J$2:J859),$J$2:$J$1001,0),1)&gt;=100000,INDEX($Q$1005:$U$1005,1,MATCH(COLUMNS($Q$1006:S1006),$Q$1006:$U$1006,0))&gt;=100000), " ",IF(INDEX($Q$2:$U$1001,MATCH(ROWS($J$2:J859),$J$2:$J$1001,0),MATCH(COLUMNS($Q$1006:S1006),$Q$1006:$U$1006,0)), HYPERLINK("#",""), HYPERLINK(CONCATENATE("#metadata!", ADDRESS(INDEX($L$2:$L$1001,MATCH(ROWS($J$2:J859),$J$2:$J$1001,0),0), INDEX($Q$1004:$U$1004,1,MATCH(COLUMNS($Q$1006:S1006),$Q$1006:$U$1006,0)))),"Fix")))</f>
        <v xml:space="preserve"> </v>
      </c>
      <c r="E859" s="3" t="str">
        <f ca="1">IF(OR(INDEX($K$2:$K$1001,MATCH(ROWS($J$2:J859),$J$2:$J$1001,0),1)&gt;=100000,INDEX($Q$1005:$U$1005,1,MATCH(COLUMNS($Q$1006:T1006),$Q$1006:$U$1006,0))&gt;=100000), " ",IF(INDEX($Q$2:$U$1001,MATCH(ROWS($J$2:J859),$J$2:$J$1001,0),MATCH(COLUMNS($Q$1006:T1006),$Q$1006:$U$1006,0)), HYPERLINK("#",""), HYPERLINK(CONCATENATE("#metadata!", ADDRESS(INDEX($L$2:$L$1001,MATCH(ROWS($J$2:J859),$J$2:$J$1001,0),0), INDEX($Q$1004:$U$1004,1,MATCH(COLUMNS($Q$1006:T1006),$Q$1006:$U$1006,0)))),"Fix")))</f>
        <v xml:space="preserve"> </v>
      </c>
      <c r="F859" s="3" t="str">
        <f ca="1">IF(OR(INDEX($K$2:$K$1001,MATCH(ROWS($J$2:J859),$J$2:$J$1001,0),1)&gt;=100000,INDEX($Q$1005:$U$1005,1,MATCH(COLUMNS($Q$1006:U1006),$Q$1006:$U$1006,0))&gt;=100000), " ",IF(INDEX($Q$2:$U$1001,MATCH(ROWS($J$2:J859),$J$2:$J$1001,0),MATCH(COLUMNS($Q$1006:U1006),$Q$1006:$U$1006,0)), HYPERLINK("#",""), HYPERLINK(CONCATENATE("#metadata!", ADDRESS(INDEX($L$2:$L$1001,MATCH(ROWS($J$2:J859),$J$2:$J$1001,0),0), INDEX($Q$1004:$U$1004,1,MATCH(COLUMNS($Q$1006:U1006),$Q$1006:$U$1006,0)))),"Fix")))</f>
        <v xml:space="preserve"> </v>
      </c>
      <c r="J859">
        <v>858</v>
      </c>
      <c r="K859">
        <v>100859</v>
      </c>
      <c r="L859">
        <v>859</v>
      </c>
      <c r="M859" t="b">
        <f t="shared" si="13"/>
        <v>1</v>
      </c>
      <c r="N859" t="b">
        <f>COUNTBLANK(metadata!B859:F859)=COLUMNS(metadata!B859:F859)</f>
        <v>1</v>
      </c>
      <c r="O859" t="str">
        <v/>
      </c>
      <c r="Q859" t="b">
        <f ca="1">AND(IF(metadata!B859="",FALSE,TRUE),COUNTIF(metadata!B:B, metadata!B859) = 1,NOT(ISERROR(SUMPRODUCT(SEARCH(MID(metadata!B859,ROW(INDIRECT("1:"&amp;LEN(metadata!B859))), 1),"0123456789abcdefghijklmnopqrstuvwxyzABCDEFGHIJKLMNOPQRSTUVWXYZ.")))))</f>
        <v>0</v>
      </c>
      <c r="R859" t="b">
        <f>AND(IF(metadata!C859="",FALSE,TRUE),OR(EXACT(metadata!C859,"saline"),EXACT(metadata!C859,"non-saline")))</f>
        <v>0</v>
      </c>
      <c r="S859" t="b">
        <f>AND(IF(metadata!D859="",FALSE,TRUE),OR(EXACT(metadata!D859,"surface (non-saline)"),EXACT(metadata!D859,"aerosol (non-saline)"),EXACT(metadata!D859,"sediment (non-saline)"),EXACT(metadata!D859,"surface (saline)"),EXACT(metadata!D859,"aerosol (saline)"),EXACT(metadata!D859,"sediment (saline)")))</f>
        <v>0</v>
      </c>
      <c r="T859" t="b">
        <f>AND(IF(metadata!E859="",FALSE,TRUE),EXACT(metadata!E859,"built environment"))</f>
        <v>0</v>
      </c>
      <c r="U859" t="b">
        <f>OR(AND(IF(metadata!F859="",FALSE,TRUE),EXACT(metadata!F859,"not applicable")),AND(IF(metadata!F859="",FALSE,TRUE),EXACT(metadata!F859,"anaerobic digester content")))</f>
        <v>0</v>
      </c>
    </row>
    <row r="860" spans="1:21" x14ac:dyDescent="0.2">
      <c r="A860" s="4" t="str">
        <f ca="1">IF(B860=" "," ",HYPERLINK(CONCATENATE("#metadata!",ADDRESS(INDEX($L$2:$L$1001,MATCH(ROWS($J$2:J860),$J$2:$J$1001,0),0),1)),INDEX($O$2:$O$1001,MATCH(ROWS($J$2:J860),$J$2:$J$1001,0),0)))</f>
        <v xml:space="preserve"> </v>
      </c>
      <c r="B860" s="3" t="str">
        <f ca="1">IF(OR(INDEX($K$2:$K$1001,MATCH(ROWS($J$2:J860),$J$2:$J$1001,0),1)&gt;=100000,INDEX($Q$1005:$U$1005,1,MATCH(COLUMNS($Q$1006:Q1006),$Q$1006:$U$1006,0))&gt;=100000), " ",IF(INDEX($Q$2:$U$1001,MATCH(ROWS($J$2:J860),$J$2:$J$1001,0),MATCH(COLUMNS($Q$1006:Q1006),$Q$1006:$U$1006,0)), HYPERLINK("#",""), HYPERLINK(CONCATENATE("#metadata!", ADDRESS(INDEX($L$2:$L$1001,MATCH(ROWS($J$2:J860),$J$2:$J$1001,0),0), INDEX($Q$1004:$U$1004,1,MATCH(COLUMNS($Q$1006:Q1006),$Q$1006:$U$1006,0)))),"Fix")))</f>
        <v xml:space="preserve"> </v>
      </c>
      <c r="C860" s="3" t="str">
        <f ca="1">IF(OR(INDEX($K$2:$K$1001,MATCH(ROWS($J$2:J860),$J$2:$J$1001,0),1)&gt;=100000,INDEX($Q$1005:$U$1005,1,MATCH(COLUMNS($Q$1006:R1006),$Q$1006:$U$1006,0))&gt;=100000), " ",IF(INDEX($Q$2:$U$1001,MATCH(ROWS($J$2:J860),$J$2:$J$1001,0),MATCH(COLUMNS($Q$1006:R1006),$Q$1006:$U$1006,0)), HYPERLINK("#",""), HYPERLINK(CONCATENATE("#metadata!", ADDRESS(INDEX($L$2:$L$1001,MATCH(ROWS($J$2:J860),$J$2:$J$1001,0),0), INDEX($Q$1004:$U$1004,1,MATCH(COLUMNS($Q$1006:R1006),$Q$1006:$U$1006,0)))),"Fix")))</f>
        <v xml:space="preserve"> </v>
      </c>
      <c r="D860" s="3" t="str">
        <f ca="1">IF(OR(INDEX($K$2:$K$1001,MATCH(ROWS($J$2:J860),$J$2:$J$1001,0),1)&gt;=100000,INDEX($Q$1005:$U$1005,1,MATCH(COLUMNS($Q$1006:S1006),$Q$1006:$U$1006,0))&gt;=100000), " ",IF(INDEX($Q$2:$U$1001,MATCH(ROWS($J$2:J860),$J$2:$J$1001,0),MATCH(COLUMNS($Q$1006:S1006),$Q$1006:$U$1006,0)), HYPERLINK("#",""), HYPERLINK(CONCATENATE("#metadata!", ADDRESS(INDEX($L$2:$L$1001,MATCH(ROWS($J$2:J860),$J$2:$J$1001,0),0), INDEX($Q$1004:$U$1004,1,MATCH(COLUMNS($Q$1006:S1006),$Q$1006:$U$1006,0)))),"Fix")))</f>
        <v xml:space="preserve"> </v>
      </c>
      <c r="E860" s="3" t="str">
        <f ca="1">IF(OR(INDEX($K$2:$K$1001,MATCH(ROWS($J$2:J860),$J$2:$J$1001,0),1)&gt;=100000,INDEX($Q$1005:$U$1005,1,MATCH(COLUMNS($Q$1006:T1006),$Q$1006:$U$1006,0))&gt;=100000), " ",IF(INDEX($Q$2:$U$1001,MATCH(ROWS($J$2:J860),$J$2:$J$1001,0),MATCH(COLUMNS($Q$1006:T1006),$Q$1006:$U$1006,0)), HYPERLINK("#",""), HYPERLINK(CONCATENATE("#metadata!", ADDRESS(INDEX($L$2:$L$1001,MATCH(ROWS($J$2:J860),$J$2:$J$1001,0),0), INDEX($Q$1004:$U$1004,1,MATCH(COLUMNS($Q$1006:T1006),$Q$1006:$U$1006,0)))),"Fix")))</f>
        <v xml:space="preserve"> </v>
      </c>
      <c r="F860" s="3" t="str">
        <f ca="1">IF(OR(INDEX($K$2:$K$1001,MATCH(ROWS($J$2:J860),$J$2:$J$1001,0),1)&gt;=100000,INDEX($Q$1005:$U$1005,1,MATCH(COLUMNS($Q$1006:U1006),$Q$1006:$U$1006,0))&gt;=100000), " ",IF(INDEX($Q$2:$U$1001,MATCH(ROWS($J$2:J860),$J$2:$J$1001,0),MATCH(COLUMNS($Q$1006:U1006),$Q$1006:$U$1006,0)), HYPERLINK("#",""), HYPERLINK(CONCATENATE("#metadata!", ADDRESS(INDEX($L$2:$L$1001,MATCH(ROWS($J$2:J860),$J$2:$J$1001,0),0), INDEX($Q$1004:$U$1004,1,MATCH(COLUMNS($Q$1006:U1006),$Q$1006:$U$1006,0)))),"Fix")))</f>
        <v xml:space="preserve"> </v>
      </c>
      <c r="J860">
        <v>859</v>
      </c>
      <c r="K860">
        <v>100860</v>
      </c>
      <c r="L860">
        <v>860</v>
      </c>
      <c r="M860" t="b">
        <f t="shared" si="13"/>
        <v>1</v>
      </c>
      <c r="N860" t="b">
        <f>COUNTBLANK(metadata!B860:F860)=COLUMNS(metadata!B860:F860)</f>
        <v>1</v>
      </c>
      <c r="O860" t="str">
        <v/>
      </c>
      <c r="Q860" t="b">
        <f ca="1">AND(IF(metadata!B860="",FALSE,TRUE),COUNTIF(metadata!B:B, metadata!B860) = 1,NOT(ISERROR(SUMPRODUCT(SEARCH(MID(metadata!B860,ROW(INDIRECT("1:"&amp;LEN(metadata!B860))), 1),"0123456789abcdefghijklmnopqrstuvwxyzABCDEFGHIJKLMNOPQRSTUVWXYZ.")))))</f>
        <v>0</v>
      </c>
      <c r="R860" t="b">
        <f>AND(IF(metadata!C860="",FALSE,TRUE),OR(EXACT(metadata!C860,"saline"),EXACT(metadata!C860,"non-saline")))</f>
        <v>0</v>
      </c>
      <c r="S860" t="b">
        <f>AND(IF(metadata!D860="",FALSE,TRUE),OR(EXACT(metadata!D860,"surface (non-saline)"),EXACT(metadata!D860,"aerosol (non-saline)"),EXACT(metadata!D860,"sediment (non-saline)"),EXACT(metadata!D860,"surface (saline)"),EXACT(metadata!D860,"aerosol (saline)"),EXACT(metadata!D860,"sediment (saline)")))</f>
        <v>0</v>
      </c>
      <c r="T860" t="b">
        <f>AND(IF(metadata!E860="",FALSE,TRUE),EXACT(metadata!E860,"built environment"))</f>
        <v>0</v>
      </c>
      <c r="U860" t="b">
        <f>OR(AND(IF(metadata!F860="",FALSE,TRUE),EXACT(metadata!F860,"not applicable")),AND(IF(metadata!F860="",FALSE,TRUE),EXACT(metadata!F860,"anaerobic digester content")))</f>
        <v>0</v>
      </c>
    </row>
    <row r="861" spans="1:21" x14ac:dyDescent="0.2">
      <c r="A861" s="4" t="str">
        <f ca="1">IF(B861=" "," ",HYPERLINK(CONCATENATE("#metadata!",ADDRESS(INDEX($L$2:$L$1001,MATCH(ROWS($J$2:J861),$J$2:$J$1001,0),0),1)),INDEX($O$2:$O$1001,MATCH(ROWS($J$2:J861),$J$2:$J$1001,0),0)))</f>
        <v xml:space="preserve"> </v>
      </c>
      <c r="B861" s="3" t="str">
        <f ca="1">IF(OR(INDEX($K$2:$K$1001,MATCH(ROWS($J$2:J861),$J$2:$J$1001,0),1)&gt;=100000,INDEX($Q$1005:$U$1005,1,MATCH(COLUMNS($Q$1006:Q1006),$Q$1006:$U$1006,0))&gt;=100000), " ",IF(INDEX($Q$2:$U$1001,MATCH(ROWS($J$2:J861),$J$2:$J$1001,0),MATCH(COLUMNS($Q$1006:Q1006),$Q$1006:$U$1006,0)), HYPERLINK("#",""), HYPERLINK(CONCATENATE("#metadata!", ADDRESS(INDEX($L$2:$L$1001,MATCH(ROWS($J$2:J861),$J$2:$J$1001,0),0), INDEX($Q$1004:$U$1004,1,MATCH(COLUMNS($Q$1006:Q1006),$Q$1006:$U$1006,0)))),"Fix")))</f>
        <v xml:space="preserve"> </v>
      </c>
      <c r="C861" s="3" t="str">
        <f ca="1">IF(OR(INDEX($K$2:$K$1001,MATCH(ROWS($J$2:J861),$J$2:$J$1001,0),1)&gt;=100000,INDEX($Q$1005:$U$1005,1,MATCH(COLUMNS($Q$1006:R1006),$Q$1006:$U$1006,0))&gt;=100000), " ",IF(INDEX($Q$2:$U$1001,MATCH(ROWS($J$2:J861),$J$2:$J$1001,0),MATCH(COLUMNS($Q$1006:R1006),$Q$1006:$U$1006,0)), HYPERLINK("#",""), HYPERLINK(CONCATENATE("#metadata!", ADDRESS(INDEX($L$2:$L$1001,MATCH(ROWS($J$2:J861),$J$2:$J$1001,0),0), INDEX($Q$1004:$U$1004,1,MATCH(COLUMNS($Q$1006:R1006),$Q$1006:$U$1006,0)))),"Fix")))</f>
        <v xml:space="preserve"> </v>
      </c>
      <c r="D861" s="3" t="str">
        <f ca="1">IF(OR(INDEX($K$2:$K$1001,MATCH(ROWS($J$2:J861),$J$2:$J$1001,0),1)&gt;=100000,INDEX($Q$1005:$U$1005,1,MATCH(COLUMNS($Q$1006:S1006),$Q$1006:$U$1006,0))&gt;=100000), " ",IF(INDEX($Q$2:$U$1001,MATCH(ROWS($J$2:J861),$J$2:$J$1001,0),MATCH(COLUMNS($Q$1006:S1006),$Q$1006:$U$1006,0)), HYPERLINK("#",""), HYPERLINK(CONCATENATE("#metadata!", ADDRESS(INDEX($L$2:$L$1001,MATCH(ROWS($J$2:J861),$J$2:$J$1001,0),0), INDEX($Q$1004:$U$1004,1,MATCH(COLUMNS($Q$1006:S1006),$Q$1006:$U$1006,0)))),"Fix")))</f>
        <v xml:space="preserve"> </v>
      </c>
      <c r="E861" s="3" t="str">
        <f ca="1">IF(OR(INDEX($K$2:$K$1001,MATCH(ROWS($J$2:J861),$J$2:$J$1001,0),1)&gt;=100000,INDEX($Q$1005:$U$1005,1,MATCH(COLUMNS($Q$1006:T1006),$Q$1006:$U$1006,0))&gt;=100000), " ",IF(INDEX($Q$2:$U$1001,MATCH(ROWS($J$2:J861),$J$2:$J$1001,0),MATCH(COLUMNS($Q$1006:T1006),$Q$1006:$U$1006,0)), HYPERLINK("#",""), HYPERLINK(CONCATENATE("#metadata!", ADDRESS(INDEX($L$2:$L$1001,MATCH(ROWS($J$2:J861),$J$2:$J$1001,0),0), INDEX($Q$1004:$U$1004,1,MATCH(COLUMNS($Q$1006:T1006),$Q$1006:$U$1006,0)))),"Fix")))</f>
        <v xml:space="preserve"> </v>
      </c>
      <c r="F861" s="3" t="str">
        <f ca="1">IF(OR(INDEX($K$2:$K$1001,MATCH(ROWS($J$2:J861),$J$2:$J$1001,0),1)&gt;=100000,INDEX($Q$1005:$U$1005,1,MATCH(COLUMNS($Q$1006:U1006),$Q$1006:$U$1006,0))&gt;=100000), " ",IF(INDEX($Q$2:$U$1001,MATCH(ROWS($J$2:J861),$J$2:$J$1001,0),MATCH(COLUMNS($Q$1006:U1006),$Q$1006:$U$1006,0)), HYPERLINK("#",""), HYPERLINK(CONCATENATE("#metadata!", ADDRESS(INDEX($L$2:$L$1001,MATCH(ROWS($J$2:J861),$J$2:$J$1001,0),0), INDEX($Q$1004:$U$1004,1,MATCH(COLUMNS($Q$1006:U1006),$Q$1006:$U$1006,0)))),"Fix")))</f>
        <v xml:space="preserve"> </v>
      </c>
      <c r="J861">
        <v>860</v>
      </c>
      <c r="K861">
        <v>100861</v>
      </c>
      <c r="L861">
        <v>861</v>
      </c>
      <c r="M861" t="b">
        <f t="shared" si="13"/>
        <v>1</v>
      </c>
      <c r="N861" t="b">
        <f>COUNTBLANK(metadata!B861:F861)=COLUMNS(metadata!B861:F861)</f>
        <v>1</v>
      </c>
      <c r="O861" t="str">
        <v/>
      </c>
      <c r="Q861" t="b">
        <f ca="1">AND(IF(metadata!B861="",FALSE,TRUE),COUNTIF(metadata!B:B, metadata!B861) = 1,NOT(ISERROR(SUMPRODUCT(SEARCH(MID(metadata!B861,ROW(INDIRECT("1:"&amp;LEN(metadata!B861))), 1),"0123456789abcdefghijklmnopqrstuvwxyzABCDEFGHIJKLMNOPQRSTUVWXYZ.")))))</f>
        <v>0</v>
      </c>
      <c r="R861" t="b">
        <f>AND(IF(metadata!C861="",FALSE,TRUE),OR(EXACT(metadata!C861,"saline"),EXACT(metadata!C861,"non-saline")))</f>
        <v>0</v>
      </c>
      <c r="S861" t="b">
        <f>AND(IF(metadata!D861="",FALSE,TRUE),OR(EXACT(metadata!D861,"surface (non-saline)"),EXACT(metadata!D861,"aerosol (non-saline)"),EXACT(metadata!D861,"sediment (non-saline)"),EXACT(metadata!D861,"surface (saline)"),EXACT(metadata!D861,"aerosol (saline)"),EXACT(metadata!D861,"sediment (saline)")))</f>
        <v>0</v>
      </c>
      <c r="T861" t="b">
        <f>AND(IF(metadata!E861="",FALSE,TRUE),EXACT(metadata!E861,"built environment"))</f>
        <v>0</v>
      </c>
      <c r="U861" t="b">
        <f>OR(AND(IF(metadata!F861="",FALSE,TRUE),EXACT(metadata!F861,"not applicable")),AND(IF(metadata!F861="",FALSE,TRUE),EXACT(metadata!F861,"anaerobic digester content")))</f>
        <v>0</v>
      </c>
    </row>
    <row r="862" spans="1:21" x14ac:dyDescent="0.2">
      <c r="A862" s="4" t="str">
        <f ca="1">IF(B862=" "," ",HYPERLINK(CONCATENATE("#metadata!",ADDRESS(INDEX($L$2:$L$1001,MATCH(ROWS($J$2:J862),$J$2:$J$1001,0),0),1)),INDEX($O$2:$O$1001,MATCH(ROWS($J$2:J862),$J$2:$J$1001,0),0)))</f>
        <v xml:space="preserve"> </v>
      </c>
      <c r="B862" s="3" t="str">
        <f ca="1">IF(OR(INDEX($K$2:$K$1001,MATCH(ROWS($J$2:J862),$J$2:$J$1001,0),1)&gt;=100000,INDEX($Q$1005:$U$1005,1,MATCH(COLUMNS($Q$1006:Q1006),$Q$1006:$U$1006,0))&gt;=100000), " ",IF(INDEX($Q$2:$U$1001,MATCH(ROWS($J$2:J862),$J$2:$J$1001,0),MATCH(COLUMNS($Q$1006:Q1006),$Q$1006:$U$1006,0)), HYPERLINK("#",""), HYPERLINK(CONCATENATE("#metadata!", ADDRESS(INDEX($L$2:$L$1001,MATCH(ROWS($J$2:J862),$J$2:$J$1001,0),0), INDEX($Q$1004:$U$1004,1,MATCH(COLUMNS($Q$1006:Q1006),$Q$1006:$U$1006,0)))),"Fix")))</f>
        <v xml:space="preserve"> </v>
      </c>
      <c r="C862" s="3" t="str">
        <f ca="1">IF(OR(INDEX($K$2:$K$1001,MATCH(ROWS($J$2:J862),$J$2:$J$1001,0),1)&gt;=100000,INDEX($Q$1005:$U$1005,1,MATCH(COLUMNS($Q$1006:R1006),$Q$1006:$U$1006,0))&gt;=100000), " ",IF(INDEX($Q$2:$U$1001,MATCH(ROWS($J$2:J862),$J$2:$J$1001,0),MATCH(COLUMNS($Q$1006:R1006),$Q$1006:$U$1006,0)), HYPERLINK("#",""), HYPERLINK(CONCATENATE("#metadata!", ADDRESS(INDEX($L$2:$L$1001,MATCH(ROWS($J$2:J862),$J$2:$J$1001,0),0), INDEX($Q$1004:$U$1004,1,MATCH(COLUMNS($Q$1006:R1006),$Q$1006:$U$1006,0)))),"Fix")))</f>
        <v xml:space="preserve"> </v>
      </c>
      <c r="D862" s="3" t="str">
        <f ca="1">IF(OR(INDEX($K$2:$K$1001,MATCH(ROWS($J$2:J862),$J$2:$J$1001,0),1)&gt;=100000,INDEX($Q$1005:$U$1005,1,MATCH(COLUMNS($Q$1006:S1006),$Q$1006:$U$1006,0))&gt;=100000), " ",IF(INDEX($Q$2:$U$1001,MATCH(ROWS($J$2:J862),$J$2:$J$1001,0),MATCH(COLUMNS($Q$1006:S1006),$Q$1006:$U$1006,0)), HYPERLINK("#",""), HYPERLINK(CONCATENATE("#metadata!", ADDRESS(INDEX($L$2:$L$1001,MATCH(ROWS($J$2:J862),$J$2:$J$1001,0),0), INDEX($Q$1004:$U$1004,1,MATCH(COLUMNS($Q$1006:S1006),$Q$1006:$U$1006,0)))),"Fix")))</f>
        <v xml:space="preserve"> </v>
      </c>
      <c r="E862" s="3" t="str">
        <f ca="1">IF(OR(INDEX($K$2:$K$1001,MATCH(ROWS($J$2:J862),$J$2:$J$1001,0),1)&gt;=100000,INDEX($Q$1005:$U$1005,1,MATCH(COLUMNS($Q$1006:T1006),$Q$1006:$U$1006,0))&gt;=100000), " ",IF(INDEX($Q$2:$U$1001,MATCH(ROWS($J$2:J862),$J$2:$J$1001,0),MATCH(COLUMNS($Q$1006:T1006),$Q$1006:$U$1006,0)), HYPERLINK("#",""), HYPERLINK(CONCATENATE("#metadata!", ADDRESS(INDEX($L$2:$L$1001,MATCH(ROWS($J$2:J862),$J$2:$J$1001,0),0), INDEX($Q$1004:$U$1004,1,MATCH(COLUMNS($Q$1006:T1006),$Q$1006:$U$1006,0)))),"Fix")))</f>
        <v xml:space="preserve"> </v>
      </c>
      <c r="F862" s="3" t="str">
        <f ca="1">IF(OR(INDEX($K$2:$K$1001,MATCH(ROWS($J$2:J862),$J$2:$J$1001,0),1)&gt;=100000,INDEX($Q$1005:$U$1005,1,MATCH(COLUMNS($Q$1006:U1006),$Q$1006:$U$1006,0))&gt;=100000), " ",IF(INDEX($Q$2:$U$1001,MATCH(ROWS($J$2:J862),$J$2:$J$1001,0),MATCH(COLUMNS($Q$1006:U1006),$Q$1006:$U$1006,0)), HYPERLINK("#",""), HYPERLINK(CONCATENATE("#metadata!", ADDRESS(INDEX($L$2:$L$1001,MATCH(ROWS($J$2:J862),$J$2:$J$1001,0),0), INDEX($Q$1004:$U$1004,1,MATCH(COLUMNS($Q$1006:U1006),$Q$1006:$U$1006,0)))),"Fix")))</f>
        <v xml:space="preserve"> </v>
      </c>
      <c r="J862">
        <v>861</v>
      </c>
      <c r="K862">
        <v>100862</v>
      </c>
      <c r="L862">
        <v>862</v>
      </c>
      <c r="M862" t="b">
        <f t="shared" si="13"/>
        <v>1</v>
      </c>
      <c r="N862" t="b">
        <f>COUNTBLANK(metadata!B862:F862)=COLUMNS(metadata!B862:F862)</f>
        <v>1</v>
      </c>
      <c r="O862" t="str">
        <v/>
      </c>
      <c r="Q862" t="b">
        <f ca="1">AND(IF(metadata!B862="",FALSE,TRUE),COUNTIF(metadata!B:B, metadata!B862) = 1,NOT(ISERROR(SUMPRODUCT(SEARCH(MID(metadata!B862,ROW(INDIRECT("1:"&amp;LEN(metadata!B862))), 1),"0123456789abcdefghijklmnopqrstuvwxyzABCDEFGHIJKLMNOPQRSTUVWXYZ.")))))</f>
        <v>0</v>
      </c>
      <c r="R862" t="b">
        <f>AND(IF(metadata!C862="",FALSE,TRUE),OR(EXACT(metadata!C862,"saline"),EXACT(metadata!C862,"non-saline")))</f>
        <v>0</v>
      </c>
      <c r="S862" t="b">
        <f>AND(IF(metadata!D862="",FALSE,TRUE),OR(EXACT(metadata!D862,"surface (non-saline)"),EXACT(metadata!D862,"aerosol (non-saline)"),EXACT(metadata!D862,"sediment (non-saline)"),EXACT(metadata!D862,"surface (saline)"),EXACT(metadata!D862,"aerosol (saline)"),EXACT(metadata!D862,"sediment (saline)")))</f>
        <v>0</v>
      </c>
      <c r="T862" t="b">
        <f>AND(IF(metadata!E862="",FALSE,TRUE),EXACT(metadata!E862,"built environment"))</f>
        <v>0</v>
      </c>
      <c r="U862" t="b">
        <f>OR(AND(IF(metadata!F862="",FALSE,TRUE),EXACT(metadata!F862,"not applicable")),AND(IF(metadata!F862="",FALSE,TRUE),EXACT(metadata!F862,"anaerobic digester content")))</f>
        <v>0</v>
      </c>
    </row>
    <row r="863" spans="1:21" x14ac:dyDescent="0.2">
      <c r="A863" s="4" t="str">
        <f ca="1">IF(B863=" "," ",HYPERLINK(CONCATENATE("#metadata!",ADDRESS(INDEX($L$2:$L$1001,MATCH(ROWS($J$2:J863),$J$2:$J$1001,0),0),1)),INDEX($O$2:$O$1001,MATCH(ROWS($J$2:J863),$J$2:$J$1001,0),0)))</f>
        <v xml:space="preserve"> </v>
      </c>
      <c r="B863" s="3" t="str">
        <f ca="1">IF(OR(INDEX($K$2:$K$1001,MATCH(ROWS($J$2:J863),$J$2:$J$1001,0),1)&gt;=100000,INDEX($Q$1005:$U$1005,1,MATCH(COLUMNS($Q$1006:Q1006),$Q$1006:$U$1006,0))&gt;=100000), " ",IF(INDEX($Q$2:$U$1001,MATCH(ROWS($J$2:J863),$J$2:$J$1001,0),MATCH(COLUMNS($Q$1006:Q1006),$Q$1006:$U$1006,0)), HYPERLINK("#",""), HYPERLINK(CONCATENATE("#metadata!", ADDRESS(INDEX($L$2:$L$1001,MATCH(ROWS($J$2:J863),$J$2:$J$1001,0),0), INDEX($Q$1004:$U$1004,1,MATCH(COLUMNS($Q$1006:Q1006),$Q$1006:$U$1006,0)))),"Fix")))</f>
        <v xml:space="preserve"> </v>
      </c>
      <c r="C863" s="3" t="str">
        <f ca="1">IF(OR(INDEX($K$2:$K$1001,MATCH(ROWS($J$2:J863),$J$2:$J$1001,0),1)&gt;=100000,INDEX($Q$1005:$U$1005,1,MATCH(COLUMNS($Q$1006:R1006),$Q$1006:$U$1006,0))&gt;=100000), " ",IF(INDEX($Q$2:$U$1001,MATCH(ROWS($J$2:J863),$J$2:$J$1001,0),MATCH(COLUMNS($Q$1006:R1006),$Q$1006:$U$1006,0)), HYPERLINK("#",""), HYPERLINK(CONCATENATE("#metadata!", ADDRESS(INDEX($L$2:$L$1001,MATCH(ROWS($J$2:J863),$J$2:$J$1001,0),0), INDEX($Q$1004:$U$1004,1,MATCH(COLUMNS($Q$1006:R1006),$Q$1006:$U$1006,0)))),"Fix")))</f>
        <v xml:space="preserve"> </v>
      </c>
      <c r="D863" s="3" t="str">
        <f ca="1">IF(OR(INDEX($K$2:$K$1001,MATCH(ROWS($J$2:J863),$J$2:$J$1001,0),1)&gt;=100000,INDEX($Q$1005:$U$1005,1,MATCH(COLUMNS($Q$1006:S1006),$Q$1006:$U$1006,0))&gt;=100000), " ",IF(INDEX($Q$2:$U$1001,MATCH(ROWS($J$2:J863),$J$2:$J$1001,0),MATCH(COLUMNS($Q$1006:S1006),$Q$1006:$U$1006,0)), HYPERLINK("#",""), HYPERLINK(CONCATENATE("#metadata!", ADDRESS(INDEX($L$2:$L$1001,MATCH(ROWS($J$2:J863),$J$2:$J$1001,0),0), INDEX($Q$1004:$U$1004,1,MATCH(COLUMNS($Q$1006:S1006),$Q$1006:$U$1006,0)))),"Fix")))</f>
        <v xml:space="preserve"> </v>
      </c>
      <c r="E863" s="3" t="str">
        <f ca="1">IF(OR(INDEX($K$2:$K$1001,MATCH(ROWS($J$2:J863),$J$2:$J$1001,0),1)&gt;=100000,INDEX($Q$1005:$U$1005,1,MATCH(COLUMNS($Q$1006:T1006),$Q$1006:$U$1006,0))&gt;=100000), " ",IF(INDEX($Q$2:$U$1001,MATCH(ROWS($J$2:J863),$J$2:$J$1001,0),MATCH(COLUMNS($Q$1006:T1006),$Q$1006:$U$1006,0)), HYPERLINK("#",""), HYPERLINK(CONCATENATE("#metadata!", ADDRESS(INDEX($L$2:$L$1001,MATCH(ROWS($J$2:J863),$J$2:$J$1001,0),0), INDEX($Q$1004:$U$1004,1,MATCH(COLUMNS($Q$1006:T1006),$Q$1006:$U$1006,0)))),"Fix")))</f>
        <v xml:space="preserve"> </v>
      </c>
      <c r="F863" s="3" t="str">
        <f ca="1">IF(OR(INDEX($K$2:$K$1001,MATCH(ROWS($J$2:J863),$J$2:$J$1001,0),1)&gt;=100000,INDEX($Q$1005:$U$1005,1,MATCH(COLUMNS($Q$1006:U1006),$Q$1006:$U$1006,0))&gt;=100000), " ",IF(INDEX($Q$2:$U$1001,MATCH(ROWS($J$2:J863),$J$2:$J$1001,0),MATCH(COLUMNS($Q$1006:U1006),$Q$1006:$U$1006,0)), HYPERLINK("#",""), HYPERLINK(CONCATENATE("#metadata!", ADDRESS(INDEX($L$2:$L$1001,MATCH(ROWS($J$2:J863),$J$2:$J$1001,0),0), INDEX($Q$1004:$U$1004,1,MATCH(COLUMNS($Q$1006:U1006),$Q$1006:$U$1006,0)))),"Fix")))</f>
        <v xml:space="preserve"> </v>
      </c>
      <c r="J863">
        <v>862</v>
      </c>
      <c r="K863">
        <v>100863</v>
      </c>
      <c r="L863">
        <v>863</v>
      </c>
      <c r="M863" t="b">
        <f t="shared" si="13"/>
        <v>1</v>
      </c>
      <c r="N863" t="b">
        <f>COUNTBLANK(metadata!B863:F863)=COLUMNS(metadata!B863:F863)</f>
        <v>1</v>
      </c>
      <c r="O863" t="str">
        <v/>
      </c>
      <c r="Q863" t="b">
        <f ca="1">AND(IF(metadata!B863="",FALSE,TRUE),COUNTIF(metadata!B:B, metadata!B863) = 1,NOT(ISERROR(SUMPRODUCT(SEARCH(MID(metadata!B863,ROW(INDIRECT("1:"&amp;LEN(metadata!B863))), 1),"0123456789abcdefghijklmnopqrstuvwxyzABCDEFGHIJKLMNOPQRSTUVWXYZ.")))))</f>
        <v>0</v>
      </c>
      <c r="R863" t="b">
        <f>AND(IF(metadata!C863="",FALSE,TRUE),OR(EXACT(metadata!C863,"saline"),EXACT(metadata!C863,"non-saline")))</f>
        <v>0</v>
      </c>
      <c r="S863" t="b">
        <f>AND(IF(metadata!D863="",FALSE,TRUE),OR(EXACT(metadata!D863,"surface (non-saline)"),EXACT(metadata!D863,"aerosol (non-saline)"),EXACT(metadata!D863,"sediment (non-saline)"),EXACT(metadata!D863,"surface (saline)"),EXACT(metadata!D863,"aerosol (saline)"),EXACT(metadata!D863,"sediment (saline)")))</f>
        <v>0</v>
      </c>
      <c r="T863" t="b">
        <f>AND(IF(metadata!E863="",FALSE,TRUE),EXACT(metadata!E863,"built environment"))</f>
        <v>0</v>
      </c>
      <c r="U863" t="b">
        <f>OR(AND(IF(metadata!F863="",FALSE,TRUE),EXACT(metadata!F863,"not applicable")),AND(IF(metadata!F863="",FALSE,TRUE),EXACT(metadata!F863,"anaerobic digester content")))</f>
        <v>0</v>
      </c>
    </row>
    <row r="864" spans="1:21" x14ac:dyDescent="0.2">
      <c r="A864" s="4" t="str">
        <f ca="1">IF(B864=" "," ",HYPERLINK(CONCATENATE("#metadata!",ADDRESS(INDEX($L$2:$L$1001,MATCH(ROWS($J$2:J864),$J$2:$J$1001,0),0),1)),INDEX($O$2:$O$1001,MATCH(ROWS($J$2:J864),$J$2:$J$1001,0),0)))</f>
        <v xml:space="preserve"> </v>
      </c>
      <c r="B864" s="3" t="str">
        <f ca="1">IF(OR(INDEX($K$2:$K$1001,MATCH(ROWS($J$2:J864),$J$2:$J$1001,0),1)&gt;=100000,INDEX($Q$1005:$U$1005,1,MATCH(COLUMNS($Q$1006:Q1006),$Q$1006:$U$1006,0))&gt;=100000), " ",IF(INDEX($Q$2:$U$1001,MATCH(ROWS($J$2:J864),$J$2:$J$1001,0),MATCH(COLUMNS($Q$1006:Q1006),$Q$1006:$U$1006,0)), HYPERLINK("#",""), HYPERLINK(CONCATENATE("#metadata!", ADDRESS(INDEX($L$2:$L$1001,MATCH(ROWS($J$2:J864),$J$2:$J$1001,0),0), INDEX($Q$1004:$U$1004,1,MATCH(COLUMNS($Q$1006:Q1006),$Q$1006:$U$1006,0)))),"Fix")))</f>
        <v xml:space="preserve"> </v>
      </c>
      <c r="C864" s="3" t="str">
        <f ca="1">IF(OR(INDEX($K$2:$K$1001,MATCH(ROWS($J$2:J864),$J$2:$J$1001,0),1)&gt;=100000,INDEX($Q$1005:$U$1005,1,MATCH(COLUMNS($Q$1006:R1006),$Q$1006:$U$1006,0))&gt;=100000), " ",IF(INDEX($Q$2:$U$1001,MATCH(ROWS($J$2:J864),$J$2:$J$1001,0),MATCH(COLUMNS($Q$1006:R1006),$Q$1006:$U$1006,0)), HYPERLINK("#",""), HYPERLINK(CONCATENATE("#metadata!", ADDRESS(INDEX($L$2:$L$1001,MATCH(ROWS($J$2:J864),$J$2:$J$1001,0),0), INDEX($Q$1004:$U$1004,1,MATCH(COLUMNS($Q$1006:R1006),$Q$1006:$U$1006,0)))),"Fix")))</f>
        <v xml:space="preserve"> </v>
      </c>
      <c r="D864" s="3" t="str">
        <f ca="1">IF(OR(INDEX($K$2:$K$1001,MATCH(ROWS($J$2:J864),$J$2:$J$1001,0),1)&gt;=100000,INDEX($Q$1005:$U$1005,1,MATCH(COLUMNS($Q$1006:S1006),$Q$1006:$U$1006,0))&gt;=100000), " ",IF(INDEX($Q$2:$U$1001,MATCH(ROWS($J$2:J864),$J$2:$J$1001,0),MATCH(COLUMNS($Q$1006:S1006),$Q$1006:$U$1006,0)), HYPERLINK("#",""), HYPERLINK(CONCATENATE("#metadata!", ADDRESS(INDEX($L$2:$L$1001,MATCH(ROWS($J$2:J864),$J$2:$J$1001,0),0), INDEX($Q$1004:$U$1004,1,MATCH(COLUMNS($Q$1006:S1006),$Q$1006:$U$1006,0)))),"Fix")))</f>
        <v xml:space="preserve"> </v>
      </c>
      <c r="E864" s="3" t="str">
        <f ca="1">IF(OR(INDEX($K$2:$K$1001,MATCH(ROWS($J$2:J864),$J$2:$J$1001,0),1)&gt;=100000,INDEX($Q$1005:$U$1005,1,MATCH(COLUMNS($Q$1006:T1006),$Q$1006:$U$1006,0))&gt;=100000), " ",IF(INDEX($Q$2:$U$1001,MATCH(ROWS($J$2:J864),$J$2:$J$1001,0),MATCH(COLUMNS($Q$1006:T1006),$Q$1006:$U$1006,0)), HYPERLINK("#",""), HYPERLINK(CONCATENATE("#metadata!", ADDRESS(INDEX($L$2:$L$1001,MATCH(ROWS($J$2:J864),$J$2:$J$1001,0),0), INDEX($Q$1004:$U$1004,1,MATCH(COLUMNS($Q$1006:T1006),$Q$1006:$U$1006,0)))),"Fix")))</f>
        <v xml:space="preserve"> </v>
      </c>
      <c r="F864" s="3" t="str">
        <f ca="1">IF(OR(INDEX($K$2:$K$1001,MATCH(ROWS($J$2:J864),$J$2:$J$1001,0),1)&gt;=100000,INDEX($Q$1005:$U$1005,1,MATCH(COLUMNS($Q$1006:U1006),$Q$1006:$U$1006,0))&gt;=100000), " ",IF(INDEX($Q$2:$U$1001,MATCH(ROWS($J$2:J864),$J$2:$J$1001,0),MATCH(COLUMNS($Q$1006:U1006),$Q$1006:$U$1006,0)), HYPERLINK("#",""), HYPERLINK(CONCATENATE("#metadata!", ADDRESS(INDEX($L$2:$L$1001,MATCH(ROWS($J$2:J864),$J$2:$J$1001,0),0), INDEX($Q$1004:$U$1004,1,MATCH(COLUMNS($Q$1006:U1006),$Q$1006:$U$1006,0)))),"Fix")))</f>
        <v xml:space="preserve"> </v>
      </c>
      <c r="J864">
        <v>863</v>
      </c>
      <c r="K864">
        <v>100864</v>
      </c>
      <c r="L864">
        <v>864</v>
      </c>
      <c r="M864" t="b">
        <f t="shared" si="13"/>
        <v>1</v>
      </c>
      <c r="N864" t="b">
        <f>COUNTBLANK(metadata!B864:F864)=COLUMNS(metadata!B864:F864)</f>
        <v>1</v>
      </c>
      <c r="O864" t="str">
        <v/>
      </c>
      <c r="Q864" t="b">
        <f ca="1">AND(IF(metadata!B864="",FALSE,TRUE),COUNTIF(metadata!B:B, metadata!B864) = 1,NOT(ISERROR(SUMPRODUCT(SEARCH(MID(metadata!B864,ROW(INDIRECT("1:"&amp;LEN(metadata!B864))), 1),"0123456789abcdefghijklmnopqrstuvwxyzABCDEFGHIJKLMNOPQRSTUVWXYZ.")))))</f>
        <v>0</v>
      </c>
      <c r="R864" t="b">
        <f>AND(IF(metadata!C864="",FALSE,TRUE),OR(EXACT(metadata!C864,"saline"),EXACT(metadata!C864,"non-saline")))</f>
        <v>0</v>
      </c>
      <c r="S864" t="b">
        <f>AND(IF(metadata!D864="",FALSE,TRUE),OR(EXACT(metadata!D864,"surface (non-saline)"),EXACT(metadata!D864,"aerosol (non-saline)"),EXACT(metadata!D864,"sediment (non-saline)"),EXACT(metadata!D864,"surface (saline)"),EXACT(metadata!D864,"aerosol (saline)"),EXACT(metadata!D864,"sediment (saline)")))</f>
        <v>0</v>
      </c>
      <c r="T864" t="b">
        <f>AND(IF(metadata!E864="",FALSE,TRUE),EXACT(metadata!E864,"built environment"))</f>
        <v>0</v>
      </c>
      <c r="U864" t="b">
        <f>OR(AND(IF(metadata!F864="",FALSE,TRUE),EXACT(metadata!F864,"not applicable")),AND(IF(metadata!F864="",FALSE,TRUE),EXACT(metadata!F864,"anaerobic digester content")))</f>
        <v>0</v>
      </c>
    </row>
    <row r="865" spans="1:21" x14ac:dyDescent="0.2">
      <c r="A865" s="4" t="str">
        <f ca="1">IF(B865=" "," ",HYPERLINK(CONCATENATE("#metadata!",ADDRESS(INDEX($L$2:$L$1001,MATCH(ROWS($J$2:J865),$J$2:$J$1001,0),0),1)),INDEX($O$2:$O$1001,MATCH(ROWS($J$2:J865),$J$2:$J$1001,0),0)))</f>
        <v xml:space="preserve"> </v>
      </c>
      <c r="B865" s="3" t="str">
        <f ca="1">IF(OR(INDEX($K$2:$K$1001,MATCH(ROWS($J$2:J865),$J$2:$J$1001,0),1)&gt;=100000,INDEX($Q$1005:$U$1005,1,MATCH(COLUMNS($Q$1006:Q1006),$Q$1006:$U$1006,0))&gt;=100000), " ",IF(INDEX($Q$2:$U$1001,MATCH(ROWS($J$2:J865),$J$2:$J$1001,0),MATCH(COLUMNS($Q$1006:Q1006),$Q$1006:$U$1006,0)), HYPERLINK("#",""), HYPERLINK(CONCATENATE("#metadata!", ADDRESS(INDEX($L$2:$L$1001,MATCH(ROWS($J$2:J865),$J$2:$J$1001,0),0), INDEX($Q$1004:$U$1004,1,MATCH(COLUMNS($Q$1006:Q1006),$Q$1006:$U$1006,0)))),"Fix")))</f>
        <v xml:space="preserve"> </v>
      </c>
      <c r="C865" s="3" t="str">
        <f ca="1">IF(OR(INDEX($K$2:$K$1001,MATCH(ROWS($J$2:J865),$J$2:$J$1001,0),1)&gt;=100000,INDEX($Q$1005:$U$1005,1,MATCH(COLUMNS($Q$1006:R1006),$Q$1006:$U$1006,0))&gt;=100000), " ",IF(INDEX($Q$2:$U$1001,MATCH(ROWS($J$2:J865),$J$2:$J$1001,0),MATCH(COLUMNS($Q$1006:R1006),$Q$1006:$U$1006,0)), HYPERLINK("#",""), HYPERLINK(CONCATENATE("#metadata!", ADDRESS(INDEX($L$2:$L$1001,MATCH(ROWS($J$2:J865),$J$2:$J$1001,0),0), INDEX($Q$1004:$U$1004,1,MATCH(COLUMNS($Q$1006:R1006),$Q$1006:$U$1006,0)))),"Fix")))</f>
        <v xml:space="preserve"> </v>
      </c>
      <c r="D865" s="3" t="str">
        <f ca="1">IF(OR(INDEX($K$2:$K$1001,MATCH(ROWS($J$2:J865),$J$2:$J$1001,0),1)&gt;=100000,INDEX($Q$1005:$U$1005,1,MATCH(COLUMNS($Q$1006:S1006),$Q$1006:$U$1006,0))&gt;=100000), " ",IF(INDEX($Q$2:$U$1001,MATCH(ROWS($J$2:J865),$J$2:$J$1001,0),MATCH(COLUMNS($Q$1006:S1006),$Q$1006:$U$1006,0)), HYPERLINK("#",""), HYPERLINK(CONCATENATE("#metadata!", ADDRESS(INDEX($L$2:$L$1001,MATCH(ROWS($J$2:J865),$J$2:$J$1001,0),0), INDEX($Q$1004:$U$1004,1,MATCH(COLUMNS($Q$1006:S1006),$Q$1006:$U$1006,0)))),"Fix")))</f>
        <v xml:space="preserve"> </v>
      </c>
      <c r="E865" s="3" t="str">
        <f ca="1">IF(OR(INDEX($K$2:$K$1001,MATCH(ROWS($J$2:J865),$J$2:$J$1001,0),1)&gt;=100000,INDEX($Q$1005:$U$1005,1,MATCH(COLUMNS($Q$1006:T1006),$Q$1006:$U$1006,0))&gt;=100000), " ",IF(INDEX($Q$2:$U$1001,MATCH(ROWS($J$2:J865),$J$2:$J$1001,0),MATCH(COLUMNS($Q$1006:T1006),$Q$1006:$U$1006,0)), HYPERLINK("#",""), HYPERLINK(CONCATENATE("#metadata!", ADDRESS(INDEX($L$2:$L$1001,MATCH(ROWS($J$2:J865),$J$2:$J$1001,0),0), INDEX($Q$1004:$U$1004,1,MATCH(COLUMNS($Q$1006:T1006),$Q$1006:$U$1006,0)))),"Fix")))</f>
        <v xml:space="preserve"> </v>
      </c>
      <c r="F865" s="3" t="str">
        <f ca="1">IF(OR(INDEX($K$2:$K$1001,MATCH(ROWS($J$2:J865),$J$2:$J$1001,0),1)&gt;=100000,INDEX($Q$1005:$U$1005,1,MATCH(COLUMNS($Q$1006:U1006),$Q$1006:$U$1006,0))&gt;=100000), " ",IF(INDEX($Q$2:$U$1001,MATCH(ROWS($J$2:J865),$J$2:$J$1001,0),MATCH(COLUMNS($Q$1006:U1006),$Q$1006:$U$1006,0)), HYPERLINK("#",""), HYPERLINK(CONCATENATE("#metadata!", ADDRESS(INDEX($L$2:$L$1001,MATCH(ROWS($J$2:J865),$J$2:$J$1001,0),0), INDEX($Q$1004:$U$1004,1,MATCH(COLUMNS($Q$1006:U1006),$Q$1006:$U$1006,0)))),"Fix")))</f>
        <v xml:space="preserve"> </v>
      </c>
      <c r="J865">
        <v>864</v>
      </c>
      <c r="K865">
        <v>100865</v>
      </c>
      <c r="L865">
        <v>865</v>
      </c>
      <c r="M865" t="b">
        <f t="shared" si="13"/>
        <v>1</v>
      </c>
      <c r="N865" t="b">
        <f>COUNTBLANK(metadata!B865:F865)=COLUMNS(metadata!B865:F865)</f>
        <v>1</v>
      </c>
      <c r="O865" t="str">
        <v/>
      </c>
      <c r="Q865" t="b">
        <f ca="1">AND(IF(metadata!B865="",FALSE,TRUE),COUNTIF(metadata!B:B, metadata!B865) = 1,NOT(ISERROR(SUMPRODUCT(SEARCH(MID(metadata!B865,ROW(INDIRECT("1:"&amp;LEN(metadata!B865))), 1),"0123456789abcdefghijklmnopqrstuvwxyzABCDEFGHIJKLMNOPQRSTUVWXYZ.")))))</f>
        <v>0</v>
      </c>
      <c r="R865" t="b">
        <f>AND(IF(metadata!C865="",FALSE,TRUE),OR(EXACT(metadata!C865,"saline"),EXACT(metadata!C865,"non-saline")))</f>
        <v>0</v>
      </c>
      <c r="S865" t="b">
        <f>AND(IF(metadata!D865="",FALSE,TRUE),OR(EXACT(metadata!D865,"surface (non-saline)"),EXACT(metadata!D865,"aerosol (non-saline)"),EXACT(metadata!D865,"sediment (non-saline)"),EXACT(metadata!D865,"surface (saline)"),EXACT(metadata!D865,"aerosol (saline)"),EXACT(metadata!D865,"sediment (saline)")))</f>
        <v>0</v>
      </c>
      <c r="T865" t="b">
        <f>AND(IF(metadata!E865="",FALSE,TRUE),EXACT(metadata!E865,"built environment"))</f>
        <v>0</v>
      </c>
      <c r="U865" t="b">
        <f>OR(AND(IF(metadata!F865="",FALSE,TRUE),EXACT(metadata!F865,"not applicable")),AND(IF(metadata!F865="",FALSE,TRUE),EXACT(metadata!F865,"anaerobic digester content")))</f>
        <v>0</v>
      </c>
    </row>
    <row r="866" spans="1:21" x14ac:dyDescent="0.2">
      <c r="A866" s="4" t="str">
        <f ca="1">IF(B866=" "," ",HYPERLINK(CONCATENATE("#metadata!",ADDRESS(INDEX($L$2:$L$1001,MATCH(ROWS($J$2:J866),$J$2:$J$1001,0),0),1)),INDEX($O$2:$O$1001,MATCH(ROWS($J$2:J866),$J$2:$J$1001,0),0)))</f>
        <v xml:space="preserve"> </v>
      </c>
      <c r="B866" s="3" t="str">
        <f ca="1">IF(OR(INDEX($K$2:$K$1001,MATCH(ROWS($J$2:J866),$J$2:$J$1001,0),1)&gt;=100000,INDEX($Q$1005:$U$1005,1,MATCH(COLUMNS($Q$1006:Q1006),$Q$1006:$U$1006,0))&gt;=100000), " ",IF(INDEX($Q$2:$U$1001,MATCH(ROWS($J$2:J866),$J$2:$J$1001,0),MATCH(COLUMNS($Q$1006:Q1006),$Q$1006:$U$1006,0)), HYPERLINK("#",""), HYPERLINK(CONCATENATE("#metadata!", ADDRESS(INDEX($L$2:$L$1001,MATCH(ROWS($J$2:J866),$J$2:$J$1001,0),0), INDEX($Q$1004:$U$1004,1,MATCH(COLUMNS($Q$1006:Q1006),$Q$1006:$U$1006,0)))),"Fix")))</f>
        <v xml:space="preserve"> </v>
      </c>
      <c r="C866" s="3" t="str">
        <f ca="1">IF(OR(INDEX($K$2:$K$1001,MATCH(ROWS($J$2:J866),$J$2:$J$1001,0),1)&gt;=100000,INDEX($Q$1005:$U$1005,1,MATCH(COLUMNS($Q$1006:R1006),$Q$1006:$U$1006,0))&gt;=100000), " ",IF(INDEX($Q$2:$U$1001,MATCH(ROWS($J$2:J866),$J$2:$J$1001,0),MATCH(COLUMNS($Q$1006:R1006),$Q$1006:$U$1006,0)), HYPERLINK("#",""), HYPERLINK(CONCATENATE("#metadata!", ADDRESS(INDEX($L$2:$L$1001,MATCH(ROWS($J$2:J866),$J$2:$J$1001,0),0), INDEX($Q$1004:$U$1004,1,MATCH(COLUMNS($Q$1006:R1006),$Q$1006:$U$1006,0)))),"Fix")))</f>
        <v xml:space="preserve"> </v>
      </c>
      <c r="D866" s="3" t="str">
        <f ca="1">IF(OR(INDEX($K$2:$K$1001,MATCH(ROWS($J$2:J866),$J$2:$J$1001,0),1)&gt;=100000,INDEX($Q$1005:$U$1005,1,MATCH(COLUMNS($Q$1006:S1006),$Q$1006:$U$1006,0))&gt;=100000), " ",IF(INDEX($Q$2:$U$1001,MATCH(ROWS($J$2:J866),$J$2:$J$1001,0),MATCH(COLUMNS($Q$1006:S1006),$Q$1006:$U$1006,0)), HYPERLINK("#",""), HYPERLINK(CONCATENATE("#metadata!", ADDRESS(INDEX($L$2:$L$1001,MATCH(ROWS($J$2:J866),$J$2:$J$1001,0),0), INDEX($Q$1004:$U$1004,1,MATCH(COLUMNS($Q$1006:S1006),$Q$1006:$U$1006,0)))),"Fix")))</f>
        <v xml:space="preserve"> </v>
      </c>
      <c r="E866" s="3" t="str">
        <f ca="1">IF(OR(INDEX($K$2:$K$1001,MATCH(ROWS($J$2:J866),$J$2:$J$1001,0),1)&gt;=100000,INDEX($Q$1005:$U$1005,1,MATCH(COLUMNS($Q$1006:T1006),$Q$1006:$U$1006,0))&gt;=100000), " ",IF(INDEX($Q$2:$U$1001,MATCH(ROWS($J$2:J866),$J$2:$J$1001,0),MATCH(COLUMNS($Q$1006:T1006),$Q$1006:$U$1006,0)), HYPERLINK("#",""), HYPERLINK(CONCATENATE("#metadata!", ADDRESS(INDEX($L$2:$L$1001,MATCH(ROWS($J$2:J866),$J$2:$J$1001,0),0), INDEX($Q$1004:$U$1004,1,MATCH(COLUMNS($Q$1006:T1006),$Q$1006:$U$1006,0)))),"Fix")))</f>
        <v xml:space="preserve"> </v>
      </c>
      <c r="F866" s="3" t="str">
        <f ca="1">IF(OR(INDEX($K$2:$K$1001,MATCH(ROWS($J$2:J866),$J$2:$J$1001,0),1)&gt;=100000,INDEX($Q$1005:$U$1005,1,MATCH(COLUMNS($Q$1006:U1006),$Q$1006:$U$1006,0))&gt;=100000), " ",IF(INDEX($Q$2:$U$1001,MATCH(ROWS($J$2:J866),$J$2:$J$1001,0),MATCH(COLUMNS($Q$1006:U1006),$Q$1006:$U$1006,0)), HYPERLINK("#",""), HYPERLINK(CONCATENATE("#metadata!", ADDRESS(INDEX($L$2:$L$1001,MATCH(ROWS($J$2:J866),$J$2:$J$1001,0),0), INDEX($Q$1004:$U$1004,1,MATCH(COLUMNS($Q$1006:U1006),$Q$1006:$U$1006,0)))),"Fix")))</f>
        <v xml:space="preserve"> </v>
      </c>
      <c r="J866">
        <v>865</v>
      </c>
      <c r="K866">
        <v>100866</v>
      </c>
      <c r="L866">
        <v>866</v>
      </c>
      <c r="M866" t="b">
        <f t="shared" si="13"/>
        <v>1</v>
      </c>
      <c r="N866" t="b">
        <f>COUNTBLANK(metadata!B866:F866)=COLUMNS(metadata!B866:F866)</f>
        <v>1</v>
      </c>
      <c r="O866" t="str">
        <v/>
      </c>
      <c r="Q866" t="b">
        <f ca="1">AND(IF(metadata!B866="",FALSE,TRUE),COUNTIF(metadata!B:B, metadata!B866) = 1,NOT(ISERROR(SUMPRODUCT(SEARCH(MID(metadata!B866,ROW(INDIRECT("1:"&amp;LEN(metadata!B866))), 1),"0123456789abcdefghijklmnopqrstuvwxyzABCDEFGHIJKLMNOPQRSTUVWXYZ.")))))</f>
        <v>0</v>
      </c>
      <c r="R866" t="b">
        <f>AND(IF(metadata!C866="",FALSE,TRUE),OR(EXACT(metadata!C866,"saline"),EXACT(metadata!C866,"non-saline")))</f>
        <v>0</v>
      </c>
      <c r="S866" t="b">
        <f>AND(IF(metadata!D866="",FALSE,TRUE),OR(EXACT(metadata!D866,"surface (non-saline)"),EXACT(metadata!D866,"aerosol (non-saline)"),EXACT(metadata!D866,"sediment (non-saline)"),EXACT(metadata!D866,"surface (saline)"),EXACT(metadata!D866,"aerosol (saline)"),EXACT(metadata!D866,"sediment (saline)")))</f>
        <v>0</v>
      </c>
      <c r="T866" t="b">
        <f>AND(IF(metadata!E866="",FALSE,TRUE),EXACT(metadata!E866,"built environment"))</f>
        <v>0</v>
      </c>
      <c r="U866" t="b">
        <f>OR(AND(IF(metadata!F866="",FALSE,TRUE),EXACT(metadata!F866,"not applicable")),AND(IF(metadata!F866="",FALSE,TRUE),EXACT(metadata!F866,"anaerobic digester content")))</f>
        <v>0</v>
      </c>
    </row>
    <row r="867" spans="1:21" x14ac:dyDescent="0.2">
      <c r="A867" s="4" t="str">
        <f ca="1">IF(B867=" "," ",HYPERLINK(CONCATENATE("#metadata!",ADDRESS(INDEX($L$2:$L$1001,MATCH(ROWS($J$2:J867),$J$2:$J$1001,0),0),1)),INDEX($O$2:$O$1001,MATCH(ROWS($J$2:J867),$J$2:$J$1001,0),0)))</f>
        <v xml:space="preserve"> </v>
      </c>
      <c r="B867" s="3" t="str">
        <f ca="1">IF(OR(INDEX($K$2:$K$1001,MATCH(ROWS($J$2:J867),$J$2:$J$1001,0),1)&gt;=100000,INDEX($Q$1005:$U$1005,1,MATCH(COLUMNS($Q$1006:Q1006),$Q$1006:$U$1006,0))&gt;=100000), " ",IF(INDEX($Q$2:$U$1001,MATCH(ROWS($J$2:J867),$J$2:$J$1001,0),MATCH(COLUMNS($Q$1006:Q1006),$Q$1006:$U$1006,0)), HYPERLINK("#",""), HYPERLINK(CONCATENATE("#metadata!", ADDRESS(INDEX($L$2:$L$1001,MATCH(ROWS($J$2:J867),$J$2:$J$1001,0),0), INDEX($Q$1004:$U$1004,1,MATCH(COLUMNS($Q$1006:Q1006),$Q$1006:$U$1006,0)))),"Fix")))</f>
        <v xml:space="preserve"> </v>
      </c>
      <c r="C867" s="3" t="str">
        <f ca="1">IF(OR(INDEX($K$2:$K$1001,MATCH(ROWS($J$2:J867),$J$2:$J$1001,0),1)&gt;=100000,INDEX($Q$1005:$U$1005,1,MATCH(COLUMNS($Q$1006:R1006),$Q$1006:$U$1006,0))&gt;=100000), " ",IF(INDEX($Q$2:$U$1001,MATCH(ROWS($J$2:J867),$J$2:$J$1001,0),MATCH(COLUMNS($Q$1006:R1006),$Q$1006:$U$1006,0)), HYPERLINK("#",""), HYPERLINK(CONCATENATE("#metadata!", ADDRESS(INDEX($L$2:$L$1001,MATCH(ROWS($J$2:J867),$J$2:$J$1001,0),0), INDEX($Q$1004:$U$1004,1,MATCH(COLUMNS($Q$1006:R1006),$Q$1006:$U$1006,0)))),"Fix")))</f>
        <v xml:space="preserve"> </v>
      </c>
      <c r="D867" s="3" t="str">
        <f ca="1">IF(OR(INDEX($K$2:$K$1001,MATCH(ROWS($J$2:J867),$J$2:$J$1001,0),1)&gt;=100000,INDEX($Q$1005:$U$1005,1,MATCH(COLUMNS($Q$1006:S1006),$Q$1006:$U$1006,0))&gt;=100000), " ",IF(INDEX($Q$2:$U$1001,MATCH(ROWS($J$2:J867),$J$2:$J$1001,0),MATCH(COLUMNS($Q$1006:S1006),$Q$1006:$U$1006,0)), HYPERLINK("#",""), HYPERLINK(CONCATENATE("#metadata!", ADDRESS(INDEX($L$2:$L$1001,MATCH(ROWS($J$2:J867),$J$2:$J$1001,0),0), INDEX($Q$1004:$U$1004,1,MATCH(COLUMNS($Q$1006:S1006),$Q$1006:$U$1006,0)))),"Fix")))</f>
        <v xml:space="preserve"> </v>
      </c>
      <c r="E867" s="3" t="str">
        <f ca="1">IF(OR(INDEX($K$2:$K$1001,MATCH(ROWS($J$2:J867),$J$2:$J$1001,0),1)&gt;=100000,INDEX($Q$1005:$U$1005,1,MATCH(COLUMNS($Q$1006:T1006),$Q$1006:$U$1006,0))&gt;=100000), " ",IF(INDEX($Q$2:$U$1001,MATCH(ROWS($J$2:J867),$J$2:$J$1001,0),MATCH(COLUMNS($Q$1006:T1006),$Q$1006:$U$1006,0)), HYPERLINK("#",""), HYPERLINK(CONCATENATE("#metadata!", ADDRESS(INDEX($L$2:$L$1001,MATCH(ROWS($J$2:J867),$J$2:$J$1001,0),0), INDEX($Q$1004:$U$1004,1,MATCH(COLUMNS($Q$1006:T1006),$Q$1006:$U$1006,0)))),"Fix")))</f>
        <v xml:space="preserve"> </v>
      </c>
      <c r="F867" s="3" t="str">
        <f ca="1">IF(OR(INDEX($K$2:$K$1001,MATCH(ROWS($J$2:J867),$J$2:$J$1001,0),1)&gt;=100000,INDEX($Q$1005:$U$1005,1,MATCH(COLUMNS($Q$1006:U1006),$Q$1006:$U$1006,0))&gt;=100000), " ",IF(INDEX($Q$2:$U$1001,MATCH(ROWS($J$2:J867),$J$2:$J$1001,0),MATCH(COLUMNS($Q$1006:U1006),$Q$1006:$U$1006,0)), HYPERLINK("#",""), HYPERLINK(CONCATENATE("#metadata!", ADDRESS(INDEX($L$2:$L$1001,MATCH(ROWS($J$2:J867),$J$2:$J$1001,0),0), INDEX($Q$1004:$U$1004,1,MATCH(COLUMNS($Q$1006:U1006),$Q$1006:$U$1006,0)))),"Fix")))</f>
        <v xml:space="preserve"> </v>
      </c>
      <c r="J867">
        <v>866</v>
      </c>
      <c r="K867">
        <v>100867</v>
      </c>
      <c r="L867">
        <v>867</v>
      </c>
      <c r="M867" t="b">
        <f t="shared" si="13"/>
        <v>1</v>
      </c>
      <c r="N867" t="b">
        <f>COUNTBLANK(metadata!B867:F867)=COLUMNS(metadata!B867:F867)</f>
        <v>1</v>
      </c>
      <c r="O867" t="str">
        <v/>
      </c>
      <c r="Q867" t="b">
        <f ca="1">AND(IF(metadata!B867="",FALSE,TRUE),COUNTIF(metadata!B:B, metadata!B867) = 1,NOT(ISERROR(SUMPRODUCT(SEARCH(MID(metadata!B867,ROW(INDIRECT("1:"&amp;LEN(metadata!B867))), 1),"0123456789abcdefghijklmnopqrstuvwxyzABCDEFGHIJKLMNOPQRSTUVWXYZ.")))))</f>
        <v>0</v>
      </c>
      <c r="R867" t="b">
        <f>AND(IF(metadata!C867="",FALSE,TRUE),OR(EXACT(metadata!C867,"saline"),EXACT(metadata!C867,"non-saline")))</f>
        <v>0</v>
      </c>
      <c r="S867" t="b">
        <f>AND(IF(metadata!D867="",FALSE,TRUE),OR(EXACT(metadata!D867,"surface (non-saline)"),EXACT(metadata!D867,"aerosol (non-saline)"),EXACT(metadata!D867,"sediment (non-saline)"),EXACT(metadata!D867,"surface (saline)"),EXACT(metadata!D867,"aerosol (saline)"),EXACT(metadata!D867,"sediment (saline)")))</f>
        <v>0</v>
      </c>
      <c r="T867" t="b">
        <f>AND(IF(metadata!E867="",FALSE,TRUE),EXACT(metadata!E867,"built environment"))</f>
        <v>0</v>
      </c>
      <c r="U867" t="b">
        <f>OR(AND(IF(metadata!F867="",FALSE,TRUE),EXACT(metadata!F867,"not applicable")),AND(IF(metadata!F867="",FALSE,TRUE),EXACT(metadata!F867,"anaerobic digester content")))</f>
        <v>0</v>
      </c>
    </row>
    <row r="868" spans="1:21" x14ac:dyDescent="0.2">
      <c r="A868" s="4" t="str">
        <f ca="1">IF(B868=" "," ",HYPERLINK(CONCATENATE("#metadata!",ADDRESS(INDEX($L$2:$L$1001,MATCH(ROWS($J$2:J868),$J$2:$J$1001,0),0),1)),INDEX($O$2:$O$1001,MATCH(ROWS($J$2:J868),$J$2:$J$1001,0),0)))</f>
        <v xml:space="preserve"> </v>
      </c>
      <c r="B868" s="3" t="str">
        <f ca="1">IF(OR(INDEX($K$2:$K$1001,MATCH(ROWS($J$2:J868),$J$2:$J$1001,0),1)&gt;=100000,INDEX($Q$1005:$U$1005,1,MATCH(COLUMNS($Q$1006:Q1006),$Q$1006:$U$1006,0))&gt;=100000), " ",IF(INDEX($Q$2:$U$1001,MATCH(ROWS($J$2:J868),$J$2:$J$1001,0),MATCH(COLUMNS($Q$1006:Q1006),$Q$1006:$U$1006,0)), HYPERLINK("#",""), HYPERLINK(CONCATENATE("#metadata!", ADDRESS(INDEX($L$2:$L$1001,MATCH(ROWS($J$2:J868),$J$2:$J$1001,0),0), INDEX($Q$1004:$U$1004,1,MATCH(COLUMNS($Q$1006:Q1006),$Q$1006:$U$1006,0)))),"Fix")))</f>
        <v xml:space="preserve"> </v>
      </c>
      <c r="C868" s="3" t="str">
        <f ca="1">IF(OR(INDEX($K$2:$K$1001,MATCH(ROWS($J$2:J868),$J$2:$J$1001,0),1)&gt;=100000,INDEX($Q$1005:$U$1005,1,MATCH(COLUMNS($Q$1006:R1006),$Q$1006:$U$1006,0))&gt;=100000), " ",IF(INDEX($Q$2:$U$1001,MATCH(ROWS($J$2:J868),$J$2:$J$1001,0),MATCH(COLUMNS($Q$1006:R1006),$Q$1006:$U$1006,0)), HYPERLINK("#",""), HYPERLINK(CONCATENATE("#metadata!", ADDRESS(INDEX($L$2:$L$1001,MATCH(ROWS($J$2:J868),$J$2:$J$1001,0),0), INDEX($Q$1004:$U$1004,1,MATCH(COLUMNS($Q$1006:R1006),$Q$1006:$U$1006,0)))),"Fix")))</f>
        <v xml:space="preserve"> </v>
      </c>
      <c r="D868" s="3" t="str">
        <f ca="1">IF(OR(INDEX($K$2:$K$1001,MATCH(ROWS($J$2:J868),$J$2:$J$1001,0),1)&gt;=100000,INDEX($Q$1005:$U$1005,1,MATCH(COLUMNS($Q$1006:S1006),$Q$1006:$U$1006,0))&gt;=100000), " ",IF(INDEX($Q$2:$U$1001,MATCH(ROWS($J$2:J868),$J$2:$J$1001,0),MATCH(COLUMNS($Q$1006:S1006),$Q$1006:$U$1006,0)), HYPERLINK("#",""), HYPERLINK(CONCATENATE("#metadata!", ADDRESS(INDEX($L$2:$L$1001,MATCH(ROWS($J$2:J868),$J$2:$J$1001,0),0), INDEX($Q$1004:$U$1004,1,MATCH(COLUMNS($Q$1006:S1006),$Q$1006:$U$1006,0)))),"Fix")))</f>
        <v xml:space="preserve"> </v>
      </c>
      <c r="E868" s="3" t="str">
        <f ca="1">IF(OR(INDEX($K$2:$K$1001,MATCH(ROWS($J$2:J868),$J$2:$J$1001,0),1)&gt;=100000,INDEX($Q$1005:$U$1005,1,MATCH(COLUMNS($Q$1006:T1006),$Q$1006:$U$1006,0))&gt;=100000), " ",IF(INDEX($Q$2:$U$1001,MATCH(ROWS($J$2:J868),$J$2:$J$1001,0),MATCH(COLUMNS($Q$1006:T1006),$Q$1006:$U$1006,0)), HYPERLINK("#",""), HYPERLINK(CONCATENATE("#metadata!", ADDRESS(INDEX($L$2:$L$1001,MATCH(ROWS($J$2:J868),$J$2:$J$1001,0),0), INDEX($Q$1004:$U$1004,1,MATCH(COLUMNS($Q$1006:T1006),$Q$1006:$U$1006,0)))),"Fix")))</f>
        <v xml:space="preserve"> </v>
      </c>
      <c r="F868" s="3" t="str">
        <f ca="1">IF(OR(INDEX($K$2:$K$1001,MATCH(ROWS($J$2:J868),$J$2:$J$1001,0),1)&gt;=100000,INDEX($Q$1005:$U$1005,1,MATCH(COLUMNS($Q$1006:U1006),$Q$1006:$U$1006,0))&gt;=100000), " ",IF(INDEX($Q$2:$U$1001,MATCH(ROWS($J$2:J868),$J$2:$J$1001,0),MATCH(COLUMNS($Q$1006:U1006),$Q$1006:$U$1006,0)), HYPERLINK("#",""), HYPERLINK(CONCATENATE("#metadata!", ADDRESS(INDEX($L$2:$L$1001,MATCH(ROWS($J$2:J868),$J$2:$J$1001,0),0), INDEX($Q$1004:$U$1004,1,MATCH(COLUMNS($Q$1006:U1006),$Q$1006:$U$1006,0)))),"Fix")))</f>
        <v xml:space="preserve"> </v>
      </c>
      <c r="J868">
        <v>867</v>
      </c>
      <c r="K868">
        <v>100868</v>
      </c>
      <c r="L868">
        <v>868</v>
      </c>
      <c r="M868" t="b">
        <f t="shared" si="13"/>
        <v>1</v>
      </c>
      <c r="N868" t="b">
        <f>COUNTBLANK(metadata!B868:F868)=COLUMNS(metadata!B868:F868)</f>
        <v>1</v>
      </c>
      <c r="O868" t="str">
        <v/>
      </c>
      <c r="Q868" t="b">
        <f ca="1">AND(IF(metadata!B868="",FALSE,TRUE),COUNTIF(metadata!B:B, metadata!B868) = 1,NOT(ISERROR(SUMPRODUCT(SEARCH(MID(metadata!B868,ROW(INDIRECT("1:"&amp;LEN(metadata!B868))), 1),"0123456789abcdefghijklmnopqrstuvwxyzABCDEFGHIJKLMNOPQRSTUVWXYZ.")))))</f>
        <v>0</v>
      </c>
      <c r="R868" t="b">
        <f>AND(IF(metadata!C868="",FALSE,TRUE),OR(EXACT(metadata!C868,"saline"),EXACT(metadata!C868,"non-saline")))</f>
        <v>0</v>
      </c>
      <c r="S868" t="b">
        <f>AND(IF(metadata!D868="",FALSE,TRUE),OR(EXACT(metadata!D868,"surface (non-saline)"),EXACT(metadata!D868,"aerosol (non-saline)"),EXACT(metadata!D868,"sediment (non-saline)"),EXACT(metadata!D868,"surface (saline)"),EXACT(metadata!D868,"aerosol (saline)"),EXACT(metadata!D868,"sediment (saline)")))</f>
        <v>0</v>
      </c>
      <c r="T868" t="b">
        <f>AND(IF(metadata!E868="",FALSE,TRUE),EXACT(metadata!E868,"built environment"))</f>
        <v>0</v>
      </c>
      <c r="U868" t="b">
        <f>OR(AND(IF(metadata!F868="",FALSE,TRUE),EXACT(metadata!F868,"not applicable")),AND(IF(metadata!F868="",FALSE,TRUE),EXACT(metadata!F868,"anaerobic digester content")))</f>
        <v>0</v>
      </c>
    </row>
    <row r="869" spans="1:21" x14ac:dyDescent="0.2">
      <c r="A869" s="4" t="str">
        <f ca="1">IF(B869=" "," ",HYPERLINK(CONCATENATE("#metadata!",ADDRESS(INDEX($L$2:$L$1001,MATCH(ROWS($J$2:J869),$J$2:$J$1001,0),0),1)),INDEX($O$2:$O$1001,MATCH(ROWS($J$2:J869),$J$2:$J$1001,0),0)))</f>
        <v xml:space="preserve"> </v>
      </c>
      <c r="B869" s="3" t="str">
        <f ca="1">IF(OR(INDEX($K$2:$K$1001,MATCH(ROWS($J$2:J869),$J$2:$J$1001,0),1)&gt;=100000,INDEX($Q$1005:$U$1005,1,MATCH(COLUMNS($Q$1006:Q1006),$Q$1006:$U$1006,0))&gt;=100000), " ",IF(INDEX($Q$2:$U$1001,MATCH(ROWS($J$2:J869),$J$2:$J$1001,0),MATCH(COLUMNS($Q$1006:Q1006),$Q$1006:$U$1006,0)), HYPERLINK("#",""), HYPERLINK(CONCATENATE("#metadata!", ADDRESS(INDEX($L$2:$L$1001,MATCH(ROWS($J$2:J869),$J$2:$J$1001,0),0), INDEX($Q$1004:$U$1004,1,MATCH(COLUMNS($Q$1006:Q1006),$Q$1006:$U$1006,0)))),"Fix")))</f>
        <v xml:space="preserve"> </v>
      </c>
      <c r="C869" s="3" t="str">
        <f ca="1">IF(OR(INDEX($K$2:$K$1001,MATCH(ROWS($J$2:J869),$J$2:$J$1001,0),1)&gt;=100000,INDEX($Q$1005:$U$1005,1,MATCH(COLUMNS($Q$1006:R1006),$Q$1006:$U$1006,0))&gt;=100000), " ",IF(INDEX($Q$2:$U$1001,MATCH(ROWS($J$2:J869),$J$2:$J$1001,0),MATCH(COLUMNS($Q$1006:R1006),$Q$1006:$U$1006,0)), HYPERLINK("#",""), HYPERLINK(CONCATENATE("#metadata!", ADDRESS(INDEX($L$2:$L$1001,MATCH(ROWS($J$2:J869),$J$2:$J$1001,0),0), INDEX($Q$1004:$U$1004,1,MATCH(COLUMNS($Q$1006:R1006),$Q$1006:$U$1006,0)))),"Fix")))</f>
        <v xml:space="preserve"> </v>
      </c>
      <c r="D869" s="3" t="str">
        <f ca="1">IF(OR(INDEX($K$2:$K$1001,MATCH(ROWS($J$2:J869),$J$2:$J$1001,0),1)&gt;=100000,INDEX($Q$1005:$U$1005,1,MATCH(COLUMNS($Q$1006:S1006),$Q$1006:$U$1006,0))&gt;=100000), " ",IF(INDEX($Q$2:$U$1001,MATCH(ROWS($J$2:J869),$J$2:$J$1001,0),MATCH(COLUMNS($Q$1006:S1006),$Q$1006:$U$1006,0)), HYPERLINK("#",""), HYPERLINK(CONCATENATE("#metadata!", ADDRESS(INDEX($L$2:$L$1001,MATCH(ROWS($J$2:J869),$J$2:$J$1001,0),0), INDEX($Q$1004:$U$1004,1,MATCH(COLUMNS($Q$1006:S1006),$Q$1006:$U$1006,0)))),"Fix")))</f>
        <v xml:space="preserve"> </v>
      </c>
      <c r="E869" s="3" t="str">
        <f ca="1">IF(OR(INDEX($K$2:$K$1001,MATCH(ROWS($J$2:J869),$J$2:$J$1001,0),1)&gt;=100000,INDEX($Q$1005:$U$1005,1,MATCH(COLUMNS($Q$1006:T1006),$Q$1006:$U$1006,0))&gt;=100000), " ",IF(INDEX($Q$2:$U$1001,MATCH(ROWS($J$2:J869),$J$2:$J$1001,0),MATCH(COLUMNS($Q$1006:T1006),$Q$1006:$U$1006,0)), HYPERLINK("#",""), HYPERLINK(CONCATENATE("#metadata!", ADDRESS(INDEX($L$2:$L$1001,MATCH(ROWS($J$2:J869),$J$2:$J$1001,0),0), INDEX($Q$1004:$U$1004,1,MATCH(COLUMNS($Q$1006:T1006),$Q$1006:$U$1006,0)))),"Fix")))</f>
        <v xml:space="preserve"> </v>
      </c>
      <c r="F869" s="3" t="str">
        <f ca="1">IF(OR(INDEX($K$2:$K$1001,MATCH(ROWS($J$2:J869),$J$2:$J$1001,0),1)&gt;=100000,INDEX($Q$1005:$U$1005,1,MATCH(COLUMNS($Q$1006:U1006),$Q$1006:$U$1006,0))&gt;=100000), " ",IF(INDEX($Q$2:$U$1001,MATCH(ROWS($J$2:J869),$J$2:$J$1001,0),MATCH(COLUMNS($Q$1006:U1006),$Q$1006:$U$1006,0)), HYPERLINK("#",""), HYPERLINK(CONCATENATE("#metadata!", ADDRESS(INDEX($L$2:$L$1001,MATCH(ROWS($J$2:J869),$J$2:$J$1001,0),0), INDEX($Q$1004:$U$1004,1,MATCH(COLUMNS($Q$1006:U1006),$Q$1006:$U$1006,0)))),"Fix")))</f>
        <v xml:space="preserve"> </v>
      </c>
      <c r="J869">
        <v>868</v>
      </c>
      <c r="K869">
        <v>100869</v>
      </c>
      <c r="L869">
        <v>869</v>
      </c>
      <c r="M869" t="b">
        <f t="shared" si="13"/>
        <v>1</v>
      </c>
      <c r="N869" t="b">
        <f>COUNTBLANK(metadata!B869:F869)=COLUMNS(metadata!B869:F869)</f>
        <v>1</v>
      </c>
      <c r="O869" t="str">
        <v/>
      </c>
      <c r="Q869" t="b">
        <f ca="1">AND(IF(metadata!B869="",FALSE,TRUE),COUNTIF(metadata!B:B, metadata!B869) = 1,NOT(ISERROR(SUMPRODUCT(SEARCH(MID(metadata!B869,ROW(INDIRECT("1:"&amp;LEN(metadata!B869))), 1),"0123456789abcdefghijklmnopqrstuvwxyzABCDEFGHIJKLMNOPQRSTUVWXYZ.")))))</f>
        <v>0</v>
      </c>
      <c r="R869" t="b">
        <f>AND(IF(metadata!C869="",FALSE,TRUE),OR(EXACT(metadata!C869,"saline"),EXACT(metadata!C869,"non-saline")))</f>
        <v>0</v>
      </c>
      <c r="S869" t="b">
        <f>AND(IF(metadata!D869="",FALSE,TRUE),OR(EXACT(metadata!D869,"surface (non-saline)"),EXACT(metadata!D869,"aerosol (non-saline)"),EXACT(metadata!D869,"sediment (non-saline)"),EXACT(metadata!D869,"surface (saline)"),EXACT(metadata!D869,"aerosol (saline)"),EXACT(metadata!D869,"sediment (saline)")))</f>
        <v>0</v>
      </c>
      <c r="T869" t="b">
        <f>AND(IF(metadata!E869="",FALSE,TRUE),EXACT(metadata!E869,"built environment"))</f>
        <v>0</v>
      </c>
      <c r="U869" t="b">
        <f>OR(AND(IF(metadata!F869="",FALSE,TRUE),EXACT(metadata!F869,"not applicable")),AND(IF(metadata!F869="",FALSE,TRUE),EXACT(metadata!F869,"anaerobic digester content")))</f>
        <v>0</v>
      </c>
    </row>
    <row r="870" spans="1:21" x14ac:dyDescent="0.2">
      <c r="A870" s="4" t="str">
        <f ca="1">IF(B870=" "," ",HYPERLINK(CONCATENATE("#metadata!",ADDRESS(INDEX($L$2:$L$1001,MATCH(ROWS($J$2:J870),$J$2:$J$1001,0),0),1)),INDEX($O$2:$O$1001,MATCH(ROWS($J$2:J870),$J$2:$J$1001,0),0)))</f>
        <v xml:space="preserve"> </v>
      </c>
      <c r="B870" s="3" t="str">
        <f ca="1">IF(OR(INDEX($K$2:$K$1001,MATCH(ROWS($J$2:J870),$J$2:$J$1001,0),1)&gt;=100000,INDEX($Q$1005:$U$1005,1,MATCH(COLUMNS($Q$1006:Q1006),$Q$1006:$U$1006,0))&gt;=100000), " ",IF(INDEX($Q$2:$U$1001,MATCH(ROWS($J$2:J870),$J$2:$J$1001,0),MATCH(COLUMNS($Q$1006:Q1006),$Q$1006:$U$1006,0)), HYPERLINK("#",""), HYPERLINK(CONCATENATE("#metadata!", ADDRESS(INDEX($L$2:$L$1001,MATCH(ROWS($J$2:J870),$J$2:$J$1001,0),0), INDEX($Q$1004:$U$1004,1,MATCH(COLUMNS($Q$1006:Q1006),$Q$1006:$U$1006,0)))),"Fix")))</f>
        <v xml:space="preserve"> </v>
      </c>
      <c r="C870" s="3" t="str">
        <f ca="1">IF(OR(INDEX($K$2:$K$1001,MATCH(ROWS($J$2:J870),$J$2:$J$1001,0),1)&gt;=100000,INDEX($Q$1005:$U$1005,1,MATCH(COLUMNS($Q$1006:R1006),$Q$1006:$U$1006,0))&gt;=100000), " ",IF(INDEX($Q$2:$U$1001,MATCH(ROWS($J$2:J870),$J$2:$J$1001,0),MATCH(COLUMNS($Q$1006:R1006),$Q$1006:$U$1006,0)), HYPERLINK("#",""), HYPERLINK(CONCATENATE("#metadata!", ADDRESS(INDEX($L$2:$L$1001,MATCH(ROWS($J$2:J870),$J$2:$J$1001,0),0), INDEX($Q$1004:$U$1004,1,MATCH(COLUMNS($Q$1006:R1006),$Q$1006:$U$1006,0)))),"Fix")))</f>
        <v xml:space="preserve"> </v>
      </c>
      <c r="D870" s="3" t="str">
        <f ca="1">IF(OR(INDEX($K$2:$K$1001,MATCH(ROWS($J$2:J870),$J$2:$J$1001,0),1)&gt;=100000,INDEX($Q$1005:$U$1005,1,MATCH(COLUMNS($Q$1006:S1006),$Q$1006:$U$1006,0))&gt;=100000), " ",IF(INDEX($Q$2:$U$1001,MATCH(ROWS($J$2:J870),$J$2:$J$1001,0),MATCH(COLUMNS($Q$1006:S1006),$Q$1006:$U$1006,0)), HYPERLINK("#",""), HYPERLINK(CONCATENATE("#metadata!", ADDRESS(INDEX($L$2:$L$1001,MATCH(ROWS($J$2:J870),$J$2:$J$1001,0),0), INDEX($Q$1004:$U$1004,1,MATCH(COLUMNS($Q$1006:S1006),$Q$1006:$U$1006,0)))),"Fix")))</f>
        <v xml:space="preserve"> </v>
      </c>
      <c r="E870" s="3" t="str">
        <f ca="1">IF(OR(INDEX($K$2:$K$1001,MATCH(ROWS($J$2:J870),$J$2:$J$1001,0),1)&gt;=100000,INDEX($Q$1005:$U$1005,1,MATCH(COLUMNS($Q$1006:T1006),$Q$1006:$U$1006,0))&gt;=100000), " ",IF(INDEX($Q$2:$U$1001,MATCH(ROWS($J$2:J870),$J$2:$J$1001,0),MATCH(COLUMNS($Q$1006:T1006),$Q$1006:$U$1006,0)), HYPERLINK("#",""), HYPERLINK(CONCATENATE("#metadata!", ADDRESS(INDEX($L$2:$L$1001,MATCH(ROWS($J$2:J870),$J$2:$J$1001,0),0), INDEX($Q$1004:$U$1004,1,MATCH(COLUMNS($Q$1006:T1006),$Q$1006:$U$1006,0)))),"Fix")))</f>
        <v xml:space="preserve"> </v>
      </c>
      <c r="F870" s="3" t="str">
        <f ca="1">IF(OR(INDEX($K$2:$K$1001,MATCH(ROWS($J$2:J870),$J$2:$J$1001,0),1)&gt;=100000,INDEX($Q$1005:$U$1005,1,MATCH(COLUMNS($Q$1006:U1006),$Q$1006:$U$1006,0))&gt;=100000), " ",IF(INDEX($Q$2:$U$1001,MATCH(ROWS($J$2:J870),$J$2:$J$1001,0),MATCH(COLUMNS($Q$1006:U1006),$Q$1006:$U$1006,0)), HYPERLINK("#",""), HYPERLINK(CONCATENATE("#metadata!", ADDRESS(INDEX($L$2:$L$1001,MATCH(ROWS($J$2:J870),$J$2:$J$1001,0),0), INDEX($Q$1004:$U$1004,1,MATCH(COLUMNS($Q$1006:U1006),$Q$1006:$U$1006,0)))),"Fix")))</f>
        <v xml:space="preserve"> </v>
      </c>
      <c r="J870">
        <v>869</v>
      </c>
      <c r="K870">
        <v>100870</v>
      </c>
      <c r="L870">
        <v>870</v>
      </c>
      <c r="M870" t="b">
        <f t="shared" si="13"/>
        <v>1</v>
      </c>
      <c r="N870" t="b">
        <f>COUNTBLANK(metadata!B870:F870)=COLUMNS(metadata!B870:F870)</f>
        <v>1</v>
      </c>
      <c r="O870" t="str">
        <v/>
      </c>
      <c r="Q870" t="b">
        <f ca="1">AND(IF(metadata!B870="",FALSE,TRUE),COUNTIF(metadata!B:B, metadata!B870) = 1,NOT(ISERROR(SUMPRODUCT(SEARCH(MID(metadata!B870,ROW(INDIRECT("1:"&amp;LEN(metadata!B870))), 1),"0123456789abcdefghijklmnopqrstuvwxyzABCDEFGHIJKLMNOPQRSTUVWXYZ.")))))</f>
        <v>0</v>
      </c>
      <c r="R870" t="b">
        <f>AND(IF(metadata!C870="",FALSE,TRUE),OR(EXACT(metadata!C870,"saline"),EXACT(metadata!C870,"non-saline")))</f>
        <v>0</v>
      </c>
      <c r="S870" t="b">
        <f>AND(IF(metadata!D870="",FALSE,TRUE),OR(EXACT(metadata!D870,"surface (non-saline)"),EXACT(metadata!D870,"aerosol (non-saline)"),EXACT(metadata!D870,"sediment (non-saline)"),EXACT(metadata!D870,"surface (saline)"),EXACT(metadata!D870,"aerosol (saline)"),EXACT(metadata!D870,"sediment (saline)")))</f>
        <v>0</v>
      </c>
      <c r="T870" t="b">
        <f>AND(IF(metadata!E870="",FALSE,TRUE),EXACT(metadata!E870,"built environment"))</f>
        <v>0</v>
      </c>
      <c r="U870" t="b">
        <f>OR(AND(IF(metadata!F870="",FALSE,TRUE),EXACT(metadata!F870,"not applicable")),AND(IF(metadata!F870="",FALSE,TRUE),EXACT(metadata!F870,"anaerobic digester content")))</f>
        <v>0</v>
      </c>
    </row>
    <row r="871" spans="1:21" x14ac:dyDescent="0.2">
      <c r="A871" s="4" t="str">
        <f ca="1">IF(B871=" "," ",HYPERLINK(CONCATENATE("#metadata!",ADDRESS(INDEX($L$2:$L$1001,MATCH(ROWS($J$2:J871),$J$2:$J$1001,0),0),1)),INDEX($O$2:$O$1001,MATCH(ROWS($J$2:J871),$J$2:$J$1001,0),0)))</f>
        <v xml:space="preserve"> </v>
      </c>
      <c r="B871" s="3" t="str">
        <f ca="1">IF(OR(INDEX($K$2:$K$1001,MATCH(ROWS($J$2:J871),$J$2:$J$1001,0),1)&gt;=100000,INDEX($Q$1005:$U$1005,1,MATCH(COLUMNS($Q$1006:Q1006),$Q$1006:$U$1006,0))&gt;=100000), " ",IF(INDEX($Q$2:$U$1001,MATCH(ROWS($J$2:J871),$J$2:$J$1001,0),MATCH(COLUMNS($Q$1006:Q1006),$Q$1006:$U$1006,0)), HYPERLINK("#",""), HYPERLINK(CONCATENATE("#metadata!", ADDRESS(INDEX($L$2:$L$1001,MATCH(ROWS($J$2:J871),$J$2:$J$1001,0),0), INDEX($Q$1004:$U$1004,1,MATCH(COLUMNS($Q$1006:Q1006),$Q$1006:$U$1006,0)))),"Fix")))</f>
        <v xml:space="preserve"> </v>
      </c>
      <c r="C871" s="3" t="str">
        <f ca="1">IF(OR(INDEX($K$2:$K$1001,MATCH(ROWS($J$2:J871),$J$2:$J$1001,0),1)&gt;=100000,INDEX($Q$1005:$U$1005,1,MATCH(COLUMNS($Q$1006:R1006),$Q$1006:$U$1006,0))&gt;=100000), " ",IF(INDEX($Q$2:$U$1001,MATCH(ROWS($J$2:J871),$J$2:$J$1001,0),MATCH(COLUMNS($Q$1006:R1006),$Q$1006:$U$1006,0)), HYPERLINK("#",""), HYPERLINK(CONCATENATE("#metadata!", ADDRESS(INDEX($L$2:$L$1001,MATCH(ROWS($J$2:J871),$J$2:$J$1001,0),0), INDEX($Q$1004:$U$1004,1,MATCH(COLUMNS($Q$1006:R1006),$Q$1006:$U$1006,0)))),"Fix")))</f>
        <v xml:space="preserve"> </v>
      </c>
      <c r="D871" s="3" t="str">
        <f ca="1">IF(OR(INDEX($K$2:$K$1001,MATCH(ROWS($J$2:J871),$J$2:$J$1001,0),1)&gt;=100000,INDEX($Q$1005:$U$1005,1,MATCH(COLUMNS($Q$1006:S1006),$Q$1006:$U$1006,0))&gt;=100000), " ",IF(INDEX($Q$2:$U$1001,MATCH(ROWS($J$2:J871),$J$2:$J$1001,0),MATCH(COLUMNS($Q$1006:S1006),$Q$1006:$U$1006,0)), HYPERLINK("#",""), HYPERLINK(CONCATENATE("#metadata!", ADDRESS(INDEX($L$2:$L$1001,MATCH(ROWS($J$2:J871),$J$2:$J$1001,0),0), INDEX($Q$1004:$U$1004,1,MATCH(COLUMNS($Q$1006:S1006),$Q$1006:$U$1006,0)))),"Fix")))</f>
        <v xml:space="preserve"> </v>
      </c>
      <c r="E871" s="3" t="str">
        <f ca="1">IF(OR(INDEX($K$2:$K$1001,MATCH(ROWS($J$2:J871),$J$2:$J$1001,0),1)&gt;=100000,INDEX($Q$1005:$U$1005,1,MATCH(COLUMNS($Q$1006:T1006),$Q$1006:$U$1006,0))&gt;=100000), " ",IF(INDEX($Q$2:$U$1001,MATCH(ROWS($J$2:J871),$J$2:$J$1001,0),MATCH(COLUMNS($Q$1006:T1006),$Q$1006:$U$1006,0)), HYPERLINK("#",""), HYPERLINK(CONCATENATE("#metadata!", ADDRESS(INDEX($L$2:$L$1001,MATCH(ROWS($J$2:J871),$J$2:$J$1001,0),0), INDEX($Q$1004:$U$1004,1,MATCH(COLUMNS($Q$1006:T1006),$Q$1006:$U$1006,0)))),"Fix")))</f>
        <v xml:space="preserve"> </v>
      </c>
      <c r="F871" s="3" t="str">
        <f ca="1">IF(OR(INDEX($K$2:$K$1001,MATCH(ROWS($J$2:J871),$J$2:$J$1001,0),1)&gt;=100000,INDEX($Q$1005:$U$1005,1,MATCH(COLUMNS($Q$1006:U1006),$Q$1006:$U$1006,0))&gt;=100000), " ",IF(INDEX($Q$2:$U$1001,MATCH(ROWS($J$2:J871),$J$2:$J$1001,0),MATCH(COLUMNS($Q$1006:U1006),$Q$1006:$U$1006,0)), HYPERLINK("#",""), HYPERLINK(CONCATENATE("#metadata!", ADDRESS(INDEX($L$2:$L$1001,MATCH(ROWS($J$2:J871),$J$2:$J$1001,0),0), INDEX($Q$1004:$U$1004,1,MATCH(COLUMNS($Q$1006:U1006),$Q$1006:$U$1006,0)))),"Fix")))</f>
        <v xml:space="preserve"> </v>
      </c>
      <c r="J871">
        <v>870</v>
      </c>
      <c r="K871">
        <v>100871</v>
      </c>
      <c r="L871">
        <v>871</v>
      </c>
      <c r="M871" t="b">
        <f t="shared" si="13"/>
        <v>1</v>
      </c>
      <c r="N871" t="b">
        <f>COUNTBLANK(metadata!B871:F871)=COLUMNS(metadata!B871:F871)</f>
        <v>1</v>
      </c>
      <c r="O871" t="str">
        <v/>
      </c>
      <c r="Q871" t="b">
        <f ca="1">AND(IF(metadata!B871="",FALSE,TRUE),COUNTIF(metadata!B:B, metadata!B871) = 1,NOT(ISERROR(SUMPRODUCT(SEARCH(MID(metadata!B871,ROW(INDIRECT("1:"&amp;LEN(metadata!B871))), 1),"0123456789abcdefghijklmnopqrstuvwxyzABCDEFGHIJKLMNOPQRSTUVWXYZ.")))))</f>
        <v>0</v>
      </c>
      <c r="R871" t="b">
        <f>AND(IF(metadata!C871="",FALSE,TRUE),OR(EXACT(metadata!C871,"saline"),EXACT(metadata!C871,"non-saline")))</f>
        <v>0</v>
      </c>
      <c r="S871" t="b">
        <f>AND(IF(metadata!D871="",FALSE,TRUE),OR(EXACT(metadata!D871,"surface (non-saline)"),EXACT(metadata!D871,"aerosol (non-saline)"),EXACT(metadata!D871,"sediment (non-saline)"),EXACT(metadata!D871,"surface (saline)"),EXACT(metadata!D871,"aerosol (saline)"),EXACT(metadata!D871,"sediment (saline)")))</f>
        <v>0</v>
      </c>
      <c r="T871" t="b">
        <f>AND(IF(metadata!E871="",FALSE,TRUE),EXACT(metadata!E871,"built environment"))</f>
        <v>0</v>
      </c>
      <c r="U871" t="b">
        <f>OR(AND(IF(metadata!F871="",FALSE,TRUE),EXACT(metadata!F871,"not applicable")),AND(IF(metadata!F871="",FALSE,TRUE),EXACT(metadata!F871,"anaerobic digester content")))</f>
        <v>0</v>
      </c>
    </row>
    <row r="872" spans="1:21" x14ac:dyDescent="0.2">
      <c r="A872" s="4" t="str">
        <f ca="1">IF(B872=" "," ",HYPERLINK(CONCATENATE("#metadata!",ADDRESS(INDEX($L$2:$L$1001,MATCH(ROWS($J$2:J872),$J$2:$J$1001,0),0),1)),INDEX($O$2:$O$1001,MATCH(ROWS($J$2:J872),$J$2:$J$1001,0),0)))</f>
        <v xml:space="preserve"> </v>
      </c>
      <c r="B872" s="3" t="str">
        <f ca="1">IF(OR(INDEX($K$2:$K$1001,MATCH(ROWS($J$2:J872),$J$2:$J$1001,0),1)&gt;=100000,INDEX($Q$1005:$U$1005,1,MATCH(COLUMNS($Q$1006:Q1006),$Q$1006:$U$1006,0))&gt;=100000), " ",IF(INDEX($Q$2:$U$1001,MATCH(ROWS($J$2:J872),$J$2:$J$1001,0),MATCH(COLUMNS($Q$1006:Q1006),$Q$1006:$U$1006,0)), HYPERLINK("#",""), HYPERLINK(CONCATENATE("#metadata!", ADDRESS(INDEX($L$2:$L$1001,MATCH(ROWS($J$2:J872),$J$2:$J$1001,0),0), INDEX($Q$1004:$U$1004,1,MATCH(COLUMNS($Q$1006:Q1006),$Q$1006:$U$1006,0)))),"Fix")))</f>
        <v xml:space="preserve"> </v>
      </c>
      <c r="C872" s="3" t="str">
        <f ca="1">IF(OR(INDEX($K$2:$K$1001,MATCH(ROWS($J$2:J872),$J$2:$J$1001,0),1)&gt;=100000,INDEX($Q$1005:$U$1005,1,MATCH(COLUMNS($Q$1006:R1006),$Q$1006:$U$1006,0))&gt;=100000), " ",IF(INDEX($Q$2:$U$1001,MATCH(ROWS($J$2:J872),$J$2:$J$1001,0),MATCH(COLUMNS($Q$1006:R1006),$Q$1006:$U$1006,0)), HYPERLINK("#",""), HYPERLINK(CONCATENATE("#metadata!", ADDRESS(INDEX($L$2:$L$1001,MATCH(ROWS($J$2:J872),$J$2:$J$1001,0),0), INDEX($Q$1004:$U$1004,1,MATCH(COLUMNS($Q$1006:R1006),$Q$1006:$U$1006,0)))),"Fix")))</f>
        <v xml:space="preserve"> </v>
      </c>
      <c r="D872" s="3" t="str">
        <f ca="1">IF(OR(INDEX($K$2:$K$1001,MATCH(ROWS($J$2:J872),$J$2:$J$1001,0),1)&gt;=100000,INDEX($Q$1005:$U$1005,1,MATCH(COLUMNS($Q$1006:S1006),$Q$1006:$U$1006,0))&gt;=100000), " ",IF(INDEX($Q$2:$U$1001,MATCH(ROWS($J$2:J872),$J$2:$J$1001,0),MATCH(COLUMNS($Q$1006:S1006),$Q$1006:$U$1006,0)), HYPERLINK("#",""), HYPERLINK(CONCATENATE("#metadata!", ADDRESS(INDEX($L$2:$L$1001,MATCH(ROWS($J$2:J872),$J$2:$J$1001,0),0), INDEX($Q$1004:$U$1004,1,MATCH(COLUMNS($Q$1006:S1006),$Q$1006:$U$1006,0)))),"Fix")))</f>
        <v xml:space="preserve"> </v>
      </c>
      <c r="E872" s="3" t="str">
        <f ca="1">IF(OR(INDEX($K$2:$K$1001,MATCH(ROWS($J$2:J872),$J$2:$J$1001,0),1)&gt;=100000,INDEX($Q$1005:$U$1005,1,MATCH(COLUMNS($Q$1006:T1006),$Q$1006:$U$1006,0))&gt;=100000), " ",IF(INDEX($Q$2:$U$1001,MATCH(ROWS($J$2:J872),$J$2:$J$1001,0),MATCH(COLUMNS($Q$1006:T1006),$Q$1006:$U$1006,0)), HYPERLINK("#",""), HYPERLINK(CONCATENATE("#metadata!", ADDRESS(INDEX($L$2:$L$1001,MATCH(ROWS($J$2:J872),$J$2:$J$1001,0),0), INDEX($Q$1004:$U$1004,1,MATCH(COLUMNS($Q$1006:T1006),$Q$1006:$U$1006,0)))),"Fix")))</f>
        <v xml:space="preserve"> </v>
      </c>
      <c r="F872" s="3" t="str">
        <f ca="1">IF(OR(INDEX($K$2:$K$1001,MATCH(ROWS($J$2:J872),$J$2:$J$1001,0),1)&gt;=100000,INDEX($Q$1005:$U$1005,1,MATCH(COLUMNS($Q$1006:U1006),$Q$1006:$U$1006,0))&gt;=100000), " ",IF(INDEX($Q$2:$U$1001,MATCH(ROWS($J$2:J872),$J$2:$J$1001,0),MATCH(COLUMNS($Q$1006:U1006),$Q$1006:$U$1006,0)), HYPERLINK("#",""), HYPERLINK(CONCATENATE("#metadata!", ADDRESS(INDEX($L$2:$L$1001,MATCH(ROWS($J$2:J872),$J$2:$J$1001,0),0), INDEX($Q$1004:$U$1004,1,MATCH(COLUMNS($Q$1006:U1006),$Q$1006:$U$1006,0)))),"Fix")))</f>
        <v xml:space="preserve"> </v>
      </c>
      <c r="J872">
        <v>871</v>
      </c>
      <c r="K872">
        <v>100872</v>
      </c>
      <c r="L872">
        <v>872</v>
      </c>
      <c r="M872" t="b">
        <f t="shared" si="13"/>
        <v>1</v>
      </c>
      <c r="N872" t="b">
        <f>COUNTBLANK(metadata!B872:F872)=COLUMNS(metadata!B872:F872)</f>
        <v>1</v>
      </c>
      <c r="O872" t="str">
        <v/>
      </c>
      <c r="Q872" t="b">
        <f ca="1">AND(IF(metadata!B872="",FALSE,TRUE),COUNTIF(metadata!B:B, metadata!B872) = 1,NOT(ISERROR(SUMPRODUCT(SEARCH(MID(metadata!B872,ROW(INDIRECT("1:"&amp;LEN(metadata!B872))), 1),"0123456789abcdefghijklmnopqrstuvwxyzABCDEFGHIJKLMNOPQRSTUVWXYZ.")))))</f>
        <v>0</v>
      </c>
      <c r="R872" t="b">
        <f>AND(IF(metadata!C872="",FALSE,TRUE),OR(EXACT(metadata!C872,"saline"),EXACT(metadata!C872,"non-saline")))</f>
        <v>0</v>
      </c>
      <c r="S872" t="b">
        <f>AND(IF(metadata!D872="",FALSE,TRUE),OR(EXACT(metadata!D872,"surface (non-saline)"),EXACT(metadata!D872,"aerosol (non-saline)"),EXACT(metadata!D872,"sediment (non-saline)"),EXACT(metadata!D872,"surface (saline)"),EXACT(metadata!D872,"aerosol (saline)"),EXACT(metadata!D872,"sediment (saline)")))</f>
        <v>0</v>
      </c>
      <c r="T872" t="b">
        <f>AND(IF(metadata!E872="",FALSE,TRUE),EXACT(metadata!E872,"built environment"))</f>
        <v>0</v>
      </c>
      <c r="U872" t="b">
        <f>OR(AND(IF(metadata!F872="",FALSE,TRUE),EXACT(metadata!F872,"not applicable")),AND(IF(metadata!F872="",FALSE,TRUE),EXACT(metadata!F872,"anaerobic digester content")))</f>
        <v>0</v>
      </c>
    </row>
    <row r="873" spans="1:21" x14ac:dyDescent="0.2">
      <c r="A873" s="4" t="str">
        <f ca="1">IF(B873=" "," ",HYPERLINK(CONCATENATE("#metadata!",ADDRESS(INDEX($L$2:$L$1001,MATCH(ROWS($J$2:J873),$J$2:$J$1001,0),0),1)),INDEX($O$2:$O$1001,MATCH(ROWS($J$2:J873),$J$2:$J$1001,0),0)))</f>
        <v xml:space="preserve"> </v>
      </c>
      <c r="B873" s="3" t="str">
        <f ca="1">IF(OR(INDEX($K$2:$K$1001,MATCH(ROWS($J$2:J873),$J$2:$J$1001,0),1)&gt;=100000,INDEX($Q$1005:$U$1005,1,MATCH(COLUMNS($Q$1006:Q1006),$Q$1006:$U$1006,0))&gt;=100000), " ",IF(INDEX($Q$2:$U$1001,MATCH(ROWS($J$2:J873),$J$2:$J$1001,0),MATCH(COLUMNS($Q$1006:Q1006),$Q$1006:$U$1006,0)), HYPERLINK("#",""), HYPERLINK(CONCATENATE("#metadata!", ADDRESS(INDEX($L$2:$L$1001,MATCH(ROWS($J$2:J873),$J$2:$J$1001,0),0), INDEX($Q$1004:$U$1004,1,MATCH(COLUMNS($Q$1006:Q1006),$Q$1006:$U$1006,0)))),"Fix")))</f>
        <v xml:space="preserve"> </v>
      </c>
      <c r="C873" s="3" t="str">
        <f ca="1">IF(OR(INDEX($K$2:$K$1001,MATCH(ROWS($J$2:J873),$J$2:$J$1001,0),1)&gt;=100000,INDEX($Q$1005:$U$1005,1,MATCH(COLUMNS($Q$1006:R1006),$Q$1006:$U$1006,0))&gt;=100000), " ",IF(INDEX($Q$2:$U$1001,MATCH(ROWS($J$2:J873),$J$2:$J$1001,0),MATCH(COLUMNS($Q$1006:R1006),$Q$1006:$U$1006,0)), HYPERLINK("#",""), HYPERLINK(CONCATENATE("#metadata!", ADDRESS(INDEX($L$2:$L$1001,MATCH(ROWS($J$2:J873),$J$2:$J$1001,0),0), INDEX($Q$1004:$U$1004,1,MATCH(COLUMNS($Q$1006:R1006),$Q$1006:$U$1006,0)))),"Fix")))</f>
        <v xml:space="preserve"> </v>
      </c>
      <c r="D873" s="3" t="str">
        <f ca="1">IF(OR(INDEX($K$2:$K$1001,MATCH(ROWS($J$2:J873),$J$2:$J$1001,0),1)&gt;=100000,INDEX($Q$1005:$U$1005,1,MATCH(COLUMNS($Q$1006:S1006),$Q$1006:$U$1006,0))&gt;=100000), " ",IF(INDEX($Q$2:$U$1001,MATCH(ROWS($J$2:J873),$J$2:$J$1001,0),MATCH(COLUMNS($Q$1006:S1006),$Q$1006:$U$1006,0)), HYPERLINK("#",""), HYPERLINK(CONCATENATE("#metadata!", ADDRESS(INDEX($L$2:$L$1001,MATCH(ROWS($J$2:J873),$J$2:$J$1001,0),0), INDEX($Q$1004:$U$1004,1,MATCH(COLUMNS($Q$1006:S1006),$Q$1006:$U$1006,0)))),"Fix")))</f>
        <v xml:space="preserve"> </v>
      </c>
      <c r="E873" s="3" t="str">
        <f ca="1">IF(OR(INDEX($K$2:$K$1001,MATCH(ROWS($J$2:J873),$J$2:$J$1001,0),1)&gt;=100000,INDEX($Q$1005:$U$1005,1,MATCH(COLUMNS($Q$1006:T1006),$Q$1006:$U$1006,0))&gt;=100000), " ",IF(INDEX($Q$2:$U$1001,MATCH(ROWS($J$2:J873),$J$2:$J$1001,0),MATCH(COLUMNS($Q$1006:T1006),$Q$1006:$U$1006,0)), HYPERLINK("#",""), HYPERLINK(CONCATENATE("#metadata!", ADDRESS(INDEX($L$2:$L$1001,MATCH(ROWS($J$2:J873),$J$2:$J$1001,0),0), INDEX($Q$1004:$U$1004,1,MATCH(COLUMNS($Q$1006:T1006),$Q$1006:$U$1006,0)))),"Fix")))</f>
        <v xml:space="preserve"> </v>
      </c>
      <c r="F873" s="3" t="str">
        <f ca="1">IF(OR(INDEX($K$2:$K$1001,MATCH(ROWS($J$2:J873),$J$2:$J$1001,0),1)&gt;=100000,INDEX($Q$1005:$U$1005,1,MATCH(COLUMNS($Q$1006:U1006),$Q$1006:$U$1006,0))&gt;=100000), " ",IF(INDEX($Q$2:$U$1001,MATCH(ROWS($J$2:J873),$J$2:$J$1001,0),MATCH(COLUMNS($Q$1006:U1006),$Q$1006:$U$1006,0)), HYPERLINK("#",""), HYPERLINK(CONCATENATE("#metadata!", ADDRESS(INDEX($L$2:$L$1001,MATCH(ROWS($J$2:J873),$J$2:$J$1001,0),0), INDEX($Q$1004:$U$1004,1,MATCH(COLUMNS($Q$1006:U1006),$Q$1006:$U$1006,0)))),"Fix")))</f>
        <v xml:space="preserve"> </v>
      </c>
      <c r="J873">
        <v>872</v>
      </c>
      <c r="K873">
        <v>100873</v>
      </c>
      <c r="L873">
        <v>873</v>
      </c>
      <c r="M873" t="b">
        <f t="shared" si="13"/>
        <v>1</v>
      </c>
      <c r="N873" t="b">
        <f>COUNTBLANK(metadata!B873:F873)=COLUMNS(metadata!B873:F873)</f>
        <v>1</v>
      </c>
      <c r="O873" t="str">
        <v/>
      </c>
      <c r="Q873" t="b">
        <f ca="1">AND(IF(metadata!B873="",FALSE,TRUE),COUNTIF(metadata!B:B, metadata!B873) = 1,NOT(ISERROR(SUMPRODUCT(SEARCH(MID(metadata!B873,ROW(INDIRECT("1:"&amp;LEN(metadata!B873))), 1),"0123456789abcdefghijklmnopqrstuvwxyzABCDEFGHIJKLMNOPQRSTUVWXYZ.")))))</f>
        <v>0</v>
      </c>
      <c r="R873" t="b">
        <f>AND(IF(metadata!C873="",FALSE,TRUE),OR(EXACT(metadata!C873,"saline"),EXACT(metadata!C873,"non-saline")))</f>
        <v>0</v>
      </c>
      <c r="S873" t="b">
        <f>AND(IF(metadata!D873="",FALSE,TRUE),OR(EXACT(metadata!D873,"surface (non-saline)"),EXACT(metadata!D873,"aerosol (non-saline)"),EXACT(metadata!D873,"sediment (non-saline)"),EXACT(metadata!D873,"surface (saline)"),EXACT(metadata!D873,"aerosol (saline)"),EXACT(metadata!D873,"sediment (saline)")))</f>
        <v>0</v>
      </c>
      <c r="T873" t="b">
        <f>AND(IF(metadata!E873="",FALSE,TRUE),EXACT(metadata!E873,"built environment"))</f>
        <v>0</v>
      </c>
      <c r="U873" t="b">
        <f>OR(AND(IF(metadata!F873="",FALSE,TRUE),EXACT(metadata!F873,"not applicable")),AND(IF(metadata!F873="",FALSE,TRUE),EXACT(metadata!F873,"anaerobic digester content")))</f>
        <v>0</v>
      </c>
    </row>
    <row r="874" spans="1:21" x14ac:dyDescent="0.2">
      <c r="A874" s="4" t="str">
        <f ca="1">IF(B874=" "," ",HYPERLINK(CONCATENATE("#metadata!",ADDRESS(INDEX($L$2:$L$1001,MATCH(ROWS($J$2:J874),$J$2:$J$1001,0),0),1)),INDEX($O$2:$O$1001,MATCH(ROWS($J$2:J874),$J$2:$J$1001,0),0)))</f>
        <v xml:space="preserve"> </v>
      </c>
      <c r="B874" s="3" t="str">
        <f ca="1">IF(OR(INDEX($K$2:$K$1001,MATCH(ROWS($J$2:J874),$J$2:$J$1001,0),1)&gt;=100000,INDEX($Q$1005:$U$1005,1,MATCH(COLUMNS($Q$1006:Q1006),$Q$1006:$U$1006,0))&gt;=100000), " ",IF(INDEX($Q$2:$U$1001,MATCH(ROWS($J$2:J874),$J$2:$J$1001,0),MATCH(COLUMNS($Q$1006:Q1006),$Q$1006:$U$1006,0)), HYPERLINK("#",""), HYPERLINK(CONCATENATE("#metadata!", ADDRESS(INDEX($L$2:$L$1001,MATCH(ROWS($J$2:J874),$J$2:$J$1001,0),0), INDEX($Q$1004:$U$1004,1,MATCH(COLUMNS($Q$1006:Q1006),$Q$1006:$U$1006,0)))),"Fix")))</f>
        <v xml:space="preserve"> </v>
      </c>
      <c r="C874" s="3" t="str">
        <f ca="1">IF(OR(INDEX($K$2:$K$1001,MATCH(ROWS($J$2:J874),$J$2:$J$1001,0),1)&gt;=100000,INDEX($Q$1005:$U$1005,1,MATCH(COLUMNS($Q$1006:R1006),$Q$1006:$U$1006,0))&gt;=100000), " ",IF(INDEX($Q$2:$U$1001,MATCH(ROWS($J$2:J874),$J$2:$J$1001,0),MATCH(COLUMNS($Q$1006:R1006),$Q$1006:$U$1006,0)), HYPERLINK("#",""), HYPERLINK(CONCATENATE("#metadata!", ADDRESS(INDEX($L$2:$L$1001,MATCH(ROWS($J$2:J874),$J$2:$J$1001,0),0), INDEX($Q$1004:$U$1004,1,MATCH(COLUMNS($Q$1006:R1006),$Q$1006:$U$1006,0)))),"Fix")))</f>
        <v xml:space="preserve"> </v>
      </c>
      <c r="D874" s="3" t="str">
        <f ca="1">IF(OR(INDEX($K$2:$K$1001,MATCH(ROWS($J$2:J874),$J$2:$J$1001,0),1)&gt;=100000,INDEX($Q$1005:$U$1005,1,MATCH(COLUMNS($Q$1006:S1006),$Q$1006:$U$1006,0))&gt;=100000), " ",IF(INDEX($Q$2:$U$1001,MATCH(ROWS($J$2:J874),$J$2:$J$1001,0),MATCH(COLUMNS($Q$1006:S1006),$Q$1006:$U$1006,0)), HYPERLINK("#",""), HYPERLINK(CONCATENATE("#metadata!", ADDRESS(INDEX($L$2:$L$1001,MATCH(ROWS($J$2:J874),$J$2:$J$1001,0),0), INDEX($Q$1004:$U$1004,1,MATCH(COLUMNS($Q$1006:S1006),$Q$1006:$U$1006,0)))),"Fix")))</f>
        <v xml:space="preserve"> </v>
      </c>
      <c r="E874" s="3" t="str">
        <f ca="1">IF(OR(INDEX($K$2:$K$1001,MATCH(ROWS($J$2:J874),$J$2:$J$1001,0),1)&gt;=100000,INDEX($Q$1005:$U$1005,1,MATCH(COLUMNS($Q$1006:T1006),$Q$1006:$U$1006,0))&gt;=100000), " ",IF(INDEX($Q$2:$U$1001,MATCH(ROWS($J$2:J874),$J$2:$J$1001,0),MATCH(COLUMNS($Q$1006:T1006),$Q$1006:$U$1006,0)), HYPERLINK("#",""), HYPERLINK(CONCATENATE("#metadata!", ADDRESS(INDEX($L$2:$L$1001,MATCH(ROWS($J$2:J874),$J$2:$J$1001,0),0), INDEX($Q$1004:$U$1004,1,MATCH(COLUMNS($Q$1006:T1006),$Q$1006:$U$1006,0)))),"Fix")))</f>
        <v xml:space="preserve"> </v>
      </c>
      <c r="F874" s="3" t="str">
        <f ca="1">IF(OR(INDEX($K$2:$K$1001,MATCH(ROWS($J$2:J874),$J$2:$J$1001,0),1)&gt;=100000,INDEX($Q$1005:$U$1005,1,MATCH(COLUMNS($Q$1006:U1006),$Q$1006:$U$1006,0))&gt;=100000), " ",IF(INDEX($Q$2:$U$1001,MATCH(ROWS($J$2:J874),$J$2:$J$1001,0),MATCH(COLUMNS($Q$1006:U1006),$Q$1006:$U$1006,0)), HYPERLINK("#",""), HYPERLINK(CONCATENATE("#metadata!", ADDRESS(INDEX($L$2:$L$1001,MATCH(ROWS($J$2:J874),$J$2:$J$1001,0),0), INDEX($Q$1004:$U$1004,1,MATCH(COLUMNS($Q$1006:U1006),$Q$1006:$U$1006,0)))),"Fix")))</f>
        <v xml:space="preserve"> </v>
      </c>
      <c r="J874">
        <v>873</v>
      </c>
      <c r="K874">
        <v>100874</v>
      </c>
      <c r="L874">
        <v>874</v>
      </c>
      <c r="M874" t="b">
        <f t="shared" si="13"/>
        <v>1</v>
      </c>
      <c r="N874" t="b">
        <f>COUNTBLANK(metadata!B874:F874)=COLUMNS(metadata!B874:F874)</f>
        <v>1</v>
      </c>
      <c r="O874" t="str">
        <v/>
      </c>
      <c r="Q874" t="b">
        <f ca="1">AND(IF(metadata!B874="",FALSE,TRUE),COUNTIF(metadata!B:B, metadata!B874) = 1,NOT(ISERROR(SUMPRODUCT(SEARCH(MID(metadata!B874,ROW(INDIRECT("1:"&amp;LEN(metadata!B874))), 1),"0123456789abcdefghijklmnopqrstuvwxyzABCDEFGHIJKLMNOPQRSTUVWXYZ.")))))</f>
        <v>0</v>
      </c>
      <c r="R874" t="b">
        <f>AND(IF(metadata!C874="",FALSE,TRUE),OR(EXACT(metadata!C874,"saline"),EXACT(metadata!C874,"non-saline")))</f>
        <v>0</v>
      </c>
      <c r="S874" t="b">
        <f>AND(IF(metadata!D874="",FALSE,TRUE),OR(EXACT(metadata!D874,"surface (non-saline)"),EXACT(metadata!D874,"aerosol (non-saline)"),EXACT(metadata!D874,"sediment (non-saline)"),EXACT(metadata!D874,"surface (saline)"),EXACT(metadata!D874,"aerosol (saline)"),EXACT(metadata!D874,"sediment (saline)")))</f>
        <v>0</v>
      </c>
      <c r="T874" t="b">
        <f>AND(IF(metadata!E874="",FALSE,TRUE),EXACT(metadata!E874,"built environment"))</f>
        <v>0</v>
      </c>
      <c r="U874" t="b">
        <f>OR(AND(IF(metadata!F874="",FALSE,TRUE),EXACT(metadata!F874,"not applicable")),AND(IF(metadata!F874="",FALSE,TRUE),EXACT(metadata!F874,"anaerobic digester content")))</f>
        <v>0</v>
      </c>
    </row>
    <row r="875" spans="1:21" x14ac:dyDescent="0.2">
      <c r="A875" s="4" t="str">
        <f ca="1">IF(B875=" "," ",HYPERLINK(CONCATENATE("#metadata!",ADDRESS(INDEX($L$2:$L$1001,MATCH(ROWS($J$2:J875),$J$2:$J$1001,0),0),1)),INDEX($O$2:$O$1001,MATCH(ROWS($J$2:J875),$J$2:$J$1001,0),0)))</f>
        <v xml:space="preserve"> </v>
      </c>
      <c r="B875" s="3" t="str">
        <f ca="1">IF(OR(INDEX($K$2:$K$1001,MATCH(ROWS($J$2:J875),$J$2:$J$1001,0),1)&gt;=100000,INDEX($Q$1005:$U$1005,1,MATCH(COLUMNS($Q$1006:Q1006),$Q$1006:$U$1006,0))&gt;=100000), " ",IF(INDEX($Q$2:$U$1001,MATCH(ROWS($J$2:J875),$J$2:$J$1001,0),MATCH(COLUMNS($Q$1006:Q1006),$Q$1006:$U$1006,0)), HYPERLINK("#",""), HYPERLINK(CONCATENATE("#metadata!", ADDRESS(INDEX($L$2:$L$1001,MATCH(ROWS($J$2:J875),$J$2:$J$1001,0),0), INDEX($Q$1004:$U$1004,1,MATCH(COLUMNS($Q$1006:Q1006),$Q$1006:$U$1006,0)))),"Fix")))</f>
        <v xml:space="preserve"> </v>
      </c>
      <c r="C875" s="3" t="str">
        <f ca="1">IF(OR(INDEX($K$2:$K$1001,MATCH(ROWS($J$2:J875),$J$2:$J$1001,0),1)&gt;=100000,INDEX($Q$1005:$U$1005,1,MATCH(COLUMNS($Q$1006:R1006),$Q$1006:$U$1006,0))&gt;=100000), " ",IF(INDEX($Q$2:$U$1001,MATCH(ROWS($J$2:J875),$J$2:$J$1001,0),MATCH(COLUMNS($Q$1006:R1006),$Q$1006:$U$1006,0)), HYPERLINK("#",""), HYPERLINK(CONCATENATE("#metadata!", ADDRESS(INDEX($L$2:$L$1001,MATCH(ROWS($J$2:J875),$J$2:$J$1001,0),0), INDEX($Q$1004:$U$1004,1,MATCH(COLUMNS($Q$1006:R1006),$Q$1006:$U$1006,0)))),"Fix")))</f>
        <v xml:space="preserve"> </v>
      </c>
      <c r="D875" s="3" t="str">
        <f ca="1">IF(OR(INDEX($K$2:$K$1001,MATCH(ROWS($J$2:J875),$J$2:$J$1001,0),1)&gt;=100000,INDEX($Q$1005:$U$1005,1,MATCH(COLUMNS($Q$1006:S1006),$Q$1006:$U$1006,0))&gt;=100000), " ",IF(INDEX($Q$2:$U$1001,MATCH(ROWS($J$2:J875),$J$2:$J$1001,0),MATCH(COLUMNS($Q$1006:S1006),$Q$1006:$U$1006,0)), HYPERLINK("#",""), HYPERLINK(CONCATENATE("#metadata!", ADDRESS(INDEX($L$2:$L$1001,MATCH(ROWS($J$2:J875),$J$2:$J$1001,0),0), INDEX($Q$1004:$U$1004,1,MATCH(COLUMNS($Q$1006:S1006),$Q$1006:$U$1006,0)))),"Fix")))</f>
        <v xml:space="preserve"> </v>
      </c>
      <c r="E875" s="3" t="str">
        <f ca="1">IF(OR(INDEX($K$2:$K$1001,MATCH(ROWS($J$2:J875),$J$2:$J$1001,0),1)&gt;=100000,INDEX($Q$1005:$U$1005,1,MATCH(COLUMNS($Q$1006:T1006),$Q$1006:$U$1006,0))&gt;=100000), " ",IF(INDEX($Q$2:$U$1001,MATCH(ROWS($J$2:J875),$J$2:$J$1001,0),MATCH(COLUMNS($Q$1006:T1006),$Q$1006:$U$1006,0)), HYPERLINK("#",""), HYPERLINK(CONCATENATE("#metadata!", ADDRESS(INDEX($L$2:$L$1001,MATCH(ROWS($J$2:J875),$J$2:$J$1001,0),0), INDEX($Q$1004:$U$1004,1,MATCH(COLUMNS($Q$1006:T1006),$Q$1006:$U$1006,0)))),"Fix")))</f>
        <v xml:space="preserve"> </v>
      </c>
      <c r="F875" s="3" t="str">
        <f ca="1">IF(OR(INDEX($K$2:$K$1001,MATCH(ROWS($J$2:J875),$J$2:$J$1001,0),1)&gt;=100000,INDEX($Q$1005:$U$1005,1,MATCH(COLUMNS($Q$1006:U1006),$Q$1006:$U$1006,0))&gt;=100000), " ",IF(INDEX($Q$2:$U$1001,MATCH(ROWS($J$2:J875),$J$2:$J$1001,0),MATCH(COLUMNS($Q$1006:U1006),$Q$1006:$U$1006,0)), HYPERLINK("#",""), HYPERLINK(CONCATENATE("#metadata!", ADDRESS(INDEX($L$2:$L$1001,MATCH(ROWS($J$2:J875),$J$2:$J$1001,0),0), INDEX($Q$1004:$U$1004,1,MATCH(COLUMNS($Q$1006:U1006),$Q$1006:$U$1006,0)))),"Fix")))</f>
        <v xml:space="preserve"> </v>
      </c>
      <c r="J875">
        <v>874</v>
      </c>
      <c r="K875">
        <v>100875</v>
      </c>
      <c r="L875">
        <v>875</v>
      </c>
      <c r="M875" t="b">
        <f t="shared" si="13"/>
        <v>1</v>
      </c>
      <c r="N875" t="b">
        <f>COUNTBLANK(metadata!B875:F875)=COLUMNS(metadata!B875:F875)</f>
        <v>1</v>
      </c>
      <c r="O875" t="str">
        <v/>
      </c>
      <c r="Q875" t="b">
        <f ca="1">AND(IF(metadata!B875="",FALSE,TRUE),COUNTIF(metadata!B:B, metadata!B875) = 1,NOT(ISERROR(SUMPRODUCT(SEARCH(MID(metadata!B875,ROW(INDIRECT("1:"&amp;LEN(metadata!B875))), 1),"0123456789abcdefghijklmnopqrstuvwxyzABCDEFGHIJKLMNOPQRSTUVWXYZ.")))))</f>
        <v>0</v>
      </c>
      <c r="R875" t="b">
        <f>AND(IF(metadata!C875="",FALSE,TRUE),OR(EXACT(metadata!C875,"saline"),EXACT(metadata!C875,"non-saline")))</f>
        <v>0</v>
      </c>
      <c r="S875" t="b">
        <f>AND(IF(metadata!D875="",FALSE,TRUE),OR(EXACT(metadata!D875,"surface (non-saline)"),EXACT(metadata!D875,"aerosol (non-saline)"),EXACT(metadata!D875,"sediment (non-saline)"),EXACT(metadata!D875,"surface (saline)"),EXACT(metadata!D875,"aerosol (saline)"),EXACT(metadata!D875,"sediment (saline)")))</f>
        <v>0</v>
      </c>
      <c r="T875" t="b">
        <f>AND(IF(metadata!E875="",FALSE,TRUE),EXACT(metadata!E875,"built environment"))</f>
        <v>0</v>
      </c>
      <c r="U875" t="b">
        <f>OR(AND(IF(metadata!F875="",FALSE,TRUE),EXACT(metadata!F875,"not applicable")),AND(IF(metadata!F875="",FALSE,TRUE),EXACT(metadata!F875,"anaerobic digester content")))</f>
        <v>0</v>
      </c>
    </row>
    <row r="876" spans="1:21" x14ac:dyDescent="0.2">
      <c r="A876" s="4" t="str">
        <f ca="1">IF(B876=" "," ",HYPERLINK(CONCATENATE("#metadata!",ADDRESS(INDEX($L$2:$L$1001,MATCH(ROWS($J$2:J876),$J$2:$J$1001,0),0),1)),INDEX($O$2:$O$1001,MATCH(ROWS($J$2:J876),$J$2:$J$1001,0),0)))</f>
        <v xml:space="preserve"> </v>
      </c>
      <c r="B876" s="3" t="str">
        <f ca="1">IF(OR(INDEX($K$2:$K$1001,MATCH(ROWS($J$2:J876),$J$2:$J$1001,0),1)&gt;=100000,INDEX($Q$1005:$U$1005,1,MATCH(COLUMNS($Q$1006:Q1006),$Q$1006:$U$1006,0))&gt;=100000), " ",IF(INDEX($Q$2:$U$1001,MATCH(ROWS($J$2:J876),$J$2:$J$1001,0),MATCH(COLUMNS($Q$1006:Q1006),$Q$1006:$U$1006,0)), HYPERLINK("#",""), HYPERLINK(CONCATENATE("#metadata!", ADDRESS(INDEX($L$2:$L$1001,MATCH(ROWS($J$2:J876),$J$2:$J$1001,0),0), INDEX($Q$1004:$U$1004,1,MATCH(COLUMNS($Q$1006:Q1006),$Q$1006:$U$1006,0)))),"Fix")))</f>
        <v xml:space="preserve"> </v>
      </c>
      <c r="C876" s="3" t="str">
        <f ca="1">IF(OR(INDEX($K$2:$K$1001,MATCH(ROWS($J$2:J876),$J$2:$J$1001,0),1)&gt;=100000,INDEX($Q$1005:$U$1005,1,MATCH(COLUMNS($Q$1006:R1006),$Q$1006:$U$1006,0))&gt;=100000), " ",IF(INDEX($Q$2:$U$1001,MATCH(ROWS($J$2:J876),$J$2:$J$1001,0),MATCH(COLUMNS($Q$1006:R1006),$Q$1006:$U$1006,0)), HYPERLINK("#",""), HYPERLINK(CONCATENATE("#metadata!", ADDRESS(INDEX($L$2:$L$1001,MATCH(ROWS($J$2:J876),$J$2:$J$1001,0),0), INDEX($Q$1004:$U$1004,1,MATCH(COLUMNS($Q$1006:R1006),$Q$1006:$U$1006,0)))),"Fix")))</f>
        <v xml:space="preserve"> </v>
      </c>
      <c r="D876" s="3" t="str">
        <f ca="1">IF(OR(INDEX($K$2:$K$1001,MATCH(ROWS($J$2:J876),$J$2:$J$1001,0),1)&gt;=100000,INDEX($Q$1005:$U$1005,1,MATCH(COLUMNS($Q$1006:S1006),$Q$1006:$U$1006,0))&gt;=100000), " ",IF(INDEX($Q$2:$U$1001,MATCH(ROWS($J$2:J876),$J$2:$J$1001,0),MATCH(COLUMNS($Q$1006:S1006),$Q$1006:$U$1006,0)), HYPERLINK("#",""), HYPERLINK(CONCATENATE("#metadata!", ADDRESS(INDEX($L$2:$L$1001,MATCH(ROWS($J$2:J876),$J$2:$J$1001,0),0), INDEX($Q$1004:$U$1004,1,MATCH(COLUMNS($Q$1006:S1006),$Q$1006:$U$1006,0)))),"Fix")))</f>
        <v xml:space="preserve"> </v>
      </c>
      <c r="E876" s="3" t="str">
        <f ca="1">IF(OR(INDEX($K$2:$K$1001,MATCH(ROWS($J$2:J876),$J$2:$J$1001,0),1)&gt;=100000,INDEX($Q$1005:$U$1005,1,MATCH(COLUMNS($Q$1006:T1006),$Q$1006:$U$1006,0))&gt;=100000), " ",IF(INDEX($Q$2:$U$1001,MATCH(ROWS($J$2:J876),$J$2:$J$1001,0),MATCH(COLUMNS($Q$1006:T1006),$Q$1006:$U$1006,0)), HYPERLINK("#",""), HYPERLINK(CONCATENATE("#metadata!", ADDRESS(INDEX($L$2:$L$1001,MATCH(ROWS($J$2:J876),$J$2:$J$1001,0),0), INDEX($Q$1004:$U$1004,1,MATCH(COLUMNS($Q$1006:T1006),$Q$1006:$U$1006,0)))),"Fix")))</f>
        <v xml:space="preserve"> </v>
      </c>
      <c r="F876" s="3" t="str">
        <f ca="1">IF(OR(INDEX($K$2:$K$1001,MATCH(ROWS($J$2:J876),$J$2:$J$1001,0),1)&gt;=100000,INDEX($Q$1005:$U$1005,1,MATCH(COLUMNS($Q$1006:U1006),$Q$1006:$U$1006,0))&gt;=100000), " ",IF(INDEX($Q$2:$U$1001,MATCH(ROWS($J$2:J876),$J$2:$J$1001,0),MATCH(COLUMNS($Q$1006:U1006),$Q$1006:$U$1006,0)), HYPERLINK("#",""), HYPERLINK(CONCATENATE("#metadata!", ADDRESS(INDEX($L$2:$L$1001,MATCH(ROWS($J$2:J876),$J$2:$J$1001,0),0), INDEX($Q$1004:$U$1004,1,MATCH(COLUMNS($Q$1006:U1006),$Q$1006:$U$1006,0)))),"Fix")))</f>
        <v xml:space="preserve"> </v>
      </c>
      <c r="J876">
        <v>875</v>
      </c>
      <c r="K876">
        <v>100876</v>
      </c>
      <c r="L876">
        <v>876</v>
      </c>
      <c r="M876" t="b">
        <f t="shared" si="13"/>
        <v>1</v>
      </c>
      <c r="N876" t="b">
        <f>COUNTBLANK(metadata!B876:F876)=COLUMNS(metadata!B876:F876)</f>
        <v>1</v>
      </c>
      <c r="O876" t="str">
        <v/>
      </c>
      <c r="Q876" t="b">
        <f ca="1">AND(IF(metadata!B876="",FALSE,TRUE),COUNTIF(metadata!B:B, metadata!B876) = 1,NOT(ISERROR(SUMPRODUCT(SEARCH(MID(metadata!B876,ROW(INDIRECT("1:"&amp;LEN(metadata!B876))), 1),"0123456789abcdefghijklmnopqrstuvwxyzABCDEFGHIJKLMNOPQRSTUVWXYZ.")))))</f>
        <v>0</v>
      </c>
      <c r="R876" t="b">
        <f>AND(IF(metadata!C876="",FALSE,TRUE),OR(EXACT(metadata!C876,"saline"),EXACT(metadata!C876,"non-saline")))</f>
        <v>0</v>
      </c>
      <c r="S876" t="b">
        <f>AND(IF(metadata!D876="",FALSE,TRUE),OR(EXACT(metadata!D876,"surface (non-saline)"),EXACT(metadata!D876,"aerosol (non-saline)"),EXACT(metadata!D876,"sediment (non-saline)"),EXACT(metadata!D876,"surface (saline)"),EXACT(metadata!D876,"aerosol (saline)"),EXACT(metadata!D876,"sediment (saline)")))</f>
        <v>0</v>
      </c>
      <c r="T876" t="b">
        <f>AND(IF(metadata!E876="",FALSE,TRUE),EXACT(metadata!E876,"built environment"))</f>
        <v>0</v>
      </c>
      <c r="U876" t="b">
        <f>OR(AND(IF(metadata!F876="",FALSE,TRUE),EXACT(metadata!F876,"not applicable")),AND(IF(metadata!F876="",FALSE,TRUE),EXACT(metadata!F876,"anaerobic digester content")))</f>
        <v>0</v>
      </c>
    </row>
    <row r="877" spans="1:21" x14ac:dyDescent="0.2">
      <c r="A877" s="4" t="str">
        <f ca="1">IF(B877=" "," ",HYPERLINK(CONCATENATE("#metadata!",ADDRESS(INDEX($L$2:$L$1001,MATCH(ROWS($J$2:J877),$J$2:$J$1001,0),0),1)),INDEX($O$2:$O$1001,MATCH(ROWS($J$2:J877),$J$2:$J$1001,0),0)))</f>
        <v xml:space="preserve"> </v>
      </c>
      <c r="B877" s="3" t="str">
        <f ca="1">IF(OR(INDEX($K$2:$K$1001,MATCH(ROWS($J$2:J877),$J$2:$J$1001,0),1)&gt;=100000,INDEX($Q$1005:$U$1005,1,MATCH(COLUMNS($Q$1006:Q1006),$Q$1006:$U$1006,0))&gt;=100000), " ",IF(INDEX($Q$2:$U$1001,MATCH(ROWS($J$2:J877),$J$2:$J$1001,0),MATCH(COLUMNS($Q$1006:Q1006),$Q$1006:$U$1006,0)), HYPERLINK("#",""), HYPERLINK(CONCATENATE("#metadata!", ADDRESS(INDEX($L$2:$L$1001,MATCH(ROWS($J$2:J877),$J$2:$J$1001,0),0), INDEX($Q$1004:$U$1004,1,MATCH(COLUMNS($Q$1006:Q1006),$Q$1006:$U$1006,0)))),"Fix")))</f>
        <v xml:space="preserve"> </v>
      </c>
      <c r="C877" s="3" t="str">
        <f ca="1">IF(OR(INDEX($K$2:$K$1001,MATCH(ROWS($J$2:J877),$J$2:$J$1001,0),1)&gt;=100000,INDEX($Q$1005:$U$1005,1,MATCH(COLUMNS($Q$1006:R1006),$Q$1006:$U$1006,0))&gt;=100000), " ",IF(INDEX($Q$2:$U$1001,MATCH(ROWS($J$2:J877),$J$2:$J$1001,0),MATCH(COLUMNS($Q$1006:R1006),$Q$1006:$U$1006,0)), HYPERLINK("#",""), HYPERLINK(CONCATENATE("#metadata!", ADDRESS(INDEX($L$2:$L$1001,MATCH(ROWS($J$2:J877),$J$2:$J$1001,0),0), INDEX($Q$1004:$U$1004,1,MATCH(COLUMNS($Q$1006:R1006),$Q$1006:$U$1006,0)))),"Fix")))</f>
        <v xml:space="preserve"> </v>
      </c>
      <c r="D877" s="3" t="str">
        <f ca="1">IF(OR(INDEX($K$2:$K$1001,MATCH(ROWS($J$2:J877),$J$2:$J$1001,0),1)&gt;=100000,INDEX($Q$1005:$U$1005,1,MATCH(COLUMNS($Q$1006:S1006),$Q$1006:$U$1006,0))&gt;=100000), " ",IF(INDEX($Q$2:$U$1001,MATCH(ROWS($J$2:J877),$J$2:$J$1001,0),MATCH(COLUMNS($Q$1006:S1006),$Q$1006:$U$1006,0)), HYPERLINK("#",""), HYPERLINK(CONCATENATE("#metadata!", ADDRESS(INDEX($L$2:$L$1001,MATCH(ROWS($J$2:J877),$J$2:$J$1001,0),0), INDEX($Q$1004:$U$1004,1,MATCH(COLUMNS($Q$1006:S1006),$Q$1006:$U$1006,0)))),"Fix")))</f>
        <v xml:space="preserve"> </v>
      </c>
      <c r="E877" s="3" t="str">
        <f ca="1">IF(OR(INDEX($K$2:$K$1001,MATCH(ROWS($J$2:J877),$J$2:$J$1001,0),1)&gt;=100000,INDEX($Q$1005:$U$1005,1,MATCH(COLUMNS($Q$1006:T1006),$Q$1006:$U$1006,0))&gt;=100000), " ",IF(INDEX($Q$2:$U$1001,MATCH(ROWS($J$2:J877),$J$2:$J$1001,0),MATCH(COLUMNS($Q$1006:T1006),$Q$1006:$U$1006,0)), HYPERLINK("#",""), HYPERLINK(CONCATENATE("#metadata!", ADDRESS(INDEX($L$2:$L$1001,MATCH(ROWS($J$2:J877),$J$2:$J$1001,0),0), INDEX($Q$1004:$U$1004,1,MATCH(COLUMNS($Q$1006:T1006),$Q$1006:$U$1006,0)))),"Fix")))</f>
        <v xml:space="preserve"> </v>
      </c>
      <c r="F877" s="3" t="str">
        <f ca="1">IF(OR(INDEX($K$2:$K$1001,MATCH(ROWS($J$2:J877),$J$2:$J$1001,0),1)&gt;=100000,INDEX($Q$1005:$U$1005,1,MATCH(COLUMNS($Q$1006:U1006),$Q$1006:$U$1006,0))&gt;=100000), " ",IF(INDEX($Q$2:$U$1001,MATCH(ROWS($J$2:J877),$J$2:$J$1001,0),MATCH(COLUMNS($Q$1006:U1006),$Q$1006:$U$1006,0)), HYPERLINK("#",""), HYPERLINK(CONCATENATE("#metadata!", ADDRESS(INDEX($L$2:$L$1001,MATCH(ROWS($J$2:J877),$J$2:$J$1001,0),0), INDEX($Q$1004:$U$1004,1,MATCH(COLUMNS($Q$1006:U1006),$Q$1006:$U$1006,0)))),"Fix")))</f>
        <v xml:space="preserve"> </v>
      </c>
      <c r="J877">
        <v>876</v>
      </c>
      <c r="K877">
        <v>100877</v>
      </c>
      <c r="L877">
        <v>877</v>
      </c>
      <c r="M877" t="b">
        <f t="shared" si="13"/>
        <v>1</v>
      </c>
      <c r="N877" t="b">
        <f>COUNTBLANK(metadata!B877:F877)=COLUMNS(metadata!B877:F877)</f>
        <v>1</v>
      </c>
      <c r="O877" t="str">
        <v/>
      </c>
      <c r="Q877" t="b">
        <f ca="1">AND(IF(metadata!B877="",FALSE,TRUE),COUNTIF(metadata!B:B, metadata!B877) = 1,NOT(ISERROR(SUMPRODUCT(SEARCH(MID(metadata!B877,ROW(INDIRECT("1:"&amp;LEN(metadata!B877))), 1),"0123456789abcdefghijklmnopqrstuvwxyzABCDEFGHIJKLMNOPQRSTUVWXYZ.")))))</f>
        <v>0</v>
      </c>
      <c r="R877" t="b">
        <f>AND(IF(metadata!C877="",FALSE,TRUE),OR(EXACT(metadata!C877,"saline"),EXACT(metadata!C877,"non-saline")))</f>
        <v>0</v>
      </c>
      <c r="S877" t="b">
        <f>AND(IF(metadata!D877="",FALSE,TRUE),OR(EXACT(metadata!D877,"surface (non-saline)"),EXACT(metadata!D877,"aerosol (non-saline)"),EXACT(metadata!D877,"sediment (non-saline)"),EXACT(metadata!D877,"surface (saline)"),EXACT(metadata!D877,"aerosol (saline)"),EXACT(metadata!D877,"sediment (saline)")))</f>
        <v>0</v>
      </c>
      <c r="T877" t="b">
        <f>AND(IF(metadata!E877="",FALSE,TRUE),EXACT(metadata!E877,"built environment"))</f>
        <v>0</v>
      </c>
      <c r="U877" t="b">
        <f>OR(AND(IF(metadata!F877="",FALSE,TRUE),EXACT(metadata!F877,"not applicable")),AND(IF(metadata!F877="",FALSE,TRUE),EXACT(metadata!F877,"anaerobic digester content")))</f>
        <v>0</v>
      </c>
    </row>
    <row r="878" spans="1:21" x14ac:dyDescent="0.2">
      <c r="A878" s="4" t="str">
        <f ca="1">IF(B878=" "," ",HYPERLINK(CONCATENATE("#metadata!",ADDRESS(INDEX($L$2:$L$1001,MATCH(ROWS($J$2:J878),$J$2:$J$1001,0),0),1)),INDEX($O$2:$O$1001,MATCH(ROWS($J$2:J878),$J$2:$J$1001,0),0)))</f>
        <v xml:space="preserve"> </v>
      </c>
      <c r="B878" s="3" t="str">
        <f ca="1">IF(OR(INDEX($K$2:$K$1001,MATCH(ROWS($J$2:J878),$J$2:$J$1001,0),1)&gt;=100000,INDEX($Q$1005:$U$1005,1,MATCH(COLUMNS($Q$1006:Q1006),$Q$1006:$U$1006,0))&gt;=100000), " ",IF(INDEX($Q$2:$U$1001,MATCH(ROWS($J$2:J878),$J$2:$J$1001,0),MATCH(COLUMNS($Q$1006:Q1006),$Q$1006:$U$1006,0)), HYPERLINK("#",""), HYPERLINK(CONCATENATE("#metadata!", ADDRESS(INDEX($L$2:$L$1001,MATCH(ROWS($J$2:J878),$J$2:$J$1001,0),0), INDEX($Q$1004:$U$1004,1,MATCH(COLUMNS($Q$1006:Q1006),$Q$1006:$U$1006,0)))),"Fix")))</f>
        <v xml:space="preserve"> </v>
      </c>
      <c r="C878" s="3" t="str">
        <f ca="1">IF(OR(INDEX($K$2:$K$1001,MATCH(ROWS($J$2:J878),$J$2:$J$1001,0),1)&gt;=100000,INDEX($Q$1005:$U$1005,1,MATCH(COLUMNS($Q$1006:R1006),$Q$1006:$U$1006,0))&gt;=100000), " ",IF(INDEX($Q$2:$U$1001,MATCH(ROWS($J$2:J878),$J$2:$J$1001,0),MATCH(COLUMNS($Q$1006:R1006),$Q$1006:$U$1006,0)), HYPERLINK("#",""), HYPERLINK(CONCATENATE("#metadata!", ADDRESS(INDEX($L$2:$L$1001,MATCH(ROWS($J$2:J878),$J$2:$J$1001,0),0), INDEX($Q$1004:$U$1004,1,MATCH(COLUMNS($Q$1006:R1006),$Q$1006:$U$1006,0)))),"Fix")))</f>
        <v xml:space="preserve"> </v>
      </c>
      <c r="D878" s="3" t="str">
        <f ca="1">IF(OR(INDEX($K$2:$K$1001,MATCH(ROWS($J$2:J878),$J$2:$J$1001,0),1)&gt;=100000,INDEX($Q$1005:$U$1005,1,MATCH(COLUMNS($Q$1006:S1006),$Q$1006:$U$1006,0))&gt;=100000), " ",IF(INDEX($Q$2:$U$1001,MATCH(ROWS($J$2:J878),$J$2:$J$1001,0),MATCH(COLUMNS($Q$1006:S1006),$Q$1006:$U$1006,0)), HYPERLINK("#",""), HYPERLINK(CONCATENATE("#metadata!", ADDRESS(INDEX($L$2:$L$1001,MATCH(ROWS($J$2:J878),$J$2:$J$1001,0),0), INDEX($Q$1004:$U$1004,1,MATCH(COLUMNS($Q$1006:S1006),$Q$1006:$U$1006,0)))),"Fix")))</f>
        <v xml:space="preserve"> </v>
      </c>
      <c r="E878" s="3" t="str">
        <f ca="1">IF(OR(INDEX($K$2:$K$1001,MATCH(ROWS($J$2:J878),$J$2:$J$1001,0),1)&gt;=100000,INDEX($Q$1005:$U$1005,1,MATCH(COLUMNS($Q$1006:T1006),$Q$1006:$U$1006,0))&gt;=100000), " ",IF(INDEX($Q$2:$U$1001,MATCH(ROWS($J$2:J878),$J$2:$J$1001,0),MATCH(COLUMNS($Q$1006:T1006),$Q$1006:$U$1006,0)), HYPERLINK("#",""), HYPERLINK(CONCATENATE("#metadata!", ADDRESS(INDEX($L$2:$L$1001,MATCH(ROWS($J$2:J878),$J$2:$J$1001,0),0), INDEX($Q$1004:$U$1004,1,MATCH(COLUMNS($Q$1006:T1006),$Q$1006:$U$1006,0)))),"Fix")))</f>
        <v xml:space="preserve"> </v>
      </c>
      <c r="F878" s="3" t="str">
        <f ca="1">IF(OR(INDEX($K$2:$K$1001,MATCH(ROWS($J$2:J878),$J$2:$J$1001,0),1)&gt;=100000,INDEX($Q$1005:$U$1005,1,MATCH(COLUMNS($Q$1006:U1006),$Q$1006:$U$1006,0))&gt;=100000), " ",IF(INDEX($Q$2:$U$1001,MATCH(ROWS($J$2:J878),$J$2:$J$1001,0),MATCH(COLUMNS($Q$1006:U1006),$Q$1006:$U$1006,0)), HYPERLINK("#",""), HYPERLINK(CONCATENATE("#metadata!", ADDRESS(INDEX($L$2:$L$1001,MATCH(ROWS($J$2:J878),$J$2:$J$1001,0),0), INDEX($Q$1004:$U$1004,1,MATCH(COLUMNS($Q$1006:U1006),$Q$1006:$U$1006,0)))),"Fix")))</f>
        <v xml:space="preserve"> </v>
      </c>
      <c r="J878">
        <v>877</v>
      </c>
      <c r="K878">
        <v>100878</v>
      </c>
      <c r="L878">
        <v>878</v>
      </c>
      <c r="M878" t="b">
        <f t="shared" si="13"/>
        <v>1</v>
      </c>
      <c r="N878" t="b">
        <f>COUNTBLANK(metadata!B878:F878)=COLUMNS(metadata!B878:F878)</f>
        <v>1</v>
      </c>
      <c r="O878" t="str">
        <v/>
      </c>
      <c r="Q878" t="b">
        <f ca="1">AND(IF(metadata!B878="",FALSE,TRUE),COUNTIF(metadata!B:B, metadata!B878) = 1,NOT(ISERROR(SUMPRODUCT(SEARCH(MID(metadata!B878,ROW(INDIRECT("1:"&amp;LEN(metadata!B878))), 1),"0123456789abcdefghijklmnopqrstuvwxyzABCDEFGHIJKLMNOPQRSTUVWXYZ.")))))</f>
        <v>0</v>
      </c>
      <c r="R878" t="b">
        <f>AND(IF(metadata!C878="",FALSE,TRUE),OR(EXACT(metadata!C878,"saline"),EXACT(metadata!C878,"non-saline")))</f>
        <v>0</v>
      </c>
      <c r="S878" t="b">
        <f>AND(IF(metadata!D878="",FALSE,TRUE),OR(EXACT(metadata!D878,"surface (non-saline)"),EXACT(metadata!D878,"aerosol (non-saline)"),EXACT(metadata!D878,"sediment (non-saline)"),EXACT(metadata!D878,"surface (saline)"),EXACT(metadata!D878,"aerosol (saline)"),EXACT(metadata!D878,"sediment (saline)")))</f>
        <v>0</v>
      </c>
      <c r="T878" t="b">
        <f>AND(IF(metadata!E878="",FALSE,TRUE),EXACT(metadata!E878,"built environment"))</f>
        <v>0</v>
      </c>
      <c r="U878" t="b">
        <f>OR(AND(IF(metadata!F878="",FALSE,TRUE),EXACT(metadata!F878,"not applicable")),AND(IF(metadata!F878="",FALSE,TRUE),EXACT(metadata!F878,"anaerobic digester content")))</f>
        <v>0</v>
      </c>
    </row>
    <row r="879" spans="1:21" x14ac:dyDescent="0.2">
      <c r="A879" s="4" t="str">
        <f ca="1">IF(B879=" "," ",HYPERLINK(CONCATENATE("#metadata!",ADDRESS(INDEX($L$2:$L$1001,MATCH(ROWS($J$2:J879),$J$2:$J$1001,0),0),1)),INDEX($O$2:$O$1001,MATCH(ROWS($J$2:J879),$J$2:$J$1001,0),0)))</f>
        <v xml:space="preserve"> </v>
      </c>
      <c r="B879" s="3" t="str">
        <f ca="1">IF(OR(INDEX($K$2:$K$1001,MATCH(ROWS($J$2:J879),$J$2:$J$1001,0),1)&gt;=100000,INDEX($Q$1005:$U$1005,1,MATCH(COLUMNS($Q$1006:Q1006),$Q$1006:$U$1006,0))&gt;=100000), " ",IF(INDEX($Q$2:$U$1001,MATCH(ROWS($J$2:J879),$J$2:$J$1001,0),MATCH(COLUMNS($Q$1006:Q1006),$Q$1006:$U$1006,0)), HYPERLINK("#",""), HYPERLINK(CONCATENATE("#metadata!", ADDRESS(INDEX($L$2:$L$1001,MATCH(ROWS($J$2:J879),$J$2:$J$1001,0),0), INDEX($Q$1004:$U$1004,1,MATCH(COLUMNS($Q$1006:Q1006),$Q$1006:$U$1006,0)))),"Fix")))</f>
        <v xml:space="preserve"> </v>
      </c>
      <c r="C879" s="3" t="str">
        <f ca="1">IF(OR(INDEX($K$2:$K$1001,MATCH(ROWS($J$2:J879),$J$2:$J$1001,0),1)&gt;=100000,INDEX($Q$1005:$U$1005,1,MATCH(COLUMNS($Q$1006:R1006),$Q$1006:$U$1006,0))&gt;=100000), " ",IF(INDEX($Q$2:$U$1001,MATCH(ROWS($J$2:J879),$J$2:$J$1001,0),MATCH(COLUMNS($Q$1006:R1006),$Q$1006:$U$1006,0)), HYPERLINK("#",""), HYPERLINK(CONCATENATE("#metadata!", ADDRESS(INDEX($L$2:$L$1001,MATCH(ROWS($J$2:J879),$J$2:$J$1001,0),0), INDEX($Q$1004:$U$1004,1,MATCH(COLUMNS($Q$1006:R1006),$Q$1006:$U$1006,0)))),"Fix")))</f>
        <v xml:space="preserve"> </v>
      </c>
      <c r="D879" s="3" t="str">
        <f ca="1">IF(OR(INDEX($K$2:$K$1001,MATCH(ROWS($J$2:J879),$J$2:$J$1001,0),1)&gt;=100000,INDEX($Q$1005:$U$1005,1,MATCH(COLUMNS($Q$1006:S1006),$Q$1006:$U$1006,0))&gt;=100000), " ",IF(INDEX($Q$2:$U$1001,MATCH(ROWS($J$2:J879),$J$2:$J$1001,0),MATCH(COLUMNS($Q$1006:S1006),$Q$1006:$U$1006,0)), HYPERLINK("#",""), HYPERLINK(CONCATENATE("#metadata!", ADDRESS(INDEX($L$2:$L$1001,MATCH(ROWS($J$2:J879),$J$2:$J$1001,0),0), INDEX($Q$1004:$U$1004,1,MATCH(COLUMNS($Q$1006:S1006),$Q$1006:$U$1006,0)))),"Fix")))</f>
        <v xml:space="preserve"> </v>
      </c>
      <c r="E879" s="3" t="str">
        <f ca="1">IF(OR(INDEX($K$2:$K$1001,MATCH(ROWS($J$2:J879),$J$2:$J$1001,0),1)&gt;=100000,INDEX($Q$1005:$U$1005,1,MATCH(COLUMNS($Q$1006:T1006),$Q$1006:$U$1006,0))&gt;=100000), " ",IF(INDEX($Q$2:$U$1001,MATCH(ROWS($J$2:J879),$J$2:$J$1001,0),MATCH(COLUMNS($Q$1006:T1006),$Q$1006:$U$1006,0)), HYPERLINK("#",""), HYPERLINK(CONCATENATE("#metadata!", ADDRESS(INDEX($L$2:$L$1001,MATCH(ROWS($J$2:J879),$J$2:$J$1001,0),0), INDEX($Q$1004:$U$1004,1,MATCH(COLUMNS($Q$1006:T1006),$Q$1006:$U$1006,0)))),"Fix")))</f>
        <v xml:space="preserve"> </v>
      </c>
      <c r="F879" s="3" t="str">
        <f ca="1">IF(OR(INDEX($K$2:$K$1001,MATCH(ROWS($J$2:J879),$J$2:$J$1001,0),1)&gt;=100000,INDEX($Q$1005:$U$1005,1,MATCH(COLUMNS($Q$1006:U1006),$Q$1006:$U$1006,0))&gt;=100000), " ",IF(INDEX($Q$2:$U$1001,MATCH(ROWS($J$2:J879),$J$2:$J$1001,0),MATCH(COLUMNS($Q$1006:U1006),$Q$1006:$U$1006,0)), HYPERLINK("#",""), HYPERLINK(CONCATENATE("#metadata!", ADDRESS(INDEX($L$2:$L$1001,MATCH(ROWS($J$2:J879),$J$2:$J$1001,0),0), INDEX($Q$1004:$U$1004,1,MATCH(COLUMNS($Q$1006:U1006),$Q$1006:$U$1006,0)))),"Fix")))</f>
        <v xml:space="preserve"> </v>
      </c>
      <c r="J879">
        <v>878</v>
      </c>
      <c r="K879">
        <v>100879</v>
      </c>
      <c r="L879">
        <v>879</v>
      </c>
      <c r="M879" t="b">
        <f t="shared" si="13"/>
        <v>1</v>
      </c>
      <c r="N879" t="b">
        <f>COUNTBLANK(metadata!B879:F879)=COLUMNS(metadata!B879:F879)</f>
        <v>1</v>
      </c>
      <c r="O879" t="str">
        <v/>
      </c>
      <c r="Q879" t="b">
        <f ca="1">AND(IF(metadata!B879="",FALSE,TRUE),COUNTIF(metadata!B:B, metadata!B879) = 1,NOT(ISERROR(SUMPRODUCT(SEARCH(MID(metadata!B879,ROW(INDIRECT("1:"&amp;LEN(metadata!B879))), 1),"0123456789abcdefghijklmnopqrstuvwxyzABCDEFGHIJKLMNOPQRSTUVWXYZ.")))))</f>
        <v>0</v>
      </c>
      <c r="R879" t="b">
        <f>AND(IF(metadata!C879="",FALSE,TRUE),OR(EXACT(metadata!C879,"saline"),EXACT(metadata!C879,"non-saline")))</f>
        <v>0</v>
      </c>
      <c r="S879" t="b">
        <f>AND(IF(metadata!D879="",FALSE,TRUE),OR(EXACT(metadata!D879,"surface (non-saline)"),EXACT(metadata!D879,"aerosol (non-saline)"),EXACT(metadata!D879,"sediment (non-saline)"),EXACT(metadata!D879,"surface (saline)"),EXACT(metadata!D879,"aerosol (saline)"),EXACT(metadata!D879,"sediment (saline)")))</f>
        <v>0</v>
      </c>
      <c r="T879" t="b">
        <f>AND(IF(metadata!E879="",FALSE,TRUE),EXACT(metadata!E879,"built environment"))</f>
        <v>0</v>
      </c>
      <c r="U879" t="b">
        <f>OR(AND(IF(metadata!F879="",FALSE,TRUE),EXACT(metadata!F879,"not applicable")),AND(IF(metadata!F879="",FALSE,TRUE),EXACT(metadata!F879,"anaerobic digester content")))</f>
        <v>0</v>
      </c>
    </row>
    <row r="880" spans="1:21" x14ac:dyDescent="0.2">
      <c r="A880" s="4" t="str">
        <f ca="1">IF(B880=" "," ",HYPERLINK(CONCATENATE("#metadata!",ADDRESS(INDEX($L$2:$L$1001,MATCH(ROWS($J$2:J880),$J$2:$J$1001,0),0),1)),INDEX($O$2:$O$1001,MATCH(ROWS($J$2:J880),$J$2:$J$1001,0),0)))</f>
        <v xml:space="preserve"> </v>
      </c>
      <c r="B880" s="3" t="str">
        <f ca="1">IF(OR(INDEX($K$2:$K$1001,MATCH(ROWS($J$2:J880),$J$2:$J$1001,0),1)&gt;=100000,INDEX($Q$1005:$U$1005,1,MATCH(COLUMNS($Q$1006:Q1006),$Q$1006:$U$1006,0))&gt;=100000), " ",IF(INDEX($Q$2:$U$1001,MATCH(ROWS($J$2:J880),$J$2:$J$1001,0),MATCH(COLUMNS($Q$1006:Q1006),$Q$1006:$U$1006,0)), HYPERLINK("#",""), HYPERLINK(CONCATENATE("#metadata!", ADDRESS(INDEX($L$2:$L$1001,MATCH(ROWS($J$2:J880),$J$2:$J$1001,0),0), INDEX($Q$1004:$U$1004,1,MATCH(COLUMNS($Q$1006:Q1006),$Q$1006:$U$1006,0)))),"Fix")))</f>
        <v xml:space="preserve"> </v>
      </c>
      <c r="C880" s="3" t="str">
        <f ca="1">IF(OR(INDEX($K$2:$K$1001,MATCH(ROWS($J$2:J880),$J$2:$J$1001,0),1)&gt;=100000,INDEX($Q$1005:$U$1005,1,MATCH(COLUMNS($Q$1006:R1006),$Q$1006:$U$1006,0))&gt;=100000), " ",IF(INDEX($Q$2:$U$1001,MATCH(ROWS($J$2:J880),$J$2:$J$1001,0),MATCH(COLUMNS($Q$1006:R1006),$Q$1006:$U$1006,0)), HYPERLINK("#",""), HYPERLINK(CONCATENATE("#metadata!", ADDRESS(INDEX($L$2:$L$1001,MATCH(ROWS($J$2:J880),$J$2:$J$1001,0),0), INDEX($Q$1004:$U$1004,1,MATCH(COLUMNS($Q$1006:R1006),$Q$1006:$U$1006,0)))),"Fix")))</f>
        <v xml:space="preserve"> </v>
      </c>
      <c r="D880" s="3" t="str">
        <f ca="1">IF(OR(INDEX($K$2:$K$1001,MATCH(ROWS($J$2:J880),$J$2:$J$1001,0),1)&gt;=100000,INDEX($Q$1005:$U$1005,1,MATCH(COLUMNS($Q$1006:S1006),$Q$1006:$U$1006,0))&gt;=100000), " ",IF(INDEX($Q$2:$U$1001,MATCH(ROWS($J$2:J880),$J$2:$J$1001,0),MATCH(COLUMNS($Q$1006:S1006),$Q$1006:$U$1006,0)), HYPERLINK("#",""), HYPERLINK(CONCATENATE("#metadata!", ADDRESS(INDEX($L$2:$L$1001,MATCH(ROWS($J$2:J880),$J$2:$J$1001,0),0), INDEX($Q$1004:$U$1004,1,MATCH(COLUMNS($Q$1006:S1006),$Q$1006:$U$1006,0)))),"Fix")))</f>
        <v xml:space="preserve"> </v>
      </c>
      <c r="E880" s="3" t="str">
        <f ca="1">IF(OR(INDEX($K$2:$K$1001,MATCH(ROWS($J$2:J880),$J$2:$J$1001,0),1)&gt;=100000,INDEX($Q$1005:$U$1005,1,MATCH(COLUMNS($Q$1006:T1006),$Q$1006:$U$1006,0))&gt;=100000), " ",IF(INDEX($Q$2:$U$1001,MATCH(ROWS($J$2:J880),$J$2:$J$1001,0),MATCH(COLUMNS($Q$1006:T1006),$Q$1006:$U$1006,0)), HYPERLINK("#",""), HYPERLINK(CONCATENATE("#metadata!", ADDRESS(INDEX($L$2:$L$1001,MATCH(ROWS($J$2:J880),$J$2:$J$1001,0),0), INDEX($Q$1004:$U$1004,1,MATCH(COLUMNS($Q$1006:T1006),$Q$1006:$U$1006,0)))),"Fix")))</f>
        <v xml:space="preserve"> </v>
      </c>
      <c r="F880" s="3" t="str">
        <f ca="1">IF(OR(INDEX($K$2:$K$1001,MATCH(ROWS($J$2:J880),$J$2:$J$1001,0),1)&gt;=100000,INDEX($Q$1005:$U$1005,1,MATCH(COLUMNS($Q$1006:U1006),$Q$1006:$U$1006,0))&gt;=100000), " ",IF(INDEX($Q$2:$U$1001,MATCH(ROWS($J$2:J880),$J$2:$J$1001,0),MATCH(COLUMNS($Q$1006:U1006),$Q$1006:$U$1006,0)), HYPERLINK("#",""), HYPERLINK(CONCATENATE("#metadata!", ADDRESS(INDEX($L$2:$L$1001,MATCH(ROWS($J$2:J880),$J$2:$J$1001,0),0), INDEX($Q$1004:$U$1004,1,MATCH(COLUMNS($Q$1006:U1006),$Q$1006:$U$1006,0)))),"Fix")))</f>
        <v xml:space="preserve"> </v>
      </c>
      <c r="J880">
        <v>879</v>
      </c>
      <c r="K880">
        <v>100880</v>
      </c>
      <c r="L880">
        <v>880</v>
      </c>
      <c r="M880" t="b">
        <f t="shared" si="13"/>
        <v>1</v>
      </c>
      <c r="N880" t="b">
        <f>COUNTBLANK(metadata!B880:F880)=COLUMNS(metadata!B880:F880)</f>
        <v>1</v>
      </c>
      <c r="O880" t="str">
        <v/>
      </c>
      <c r="Q880" t="b">
        <f ca="1">AND(IF(metadata!B880="",FALSE,TRUE),COUNTIF(metadata!B:B, metadata!B880) = 1,NOT(ISERROR(SUMPRODUCT(SEARCH(MID(metadata!B880,ROW(INDIRECT("1:"&amp;LEN(metadata!B880))), 1),"0123456789abcdefghijklmnopqrstuvwxyzABCDEFGHIJKLMNOPQRSTUVWXYZ.")))))</f>
        <v>0</v>
      </c>
      <c r="R880" t="b">
        <f>AND(IF(metadata!C880="",FALSE,TRUE),OR(EXACT(metadata!C880,"saline"),EXACT(metadata!C880,"non-saline")))</f>
        <v>0</v>
      </c>
      <c r="S880" t="b">
        <f>AND(IF(metadata!D880="",FALSE,TRUE),OR(EXACT(metadata!D880,"surface (non-saline)"),EXACT(metadata!D880,"aerosol (non-saline)"),EXACT(metadata!D880,"sediment (non-saline)"),EXACT(metadata!D880,"surface (saline)"),EXACT(metadata!D880,"aerosol (saline)"),EXACT(metadata!D880,"sediment (saline)")))</f>
        <v>0</v>
      </c>
      <c r="T880" t="b">
        <f>AND(IF(metadata!E880="",FALSE,TRUE),EXACT(metadata!E880,"built environment"))</f>
        <v>0</v>
      </c>
      <c r="U880" t="b">
        <f>OR(AND(IF(metadata!F880="",FALSE,TRUE),EXACT(metadata!F880,"not applicable")),AND(IF(metadata!F880="",FALSE,TRUE),EXACT(metadata!F880,"anaerobic digester content")))</f>
        <v>0</v>
      </c>
    </row>
    <row r="881" spans="1:21" x14ac:dyDescent="0.2">
      <c r="A881" s="4" t="str">
        <f ca="1">IF(B881=" "," ",HYPERLINK(CONCATENATE("#metadata!",ADDRESS(INDEX($L$2:$L$1001,MATCH(ROWS($J$2:J881),$J$2:$J$1001,0),0),1)),INDEX($O$2:$O$1001,MATCH(ROWS($J$2:J881),$J$2:$J$1001,0),0)))</f>
        <v xml:space="preserve"> </v>
      </c>
      <c r="B881" s="3" t="str">
        <f ca="1">IF(OR(INDEX($K$2:$K$1001,MATCH(ROWS($J$2:J881),$J$2:$J$1001,0),1)&gt;=100000,INDEX($Q$1005:$U$1005,1,MATCH(COLUMNS($Q$1006:Q1006),$Q$1006:$U$1006,0))&gt;=100000), " ",IF(INDEX($Q$2:$U$1001,MATCH(ROWS($J$2:J881),$J$2:$J$1001,0),MATCH(COLUMNS($Q$1006:Q1006),$Q$1006:$U$1006,0)), HYPERLINK("#",""), HYPERLINK(CONCATENATE("#metadata!", ADDRESS(INDEX($L$2:$L$1001,MATCH(ROWS($J$2:J881),$J$2:$J$1001,0),0), INDEX($Q$1004:$U$1004,1,MATCH(COLUMNS($Q$1006:Q1006),$Q$1006:$U$1006,0)))),"Fix")))</f>
        <v xml:space="preserve"> </v>
      </c>
      <c r="C881" s="3" t="str">
        <f ca="1">IF(OR(INDEX($K$2:$K$1001,MATCH(ROWS($J$2:J881),$J$2:$J$1001,0),1)&gt;=100000,INDEX($Q$1005:$U$1005,1,MATCH(COLUMNS($Q$1006:R1006),$Q$1006:$U$1006,0))&gt;=100000), " ",IF(INDEX($Q$2:$U$1001,MATCH(ROWS($J$2:J881),$J$2:$J$1001,0),MATCH(COLUMNS($Q$1006:R1006),$Q$1006:$U$1006,0)), HYPERLINK("#",""), HYPERLINK(CONCATENATE("#metadata!", ADDRESS(INDEX($L$2:$L$1001,MATCH(ROWS($J$2:J881),$J$2:$J$1001,0),0), INDEX($Q$1004:$U$1004,1,MATCH(COLUMNS($Q$1006:R1006),$Q$1006:$U$1006,0)))),"Fix")))</f>
        <v xml:space="preserve"> </v>
      </c>
      <c r="D881" s="3" t="str">
        <f ca="1">IF(OR(INDEX($K$2:$K$1001,MATCH(ROWS($J$2:J881),$J$2:$J$1001,0),1)&gt;=100000,INDEX($Q$1005:$U$1005,1,MATCH(COLUMNS($Q$1006:S1006),$Q$1006:$U$1006,0))&gt;=100000), " ",IF(INDEX($Q$2:$U$1001,MATCH(ROWS($J$2:J881),$J$2:$J$1001,0),MATCH(COLUMNS($Q$1006:S1006),$Q$1006:$U$1006,0)), HYPERLINK("#",""), HYPERLINK(CONCATENATE("#metadata!", ADDRESS(INDEX($L$2:$L$1001,MATCH(ROWS($J$2:J881),$J$2:$J$1001,0),0), INDEX($Q$1004:$U$1004,1,MATCH(COLUMNS($Q$1006:S1006),$Q$1006:$U$1006,0)))),"Fix")))</f>
        <v xml:space="preserve"> </v>
      </c>
      <c r="E881" s="3" t="str">
        <f ca="1">IF(OR(INDEX($K$2:$K$1001,MATCH(ROWS($J$2:J881),$J$2:$J$1001,0),1)&gt;=100000,INDEX($Q$1005:$U$1005,1,MATCH(COLUMNS($Q$1006:T1006),$Q$1006:$U$1006,0))&gt;=100000), " ",IF(INDEX($Q$2:$U$1001,MATCH(ROWS($J$2:J881),$J$2:$J$1001,0),MATCH(COLUMNS($Q$1006:T1006),$Q$1006:$U$1006,0)), HYPERLINK("#",""), HYPERLINK(CONCATENATE("#metadata!", ADDRESS(INDEX($L$2:$L$1001,MATCH(ROWS($J$2:J881),$J$2:$J$1001,0),0), INDEX($Q$1004:$U$1004,1,MATCH(COLUMNS($Q$1006:T1006),$Q$1006:$U$1006,0)))),"Fix")))</f>
        <v xml:space="preserve"> </v>
      </c>
      <c r="F881" s="3" t="str">
        <f ca="1">IF(OR(INDEX($K$2:$K$1001,MATCH(ROWS($J$2:J881),$J$2:$J$1001,0),1)&gt;=100000,INDEX($Q$1005:$U$1005,1,MATCH(COLUMNS($Q$1006:U1006),$Q$1006:$U$1006,0))&gt;=100000), " ",IF(INDEX($Q$2:$U$1001,MATCH(ROWS($J$2:J881),$J$2:$J$1001,0),MATCH(COLUMNS($Q$1006:U1006),$Q$1006:$U$1006,0)), HYPERLINK("#",""), HYPERLINK(CONCATENATE("#metadata!", ADDRESS(INDEX($L$2:$L$1001,MATCH(ROWS($J$2:J881),$J$2:$J$1001,0),0), INDEX($Q$1004:$U$1004,1,MATCH(COLUMNS($Q$1006:U1006),$Q$1006:$U$1006,0)))),"Fix")))</f>
        <v xml:space="preserve"> </v>
      </c>
      <c r="J881">
        <v>880</v>
      </c>
      <c r="K881">
        <v>100881</v>
      </c>
      <c r="L881">
        <v>881</v>
      </c>
      <c r="M881" t="b">
        <f t="shared" si="13"/>
        <v>1</v>
      </c>
      <c r="N881" t="b">
        <f>COUNTBLANK(metadata!B881:F881)=COLUMNS(metadata!B881:F881)</f>
        <v>1</v>
      </c>
      <c r="O881" t="str">
        <v/>
      </c>
      <c r="Q881" t="b">
        <f ca="1">AND(IF(metadata!B881="",FALSE,TRUE),COUNTIF(metadata!B:B, metadata!B881) = 1,NOT(ISERROR(SUMPRODUCT(SEARCH(MID(metadata!B881,ROW(INDIRECT("1:"&amp;LEN(metadata!B881))), 1),"0123456789abcdefghijklmnopqrstuvwxyzABCDEFGHIJKLMNOPQRSTUVWXYZ.")))))</f>
        <v>0</v>
      </c>
      <c r="R881" t="b">
        <f>AND(IF(metadata!C881="",FALSE,TRUE),OR(EXACT(metadata!C881,"saline"),EXACT(metadata!C881,"non-saline")))</f>
        <v>0</v>
      </c>
      <c r="S881" t="b">
        <f>AND(IF(metadata!D881="",FALSE,TRUE),OR(EXACT(metadata!D881,"surface (non-saline)"),EXACT(metadata!D881,"aerosol (non-saline)"),EXACT(metadata!D881,"sediment (non-saline)"),EXACT(metadata!D881,"surface (saline)"),EXACT(metadata!D881,"aerosol (saline)"),EXACT(metadata!D881,"sediment (saline)")))</f>
        <v>0</v>
      </c>
      <c r="T881" t="b">
        <f>AND(IF(metadata!E881="",FALSE,TRUE),EXACT(metadata!E881,"built environment"))</f>
        <v>0</v>
      </c>
      <c r="U881" t="b">
        <f>OR(AND(IF(metadata!F881="",FALSE,TRUE),EXACT(metadata!F881,"not applicable")),AND(IF(metadata!F881="",FALSE,TRUE),EXACT(metadata!F881,"anaerobic digester content")))</f>
        <v>0</v>
      </c>
    </row>
    <row r="882" spans="1:21" x14ac:dyDescent="0.2">
      <c r="A882" s="4" t="str">
        <f ca="1">IF(B882=" "," ",HYPERLINK(CONCATENATE("#metadata!",ADDRESS(INDEX($L$2:$L$1001,MATCH(ROWS($J$2:J882),$J$2:$J$1001,0),0),1)),INDEX($O$2:$O$1001,MATCH(ROWS($J$2:J882),$J$2:$J$1001,0),0)))</f>
        <v xml:space="preserve"> </v>
      </c>
      <c r="B882" s="3" t="str">
        <f ca="1">IF(OR(INDEX($K$2:$K$1001,MATCH(ROWS($J$2:J882),$J$2:$J$1001,0),1)&gt;=100000,INDEX($Q$1005:$U$1005,1,MATCH(COLUMNS($Q$1006:Q1006),$Q$1006:$U$1006,0))&gt;=100000), " ",IF(INDEX($Q$2:$U$1001,MATCH(ROWS($J$2:J882),$J$2:$J$1001,0),MATCH(COLUMNS($Q$1006:Q1006),$Q$1006:$U$1006,0)), HYPERLINK("#",""), HYPERLINK(CONCATENATE("#metadata!", ADDRESS(INDEX($L$2:$L$1001,MATCH(ROWS($J$2:J882),$J$2:$J$1001,0),0), INDEX($Q$1004:$U$1004,1,MATCH(COLUMNS($Q$1006:Q1006),$Q$1006:$U$1006,0)))),"Fix")))</f>
        <v xml:space="preserve"> </v>
      </c>
      <c r="C882" s="3" t="str">
        <f ca="1">IF(OR(INDEX($K$2:$K$1001,MATCH(ROWS($J$2:J882),$J$2:$J$1001,0),1)&gt;=100000,INDEX($Q$1005:$U$1005,1,MATCH(COLUMNS($Q$1006:R1006),$Q$1006:$U$1006,0))&gt;=100000), " ",IF(INDEX($Q$2:$U$1001,MATCH(ROWS($J$2:J882),$J$2:$J$1001,0),MATCH(COLUMNS($Q$1006:R1006),$Q$1006:$U$1006,0)), HYPERLINK("#",""), HYPERLINK(CONCATENATE("#metadata!", ADDRESS(INDEX($L$2:$L$1001,MATCH(ROWS($J$2:J882),$J$2:$J$1001,0),0), INDEX($Q$1004:$U$1004,1,MATCH(COLUMNS($Q$1006:R1006),$Q$1006:$U$1006,0)))),"Fix")))</f>
        <v xml:space="preserve"> </v>
      </c>
      <c r="D882" s="3" t="str">
        <f ca="1">IF(OR(INDEX($K$2:$K$1001,MATCH(ROWS($J$2:J882),$J$2:$J$1001,0),1)&gt;=100000,INDEX($Q$1005:$U$1005,1,MATCH(COLUMNS($Q$1006:S1006),$Q$1006:$U$1006,0))&gt;=100000), " ",IF(INDEX($Q$2:$U$1001,MATCH(ROWS($J$2:J882),$J$2:$J$1001,0),MATCH(COLUMNS($Q$1006:S1006),$Q$1006:$U$1006,0)), HYPERLINK("#",""), HYPERLINK(CONCATENATE("#metadata!", ADDRESS(INDEX($L$2:$L$1001,MATCH(ROWS($J$2:J882),$J$2:$J$1001,0),0), INDEX($Q$1004:$U$1004,1,MATCH(COLUMNS($Q$1006:S1006),$Q$1006:$U$1006,0)))),"Fix")))</f>
        <v xml:space="preserve"> </v>
      </c>
      <c r="E882" s="3" t="str">
        <f ca="1">IF(OR(INDEX($K$2:$K$1001,MATCH(ROWS($J$2:J882),$J$2:$J$1001,0),1)&gt;=100000,INDEX($Q$1005:$U$1005,1,MATCH(COLUMNS($Q$1006:T1006),$Q$1006:$U$1006,0))&gt;=100000), " ",IF(INDEX($Q$2:$U$1001,MATCH(ROWS($J$2:J882),$J$2:$J$1001,0),MATCH(COLUMNS($Q$1006:T1006),$Q$1006:$U$1006,0)), HYPERLINK("#",""), HYPERLINK(CONCATENATE("#metadata!", ADDRESS(INDEX($L$2:$L$1001,MATCH(ROWS($J$2:J882),$J$2:$J$1001,0),0), INDEX($Q$1004:$U$1004,1,MATCH(COLUMNS($Q$1006:T1006),$Q$1006:$U$1006,0)))),"Fix")))</f>
        <v xml:space="preserve"> </v>
      </c>
      <c r="F882" s="3" t="str">
        <f ca="1">IF(OR(INDEX($K$2:$K$1001,MATCH(ROWS($J$2:J882),$J$2:$J$1001,0),1)&gt;=100000,INDEX($Q$1005:$U$1005,1,MATCH(COLUMNS($Q$1006:U1006),$Q$1006:$U$1006,0))&gt;=100000), " ",IF(INDEX($Q$2:$U$1001,MATCH(ROWS($J$2:J882),$J$2:$J$1001,0),MATCH(COLUMNS($Q$1006:U1006),$Q$1006:$U$1006,0)), HYPERLINK("#",""), HYPERLINK(CONCATENATE("#metadata!", ADDRESS(INDEX($L$2:$L$1001,MATCH(ROWS($J$2:J882),$J$2:$J$1001,0),0), INDEX($Q$1004:$U$1004,1,MATCH(COLUMNS($Q$1006:U1006),$Q$1006:$U$1006,0)))),"Fix")))</f>
        <v xml:space="preserve"> </v>
      </c>
      <c r="J882">
        <v>881</v>
      </c>
      <c r="K882">
        <v>100882</v>
      </c>
      <c r="L882">
        <v>882</v>
      </c>
      <c r="M882" t="b">
        <f t="shared" si="13"/>
        <v>1</v>
      </c>
      <c r="N882" t="b">
        <f>COUNTBLANK(metadata!B882:F882)=COLUMNS(metadata!B882:F882)</f>
        <v>1</v>
      </c>
      <c r="O882" t="str">
        <v/>
      </c>
      <c r="Q882" t="b">
        <f ca="1">AND(IF(metadata!B882="",FALSE,TRUE),COUNTIF(metadata!B:B, metadata!B882) = 1,NOT(ISERROR(SUMPRODUCT(SEARCH(MID(metadata!B882,ROW(INDIRECT("1:"&amp;LEN(metadata!B882))), 1),"0123456789abcdefghijklmnopqrstuvwxyzABCDEFGHIJKLMNOPQRSTUVWXYZ.")))))</f>
        <v>0</v>
      </c>
      <c r="R882" t="b">
        <f>AND(IF(metadata!C882="",FALSE,TRUE),OR(EXACT(metadata!C882,"saline"),EXACT(metadata!C882,"non-saline")))</f>
        <v>0</v>
      </c>
      <c r="S882" t="b">
        <f>AND(IF(metadata!D882="",FALSE,TRUE),OR(EXACT(metadata!D882,"surface (non-saline)"),EXACT(metadata!D882,"aerosol (non-saline)"),EXACT(metadata!D882,"sediment (non-saline)"),EXACT(metadata!D882,"surface (saline)"),EXACT(metadata!D882,"aerosol (saline)"),EXACT(metadata!D882,"sediment (saline)")))</f>
        <v>0</v>
      </c>
      <c r="T882" t="b">
        <f>AND(IF(metadata!E882="",FALSE,TRUE),EXACT(metadata!E882,"built environment"))</f>
        <v>0</v>
      </c>
      <c r="U882" t="b">
        <f>OR(AND(IF(metadata!F882="",FALSE,TRUE),EXACT(metadata!F882,"not applicable")),AND(IF(metadata!F882="",FALSE,TRUE),EXACT(metadata!F882,"anaerobic digester content")))</f>
        <v>0</v>
      </c>
    </row>
    <row r="883" spans="1:21" x14ac:dyDescent="0.2">
      <c r="A883" s="4" t="str">
        <f ca="1">IF(B883=" "," ",HYPERLINK(CONCATENATE("#metadata!",ADDRESS(INDEX($L$2:$L$1001,MATCH(ROWS($J$2:J883),$J$2:$J$1001,0),0),1)),INDEX($O$2:$O$1001,MATCH(ROWS($J$2:J883),$J$2:$J$1001,0),0)))</f>
        <v xml:space="preserve"> </v>
      </c>
      <c r="B883" s="3" t="str">
        <f ca="1">IF(OR(INDEX($K$2:$K$1001,MATCH(ROWS($J$2:J883),$J$2:$J$1001,0),1)&gt;=100000,INDEX($Q$1005:$U$1005,1,MATCH(COLUMNS($Q$1006:Q1006),$Q$1006:$U$1006,0))&gt;=100000), " ",IF(INDEX($Q$2:$U$1001,MATCH(ROWS($J$2:J883),$J$2:$J$1001,0),MATCH(COLUMNS($Q$1006:Q1006),$Q$1006:$U$1006,0)), HYPERLINK("#",""), HYPERLINK(CONCATENATE("#metadata!", ADDRESS(INDEX($L$2:$L$1001,MATCH(ROWS($J$2:J883),$J$2:$J$1001,0),0), INDEX($Q$1004:$U$1004,1,MATCH(COLUMNS($Q$1006:Q1006),$Q$1006:$U$1006,0)))),"Fix")))</f>
        <v xml:space="preserve"> </v>
      </c>
      <c r="C883" s="3" t="str">
        <f ca="1">IF(OR(INDEX($K$2:$K$1001,MATCH(ROWS($J$2:J883),$J$2:$J$1001,0),1)&gt;=100000,INDEX($Q$1005:$U$1005,1,MATCH(COLUMNS($Q$1006:R1006),$Q$1006:$U$1006,0))&gt;=100000), " ",IF(INDEX($Q$2:$U$1001,MATCH(ROWS($J$2:J883),$J$2:$J$1001,0),MATCH(COLUMNS($Q$1006:R1006),$Q$1006:$U$1006,0)), HYPERLINK("#",""), HYPERLINK(CONCATENATE("#metadata!", ADDRESS(INDEX($L$2:$L$1001,MATCH(ROWS($J$2:J883),$J$2:$J$1001,0),0), INDEX($Q$1004:$U$1004,1,MATCH(COLUMNS($Q$1006:R1006),$Q$1006:$U$1006,0)))),"Fix")))</f>
        <v xml:space="preserve"> </v>
      </c>
      <c r="D883" s="3" t="str">
        <f ca="1">IF(OR(INDEX($K$2:$K$1001,MATCH(ROWS($J$2:J883),$J$2:$J$1001,0),1)&gt;=100000,INDEX($Q$1005:$U$1005,1,MATCH(COLUMNS($Q$1006:S1006),$Q$1006:$U$1006,0))&gt;=100000), " ",IF(INDEX($Q$2:$U$1001,MATCH(ROWS($J$2:J883),$J$2:$J$1001,0),MATCH(COLUMNS($Q$1006:S1006),$Q$1006:$U$1006,0)), HYPERLINK("#",""), HYPERLINK(CONCATENATE("#metadata!", ADDRESS(INDEX($L$2:$L$1001,MATCH(ROWS($J$2:J883),$J$2:$J$1001,0),0), INDEX($Q$1004:$U$1004,1,MATCH(COLUMNS($Q$1006:S1006),$Q$1006:$U$1006,0)))),"Fix")))</f>
        <v xml:space="preserve"> </v>
      </c>
      <c r="E883" s="3" t="str">
        <f ca="1">IF(OR(INDEX($K$2:$K$1001,MATCH(ROWS($J$2:J883),$J$2:$J$1001,0),1)&gt;=100000,INDEX($Q$1005:$U$1005,1,MATCH(COLUMNS($Q$1006:T1006),$Q$1006:$U$1006,0))&gt;=100000), " ",IF(INDEX($Q$2:$U$1001,MATCH(ROWS($J$2:J883),$J$2:$J$1001,0),MATCH(COLUMNS($Q$1006:T1006),$Q$1006:$U$1006,0)), HYPERLINK("#",""), HYPERLINK(CONCATENATE("#metadata!", ADDRESS(INDEX($L$2:$L$1001,MATCH(ROWS($J$2:J883),$J$2:$J$1001,0),0), INDEX($Q$1004:$U$1004,1,MATCH(COLUMNS($Q$1006:T1006),$Q$1006:$U$1006,0)))),"Fix")))</f>
        <v xml:space="preserve"> </v>
      </c>
      <c r="F883" s="3" t="str">
        <f ca="1">IF(OR(INDEX($K$2:$K$1001,MATCH(ROWS($J$2:J883),$J$2:$J$1001,0),1)&gt;=100000,INDEX($Q$1005:$U$1005,1,MATCH(COLUMNS($Q$1006:U1006),$Q$1006:$U$1006,0))&gt;=100000), " ",IF(INDEX($Q$2:$U$1001,MATCH(ROWS($J$2:J883),$J$2:$J$1001,0),MATCH(COLUMNS($Q$1006:U1006),$Q$1006:$U$1006,0)), HYPERLINK("#",""), HYPERLINK(CONCATENATE("#metadata!", ADDRESS(INDEX($L$2:$L$1001,MATCH(ROWS($J$2:J883),$J$2:$J$1001,0),0), INDEX($Q$1004:$U$1004,1,MATCH(COLUMNS($Q$1006:U1006),$Q$1006:$U$1006,0)))),"Fix")))</f>
        <v xml:space="preserve"> </v>
      </c>
      <c r="J883">
        <v>882</v>
      </c>
      <c r="K883">
        <v>100883</v>
      </c>
      <c r="L883">
        <v>883</v>
      </c>
      <c r="M883" t="b">
        <f t="shared" si="13"/>
        <v>1</v>
      </c>
      <c r="N883" t="b">
        <f>COUNTBLANK(metadata!B883:F883)=COLUMNS(metadata!B883:F883)</f>
        <v>1</v>
      </c>
      <c r="O883" t="str">
        <v/>
      </c>
      <c r="Q883" t="b">
        <f ca="1">AND(IF(metadata!B883="",FALSE,TRUE),COUNTIF(metadata!B:B, metadata!B883) = 1,NOT(ISERROR(SUMPRODUCT(SEARCH(MID(metadata!B883,ROW(INDIRECT("1:"&amp;LEN(metadata!B883))), 1),"0123456789abcdefghijklmnopqrstuvwxyzABCDEFGHIJKLMNOPQRSTUVWXYZ.")))))</f>
        <v>0</v>
      </c>
      <c r="R883" t="b">
        <f>AND(IF(metadata!C883="",FALSE,TRUE),OR(EXACT(metadata!C883,"saline"),EXACT(metadata!C883,"non-saline")))</f>
        <v>0</v>
      </c>
      <c r="S883" t="b">
        <f>AND(IF(metadata!D883="",FALSE,TRUE),OR(EXACT(metadata!D883,"surface (non-saline)"),EXACT(metadata!D883,"aerosol (non-saline)"),EXACT(metadata!D883,"sediment (non-saline)"),EXACT(metadata!D883,"surface (saline)"),EXACT(metadata!D883,"aerosol (saline)"),EXACT(metadata!D883,"sediment (saline)")))</f>
        <v>0</v>
      </c>
      <c r="T883" t="b">
        <f>AND(IF(metadata!E883="",FALSE,TRUE),EXACT(metadata!E883,"built environment"))</f>
        <v>0</v>
      </c>
      <c r="U883" t="b">
        <f>OR(AND(IF(metadata!F883="",FALSE,TRUE),EXACT(metadata!F883,"not applicable")),AND(IF(metadata!F883="",FALSE,TRUE),EXACT(metadata!F883,"anaerobic digester content")))</f>
        <v>0</v>
      </c>
    </row>
    <row r="884" spans="1:21" x14ac:dyDescent="0.2">
      <c r="A884" s="4" t="str">
        <f ca="1">IF(B884=" "," ",HYPERLINK(CONCATENATE("#metadata!",ADDRESS(INDEX($L$2:$L$1001,MATCH(ROWS($J$2:J884),$J$2:$J$1001,0),0),1)),INDEX($O$2:$O$1001,MATCH(ROWS($J$2:J884),$J$2:$J$1001,0),0)))</f>
        <v xml:space="preserve"> </v>
      </c>
      <c r="B884" s="3" t="str">
        <f ca="1">IF(OR(INDEX($K$2:$K$1001,MATCH(ROWS($J$2:J884),$J$2:$J$1001,0),1)&gt;=100000,INDEX($Q$1005:$U$1005,1,MATCH(COLUMNS($Q$1006:Q1006),$Q$1006:$U$1006,0))&gt;=100000), " ",IF(INDEX($Q$2:$U$1001,MATCH(ROWS($J$2:J884),$J$2:$J$1001,0),MATCH(COLUMNS($Q$1006:Q1006),$Q$1006:$U$1006,0)), HYPERLINK("#",""), HYPERLINK(CONCATENATE("#metadata!", ADDRESS(INDEX($L$2:$L$1001,MATCH(ROWS($J$2:J884),$J$2:$J$1001,0),0), INDEX($Q$1004:$U$1004,1,MATCH(COLUMNS($Q$1006:Q1006),$Q$1006:$U$1006,0)))),"Fix")))</f>
        <v xml:space="preserve"> </v>
      </c>
      <c r="C884" s="3" t="str">
        <f ca="1">IF(OR(INDEX($K$2:$K$1001,MATCH(ROWS($J$2:J884),$J$2:$J$1001,0),1)&gt;=100000,INDEX($Q$1005:$U$1005,1,MATCH(COLUMNS($Q$1006:R1006),$Q$1006:$U$1006,0))&gt;=100000), " ",IF(INDEX($Q$2:$U$1001,MATCH(ROWS($J$2:J884),$J$2:$J$1001,0),MATCH(COLUMNS($Q$1006:R1006),$Q$1006:$U$1006,0)), HYPERLINK("#",""), HYPERLINK(CONCATENATE("#metadata!", ADDRESS(INDEX($L$2:$L$1001,MATCH(ROWS($J$2:J884),$J$2:$J$1001,0),0), INDEX($Q$1004:$U$1004,1,MATCH(COLUMNS($Q$1006:R1006),$Q$1006:$U$1006,0)))),"Fix")))</f>
        <v xml:space="preserve"> </v>
      </c>
      <c r="D884" s="3" t="str">
        <f ca="1">IF(OR(INDEX($K$2:$K$1001,MATCH(ROWS($J$2:J884),$J$2:$J$1001,0),1)&gt;=100000,INDEX($Q$1005:$U$1005,1,MATCH(COLUMNS($Q$1006:S1006),$Q$1006:$U$1006,0))&gt;=100000), " ",IF(INDEX($Q$2:$U$1001,MATCH(ROWS($J$2:J884),$J$2:$J$1001,0),MATCH(COLUMNS($Q$1006:S1006),$Q$1006:$U$1006,0)), HYPERLINK("#",""), HYPERLINK(CONCATENATE("#metadata!", ADDRESS(INDEX($L$2:$L$1001,MATCH(ROWS($J$2:J884),$J$2:$J$1001,0),0), INDEX($Q$1004:$U$1004,1,MATCH(COLUMNS($Q$1006:S1006),$Q$1006:$U$1006,0)))),"Fix")))</f>
        <v xml:space="preserve"> </v>
      </c>
      <c r="E884" s="3" t="str">
        <f ca="1">IF(OR(INDEX($K$2:$K$1001,MATCH(ROWS($J$2:J884),$J$2:$J$1001,0),1)&gt;=100000,INDEX($Q$1005:$U$1005,1,MATCH(COLUMNS($Q$1006:T1006),$Q$1006:$U$1006,0))&gt;=100000), " ",IF(INDEX($Q$2:$U$1001,MATCH(ROWS($J$2:J884),$J$2:$J$1001,0),MATCH(COLUMNS($Q$1006:T1006),$Q$1006:$U$1006,0)), HYPERLINK("#",""), HYPERLINK(CONCATENATE("#metadata!", ADDRESS(INDEX($L$2:$L$1001,MATCH(ROWS($J$2:J884),$J$2:$J$1001,0),0), INDEX($Q$1004:$U$1004,1,MATCH(COLUMNS($Q$1006:T1006),$Q$1006:$U$1006,0)))),"Fix")))</f>
        <v xml:space="preserve"> </v>
      </c>
      <c r="F884" s="3" t="str">
        <f ca="1">IF(OR(INDEX($K$2:$K$1001,MATCH(ROWS($J$2:J884),$J$2:$J$1001,0),1)&gt;=100000,INDEX($Q$1005:$U$1005,1,MATCH(COLUMNS($Q$1006:U1006),$Q$1006:$U$1006,0))&gt;=100000), " ",IF(INDEX($Q$2:$U$1001,MATCH(ROWS($J$2:J884),$J$2:$J$1001,0),MATCH(COLUMNS($Q$1006:U1006),$Q$1006:$U$1006,0)), HYPERLINK("#",""), HYPERLINK(CONCATENATE("#metadata!", ADDRESS(INDEX($L$2:$L$1001,MATCH(ROWS($J$2:J884),$J$2:$J$1001,0),0), INDEX($Q$1004:$U$1004,1,MATCH(COLUMNS($Q$1006:U1006),$Q$1006:$U$1006,0)))),"Fix")))</f>
        <v xml:space="preserve"> </v>
      </c>
      <c r="J884">
        <v>883</v>
      </c>
      <c r="K884">
        <v>100884</v>
      </c>
      <c r="L884">
        <v>884</v>
      </c>
      <c r="M884" t="b">
        <f t="shared" si="13"/>
        <v>1</v>
      </c>
      <c r="N884" t="b">
        <f>COUNTBLANK(metadata!B884:F884)=COLUMNS(metadata!B884:F884)</f>
        <v>1</v>
      </c>
      <c r="O884" t="str">
        <v/>
      </c>
      <c r="Q884" t="b">
        <f ca="1">AND(IF(metadata!B884="",FALSE,TRUE),COUNTIF(metadata!B:B, metadata!B884) = 1,NOT(ISERROR(SUMPRODUCT(SEARCH(MID(metadata!B884,ROW(INDIRECT("1:"&amp;LEN(metadata!B884))), 1),"0123456789abcdefghijklmnopqrstuvwxyzABCDEFGHIJKLMNOPQRSTUVWXYZ.")))))</f>
        <v>0</v>
      </c>
      <c r="R884" t="b">
        <f>AND(IF(metadata!C884="",FALSE,TRUE),OR(EXACT(metadata!C884,"saline"),EXACT(metadata!C884,"non-saline")))</f>
        <v>0</v>
      </c>
      <c r="S884" t="b">
        <f>AND(IF(metadata!D884="",FALSE,TRUE),OR(EXACT(metadata!D884,"surface (non-saline)"),EXACT(metadata!D884,"aerosol (non-saline)"),EXACT(metadata!D884,"sediment (non-saline)"),EXACT(metadata!D884,"surface (saline)"),EXACT(metadata!D884,"aerosol (saline)"),EXACT(metadata!D884,"sediment (saline)")))</f>
        <v>0</v>
      </c>
      <c r="T884" t="b">
        <f>AND(IF(metadata!E884="",FALSE,TRUE),EXACT(metadata!E884,"built environment"))</f>
        <v>0</v>
      </c>
      <c r="U884" t="b">
        <f>OR(AND(IF(metadata!F884="",FALSE,TRUE),EXACT(metadata!F884,"not applicable")),AND(IF(metadata!F884="",FALSE,TRUE),EXACT(metadata!F884,"anaerobic digester content")))</f>
        <v>0</v>
      </c>
    </row>
    <row r="885" spans="1:21" x14ac:dyDescent="0.2">
      <c r="A885" s="4" t="str">
        <f ca="1">IF(B885=" "," ",HYPERLINK(CONCATENATE("#metadata!",ADDRESS(INDEX($L$2:$L$1001,MATCH(ROWS($J$2:J885),$J$2:$J$1001,0),0),1)),INDEX($O$2:$O$1001,MATCH(ROWS($J$2:J885),$J$2:$J$1001,0),0)))</f>
        <v xml:space="preserve"> </v>
      </c>
      <c r="B885" s="3" t="str">
        <f ca="1">IF(OR(INDEX($K$2:$K$1001,MATCH(ROWS($J$2:J885),$J$2:$J$1001,0),1)&gt;=100000,INDEX($Q$1005:$U$1005,1,MATCH(COLUMNS($Q$1006:Q1006),$Q$1006:$U$1006,0))&gt;=100000), " ",IF(INDEX($Q$2:$U$1001,MATCH(ROWS($J$2:J885),$J$2:$J$1001,0),MATCH(COLUMNS($Q$1006:Q1006),$Q$1006:$U$1006,0)), HYPERLINK("#",""), HYPERLINK(CONCATENATE("#metadata!", ADDRESS(INDEX($L$2:$L$1001,MATCH(ROWS($J$2:J885),$J$2:$J$1001,0),0), INDEX($Q$1004:$U$1004,1,MATCH(COLUMNS($Q$1006:Q1006),$Q$1006:$U$1006,0)))),"Fix")))</f>
        <v xml:space="preserve"> </v>
      </c>
      <c r="C885" s="3" t="str">
        <f ca="1">IF(OR(INDEX($K$2:$K$1001,MATCH(ROWS($J$2:J885),$J$2:$J$1001,0),1)&gt;=100000,INDEX($Q$1005:$U$1005,1,MATCH(COLUMNS($Q$1006:R1006),$Q$1006:$U$1006,0))&gt;=100000), " ",IF(INDEX($Q$2:$U$1001,MATCH(ROWS($J$2:J885),$J$2:$J$1001,0),MATCH(COLUMNS($Q$1006:R1006),$Q$1006:$U$1006,0)), HYPERLINK("#",""), HYPERLINK(CONCATENATE("#metadata!", ADDRESS(INDEX($L$2:$L$1001,MATCH(ROWS($J$2:J885),$J$2:$J$1001,0),0), INDEX($Q$1004:$U$1004,1,MATCH(COLUMNS($Q$1006:R1006),$Q$1006:$U$1006,0)))),"Fix")))</f>
        <v xml:space="preserve"> </v>
      </c>
      <c r="D885" s="3" t="str">
        <f ca="1">IF(OR(INDEX($K$2:$K$1001,MATCH(ROWS($J$2:J885),$J$2:$J$1001,0),1)&gt;=100000,INDEX($Q$1005:$U$1005,1,MATCH(COLUMNS($Q$1006:S1006),$Q$1006:$U$1006,0))&gt;=100000), " ",IF(INDEX($Q$2:$U$1001,MATCH(ROWS($J$2:J885),$J$2:$J$1001,0),MATCH(COLUMNS($Q$1006:S1006),$Q$1006:$U$1006,0)), HYPERLINK("#",""), HYPERLINK(CONCATENATE("#metadata!", ADDRESS(INDEX($L$2:$L$1001,MATCH(ROWS($J$2:J885),$J$2:$J$1001,0),0), INDEX($Q$1004:$U$1004,1,MATCH(COLUMNS($Q$1006:S1006),$Q$1006:$U$1006,0)))),"Fix")))</f>
        <v xml:space="preserve"> </v>
      </c>
      <c r="E885" s="3" t="str">
        <f ca="1">IF(OR(INDEX($K$2:$K$1001,MATCH(ROWS($J$2:J885),$J$2:$J$1001,0),1)&gt;=100000,INDEX($Q$1005:$U$1005,1,MATCH(COLUMNS($Q$1006:T1006),$Q$1006:$U$1006,0))&gt;=100000), " ",IF(INDEX($Q$2:$U$1001,MATCH(ROWS($J$2:J885),$J$2:$J$1001,0),MATCH(COLUMNS($Q$1006:T1006),$Q$1006:$U$1006,0)), HYPERLINK("#",""), HYPERLINK(CONCATENATE("#metadata!", ADDRESS(INDEX($L$2:$L$1001,MATCH(ROWS($J$2:J885),$J$2:$J$1001,0),0), INDEX($Q$1004:$U$1004,1,MATCH(COLUMNS($Q$1006:T1006),$Q$1006:$U$1006,0)))),"Fix")))</f>
        <v xml:space="preserve"> </v>
      </c>
      <c r="F885" s="3" t="str">
        <f ca="1">IF(OR(INDEX($K$2:$K$1001,MATCH(ROWS($J$2:J885),$J$2:$J$1001,0),1)&gt;=100000,INDEX($Q$1005:$U$1005,1,MATCH(COLUMNS($Q$1006:U1006),$Q$1006:$U$1006,0))&gt;=100000), " ",IF(INDEX($Q$2:$U$1001,MATCH(ROWS($J$2:J885),$J$2:$J$1001,0),MATCH(COLUMNS($Q$1006:U1006),$Q$1006:$U$1006,0)), HYPERLINK("#",""), HYPERLINK(CONCATENATE("#metadata!", ADDRESS(INDEX($L$2:$L$1001,MATCH(ROWS($J$2:J885),$J$2:$J$1001,0),0), INDEX($Q$1004:$U$1004,1,MATCH(COLUMNS($Q$1006:U1006),$Q$1006:$U$1006,0)))),"Fix")))</f>
        <v xml:space="preserve"> </v>
      </c>
      <c r="J885">
        <v>884</v>
      </c>
      <c r="K885">
        <v>100885</v>
      </c>
      <c r="L885">
        <v>885</v>
      </c>
      <c r="M885" t="b">
        <f t="shared" si="13"/>
        <v>1</v>
      </c>
      <c r="N885" t="b">
        <f>COUNTBLANK(metadata!B885:F885)=COLUMNS(metadata!B885:F885)</f>
        <v>1</v>
      </c>
      <c r="O885" t="str">
        <v/>
      </c>
      <c r="Q885" t="b">
        <f ca="1">AND(IF(metadata!B885="",FALSE,TRUE),COUNTIF(metadata!B:B, metadata!B885) = 1,NOT(ISERROR(SUMPRODUCT(SEARCH(MID(metadata!B885,ROW(INDIRECT("1:"&amp;LEN(metadata!B885))), 1),"0123456789abcdefghijklmnopqrstuvwxyzABCDEFGHIJKLMNOPQRSTUVWXYZ.")))))</f>
        <v>0</v>
      </c>
      <c r="R885" t="b">
        <f>AND(IF(metadata!C885="",FALSE,TRUE),OR(EXACT(metadata!C885,"saline"),EXACT(metadata!C885,"non-saline")))</f>
        <v>0</v>
      </c>
      <c r="S885" t="b">
        <f>AND(IF(metadata!D885="",FALSE,TRUE),OR(EXACT(metadata!D885,"surface (non-saline)"),EXACT(metadata!D885,"aerosol (non-saline)"),EXACT(metadata!D885,"sediment (non-saline)"),EXACT(metadata!D885,"surface (saline)"),EXACT(metadata!D885,"aerosol (saline)"),EXACT(metadata!D885,"sediment (saline)")))</f>
        <v>0</v>
      </c>
      <c r="T885" t="b">
        <f>AND(IF(metadata!E885="",FALSE,TRUE),EXACT(metadata!E885,"built environment"))</f>
        <v>0</v>
      </c>
      <c r="U885" t="b">
        <f>OR(AND(IF(metadata!F885="",FALSE,TRUE),EXACT(metadata!F885,"not applicable")),AND(IF(metadata!F885="",FALSE,TRUE),EXACT(metadata!F885,"anaerobic digester content")))</f>
        <v>0</v>
      </c>
    </row>
    <row r="886" spans="1:21" x14ac:dyDescent="0.2">
      <c r="A886" s="4" t="str">
        <f ca="1">IF(B886=" "," ",HYPERLINK(CONCATENATE("#metadata!",ADDRESS(INDEX($L$2:$L$1001,MATCH(ROWS($J$2:J886),$J$2:$J$1001,0),0),1)),INDEX($O$2:$O$1001,MATCH(ROWS($J$2:J886),$J$2:$J$1001,0),0)))</f>
        <v xml:space="preserve"> </v>
      </c>
      <c r="B886" s="3" t="str">
        <f ca="1">IF(OR(INDEX($K$2:$K$1001,MATCH(ROWS($J$2:J886),$J$2:$J$1001,0),1)&gt;=100000,INDEX($Q$1005:$U$1005,1,MATCH(COLUMNS($Q$1006:Q1006),$Q$1006:$U$1006,0))&gt;=100000), " ",IF(INDEX($Q$2:$U$1001,MATCH(ROWS($J$2:J886),$J$2:$J$1001,0),MATCH(COLUMNS($Q$1006:Q1006),$Q$1006:$U$1006,0)), HYPERLINK("#",""), HYPERLINK(CONCATENATE("#metadata!", ADDRESS(INDEX($L$2:$L$1001,MATCH(ROWS($J$2:J886),$J$2:$J$1001,0),0), INDEX($Q$1004:$U$1004,1,MATCH(COLUMNS($Q$1006:Q1006),$Q$1006:$U$1006,0)))),"Fix")))</f>
        <v xml:space="preserve"> </v>
      </c>
      <c r="C886" s="3" t="str">
        <f ca="1">IF(OR(INDEX($K$2:$K$1001,MATCH(ROWS($J$2:J886),$J$2:$J$1001,0),1)&gt;=100000,INDEX($Q$1005:$U$1005,1,MATCH(COLUMNS($Q$1006:R1006),$Q$1006:$U$1006,0))&gt;=100000), " ",IF(INDEX($Q$2:$U$1001,MATCH(ROWS($J$2:J886),$J$2:$J$1001,0),MATCH(COLUMNS($Q$1006:R1006),$Q$1006:$U$1006,0)), HYPERLINK("#",""), HYPERLINK(CONCATENATE("#metadata!", ADDRESS(INDEX($L$2:$L$1001,MATCH(ROWS($J$2:J886),$J$2:$J$1001,0),0), INDEX($Q$1004:$U$1004,1,MATCH(COLUMNS($Q$1006:R1006),$Q$1006:$U$1006,0)))),"Fix")))</f>
        <v xml:space="preserve"> </v>
      </c>
      <c r="D886" s="3" t="str">
        <f ca="1">IF(OR(INDEX($K$2:$K$1001,MATCH(ROWS($J$2:J886),$J$2:$J$1001,0),1)&gt;=100000,INDEX($Q$1005:$U$1005,1,MATCH(COLUMNS($Q$1006:S1006),$Q$1006:$U$1006,0))&gt;=100000), " ",IF(INDEX($Q$2:$U$1001,MATCH(ROWS($J$2:J886),$J$2:$J$1001,0),MATCH(COLUMNS($Q$1006:S1006),$Q$1006:$U$1006,0)), HYPERLINK("#",""), HYPERLINK(CONCATENATE("#metadata!", ADDRESS(INDEX($L$2:$L$1001,MATCH(ROWS($J$2:J886),$J$2:$J$1001,0),0), INDEX($Q$1004:$U$1004,1,MATCH(COLUMNS($Q$1006:S1006),$Q$1006:$U$1006,0)))),"Fix")))</f>
        <v xml:space="preserve"> </v>
      </c>
      <c r="E886" s="3" t="str">
        <f ca="1">IF(OR(INDEX($K$2:$K$1001,MATCH(ROWS($J$2:J886),$J$2:$J$1001,0),1)&gt;=100000,INDEX($Q$1005:$U$1005,1,MATCH(COLUMNS($Q$1006:T1006),$Q$1006:$U$1006,0))&gt;=100000), " ",IF(INDEX($Q$2:$U$1001,MATCH(ROWS($J$2:J886),$J$2:$J$1001,0),MATCH(COLUMNS($Q$1006:T1006),$Q$1006:$U$1006,0)), HYPERLINK("#",""), HYPERLINK(CONCATENATE("#metadata!", ADDRESS(INDEX($L$2:$L$1001,MATCH(ROWS($J$2:J886),$J$2:$J$1001,0),0), INDEX($Q$1004:$U$1004,1,MATCH(COLUMNS($Q$1006:T1006),$Q$1006:$U$1006,0)))),"Fix")))</f>
        <v xml:space="preserve"> </v>
      </c>
      <c r="F886" s="3" t="str">
        <f ca="1">IF(OR(INDEX($K$2:$K$1001,MATCH(ROWS($J$2:J886),$J$2:$J$1001,0),1)&gt;=100000,INDEX($Q$1005:$U$1005,1,MATCH(COLUMNS($Q$1006:U1006),$Q$1006:$U$1006,0))&gt;=100000), " ",IF(INDEX($Q$2:$U$1001,MATCH(ROWS($J$2:J886),$J$2:$J$1001,0),MATCH(COLUMNS($Q$1006:U1006),$Q$1006:$U$1006,0)), HYPERLINK("#",""), HYPERLINK(CONCATENATE("#metadata!", ADDRESS(INDEX($L$2:$L$1001,MATCH(ROWS($J$2:J886),$J$2:$J$1001,0),0), INDEX($Q$1004:$U$1004,1,MATCH(COLUMNS($Q$1006:U1006),$Q$1006:$U$1006,0)))),"Fix")))</f>
        <v xml:space="preserve"> </v>
      </c>
      <c r="J886">
        <v>885</v>
      </c>
      <c r="K886">
        <v>100886</v>
      </c>
      <c r="L886">
        <v>886</v>
      </c>
      <c r="M886" t="b">
        <f t="shared" si="13"/>
        <v>1</v>
      </c>
      <c r="N886" t="b">
        <f>COUNTBLANK(metadata!B886:F886)=COLUMNS(metadata!B886:F886)</f>
        <v>1</v>
      </c>
      <c r="O886" t="str">
        <v/>
      </c>
      <c r="Q886" t="b">
        <f ca="1">AND(IF(metadata!B886="",FALSE,TRUE),COUNTIF(metadata!B:B, metadata!B886) = 1,NOT(ISERROR(SUMPRODUCT(SEARCH(MID(metadata!B886,ROW(INDIRECT("1:"&amp;LEN(metadata!B886))), 1),"0123456789abcdefghijklmnopqrstuvwxyzABCDEFGHIJKLMNOPQRSTUVWXYZ.")))))</f>
        <v>0</v>
      </c>
      <c r="R886" t="b">
        <f>AND(IF(metadata!C886="",FALSE,TRUE),OR(EXACT(metadata!C886,"saline"),EXACT(metadata!C886,"non-saline")))</f>
        <v>0</v>
      </c>
      <c r="S886" t="b">
        <f>AND(IF(metadata!D886="",FALSE,TRUE),OR(EXACT(metadata!D886,"surface (non-saline)"),EXACT(metadata!D886,"aerosol (non-saline)"),EXACT(metadata!D886,"sediment (non-saline)"),EXACT(metadata!D886,"surface (saline)"),EXACT(metadata!D886,"aerosol (saline)"),EXACT(metadata!D886,"sediment (saline)")))</f>
        <v>0</v>
      </c>
      <c r="T886" t="b">
        <f>AND(IF(metadata!E886="",FALSE,TRUE),EXACT(metadata!E886,"built environment"))</f>
        <v>0</v>
      </c>
      <c r="U886" t="b">
        <f>OR(AND(IF(metadata!F886="",FALSE,TRUE),EXACT(metadata!F886,"not applicable")),AND(IF(metadata!F886="",FALSE,TRUE),EXACT(metadata!F886,"anaerobic digester content")))</f>
        <v>0</v>
      </c>
    </row>
    <row r="887" spans="1:21" x14ac:dyDescent="0.2">
      <c r="A887" s="4" t="str">
        <f ca="1">IF(B887=" "," ",HYPERLINK(CONCATENATE("#metadata!",ADDRESS(INDEX($L$2:$L$1001,MATCH(ROWS($J$2:J887),$J$2:$J$1001,0),0),1)),INDEX($O$2:$O$1001,MATCH(ROWS($J$2:J887),$J$2:$J$1001,0),0)))</f>
        <v xml:space="preserve"> </v>
      </c>
      <c r="B887" s="3" t="str">
        <f ca="1">IF(OR(INDEX($K$2:$K$1001,MATCH(ROWS($J$2:J887),$J$2:$J$1001,0),1)&gt;=100000,INDEX($Q$1005:$U$1005,1,MATCH(COLUMNS($Q$1006:Q1006),$Q$1006:$U$1006,0))&gt;=100000), " ",IF(INDEX($Q$2:$U$1001,MATCH(ROWS($J$2:J887),$J$2:$J$1001,0),MATCH(COLUMNS($Q$1006:Q1006),$Q$1006:$U$1006,0)), HYPERLINK("#",""), HYPERLINK(CONCATENATE("#metadata!", ADDRESS(INDEX($L$2:$L$1001,MATCH(ROWS($J$2:J887),$J$2:$J$1001,0),0), INDEX($Q$1004:$U$1004,1,MATCH(COLUMNS($Q$1006:Q1006),$Q$1006:$U$1006,0)))),"Fix")))</f>
        <v xml:space="preserve"> </v>
      </c>
      <c r="C887" s="3" t="str">
        <f ca="1">IF(OR(INDEX($K$2:$K$1001,MATCH(ROWS($J$2:J887),$J$2:$J$1001,0),1)&gt;=100000,INDEX($Q$1005:$U$1005,1,MATCH(COLUMNS($Q$1006:R1006),$Q$1006:$U$1006,0))&gt;=100000), " ",IF(INDEX($Q$2:$U$1001,MATCH(ROWS($J$2:J887),$J$2:$J$1001,0),MATCH(COLUMNS($Q$1006:R1006),$Q$1006:$U$1006,0)), HYPERLINK("#",""), HYPERLINK(CONCATENATE("#metadata!", ADDRESS(INDEX($L$2:$L$1001,MATCH(ROWS($J$2:J887),$J$2:$J$1001,0),0), INDEX($Q$1004:$U$1004,1,MATCH(COLUMNS($Q$1006:R1006),$Q$1006:$U$1006,0)))),"Fix")))</f>
        <v xml:space="preserve"> </v>
      </c>
      <c r="D887" s="3" t="str">
        <f ca="1">IF(OR(INDEX($K$2:$K$1001,MATCH(ROWS($J$2:J887),$J$2:$J$1001,0),1)&gt;=100000,INDEX($Q$1005:$U$1005,1,MATCH(COLUMNS($Q$1006:S1006),$Q$1006:$U$1006,0))&gt;=100000), " ",IF(INDEX($Q$2:$U$1001,MATCH(ROWS($J$2:J887),$J$2:$J$1001,0),MATCH(COLUMNS($Q$1006:S1006),$Q$1006:$U$1006,0)), HYPERLINK("#",""), HYPERLINK(CONCATENATE("#metadata!", ADDRESS(INDEX($L$2:$L$1001,MATCH(ROWS($J$2:J887),$J$2:$J$1001,0),0), INDEX($Q$1004:$U$1004,1,MATCH(COLUMNS($Q$1006:S1006),$Q$1006:$U$1006,0)))),"Fix")))</f>
        <v xml:space="preserve"> </v>
      </c>
      <c r="E887" s="3" t="str">
        <f ca="1">IF(OR(INDEX($K$2:$K$1001,MATCH(ROWS($J$2:J887),$J$2:$J$1001,0),1)&gt;=100000,INDEX($Q$1005:$U$1005,1,MATCH(COLUMNS($Q$1006:T1006),$Q$1006:$U$1006,0))&gt;=100000), " ",IF(INDEX($Q$2:$U$1001,MATCH(ROWS($J$2:J887),$J$2:$J$1001,0),MATCH(COLUMNS($Q$1006:T1006),$Q$1006:$U$1006,0)), HYPERLINK("#",""), HYPERLINK(CONCATENATE("#metadata!", ADDRESS(INDEX($L$2:$L$1001,MATCH(ROWS($J$2:J887),$J$2:$J$1001,0),0), INDEX($Q$1004:$U$1004,1,MATCH(COLUMNS($Q$1006:T1006),$Q$1006:$U$1006,0)))),"Fix")))</f>
        <v xml:space="preserve"> </v>
      </c>
      <c r="F887" s="3" t="str">
        <f ca="1">IF(OR(INDEX($K$2:$K$1001,MATCH(ROWS($J$2:J887),$J$2:$J$1001,0),1)&gt;=100000,INDEX($Q$1005:$U$1005,1,MATCH(COLUMNS($Q$1006:U1006),$Q$1006:$U$1006,0))&gt;=100000), " ",IF(INDEX($Q$2:$U$1001,MATCH(ROWS($J$2:J887),$J$2:$J$1001,0),MATCH(COLUMNS($Q$1006:U1006),$Q$1006:$U$1006,0)), HYPERLINK("#",""), HYPERLINK(CONCATENATE("#metadata!", ADDRESS(INDEX($L$2:$L$1001,MATCH(ROWS($J$2:J887),$J$2:$J$1001,0),0), INDEX($Q$1004:$U$1004,1,MATCH(COLUMNS($Q$1006:U1006),$Q$1006:$U$1006,0)))),"Fix")))</f>
        <v xml:space="preserve"> </v>
      </c>
      <c r="J887">
        <v>886</v>
      </c>
      <c r="K887">
        <v>100887</v>
      </c>
      <c r="L887">
        <v>887</v>
      </c>
      <c r="M887" t="b">
        <f t="shared" si="13"/>
        <v>1</v>
      </c>
      <c r="N887" t="b">
        <f>COUNTBLANK(metadata!B887:F887)=COLUMNS(metadata!B887:F887)</f>
        <v>1</v>
      </c>
      <c r="O887" t="str">
        <v/>
      </c>
      <c r="Q887" t="b">
        <f ca="1">AND(IF(metadata!B887="",FALSE,TRUE),COUNTIF(metadata!B:B, metadata!B887) = 1,NOT(ISERROR(SUMPRODUCT(SEARCH(MID(metadata!B887,ROW(INDIRECT("1:"&amp;LEN(metadata!B887))), 1),"0123456789abcdefghijklmnopqrstuvwxyzABCDEFGHIJKLMNOPQRSTUVWXYZ.")))))</f>
        <v>0</v>
      </c>
      <c r="R887" t="b">
        <f>AND(IF(metadata!C887="",FALSE,TRUE),OR(EXACT(metadata!C887,"saline"),EXACT(metadata!C887,"non-saline")))</f>
        <v>0</v>
      </c>
      <c r="S887" t="b">
        <f>AND(IF(metadata!D887="",FALSE,TRUE),OR(EXACT(metadata!D887,"surface (non-saline)"),EXACT(metadata!D887,"aerosol (non-saline)"),EXACT(metadata!D887,"sediment (non-saline)"),EXACT(metadata!D887,"surface (saline)"),EXACT(metadata!D887,"aerosol (saline)"),EXACT(metadata!D887,"sediment (saline)")))</f>
        <v>0</v>
      </c>
      <c r="T887" t="b">
        <f>AND(IF(metadata!E887="",FALSE,TRUE),EXACT(metadata!E887,"built environment"))</f>
        <v>0</v>
      </c>
      <c r="U887" t="b">
        <f>OR(AND(IF(metadata!F887="",FALSE,TRUE),EXACT(metadata!F887,"not applicable")),AND(IF(metadata!F887="",FALSE,TRUE),EXACT(metadata!F887,"anaerobic digester content")))</f>
        <v>0</v>
      </c>
    </row>
    <row r="888" spans="1:21" x14ac:dyDescent="0.2">
      <c r="A888" s="4" t="str">
        <f ca="1">IF(B888=" "," ",HYPERLINK(CONCATENATE("#metadata!",ADDRESS(INDEX($L$2:$L$1001,MATCH(ROWS($J$2:J888),$J$2:$J$1001,0),0),1)),INDEX($O$2:$O$1001,MATCH(ROWS($J$2:J888),$J$2:$J$1001,0),0)))</f>
        <v xml:space="preserve"> </v>
      </c>
      <c r="B888" s="3" t="str">
        <f ca="1">IF(OR(INDEX($K$2:$K$1001,MATCH(ROWS($J$2:J888),$J$2:$J$1001,0),1)&gt;=100000,INDEX($Q$1005:$U$1005,1,MATCH(COLUMNS($Q$1006:Q1006),$Q$1006:$U$1006,0))&gt;=100000), " ",IF(INDEX($Q$2:$U$1001,MATCH(ROWS($J$2:J888),$J$2:$J$1001,0),MATCH(COLUMNS($Q$1006:Q1006),$Q$1006:$U$1006,0)), HYPERLINK("#",""), HYPERLINK(CONCATENATE("#metadata!", ADDRESS(INDEX($L$2:$L$1001,MATCH(ROWS($J$2:J888),$J$2:$J$1001,0),0), INDEX($Q$1004:$U$1004,1,MATCH(COLUMNS($Q$1006:Q1006),$Q$1006:$U$1006,0)))),"Fix")))</f>
        <v xml:space="preserve"> </v>
      </c>
      <c r="C888" s="3" t="str">
        <f ca="1">IF(OR(INDEX($K$2:$K$1001,MATCH(ROWS($J$2:J888),$J$2:$J$1001,0),1)&gt;=100000,INDEX($Q$1005:$U$1005,1,MATCH(COLUMNS($Q$1006:R1006),$Q$1006:$U$1006,0))&gt;=100000), " ",IF(INDEX($Q$2:$U$1001,MATCH(ROWS($J$2:J888),$J$2:$J$1001,0),MATCH(COLUMNS($Q$1006:R1006),$Q$1006:$U$1006,0)), HYPERLINK("#",""), HYPERLINK(CONCATENATE("#metadata!", ADDRESS(INDEX($L$2:$L$1001,MATCH(ROWS($J$2:J888),$J$2:$J$1001,0),0), INDEX($Q$1004:$U$1004,1,MATCH(COLUMNS($Q$1006:R1006),$Q$1006:$U$1006,0)))),"Fix")))</f>
        <v xml:space="preserve"> </v>
      </c>
      <c r="D888" s="3" t="str">
        <f ca="1">IF(OR(INDEX($K$2:$K$1001,MATCH(ROWS($J$2:J888),$J$2:$J$1001,0),1)&gt;=100000,INDEX($Q$1005:$U$1005,1,MATCH(COLUMNS($Q$1006:S1006),$Q$1006:$U$1006,0))&gt;=100000), " ",IF(INDEX($Q$2:$U$1001,MATCH(ROWS($J$2:J888),$J$2:$J$1001,0),MATCH(COLUMNS($Q$1006:S1006),$Q$1006:$U$1006,0)), HYPERLINK("#",""), HYPERLINK(CONCATENATE("#metadata!", ADDRESS(INDEX($L$2:$L$1001,MATCH(ROWS($J$2:J888),$J$2:$J$1001,0),0), INDEX($Q$1004:$U$1004,1,MATCH(COLUMNS($Q$1006:S1006),$Q$1006:$U$1006,0)))),"Fix")))</f>
        <v xml:space="preserve"> </v>
      </c>
      <c r="E888" s="3" t="str">
        <f ca="1">IF(OR(INDEX($K$2:$K$1001,MATCH(ROWS($J$2:J888),$J$2:$J$1001,0),1)&gt;=100000,INDEX($Q$1005:$U$1005,1,MATCH(COLUMNS($Q$1006:T1006),$Q$1006:$U$1006,0))&gt;=100000), " ",IF(INDEX($Q$2:$U$1001,MATCH(ROWS($J$2:J888),$J$2:$J$1001,0),MATCH(COLUMNS($Q$1006:T1006),$Q$1006:$U$1006,0)), HYPERLINK("#",""), HYPERLINK(CONCATENATE("#metadata!", ADDRESS(INDEX($L$2:$L$1001,MATCH(ROWS($J$2:J888),$J$2:$J$1001,0),0), INDEX($Q$1004:$U$1004,1,MATCH(COLUMNS($Q$1006:T1006),$Q$1006:$U$1006,0)))),"Fix")))</f>
        <v xml:space="preserve"> </v>
      </c>
      <c r="F888" s="3" t="str">
        <f ca="1">IF(OR(INDEX($K$2:$K$1001,MATCH(ROWS($J$2:J888),$J$2:$J$1001,0),1)&gt;=100000,INDEX($Q$1005:$U$1005,1,MATCH(COLUMNS($Q$1006:U1006),$Q$1006:$U$1006,0))&gt;=100000), " ",IF(INDEX($Q$2:$U$1001,MATCH(ROWS($J$2:J888),$J$2:$J$1001,0),MATCH(COLUMNS($Q$1006:U1006),$Q$1006:$U$1006,0)), HYPERLINK("#",""), HYPERLINK(CONCATENATE("#metadata!", ADDRESS(INDEX($L$2:$L$1001,MATCH(ROWS($J$2:J888),$J$2:$J$1001,0),0), INDEX($Q$1004:$U$1004,1,MATCH(COLUMNS($Q$1006:U1006),$Q$1006:$U$1006,0)))),"Fix")))</f>
        <v xml:space="preserve"> </v>
      </c>
      <c r="J888">
        <v>887</v>
      </c>
      <c r="K888">
        <v>100888</v>
      </c>
      <c r="L888">
        <v>888</v>
      </c>
      <c r="M888" t="b">
        <f t="shared" si="13"/>
        <v>1</v>
      </c>
      <c r="N888" t="b">
        <f>COUNTBLANK(metadata!B888:F888)=COLUMNS(metadata!B888:F888)</f>
        <v>1</v>
      </c>
      <c r="O888" t="str">
        <v/>
      </c>
      <c r="Q888" t="b">
        <f ca="1">AND(IF(metadata!B888="",FALSE,TRUE),COUNTIF(metadata!B:B, metadata!B888) = 1,NOT(ISERROR(SUMPRODUCT(SEARCH(MID(metadata!B888,ROW(INDIRECT("1:"&amp;LEN(metadata!B888))), 1),"0123456789abcdefghijklmnopqrstuvwxyzABCDEFGHIJKLMNOPQRSTUVWXYZ.")))))</f>
        <v>0</v>
      </c>
      <c r="R888" t="b">
        <f>AND(IF(metadata!C888="",FALSE,TRUE),OR(EXACT(metadata!C888,"saline"),EXACT(metadata!C888,"non-saline")))</f>
        <v>0</v>
      </c>
      <c r="S888" t="b">
        <f>AND(IF(metadata!D888="",FALSE,TRUE),OR(EXACT(metadata!D888,"surface (non-saline)"),EXACT(metadata!D888,"aerosol (non-saline)"),EXACT(metadata!D888,"sediment (non-saline)"),EXACT(metadata!D888,"surface (saline)"),EXACT(metadata!D888,"aerosol (saline)"),EXACT(metadata!D888,"sediment (saline)")))</f>
        <v>0</v>
      </c>
      <c r="T888" t="b">
        <f>AND(IF(metadata!E888="",FALSE,TRUE),EXACT(metadata!E888,"built environment"))</f>
        <v>0</v>
      </c>
      <c r="U888" t="b">
        <f>OR(AND(IF(metadata!F888="",FALSE,TRUE),EXACT(metadata!F888,"not applicable")),AND(IF(metadata!F888="",FALSE,TRUE),EXACT(metadata!F888,"anaerobic digester content")))</f>
        <v>0</v>
      </c>
    </row>
    <row r="889" spans="1:21" x14ac:dyDescent="0.2">
      <c r="A889" s="4" t="str">
        <f ca="1">IF(B889=" "," ",HYPERLINK(CONCATENATE("#metadata!",ADDRESS(INDEX($L$2:$L$1001,MATCH(ROWS($J$2:J889),$J$2:$J$1001,0),0),1)),INDEX($O$2:$O$1001,MATCH(ROWS($J$2:J889),$J$2:$J$1001,0),0)))</f>
        <v xml:space="preserve"> </v>
      </c>
      <c r="B889" s="3" t="str">
        <f ca="1">IF(OR(INDEX($K$2:$K$1001,MATCH(ROWS($J$2:J889),$J$2:$J$1001,0),1)&gt;=100000,INDEX($Q$1005:$U$1005,1,MATCH(COLUMNS($Q$1006:Q1006),$Q$1006:$U$1006,0))&gt;=100000), " ",IF(INDEX($Q$2:$U$1001,MATCH(ROWS($J$2:J889),$J$2:$J$1001,0),MATCH(COLUMNS($Q$1006:Q1006),$Q$1006:$U$1006,0)), HYPERLINK("#",""), HYPERLINK(CONCATENATE("#metadata!", ADDRESS(INDEX($L$2:$L$1001,MATCH(ROWS($J$2:J889),$J$2:$J$1001,0),0), INDEX($Q$1004:$U$1004,1,MATCH(COLUMNS($Q$1006:Q1006),$Q$1006:$U$1006,0)))),"Fix")))</f>
        <v xml:space="preserve"> </v>
      </c>
      <c r="C889" s="3" t="str">
        <f ca="1">IF(OR(INDEX($K$2:$K$1001,MATCH(ROWS($J$2:J889),$J$2:$J$1001,0),1)&gt;=100000,INDEX($Q$1005:$U$1005,1,MATCH(COLUMNS($Q$1006:R1006),$Q$1006:$U$1006,0))&gt;=100000), " ",IF(INDEX($Q$2:$U$1001,MATCH(ROWS($J$2:J889),$J$2:$J$1001,0),MATCH(COLUMNS($Q$1006:R1006),$Q$1006:$U$1006,0)), HYPERLINK("#",""), HYPERLINK(CONCATENATE("#metadata!", ADDRESS(INDEX($L$2:$L$1001,MATCH(ROWS($J$2:J889),$J$2:$J$1001,0),0), INDEX($Q$1004:$U$1004,1,MATCH(COLUMNS($Q$1006:R1006),$Q$1006:$U$1006,0)))),"Fix")))</f>
        <v xml:space="preserve"> </v>
      </c>
      <c r="D889" s="3" t="str">
        <f ca="1">IF(OR(INDEX($K$2:$K$1001,MATCH(ROWS($J$2:J889),$J$2:$J$1001,0),1)&gt;=100000,INDEX($Q$1005:$U$1005,1,MATCH(COLUMNS($Q$1006:S1006),$Q$1006:$U$1006,0))&gt;=100000), " ",IF(INDEX($Q$2:$U$1001,MATCH(ROWS($J$2:J889),$J$2:$J$1001,0),MATCH(COLUMNS($Q$1006:S1006),$Q$1006:$U$1006,0)), HYPERLINK("#",""), HYPERLINK(CONCATENATE("#metadata!", ADDRESS(INDEX($L$2:$L$1001,MATCH(ROWS($J$2:J889),$J$2:$J$1001,0),0), INDEX($Q$1004:$U$1004,1,MATCH(COLUMNS($Q$1006:S1006),$Q$1006:$U$1006,0)))),"Fix")))</f>
        <v xml:space="preserve"> </v>
      </c>
      <c r="E889" s="3" t="str">
        <f ca="1">IF(OR(INDEX($K$2:$K$1001,MATCH(ROWS($J$2:J889),$J$2:$J$1001,0),1)&gt;=100000,INDEX($Q$1005:$U$1005,1,MATCH(COLUMNS($Q$1006:T1006),$Q$1006:$U$1006,0))&gt;=100000), " ",IF(INDEX($Q$2:$U$1001,MATCH(ROWS($J$2:J889),$J$2:$J$1001,0),MATCH(COLUMNS($Q$1006:T1006),$Q$1006:$U$1006,0)), HYPERLINK("#",""), HYPERLINK(CONCATENATE("#metadata!", ADDRESS(INDEX($L$2:$L$1001,MATCH(ROWS($J$2:J889),$J$2:$J$1001,0),0), INDEX($Q$1004:$U$1004,1,MATCH(COLUMNS($Q$1006:T1006),$Q$1006:$U$1006,0)))),"Fix")))</f>
        <v xml:space="preserve"> </v>
      </c>
      <c r="F889" s="3" t="str">
        <f ca="1">IF(OR(INDEX($K$2:$K$1001,MATCH(ROWS($J$2:J889),$J$2:$J$1001,0),1)&gt;=100000,INDEX($Q$1005:$U$1005,1,MATCH(COLUMNS($Q$1006:U1006),$Q$1006:$U$1006,0))&gt;=100000), " ",IF(INDEX($Q$2:$U$1001,MATCH(ROWS($J$2:J889),$J$2:$J$1001,0),MATCH(COLUMNS($Q$1006:U1006),$Q$1006:$U$1006,0)), HYPERLINK("#",""), HYPERLINK(CONCATENATE("#metadata!", ADDRESS(INDEX($L$2:$L$1001,MATCH(ROWS($J$2:J889),$J$2:$J$1001,0),0), INDEX($Q$1004:$U$1004,1,MATCH(COLUMNS($Q$1006:U1006),$Q$1006:$U$1006,0)))),"Fix")))</f>
        <v xml:space="preserve"> </v>
      </c>
      <c r="J889">
        <v>888</v>
      </c>
      <c r="K889">
        <v>100889</v>
      </c>
      <c r="L889">
        <v>889</v>
      </c>
      <c r="M889" t="b">
        <f t="shared" si="13"/>
        <v>1</v>
      </c>
      <c r="N889" t="b">
        <f>COUNTBLANK(metadata!B889:F889)=COLUMNS(metadata!B889:F889)</f>
        <v>1</v>
      </c>
      <c r="O889" t="str">
        <v/>
      </c>
      <c r="Q889" t="b">
        <f ca="1">AND(IF(metadata!B889="",FALSE,TRUE),COUNTIF(metadata!B:B, metadata!B889) = 1,NOT(ISERROR(SUMPRODUCT(SEARCH(MID(metadata!B889,ROW(INDIRECT("1:"&amp;LEN(metadata!B889))), 1),"0123456789abcdefghijklmnopqrstuvwxyzABCDEFGHIJKLMNOPQRSTUVWXYZ.")))))</f>
        <v>0</v>
      </c>
      <c r="R889" t="b">
        <f>AND(IF(metadata!C889="",FALSE,TRUE),OR(EXACT(metadata!C889,"saline"),EXACT(metadata!C889,"non-saline")))</f>
        <v>0</v>
      </c>
      <c r="S889" t="b">
        <f>AND(IF(metadata!D889="",FALSE,TRUE),OR(EXACT(metadata!D889,"surface (non-saline)"),EXACT(metadata!D889,"aerosol (non-saline)"),EXACT(metadata!D889,"sediment (non-saline)"),EXACT(metadata!D889,"surface (saline)"),EXACT(metadata!D889,"aerosol (saline)"),EXACT(metadata!D889,"sediment (saline)")))</f>
        <v>0</v>
      </c>
      <c r="T889" t="b">
        <f>AND(IF(metadata!E889="",FALSE,TRUE),EXACT(metadata!E889,"built environment"))</f>
        <v>0</v>
      </c>
      <c r="U889" t="b">
        <f>OR(AND(IF(metadata!F889="",FALSE,TRUE),EXACT(metadata!F889,"not applicable")),AND(IF(metadata!F889="",FALSE,TRUE),EXACT(metadata!F889,"anaerobic digester content")))</f>
        <v>0</v>
      </c>
    </row>
    <row r="890" spans="1:21" x14ac:dyDescent="0.2">
      <c r="A890" s="4" t="str">
        <f ca="1">IF(B890=" "," ",HYPERLINK(CONCATENATE("#metadata!",ADDRESS(INDEX($L$2:$L$1001,MATCH(ROWS($J$2:J890),$J$2:$J$1001,0),0),1)),INDEX($O$2:$O$1001,MATCH(ROWS($J$2:J890),$J$2:$J$1001,0),0)))</f>
        <v xml:space="preserve"> </v>
      </c>
      <c r="B890" s="3" t="str">
        <f ca="1">IF(OR(INDEX($K$2:$K$1001,MATCH(ROWS($J$2:J890),$J$2:$J$1001,0),1)&gt;=100000,INDEX($Q$1005:$U$1005,1,MATCH(COLUMNS($Q$1006:Q1006),$Q$1006:$U$1006,0))&gt;=100000), " ",IF(INDEX($Q$2:$U$1001,MATCH(ROWS($J$2:J890),$J$2:$J$1001,0),MATCH(COLUMNS($Q$1006:Q1006),$Q$1006:$U$1006,0)), HYPERLINK("#",""), HYPERLINK(CONCATENATE("#metadata!", ADDRESS(INDEX($L$2:$L$1001,MATCH(ROWS($J$2:J890),$J$2:$J$1001,0),0), INDEX($Q$1004:$U$1004,1,MATCH(COLUMNS($Q$1006:Q1006),$Q$1006:$U$1006,0)))),"Fix")))</f>
        <v xml:space="preserve"> </v>
      </c>
      <c r="C890" s="3" t="str">
        <f ca="1">IF(OR(INDEX($K$2:$K$1001,MATCH(ROWS($J$2:J890),$J$2:$J$1001,0),1)&gt;=100000,INDEX($Q$1005:$U$1005,1,MATCH(COLUMNS($Q$1006:R1006),$Q$1006:$U$1006,0))&gt;=100000), " ",IF(INDEX($Q$2:$U$1001,MATCH(ROWS($J$2:J890),$J$2:$J$1001,0),MATCH(COLUMNS($Q$1006:R1006),$Q$1006:$U$1006,0)), HYPERLINK("#",""), HYPERLINK(CONCATENATE("#metadata!", ADDRESS(INDEX($L$2:$L$1001,MATCH(ROWS($J$2:J890),$J$2:$J$1001,0),0), INDEX($Q$1004:$U$1004,1,MATCH(COLUMNS($Q$1006:R1006),$Q$1006:$U$1006,0)))),"Fix")))</f>
        <v xml:space="preserve"> </v>
      </c>
      <c r="D890" s="3" t="str">
        <f ca="1">IF(OR(INDEX($K$2:$K$1001,MATCH(ROWS($J$2:J890),$J$2:$J$1001,0),1)&gt;=100000,INDEX($Q$1005:$U$1005,1,MATCH(COLUMNS($Q$1006:S1006),$Q$1006:$U$1006,0))&gt;=100000), " ",IF(INDEX($Q$2:$U$1001,MATCH(ROWS($J$2:J890),$J$2:$J$1001,0),MATCH(COLUMNS($Q$1006:S1006),$Q$1006:$U$1006,0)), HYPERLINK("#",""), HYPERLINK(CONCATENATE("#metadata!", ADDRESS(INDEX($L$2:$L$1001,MATCH(ROWS($J$2:J890),$J$2:$J$1001,0),0), INDEX($Q$1004:$U$1004,1,MATCH(COLUMNS($Q$1006:S1006),$Q$1006:$U$1006,0)))),"Fix")))</f>
        <v xml:space="preserve"> </v>
      </c>
      <c r="E890" s="3" t="str">
        <f ca="1">IF(OR(INDEX($K$2:$K$1001,MATCH(ROWS($J$2:J890),$J$2:$J$1001,0),1)&gt;=100000,INDEX($Q$1005:$U$1005,1,MATCH(COLUMNS($Q$1006:T1006),$Q$1006:$U$1006,0))&gt;=100000), " ",IF(INDEX($Q$2:$U$1001,MATCH(ROWS($J$2:J890),$J$2:$J$1001,0),MATCH(COLUMNS($Q$1006:T1006),$Q$1006:$U$1006,0)), HYPERLINK("#",""), HYPERLINK(CONCATENATE("#metadata!", ADDRESS(INDEX($L$2:$L$1001,MATCH(ROWS($J$2:J890),$J$2:$J$1001,0),0), INDEX($Q$1004:$U$1004,1,MATCH(COLUMNS($Q$1006:T1006),$Q$1006:$U$1006,0)))),"Fix")))</f>
        <v xml:space="preserve"> </v>
      </c>
      <c r="F890" s="3" t="str">
        <f ca="1">IF(OR(INDEX($K$2:$K$1001,MATCH(ROWS($J$2:J890),$J$2:$J$1001,0),1)&gt;=100000,INDEX($Q$1005:$U$1005,1,MATCH(COLUMNS($Q$1006:U1006),$Q$1006:$U$1006,0))&gt;=100000), " ",IF(INDEX($Q$2:$U$1001,MATCH(ROWS($J$2:J890),$J$2:$J$1001,0),MATCH(COLUMNS($Q$1006:U1006),$Q$1006:$U$1006,0)), HYPERLINK("#",""), HYPERLINK(CONCATENATE("#metadata!", ADDRESS(INDEX($L$2:$L$1001,MATCH(ROWS($J$2:J890),$J$2:$J$1001,0),0), INDEX($Q$1004:$U$1004,1,MATCH(COLUMNS($Q$1006:U1006),$Q$1006:$U$1006,0)))),"Fix")))</f>
        <v xml:space="preserve"> </v>
      </c>
      <c r="J890">
        <v>889</v>
      </c>
      <c r="K890">
        <v>100890</v>
      </c>
      <c r="L890">
        <v>890</v>
      </c>
      <c r="M890" t="b">
        <f t="shared" si="13"/>
        <v>1</v>
      </c>
      <c r="N890" t="b">
        <f>COUNTBLANK(metadata!B890:F890)=COLUMNS(metadata!B890:F890)</f>
        <v>1</v>
      </c>
      <c r="O890" t="str">
        <v/>
      </c>
      <c r="Q890" t="b">
        <f ca="1">AND(IF(metadata!B890="",FALSE,TRUE),COUNTIF(metadata!B:B, metadata!B890) = 1,NOT(ISERROR(SUMPRODUCT(SEARCH(MID(metadata!B890,ROW(INDIRECT("1:"&amp;LEN(metadata!B890))), 1),"0123456789abcdefghijklmnopqrstuvwxyzABCDEFGHIJKLMNOPQRSTUVWXYZ.")))))</f>
        <v>0</v>
      </c>
      <c r="R890" t="b">
        <f>AND(IF(metadata!C890="",FALSE,TRUE),OR(EXACT(metadata!C890,"saline"),EXACT(metadata!C890,"non-saline")))</f>
        <v>0</v>
      </c>
      <c r="S890" t="b">
        <f>AND(IF(metadata!D890="",FALSE,TRUE),OR(EXACT(metadata!D890,"surface (non-saline)"),EXACT(metadata!D890,"aerosol (non-saline)"),EXACT(metadata!D890,"sediment (non-saline)"),EXACT(metadata!D890,"surface (saline)"),EXACT(metadata!D890,"aerosol (saline)"),EXACT(metadata!D890,"sediment (saline)")))</f>
        <v>0</v>
      </c>
      <c r="T890" t="b">
        <f>AND(IF(metadata!E890="",FALSE,TRUE),EXACT(metadata!E890,"built environment"))</f>
        <v>0</v>
      </c>
      <c r="U890" t="b">
        <f>OR(AND(IF(metadata!F890="",FALSE,TRUE),EXACT(metadata!F890,"not applicable")),AND(IF(metadata!F890="",FALSE,TRUE),EXACT(metadata!F890,"anaerobic digester content")))</f>
        <v>0</v>
      </c>
    </row>
    <row r="891" spans="1:21" x14ac:dyDescent="0.2">
      <c r="A891" s="4" t="str">
        <f ca="1">IF(B891=" "," ",HYPERLINK(CONCATENATE("#metadata!",ADDRESS(INDEX($L$2:$L$1001,MATCH(ROWS($J$2:J891),$J$2:$J$1001,0),0),1)),INDEX($O$2:$O$1001,MATCH(ROWS($J$2:J891),$J$2:$J$1001,0),0)))</f>
        <v xml:space="preserve"> </v>
      </c>
      <c r="B891" s="3" t="str">
        <f ca="1">IF(OR(INDEX($K$2:$K$1001,MATCH(ROWS($J$2:J891),$J$2:$J$1001,0),1)&gt;=100000,INDEX($Q$1005:$U$1005,1,MATCH(COLUMNS($Q$1006:Q1006),$Q$1006:$U$1006,0))&gt;=100000), " ",IF(INDEX($Q$2:$U$1001,MATCH(ROWS($J$2:J891),$J$2:$J$1001,0),MATCH(COLUMNS($Q$1006:Q1006),$Q$1006:$U$1006,0)), HYPERLINK("#",""), HYPERLINK(CONCATENATE("#metadata!", ADDRESS(INDEX($L$2:$L$1001,MATCH(ROWS($J$2:J891),$J$2:$J$1001,0),0), INDEX($Q$1004:$U$1004,1,MATCH(COLUMNS($Q$1006:Q1006),$Q$1006:$U$1006,0)))),"Fix")))</f>
        <v xml:space="preserve"> </v>
      </c>
      <c r="C891" s="3" t="str">
        <f ca="1">IF(OR(INDEX($K$2:$K$1001,MATCH(ROWS($J$2:J891),$J$2:$J$1001,0),1)&gt;=100000,INDEX($Q$1005:$U$1005,1,MATCH(COLUMNS($Q$1006:R1006),$Q$1006:$U$1006,0))&gt;=100000), " ",IF(INDEX($Q$2:$U$1001,MATCH(ROWS($J$2:J891),$J$2:$J$1001,0),MATCH(COLUMNS($Q$1006:R1006),$Q$1006:$U$1006,0)), HYPERLINK("#",""), HYPERLINK(CONCATENATE("#metadata!", ADDRESS(INDEX($L$2:$L$1001,MATCH(ROWS($J$2:J891),$J$2:$J$1001,0),0), INDEX($Q$1004:$U$1004,1,MATCH(COLUMNS($Q$1006:R1006),$Q$1006:$U$1006,0)))),"Fix")))</f>
        <v xml:space="preserve"> </v>
      </c>
      <c r="D891" s="3" t="str">
        <f ca="1">IF(OR(INDEX($K$2:$K$1001,MATCH(ROWS($J$2:J891),$J$2:$J$1001,0),1)&gt;=100000,INDEX($Q$1005:$U$1005,1,MATCH(COLUMNS($Q$1006:S1006),$Q$1006:$U$1006,0))&gt;=100000), " ",IF(INDEX($Q$2:$U$1001,MATCH(ROWS($J$2:J891),$J$2:$J$1001,0),MATCH(COLUMNS($Q$1006:S1006),$Q$1006:$U$1006,0)), HYPERLINK("#",""), HYPERLINK(CONCATENATE("#metadata!", ADDRESS(INDEX($L$2:$L$1001,MATCH(ROWS($J$2:J891),$J$2:$J$1001,0),0), INDEX($Q$1004:$U$1004,1,MATCH(COLUMNS($Q$1006:S1006),$Q$1006:$U$1006,0)))),"Fix")))</f>
        <v xml:space="preserve"> </v>
      </c>
      <c r="E891" s="3" t="str">
        <f ca="1">IF(OR(INDEX($K$2:$K$1001,MATCH(ROWS($J$2:J891),$J$2:$J$1001,0),1)&gt;=100000,INDEX($Q$1005:$U$1005,1,MATCH(COLUMNS($Q$1006:T1006),$Q$1006:$U$1006,0))&gt;=100000), " ",IF(INDEX($Q$2:$U$1001,MATCH(ROWS($J$2:J891),$J$2:$J$1001,0),MATCH(COLUMNS($Q$1006:T1006),$Q$1006:$U$1006,0)), HYPERLINK("#",""), HYPERLINK(CONCATENATE("#metadata!", ADDRESS(INDEX($L$2:$L$1001,MATCH(ROWS($J$2:J891),$J$2:$J$1001,0),0), INDEX($Q$1004:$U$1004,1,MATCH(COLUMNS($Q$1006:T1006),$Q$1006:$U$1006,0)))),"Fix")))</f>
        <v xml:space="preserve"> </v>
      </c>
      <c r="F891" s="3" t="str">
        <f ca="1">IF(OR(INDEX($K$2:$K$1001,MATCH(ROWS($J$2:J891),$J$2:$J$1001,0),1)&gt;=100000,INDEX($Q$1005:$U$1005,1,MATCH(COLUMNS($Q$1006:U1006),$Q$1006:$U$1006,0))&gt;=100000), " ",IF(INDEX($Q$2:$U$1001,MATCH(ROWS($J$2:J891),$J$2:$J$1001,0),MATCH(COLUMNS($Q$1006:U1006),$Q$1006:$U$1006,0)), HYPERLINK("#",""), HYPERLINK(CONCATENATE("#metadata!", ADDRESS(INDEX($L$2:$L$1001,MATCH(ROWS($J$2:J891),$J$2:$J$1001,0),0), INDEX($Q$1004:$U$1004,1,MATCH(COLUMNS($Q$1006:U1006),$Q$1006:$U$1006,0)))),"Fix")))</f>
        <v xml:space="preserve"> </v>
      </c>
      <c r="J891">
        <v>890</v>
      </c>
      <c r="K891">
        <v>100891</v>
      </c>
      <c r="L891">
        <v>891</v>
      </c>
      <c r="M891" t="b">
        <f t="shared" si="13"/>
        <v>1</v>
      </c>
      <c r="N891" t="b">
        <f>COUNTBLANK(metadata!B891:F891)=COLUMNS(metadata!B891:F891)</f>
        <v>1</v>
      </c>
      <c r="O891" t="str">
        <v/>
      </c>
      <c r="Q891" t="b">
        <f ca="1">AND(IF(metadata!B891="",FALSE,TRUE),COUNTIF(metadata!B:B, metadata!B891) = 1,NOT(ISERROR(SUMPRODUCT(SEARCH(MID(metadata!B891,ROW(INDIRECT("1:"&amp;LEN(metadata!B891))), 1),"0123456789abcdefghijklmnopqrstuvwxyzABCDEFGHIJKLMNOPQRSTUVWXYZ.")))))</f>
        <v>0</v>
      </c>
      <c r="R891" t="b">
        <f>AND(IF(metadata!C891="",FALSE,TRUE),OR(EXACT(metadata!C891,"saline"),EXACT(metadata!C891,"non-saline")))</f>
        <v>0</v>
      </c>
      <c r="S891" t="b">
        <f>AND(IF(metadata!D891="",FALSE,TRUE),OR(EXACT(metadata!D891,"surface (non-saline)"),EXACT(metadata!D891,"aerosol (non-saline)"),EXACT(metadata!D891,"sediment (non-saline)"),EXACT(metadata!D891,"surface (saline)"),EXACT(metadata!D891,"aerosol (saline)"),EXACT(metadata!D891,"sediment (saline)")))</f>
        <v>0</v>
      </c>
      <c r="T891" t="b">
        <f>AND(IF(metadata!E891="",FALSE,TRUE),EXACT(metadata!E891,"built environment"))</f>
        <v>0</v>
      </c>
      <c r="U891" t="b">
        <f>OR(AND(IF(metadata!F891="",FALSE,TRUE),EXACT(metadata!F891,"not applicable")),AND(IF(metadata!F891="",FALSE,TRUE),EXACT(metadata!F891,"anaerobic digester content")))</f>
        <v>0</v>
      </c>
    </row>
    <row r="892" spans="1:21" x14ac:dyDescent="0.2">
      <c r="A892" s="4" t="str">
        <f ca="1">IF(B892=" "," ",HYPERLINK(CONCATENATE("#metadata!",ADDRESS(INDEX($L$2:$L$1001,MATCH(ROWS($J$2:J892),$J$2:$J$1001,0),0),1)),INDEX($O$2:$O$1001,MATCH(ROWS($J$2:J892),$J$2:$J$1001,0),0)))</f>
        <v xml:space="preserve"> </v>
      </c>
      <c r="B892" s="3" t="str">
        <f ca="1">IF(OR(INDEX($K$2:$K$1001,MATCH(ROWS($J$2:J892),$J$2:$J$1001,0),1)&gt;=100000,INDEX($Q$1005:$U$1005,1,MATCH(COLUMNS($Q$1006:Q1006),$Q$1006:$U$1006,0))&gt;=100000), " ",IF(INDEX($Q$2:$U$1001,MATCH(ROWS($J$2:J892),$J$2:$J$1001,0),MATCH(COLUMNS($Q$1006:Q1006),$Q$1006:$U$1006,0)), HYPERLINK("#",""), HYPERLINK(CONCATENATE("#metadata!", ADDRESS(INDEX($L$2:$L$1001,MATCH(ROWS($J$2:J892),$J$2:$J$1001,0),0), INDEX($Q$1004:$U$1004,1,MATCH(COLUMNS($Q$1006:Q1006),$Q$1006:$U$1006,0)))),"Fix")))</f>
        <v xml:space="preserve"> </v>
      </c>
      <c r="C892" s="3" t="str">
        <f ca="1">IF(OR(INDEX($K$2:$K$1001,MATCH(ROWS($J$2:J892),$J$2:$J$1001,0),1)&gt;=100000,INDEX($Q$1005:$U$1005,1,MATCH(COLUMNS($Q$1006:R1006),$Q$1006:$U$1006,0))&gt;=100000), " ",IF(INDEX($Q$2:$U$1001,MATCH(ROWS($J$2:J892),$J$2:$J$1001,0),MATCH(COLUMNS($Q$1006:R1006),$Q$1006:$U$1006,0)), HYPERLINK("#",""), HYPERLINK(CONCATENATE("#metadata!", ADDRESS(INDEX($L$2:$L$1001,MATCH(ROWS($J$2:J892),$J$2:$J$1001,0),0), INDEX($Q$1004:$U$1004,1,MATCH(COLUMNS($Q$1006:R1006),$Q$1006:$U$1006,0)))),"Fix")))</f>
        <v xml:space="preserve"> </v>
      </c>
      <c r="D892" s="3" t="str">
        <f ca="1">IF(OR(INDEX($K$2:$K$1001,MATCH(ROWS($J$2:J892),$J$2:$J$1001,0),1)&gt;=100000,INDEX($Q$1005:$U$1005,1,MATCH(COLUMNS($Q$1006:S1006),$Q$1006:$U$1006,0))&gt;=100000), " ",IF(INDEX($Q$2:$U$1001,MATCH(ROWS($J$2:J892),$J$2:$J$1001,0),MATCH(COLUMNS($Q$1006:S1006),$Q$1006:$U$1006,0)), HYPERLINK("#",""), HYPERLINK(CONCATENATE("#metadata!", ADDRESS(INDEX($L$2:$L$1001,MATCH(ROWS($J$2:J892),$J$2:$J$1001,0),0), INDEX($Q$1004:$U$1004,1,MATCH(COLUMNS($Q$1006:S1006),$Q$1006:$U$1006,0)))),"Fix")))</f>
        <v xml:space="preserve"> </v>
      </c>
      <c r="E892" s="3" t="str">
        <f ca="1">IF(OR(INDEX($K$2:$K$1001,MATCH(ROWS($J$2:J892),$J$2:$J$1001,0),1)&gt;=100000,INDEX($Q$1005:$U$1005,1,MATCH(COLUMNS($Q$1006:T1006),$Q$1006:$U$1006,0))&gt;=100000), " ",IF(INDEX($Q$2:$U$1001,MATCH(ROWS($J$2:J892),$J$2:$J$1001,0),MATCH(COLUMNS($Q$1006:T1006),$Q$1006:$U$1006,0)), HYPERLINK("#",""), HYPERLINK(CONCATENATE("#metadata!", ADDRESS(INDEX($L$2:$L$1001,MATCH(ROWS($J$2:J892),$J$2:$J$1001,0),0), INDEX($Q$1004:$U$1004,1,MATCH(COLUMNS($Q$1006:T1006),$Q$1006:$U$1006,0)))),"Fix")))</f>
        <v xml:space="preserve"> </v>
      </c>
      <c r="F892" s="3" t="str">
        <f ca="1">IF(OR(INDEX($K$2:$K$1001,MATCH(ROWS($J$2:J892),$J$2:$J$1001,0),1)&gt;=100000,INDEX($Q$1005:$U$1005,1,MATCH(COLUMNS($Q$1006:U1006),$Q$1006:$U$1006,0))&gt;=100000), " ",IF(INDEX($Q$2:$U$1001,MATCH(ROWS($J$2:J892),$J$2:$J$1001,0),MATCH(COLUMNS($Q$1006:U1006),$Q$1006:$U$1006,0)), HYPERLINK("#",""), HYPERLINK(CONCATENATE("#metadata!", ADDRESS(INDEX($L$2:$L$1001,MATCH(ROWS($J$2:J892),$J$2:$J$1001,0),0), INDEX($Q$1004:$U$1004,1,MATCH(COLUMNS($Q$1006:U1006),$Q$1006:$U$1006,0)))),"Fix")))</f>
        <v xml:space="preserve"> </v>
      </c>
      <c r="J892">
        <v>891</v>
      </c>
      <c r="K892">
        <v>100892</v>
      </c>
      <c r="L892">
        <v>892</v>
      </c>
      <c r="M892" t="b">
        <f t="shared" si="13"/>
        <v>1</v>
      </c>
      <c r="N892" t="b">
        <f>COUNTBLANK(metadata!B892:F892)=COLUMNS(metadata!B892:F892)</f>
        <v>1</v>
      </c>
      <c r="O892" t="str">
        <v/>
      </c>
      <c r="Q892" t="b">
        <f ca="1">AND(IF(metadata!B892="",FALSE,TRUE),COUNTIF(metadata!B:B, metadata!B892) = 1,NOT(ISERROR(SUMPRODUCT(SEARCH(MID(metadata!B892,ROW(INDIRECT("1:"&amp;LEN(metadata!B892))), 1),"0123456789abcdefghijklmnopqrstuvwxyzABCDEFGHIJKLMNOPQRSTUVWXYZ.")))))</f>
        <v>0</v>
      </c>
      <c r="R892" t="b">
        <f>AND(IF(metadata!C892="",FALSE,TRUE),OR(EXACT(metadata!C892,"saline"),EXACT(metadata!C892,"non-saline")))</f>
        <v>0</v>
      </c>
      <c r="S892" t="b">
        <f>AND(IF(metadata!D892="",FALSE,TRUE),OR(EXACT(metadata!D892,"surface (non-saline)"),EXACT(metadata!D892,"aerosol (non-saline)"),EXACT(metadata!D892,"sediment (non-saline)"),EXACT(metadata!D892,"surface (saline)"),EXACT(metadata!D892,"aerosol (saline)"),EXACT(metadata!D892,"sediment (saline)")))</f>
        <v>0</v>
      </c>
      <c r="T892" t="b">
        <f>AND(IF(metadata!E892="",FALSE,TRUE),EXACT(metadata!E892,"built environment"))</f>
        <v>0</v>
      </c>
      <c r="U892" t="b">
        <f>OR(AND(IF(metadata!F892="",FALSE,TRUE),EXACT(metadata!F892,"not applicable")),AND(IF(metadata!F892="",FALSE,TRUE),EXACT(metadata!F892,"anaerobic digester content")))</f>
        <v>0</v>
      </c>
    </row>
    <row r="893" spans="1:21" x14ac:dyDescent="0.2">
      <c r="A893" s="4" t="str">
        <f ca="1">IF(B893=" "," ",HYPERLINK(CONCATENATE("#metadata!",ADDRESS(INDEX($L$2:$L$1001,MATCH(ROWS($J$2:J893),$J$2:$J$1001,0),0),1)),INDEX($O$2:$O$1001,MATCH(ROWS($J$2:J893),$J$2:$J$1001,0),0)))</f>
        <v xml:space="preserve"> </v>
      </c>
      <c r="B893" s="3" t="str">
        <f ca="1">IF(OR(INDEX($K$2:$K$1001,MATCH(ROWS($J$2:J893),$J$2:$J$1001,0),1)&gt;=100000,INDEX($Q$1005:$U$1005,1,MATCH(COLUMNS($Q$1006:Q1006),$Q$1006:$U$1006,0))&gt;=100000), " ",IF(INDEX($Q$2:$U$1001,MATCH(ROWS($J$2:J893),$J$2:$J$1001,0),MATCH(COLUMNS($Q$1006:Q1006),$Q$1006:$U$1006,0)), HYPERLINK("#",""), HYPERLINK(CONCATENATE("#metadata!", ADDRESS(INDEX($L$2:$L$1001,MATCH(ROWS($J$2:J893),$J$2:$J$1001,0),0), INDEX($Q$1004:$U$1004,1,MATCH(COLUMNS($Q$1006:Q1006),$Q$1006:$U$1006,0)))),"Fix")))</f>
        <v xml:space="preserve"> </v>
      </c>
      <c r="C893" s="3" t="str">
        <f ca="1">IF(OR(INDEX($K$2:$K$1001,MATCH(ROWS($J$2:J893),$J$2:$J$1001,0),1)&gt;=100000,INDEX($Q$1005:$U$1005,1,MATCH(COLUMNS($Q$1006:R1006),$Q$1006:$U$1006,0))&gt;=100000), " ",IF(INDEX($Q$2:$U$1001,MATCH(ROWS($J$2:J893),$J$2:$J$1001,0),MATCH(COLUMNS($Q$1006:R1006),$Q$1006:$U$1006,0)), HYPERLINK("#",""), HYPERLINK(CONCATENATE("#metadata!", ADDRESS(INDEX($L$2:$L$1001,MATCH(ROWS($J$2:J893),$J$2:$J$1001,0),0), INDEX($Q$1004:$U$1004,1,MATCH(COLUMNS($Q$1006:R1006),$Q$1006:$U$1006,0)))),"Fix")))</f>
        <v xml:space="preserve"> </v>
      </c>
      <c r="D893" s="3" t="str">
        <f ca="1">IF(OR(INDEX($K$2:$K$1001,MATCH(ROWS($J$2:J893),$J$2:$J$1001,0),1)&gt;=100000,INDEX($Q$1005:$U$1005,1,MATCH(COLUMNS($Q$1006:S1006),$Q$1006:$U$1006,0))&gt;=100000), " ",IF(INDEX($Q$2:$U$1001,MATCH(ROWS($J$2:J893),$J$2:$J$1001,0),MATCH(COLUMNS($Q$1006:S1006),$Q$1006:$U$1006,0)), HYPERLINK("#",""), HYPERLINK(CONCATENATE("#metadata!", ADDRESS(INDEX($L$2:$L$1001,MATCH(ROWS($J$2:J893),$J$2:$J$1001,0),0), INDEX($Q$1004:$U$1004,1,MATCH(COLUMNS($Q$1006:S1006),$Q$1006:$U$1006,0)))),"Fix")))</f>
        <v xml:space="preserve"> </v>
      </c>
      <c r="E893" s="3" t="str">
        <f ca="1">IF(OR(INDEX($K$2:$K$1001,MATCH(ROWS($J$2:J893),$J$2:$J$1001,0),1)&gt;=100000,INDEX($Q$1005:$U$1005,1,MATCH(COLUMNS($Q$1006:T1006),$Q$1006:$U$1006,0))&gt;=100000), " ",IF(INDEX($Q$2:$U$1001,MATCH(ROWS($J$2:J893),$J$2:$J$1001,0),MATCH(COLUMNS($Q$1006:T1006),$Q$1006:$U$1006,0)), HYPERLINK("#",""), HYPERLINK(CONCATENATE("#metadata!", ADDRESS(INDEX($L$2:$L$1001,MATCH(ROWS($J$2:J893),$J$2:$J$1001,0),0), INDEX($Q$1004:$U$1004,1,MATCH(COLUMNS($Q$1006:T1006),$Q$1006:$U$1006,0)))),"Fix")))</f>
        <v xml:space="preserve"> </v>
      </c>
      <c r="F893" s="3" t="str">
        <f ca="1">IF(OR(INDEX($K$2:$K$1001,MATCH(ROWS($J$2:J893),$J$2:$J$1001,0),1)&gt;=100000,INDEX($Q$1005:$U$1005,1,MATCH(COLUMNS($Q$1006:U1006),$Q$1006:$U$1006,0))&gt;=100000), " ",IF(INDEX($Q$2:$U$1001,MATCH(ROWS($J$2:J893),$J$2:$J$1001,0),MATCH(COLUMNS($Q$1006:U1006),$Q$1006:$U$1006,0)), HYPERLINK("#",""), HYPERLINK(CONCATENATE("#metadata!", ADDRESS(INDEX($L$2:$L$1001,MATCH(ROWS($J$2:J893),$J$2:$J$1001,0),0), INDEX($Q$1004:$U$1004,1,MATCH(COLUMNS($Q$1006:U1006),$Q$1006:$U$1006,0)))),"Fix")))</f>
        <v xml:space="preserve"> </v>
      </c>
      <c r="J893">
        <v>892</v>
      </c>
      <c r="K893">
        <v>100893</v>
      </c>
      <c r="L893">
        <v>893</v>
      </c>
      <c r="M893" t="b">
        <f t="shared" si="13"/>
        <v>1</v>
      </c>
      <c r="N893" t="b">
        <f>COUNTBLANK(metadata!B893:F893)=COLUMNS(metadata!B893:F893)</f>
        <v>1</v>
      </c>
      <c r="O893" t="str">
        <v/>
      </c>
      <c r="Q893" t="b">
        <f ca="1">AND(IF(metadata!B893="",FALSE,TRUE),COUNTIF(metadata!B:B, metadata!B893) = 1,NOT(ISERROR(SUMPRODUCT(SEARCH(MID(metadata!B893,ROW(INDIRECT("1:"&amp;LEN(metadata!B893))), 1),"0123456789abcdefghijklmnopqrstuvwxyzABCDEFGHIJKLMNOPQRSTUVWXYZ.")))))</f>
        <v>0</v>
      </c>
      <c r="R893" t="b">
        <f>AND(IF(metadata!C893="",FALSE,TRUE),OR(EXACT(metadata!C893,"saline"),EXACT(metadata!C893,"non-saline")))</f>
        <v>0</v>
      </c>
      <c r="S893" t="b">
        <f>AND(IF(metadata!D893="",FALSE,TRUE),OR(EXACT(metadata!D893,"surface (non-saline)"),EXACT(metadata!D893,"aerosol (non-saline)"),EXACT(metadata!D893,"sediment (non-saline)"),EXACT(metadata!D893,"surface (saline)"),EXACT(metadata!D893,"aerosol (saline)"),EXACT(metadata!D893,"sediment (saline)")))</f>
        <v>0</v>
      </c>
      <c r="T893" t="b">
        <f>AND(IF(metadata!E893="",FALSE,TRUE),EXACT(metadata!E893,"built environment"))</f>
        <v>0</v>
      </c>
      <c r="U893" t="b">
        <f>OR(AND(IF(metadata!F893="",FALSE,TRUE),EXACT(metadata!F893,"not applicable")),AND(IF(metadata!F893="",FALSE,TRUE),EXACT(metadata!F893,"anaerobic digester content")))</f>
        <v>0</v>
      </c>
    </row>
    <row r="894" spans="1:21" x14ac:dyDescent="0.2">
      <c r="A894" s="4" t="str">
        <f ca="1">IF(B894=" "," ",HYPERLINK(CONCATENATE("#metadata!",ADDRESS(INDEX($L$2:$L$1001,MATCH(ROWS($J$2:J894),$J$2:$J$1001,0),0),1)),INDEX($O$2:$O$1001,MATCH(ROWS($J$2:J894),$J$2:$J$1001,0),0)))</f>
        <v xml:space="preserve"> </v>
      </c>
      <c r="B894" s="3" t="str">
        <f ca="1">IF(OR(INDEX($K$2:$K$1001,MATCH(ROWS($J$2:J894),$J$2:$J$1001,0),1)&gt;=100000,INDEX($Q$1005:$U$1005,1,MATCH(COLUMNS($Q$1006:Q1006),$Q$1006:$U$1006,0))&gt;=100000), " ",IF(INDEX($Q$2:$U$1001,MATCH(ROWS($J$2:J894),$J$2:$J$1001,0),MATCH(COLUMNS($Q$1006:Q1006),$Q$1006:$U$1006,0)), HYPERLINK("#",""), HYPERLINK(CONCATENATE("#metadata!", ADDRESS(INDEX($L$2:$L$1001,MATCH(ROWS($J$2:J894),$J$2:$J$1001,0),0), INDEX($Q$1004:$U$1004,1,MATCH(COLUMNS($Q$1006:Q1006),$Q$1006:$U$1006,0)))),"Fix")))</f>
        <v xml:space="preserve"> </v>
      </c>
      <c r="C894" s="3" t="str">
        <f ca="1">IF(OR(INDEX($K$2:$K$1001,MATCH(ROWS($J$2:J894),$J$2:$J$1001,0),1)&gt;=100000,INDEX($Q$1005:$U$1005,1,MATCH(COLUMNS($Q$1006:R1006),$Q$1006:$U$1006,0))&gt;=100000), " ",IF(INDEX($Q$2:$U$1001,MATCH(ROWS($J$2:J894),$J$2:$J$1001,0),MATCH(COLUMNS($Q$1006:R1006),$Q$1006:$U$1006,0)), HYPERLINK("#",""), HYPERLINK(CONCATENATE("#metadata!", ADDRESS(INDEX($L$2:$L$1001,MATCH(ROWS($J$2:J894),$J$2:$J$1001,0),0), INDEX($Q$1004:$U$1004,1,MATCH(COLUMNS($Q$1006:R1006),$Q$1006:$U$1006,0)))),"Fix")))</f>
        <v xml:space="preserve"> </v>
      </c>
      <c r="D894" s="3" t="str">
        <f ca="1">IF(OR(INDEX($K$2:$K$1001,MATCH(ROWS($J$2:J894),$J$2:$J$1001,0),1)&gt;=100000,INDEX($Q$1005:$U$1005,1,MATCH(COLUMNS($Q$1006:S1006),$Q$1006:$U$1006,0))&gt;=100000), " ",IF(INDEX($Q$2:$U$1001,MATCH(ROWS($J$2:J894),$J$2:$J$1001,0),MATCH(COLUMNS($Q$1006:S1006),$Q$1006:$U$1006,0)), HYPERLINK("#",""), HYPERLINK(CONCATENATE("#metadata!", ADDRESS(INDEX($L$2:$L$1001,MATCH(ROWS($J$2:J894),$J$2:$J$1001,0),0), INDEX($Q$1004:$U$1004,1,MATCH(COLUMNS($Q$1006:S1006),$Q$1006:$U$1006,0)))),"Fix")))</f>
        <v xml:space="preserve"> </v>
      </c>
      <c r="E894" s="3" t="str">
        <f ca="1">IF(OR(INDEX($K$2:$K$1001,MATCH(ROWS($J$2:J894),$J$2:$J$1001,0),1)&gt;=100000,INDEX($Q$1005:$U$1005,1,MATCH(COLUMNS($Q$1006:T1006),$Q$1006:$U$1006,0))&gt;=100000), " ",IF(INDEX($Q$2:$U$1001,MATCH(ROWS($J$2:J894),$J$2:$J$1001,0),MATCH(COLUMNS($Q$1006:T1006),$Q$1006:$U$1006,0)), HYPERLINK("#",""), HYPERLINK(CONCATENATE("#metadata!", ADDRESS(INDEX($L$2:$L$1001,MATCH(ROWS($J$2:J894),$J$2:$J$1001,0),0), INDEX($Q$1004:$U$1004,1,MATCH(COLUMNS($Q$1006:T1006),$Q$1006:$U$1006,0)))),"Fix")))</f>
        <v xml:space="preserve"> </v>
      </c>
      <c r="F894" s="3" t="str">
        <f ca="1">IF(OR(INDEX($K$2:$K$1001,MATCH(ROWS($J$2:J894),$J$2:$J$1001,0),1)&gt;=100000,INDEX($Q$1005:$U$1005,1,MATCH(COLUMNS($Q$1006:U1006),$Q$1006:$U$1006,0))&gt;=100000), " ",IF(INDEX($Q$2:$U$1001,MATCH(ROWS($J$2:J894),$J$2:$J$1001,0),MATCH(COLUMNS($Q$1006:U1006),$Q$1006:$U$1006,0)), HYPERLINK("#",""), HYPERLINK(CONCATENATE("#metadata!", ADDRESS(INDEX($L$2:$L$1001,MATCH(ROWS($J$2:J894),$J$2:$J$1001,0),0), INDEX($Q$1004:$U$1004,1,MATCH(COLUMNS($Q$1006:U1006),$Q$1006:$U$1006,0)))),"Fix")))</f>
        <v xml:space="preserve"> </v>
      </c>
      <c r="J894">
        <v>893</v>
      </c>
      <c r="K894">
        <v>100894</v>
      </c>
      <c r="L894">
        <v>894</v>
      </c>
      <c r="M894" t="b">
        <f t="shared" si="13"/>
        <v>1</v>
      </c>
      <c r="N894" t="b">
        <f>COUNTBLANK(metadata!B894:F894)=COLUMNS(metadata!B894:F894)</f>
        <v>1</v>
      </c>
      <c r="O894" t="str">
        <v/>
      </c>
      <c r="Q894" t="b">
        <f ca="1">AND(IF(metadata!B894="",FALSE,TRUE),COUNTIF(metadata!B:B, metadata!B894) = 1,NOT(ISERROR(SUMPRODUCT(SEARCH(MID(metadata!B894,ROW(INDIRECT("1:"&amp;LEN(metadata!B894))), 1),"0123456789abcdefghijklmnopqrstuvwxyzABCDEFGHIJKLMNOPQRSTUVWXYZ.")))))</f>
        <v>0</v>
      </c>
      <c r="R894" t="b">
        <f>AND(IF(metadata!C894="",FALSE,TRUE),OR(EXACT(metadata!C894,"saline"),EXACT(metadata!C894,"non-saline")))</f>
        <v>0</v>
      </c>
      <c r="S894" t="b">
        <f>AND(IF(metadata!D894="",FALSE,TRUE),OR(EXACT(metadata!D894,"surface (non-saline)"),EXACT(metadata!D894,"aerosol (non-saline)"),EXACT(metadata!D894,"sediment (non-saline)"),EXACT(metadata!D894,"surface (saline)"),EXACT(metadata!D894,"aerosol (saline)"),EXACT(metadata!D894,"sediment (saline)")))</f>
        <v>0</v>
      </c>
      <c r="T894" t="b">
        <f>AND(IF(metadata!E894="",FALSE,TRUE),EXACT(metadata!E894,"built environment"))</f>
        <v>0</v>
      </c>
      <c r="U894" t="b">
        <f>OR(AND(IF(metadata!F894="",FALSE,TRUE),EXACT(metadata!F894,"not applicable")),AND(IF(metadata!F894="",FALSE,TRUE),EXACT(metadata!F894,"anaerobic digester content")))</f>
        <v>0</v>
      </c>
    </row>
    <row r="895" spans="1:21" x14ac:dyDescent="0.2">
      <c r="A895" s="4" t="str">
        <f ca="1">IF(B895=" "," ",HYPERLINK(CONCATENATE("#metadata!",ADDRESS(INDEX($L$2:$L$1001,MATCH(ROWS($J$2:J895),$J$2:$J$1001,0),0),1)),INDEX($O$2:$O$1001,MATCH(ROWS($J$2:J895),$J$2:$J$1001,0),0)))</f>
        <v xml:space="preserve"> </v>
      </c>
      <c r="B895" s="3" t="str">
        <f ca="1">IF(OR(INDEX($K$2:$K$1001,MATCH(ROWS($J$2:J895),$J$2:$J$1001,0),1)&gt;=100000,INDEX($Q$1005:$U$1005,1,MATCH(COLUMNS($Q$1006:Q1006),$Q$1006:$U$1006,0))&gt;=100000), " ",IF(INDEX($Q$2:$U$1001,MATCH(ROWS($J$2:J895),$J$2:$J$1001,0),MATCH(COLUMNS($Q$1006:Q1006),$Q$1006:$U$1006,0)), HYPERLINK("#",""), HYPERLINK(CONCATENATE("#metadata!", ADDRESS(INDEX($L$2:$L$1001,MATCH(ROWS($J$2:J895),$J$2:$J$1001,0),0), INDEX($Q$1004:$U$1004,1,MATCH(COLUMNS($Q$1006:Q1006),$Q$1006:$U$1006,0)))),"Fix")))</f>
        <v xml:space="preserve"> </v>
      </c>
      <c r="C895" s="3" t="str">
        <f ca="1">IF(OR(INDEX($K$2:$K$1001,MATCH(ROWS($J$2:J895),$J$2:$J$1001,0),1)&gt;=100000,INDEX($Q$1005:$U$1005,1,MATCH(COLUMNS($Q$1006:R1006),$Q$1006:$U$1006,0))&gt;=100000), " ",IF(INDEX($Q$2:$U$1001,MATCH(ROWS($J$2:J895),$J$2:$J$1001,0),MATCH(COLUMNS($Q$1006:R1006),$Q$1006:$U$1006,0)), HYPERLINK("#",""), HYPERLINK(CONCATENATE("#metadata!", ADDRESS(INDEX($L$2:$L$1001,MATCH(ROWS($J$2:J895),$J$2:$J$1001,0),0), INDEX($Q$1004:$U$1004,1,MATCH(COLUMNS($Q$1006:R1006),$Q$1006:$U$1006,0)))),"Fix")))</f>
        <v xml:space="preserve"> </v>
      </c>
      <c r="D895" s="3" t="str">
        <f ca="1">IF(OR(INDEX($K$2:$K$1001,MATCH(ROWS($J$2:J895),$J$2:$J$1001,0),1)&gt;=100000,INDEX($Q$1005:$U$1005,1,MATCH(COLUMNS($Q$1006:S1006),$Q$1006:$U$1006,0))&gt;=100000), " ",IF(INDEX($Q$2:$U$1001,MATCH(ROWS($J$2:J895),$J$2:$J$1001,0),MATCH(COLUMNS($Q$1006:S1006),$Q$1006:$U$1006,0)), HYPERLINK("#",""), HYPERLINK(CONCATENATE("#metadata!", ADDRESS(INDEX($L$2:$L$1001,MATCH(ROWS($J$2:J895),$J$2:$J$1001,0),0), INDEX($Q$1004:$U$1004,1,MATCH(COLUMNS($Q$1006:S1006),$Q$1006:$U$1006,0)))),"Fix")))</f>
        <v xml:space="preserve"> </v>
      </c>
      <c r="E895" s="3" t="str">
        <f ca="1">IF(OR(INDEX($K$2:$K$1001,MATCH(ROWS($J$2:J895),$J$2:$J$1001,0),1)&gt;=100000,INDEX($Q$1005:$U$1005,1,MATCH(COLUMNS($Q$1006:T1006),$Q$1006:$U$1006,0))&gt;=100000), " ",IF(INDEX($Q$2:$U$1001,MATCH(ROWS($J$2:J895),$J$2:$J$1001,0),MATCH(COLUMNS($Q$1006:T1006),$Q$1006:$U$1006,0)), HYPERLINK("#",""), HYPERLINK(CONCATENATE("#metadata!", ADDRESS(INDEX($L$2:$L$1001,MATCH(ROWS($J$2:J895),$J$2:$J$1001,0),0), INDEX($Q$1004:$U$1004,1,MATCH(COLUMNS($Q$1006:T1006),$Q$1006:$U$1006,0)))),"Fix")))</f>
        <v xml:space="preserve"> </v>
      </c>
      <c r="F895" s="3" t="str">
        <f ca="1">IF(OR(INDEX($K$2:$K$1001,MATCH(ROWS($J$2:J895),$J$2:$J$1001,0),1)&gt;=100000,INDEX($Q$1005:$U$1005,1,MATCH(COLUMNS($Q$1006:U1006),$Q$1006:$U$1006,0))&gt;=100000), " ",IF(INDEX($Q$2:$U$1001,MATCH(ROWS($J$2:J895),$J$2:$J$1001,0),MATCH(COLUMNS($Q$1006:U1006),$Q$1006:$U$1006,0)), HYPERLINK("#",""), HYPERLINK(CONCATENATE("#metadata!", ADDRESS(INDEX($L$2:$L$1001,MATCH(ROWS($J$2:J895),$J$2:$J$1001,0),0), INDEX($Q$1004:$U$1004,1,MATCH(COLUMNS($Q$1006:U1006),$Q$1006:$U$1006,0)))),"Fix")))</f>
        <v xml:space="preserve"> </v>
      </c>
      <c r="J895">
        <v>894</v>
      </c>
      <c r="K895">
        <v>100895</v>
      </c>
      <c r="L895">
        <v>895</v>
      </c>
      <c r="M895" t="b">
        <f t="shared" si="13"/>
        <v>1</v>
      </c>
      <c r="N895" t="b">
        <f>COUNTBLANK(metadata!B895:F895)=COLUMNS(metadata!B895:F895)</f>
        <v>1</v>
      </c>
      <c r="O895" t="str">
        <v/>
      </c>
      <c r="Q895" t="b">
        <f ca="1">AND(IF(metadata!B895="",FALSE,TRUE),COUNTIF(metadata!B:B, metadata!B895) = 1,NOT(ISERROR(SUMPRODUCT(SEARCH(MID(metadata!B895,ROW(INDIRECT("1:"&amp;LEN(metadata!B895))), 1),"0123456789abcdefghijklmnopqrstuvwxyzABCDEFGHIJKLMNOPQRSTUVWXYZ.")))))</f>
        <v>0</v>
      </c>
      <c r="R895" t="b">
        <f>AND(IF(metadata!C895="",FALSE,TRUE),OR(EXACT(metadata!C895,"saline"),EXACT(metadata!C895,"non-saline")))</f>
        <v>0</v>
      </c>
      <c r="S895" t="b">
        <f>AND(IF(metadata!D895="",FALSE,TRUE),OR(EXACT(metadata!D895,"surface (non-saline)"),EXACT(metadata!D895,"aerosol (non-saline)"),EXACT(metadata!D895,"sediment (non-saline)"),EXACT(metadata!D895,"surface (saline)"),EXACT(metadata!D895,"aerosol (saline)"),EXACT(metadata!D895,"sediment (saline)")))</f>
        <v>0</v>
      </c>
      <c r="T895" t="b">
        <f>AND(IF(metadata!E895="",FALSE,TRUE),EXACT(metadata!E895,"built environment"))</f>
        <v>0</v>
      </c>
      <c r="U895" t="b">
        <f>OR(AND(IF(metadata!F895="",FALSE,TRUE),EXACT(metadata!F895,"not applicable")),AND(IF(metadata!F895="",FALSE,TRUE),EXACT(metadata!F895,"anaerobic digester content")))</f>
        <v>0</v>
      </c>
    </row>
    <row r="896" spans="1:21" x14ac:dyDescent="0.2">
      <c r="A896" s="4" t="str">
        <f ca="1">IF(B896=" "," ",HYPERLINK(CONCATENATE("#metadata!",ADDRESS(INDEX($L$2:$L$1001,MATCH(ROWS($J$2:J896),$J$2:$J$1001,0),0),1)),INDEX($O$2:$O$1001,MATCH(ROWS($J$2:J896),$J$2:$J$1001,0),0)))</f>
        <v xml:space="preserve"> </v>
      </c>
      <c r="B896" s="3" t="str">
        <f ca="1">IF(OR(INDEX($K$2:$K$1001,MATCH(ROWS($J$2:J896),$J$2:$J$1001,0),1)&gt;=100000,INDEX($Q$1005:$U$1005,1,MATCH(COLUMNS($Q$1006:Q1006),$Q$1006:$U$1006,0))&gt;=100000), " ",IF(INDEX($Q$2:$U$1001,MATCH(ROWS($J$2:J896),$J$2:$J$1001,0),MATCH(COLUMNS($Q$1006:Q1006),$Q$1006:$U$1006,0)), HYPERLINK("#",""), HYPERLINK(CONCATENATE("#metadata!", ADDRESS(INDEX($L$2:$L$1001,MATCH(ROWS($J$2:J896),$J$2:$J$1001,0),0), INDEX($Q$1004:$U$1004,1,MATCH(COLUMNS($Q$1006:Q1006),$Q$1006:$U$1006,0)))),"Fix")))</f>
        <v xml:space="preserve"> </v>
      </c>
      <c r="C896" s="3" t="str">
        <f ca="1">IF(OR(INDEX($K$2:$K$1001,MATCH(ROWS($J$2:J896),$J$2:$J$1001,0),1)&gt;=100000,INDEX($Q$1005:$U$1005,1,MATCH(COLUMNS($Q$1006:R1006),$Q$1006:$U$1006,0))&gt;=100000), " ",IF(INDEX($Q$2:$U$1001,MATCH(ROWS($J$2:J896),$J$2:$J$1001,0),MATCH(COLUMNS($Q$1006:R1006),$Q$1006:$U$1006,0)), HYPERLINK("#",""), HYPERLINK(CONCATENATE("#metadata!", ADDRESS(INDEX($L$2:$L$1001,MATCH(ROWS($J$2:J896),$J$2:$J$1001,0),0), INDEX($Q$1004:$U$1004,1,MATCH(COLUMNS($Q$1006:R1006),$Q$1006:$U$1006,0)))),"Fix")))</f>
        <v xml:space="preserve"> </v>
      </c>
      <c r="D896" s="3" t="str">
        <f ca="1">IF(OR(INDEX($K$2:$K$1001,MATCH(ROWS($J$2:J896),$J$2:$J$1001,0),1)&gt;=100000,INDEX($Q$1005:$U$1005,1,MATCH(COLUMNS($Q$1006:S1006),$Q$1006:$U$1006,0))&gt;=100000), " ",IF(INDEX($Q$2:$U$1001,MATCH(ROWS($J$2:J896),$J$2:$J$1001,0),MATCH(COLUMNS($Q$1006:S1006),$Q$1006:$U$1006,0)), HYPERLINK("#",""), HYPERLINK(CONCATENATE("#metadata!", ADDRESS(INDEX($L$2:$L$1001,MATCH(ROWS($J$2:J896),$J$2:$J$1001,0),0), INDEX($Q$1004:$U$1004,1,MATCH(COLUMNS($Q$1006:S1006),$Q$1006:$U$1006,0)))),"Fix")))</f>
        <v xml:space="preserve"> </v>
      </c>
      <c r="E896" s="3" t="str">
        <f ca="1">IF(OR(INDEX($K$2:$K$1001,MATCH(ROWS($J$2:J896),$J$2:$J$1001,0),1)&gt;=100000,INDEX($Q$1005:$U$1005,1,MATCH(COLUMNS($Q$1006:T1006),$Q$1006:$U$1006,0))&gt;=100000), " ",IF(INDEX($Q$2:$U$1001,MATCH(ROWS($J$2:J896),$J$2:$J$1001,0),MATCH(COLUMNS($Q$1006:T1006),$Q$1006:$U$1006,0)), HYPERLINK("#",""), HYPERLINK(CONCATENATE("#metadata!", ADDRESS(INDEX($L$2:$L$1001,MATCH(ROWS($J$2:J896),$J$2:$J$1001,0),0), INDEX($Q$1004:$U$1004,1,MATCH(COLUMNS($Q$1006:T1006),$Q$1006:$U$1006,0)))),"Fix")))</f>
        <v xml:space="preserve"> </v>
      </c>
      <c r="F896" s="3" t="str">
        <f ca="1">IF(OR(INDEX($K$2:$K$1001,MATCH(ROWS($J$2:J896),$J$2:$J$1001,0),1)&gt;=100000,INDEX($Q$1005:$U$1005,1,MATCH(COLUMNS($Q$1006:U1006),$Q$1006:$U$1006,0))&gt;=100000), " ",IF(INDEX($Q$2:$U$1001,MATCH(ROWS($J$2:J896),$J$2:$J$1001,0),MATCH(COLUMNS($Q$1006:U1006),$Q$1006:$U$1006,0)), HYPERLINK("#",""), HYPERLINK(CONCATENATE("#metadata!", ADDRESS(INDEX($L$2:$L$1001,MATCH(ROWS($J$2:J896),$J$2:$J$1001,0),0), INDEX($Q$1004:$U$1004,1,MATCH(COLUMNS($Q$1006:U1006),$Q$1006:$U$1006,0)))),"Fix")))</f>
        <v xml:space="preserve"> </v>
      </c>
      <c r="J896">
        <v>895</v>
      </c>
      <c r="K896">
        <v>100896</v>
      </c>
      <c r="L896">
        <v>896</v>
      </c>
      <c r="M896" t="b">
        <f t="shared" si="13"/>
        <v>1</v>
      </c>
      <c r="N896" t="b">
        <f>COUNTBLANK(metadata!B896:F896)=COLUMNS(metadata!B896:F896)</f>
        <v>1</v>
      </c>
      <c r="O896" t="str">
        <v/>
      </c>
      <c r="Q896" t="b">
        <f ca="1">AND(IF(metadata!B896="",FALSE,TRUE),COUNTIF(metadata!B:B, metadata!B896) = 1,NOT(ISERROR(SUMPRODUCT(SEARCH(MID(metadata!B896,ROW(INDIRECT("1:"&amp;LEN(metadata!B896))), 1),"0123456789abcdefghijklmnopqrstuvwxyzABCDEFGHIJKLMNOPQRSTUVWXYZ.")))))</f>
        <v>0</v>
      </c>
      <c r="R896" t="b">
        <f>AND(IF(metadata!C896="",FALSE,TRUE),OR(EXACT(metadata!C896,"saline"),EXACT(metadata!C896,"non-saline")))</f>
        <v>0</v>
      </c>
      <c r="S896" t="b">
        <f>AND(IF(metadata!D896="",FALSE,TRUE),OR(EXACT(metadata!D896,"surface (non-saline)"),EXACT(metadata!D896,"aerosol (non-saline)"),EXACT(metadata!D896,"sediment (non-saline)"),EXACT(metadata!D896,"surface (saline)"),EXACT(metadata!D896,"aerosol (saline)"),EXACT(metadata!D896,"sediment (saline)")))</f>
        <v>0</v>
      </c>
      <c r="T896" t="b">
        <f>AND(IF(metadata!E896="",FALSE,TRUE),EXACT(metadata!E896,"built environment"))</f>
        <v>0</v>
      </c>
      <c r="U896" t="b">
        <f>OR(AND(IF(metadata!F896="",FALSE,TRUE),EXACT(metadata!F896,"not applicable")),AND(IF(metadata!F896="",FALSE,TRUE),EXACT(metadata!F896,"anaerobic digester content")))</f>
        <v>0</v>
      </c>
    </row>
    <row r="897" spans="1:21" x14ac:dyDescent="0.2">
      <c r="A897" s="4" t="str">
        <f ca="1">IF(B897=" "," ",HYPERLINK(CONCATENATE("#metadata!",ADDRESS(INDEX($L$2:$L$1001,MATCH(ROWS($J$2:J897),$J$2:$J$1001,0),0),1)),INDEX($O$2:$O$1001,MATCH(ROWS($J$2:J897),$J$2:$J$1001,0),0)))</f>
        <v xml:space="preserve"> </v>
      </c>
      <c r="B897" s="3" t="str">
        <f ca="1">IF(OR(INDEX($K$2:$K$1001,MATCH(ROWS($J$2:J897),$J$2:$J$1001,0),1)&gt;=100000,INDEX($Q$1005:$U$1005,1,MATCH(COLUMNS($Q$1006:Q1006),$Q$1006:$U$1006,0))&gt;=100000), " ",IF(INDEX($Q$2:$U$1001,MATCH(ROWS($J$2:J897),$J$2:$J$1001,0),MATCH(COLUMNS($Q$1006:Q1006),$Q$1006:$U$1006,0)), HYPERLINK("#",""), HYPERLINK(CONCATENATE("#metadata!", ADDRESS(INDEX($L$2:$L$1001,MATCH(ROWS($J$2:J897),$J$2:$J$1001,0),0), INDEX($Q$1004:$U$1004,1,MATCH(COLUMNS($Q$1006:Q1006),$Q$1006:$U$1006,0)))),"Fix")))</f>
        <v xml:space="preserve"> </v>
      </c>
      <c r="C897" s="3" t="str">
        <f ca="1">IF(OR(INDEX($K$2:$K$1001,MATCH(ROWS($J$2:J897),$J$2:$J$1001,0),1)&gt;=100000,INDEX($Q$1005:$U$1005,1,MATCH(COLUMNS($Q$1006:R1006),$Q$1006:$U$1006,0))&gt;=100000), " ",IF(INDEX($Q$2:$U$1001,MATCH(ROWS($J$2:J897),$J$2:$J$1001,0),MATCH(COLUMNS($Q$1006:R1006),$Q$1006:$U$1006,0)), HYPERLINK("#",""), HYPERLINK(CONCATENATE("#metadata!", ADDRESS(INDEX($L$2:$L$1001,MATCH(ROWS($J$2:J897),$J$2:$J$1001,0),0), INDEX($Q$1004:$U$1004,1,MATCH(COLUMNS($Q$1006:R1006),$Q$1006:$U$1006,0)))),"Fix")))</f>
        <v xml:space="preserve"> </v>
      </c>
      <c r="D897" s="3" t="str">
        <f ca="1">IF(OR(INDEX($K$2:$K$1001,MATCH(ROWS($J$2:J897),$J$2:$J$1001,0),1)&gt;=100000,INDEX($Q$1005:$U$1005,1,MATCH(COLUMNS($Q$1006:S1006),$Q$1006:$U$1006,0))&gt;=100000), " ",IF(INDEX($Q$2:$U$1001,MATCH(ROWS($J$2:J897),$J$2:$J$1001,0),MATCH(COLUMNS($Q$1006:S1006),$Q$1006:$U$1006,0)), HYPERLINK("#",""), HYPERLINK(CONCATENATE("#metadata!", ADDRESS(INDEX($L$2:$L$1001,MATCH(ROWS($J$2:J897),$J$2:$J$1001,0),0), INDEX($Q$1004:$U$1004,1,MATCH(COLUMNS($Q$1006:S1006),$Q$1006:$U$1006,0)))),"Fix")))</f>
        <v xml:space="preserve"> </v>
      </c>
      <c r="E897" s="3" t="str">
        <f ca="1">IF(OR(INDEX($K$2:$K$1001,MATCH(ROWS($J$2:J897),$J$2:$J$1001,0),1)&gt;=100000,INDEX($Q$1005:$U$1005,1,MATCH(COLUMNS($Q$1006:T1006),$Q$1006:$U$1006,0))&gt;=100000), " ",IF(INDEX($Q$2:$U$1001,MATCH(ROWS($J$2:J897),$J$2:$J$1001,0),MATCH(COLUMNS($Q$1006:T1006),$Q$1006:$U$1006,0)), HYPERLINK("#",""), HYPERLINK(CONCATENATE("#metadata!", ADDRESS(INDEX($L$2:$L$1001,MATCH(ROWS($J$2:J897),$J$2:$J$1001,0),0), INDEX($Q$1004:$U$1004,1,MATCH(COLUMNS($Q$1006:T1006),$Q$1006:$U$1006,0)))),"Fix")))</f>
        <v xml:space="preserve"> </v>
      </c>
      <c r="F897" s="3" t="str">
        <f ca="1">IF(OR(INDEX($K$2:$K$1001,MATCH(ROWS($J$2:J897),$J$2:$J$1001,0),1)&gt;=100000,INDEX($Q$1005:$U$1005,1,MATCH(COLUMNS($Q$1006:U1006),$Q$1006:$U$1006,0))&gt;=100000), " ",IF(INDEX($Q$2:$U$1001,MATCH(ROWS($J$2:J897),$J$2:$J$1001,0),MATCH(COLUMNS($Q$1006:U1006),$Q$1006:$U$1006,0)), HYPERLINK("#",""), HYPERLINK(CONCATENATE("#metadata!", ADDRESS(INDEX($L$2:$L$1001,MATCH(ROWS($J$2:J897),$J$2:$J$1001,0),0), INDEX($Q$1004:$U$1004,1,MATCH(COLUMNS($Q$1006:U1006),$Q$1006:$U$1006,0)))),"Fix")))</f>
        <v xml:space="preserve"> </v>
      </c>
      <c r="J897">
        <v>896</v>
      </c>
      <c r="K897">
        <v>100897</v>
      </c>
      <c r="L897">
        <v>897</v>
      </c>
      <c r="M897" t="b">
        <f t="shared" si="13"/>
        <v>1</v>
      </c>
      <c r="N897" t="b">
        <f>COUNTBLANK(metadata!B897:F897)=COLUMNS(metadata!B897:F897)</f>
        <v>1</v>
      </c>
      <c r="O897" t="str">
        <v/>
      </c>
      <c r="Q897" t="b">
        <f ca="1">AND(IF(metadata!B897="",FALSE,TRUE),COUNTIF(metadata!B:B, metadata!B897) = 1,NOT(ISERROR(SUMPRODUCT(SEARCH(MID(metadata!B897,ROW(INDIRECT("1:"&amp;LEN(metadata!B897))), 1),"0123456789abcdefghijklmnopqrstuvwxyzABCDEFGHIJKLMNOPQRSTUVWXYZ.")))))</f>
        <v>0</v>
      </c>
      <c r="R897" t="b">
        <f>AND(IF(metadata!C897="",FALSE,TRUE),OR(EXACT(metadata!C897,"saline"),EXACT(metadata!C897,"non-saline")))</f>
        <v>0</v>
      </c>
      <c r="S897" t="b">
        <f>AND(IF(metadata!D897="",FALSE,TRUE),OR(EXACT(metadata!D897,"surface (non-saline)"),EXACT(metadata!D897,"aerosol (non-saline)"),EXACT(metadata!D897,"sediment (non-saline)"),EXACT(metadata!D897,"surface (saline)"),EXACT(metadata!D897,"aerosol (saline)"),EXACT(metadata!D897,"sediment (saline)")))</f>
        <v>0</v>
      </c>
      <c r="T897" t="b">
        <f>AND(IF(metadata!E897="",FALSE,TRUE),EXACT(metadata!E897,"built environment"))</f>
        <v>0</v>
      </c>
      <c r="U897" t="b">
        <f>OR(AND(IF(metadata!F897="",FALSE,TRUE),EXACT(metadata!F897,"not applicable")),AND(IF(metadata!F897="",FALSE,TRUE),EXACT(metadata!F897,"anaerobic digester content")))</f>
        <v>0</v>
      </c>
    </row>
    <row r="898" spans="1:21" x14ac:dyDescent="0.2">
      <c r="A898" s="4" t="str">
        <f ca="1">IF(B898=" "," ",HYPERLINK(CONCATENATE("#metadata!",ADDRESS(INDEX($L$2:$L$1001,MATCH(ROWS($J$2:J898),$J$2:$J$1001,0),0),1)),INDEX($O$2:$O$1001,MATCH(ROWS($J$2:J898),$J$2:$J$1001,0),0)))</f>
        <v xml:space="preserve"> </v>
      </c>
      <c r="B898" s="3" t="str">
        <f ca="1">IF(OR(INDEX($K$2:$K$1001,MATCH(ROWS($J$2:J898),$J$2:$J$1001,0),1)&gt;=100000,INDEX($Q$1005:$U$1005,1,MATCH(COLUMNS($Q$1006:Q1006),$Q$1006:$U$1006,0))&gt;=100000), " ",IF(INDEX($Q$2:$U$1001,MATCH(ROWS($J$2:J898),$J$2:$J$1001,0),MATCH(COLUMNS($Q$1006:Q1006),$Q$1006:$U$1006,0)), HYPERLINK("#",""), HYPERLINK(CONCATENATE("#metadata!", ADDRESS(INDEX($L$2:$L$1001,MATCH(ROWS($J$2:J898),$J$2:$J$1001,0),0), INDEX($Q$1004:$U$1004,1,MATCH(COLUMNS($Q$1006:Q1006),$Q$1006:$U$1006,0)))),"Fix")))</f>
        <v xml:space="preserve"> </v>
      </c>
      <c r="C898" s="3" t="str">
        <f ca="1">IF(OR(INDEX($K$2:$K$1001,MATCH(ROWS($J$2:J898),$J$2:$J$1001,0),1)&gt;=100000,INDEX($Q$1005:$U$1005,1,MATCH(COLUMNS($Q$1006:R1006),$Q$1006:$U$1006,0))&gt;=100000), " ",IF(INDEX($Q$2:$U$1001,MATCH(ROWS($J$2:J898),$J$2:$J$1001,0),MATCH(COLUMNS($Q$1006:R1006),$Q$1006:$U$1006,0)), HYPERLINK("#",""), HYPERLINK(CONCATENATE("#metadata!", ADDRESS(INDEX($L$2:$L$1001,MATCH(ROWS($J$2:J898),$J$2:$J$1001,0),0), INDEX($Q$1004:$U$1004,1,MATCH(COLUMNS($Q$1006:R1006),$Q$1006:$U$1006,0)))),"Fix")))</f>
        <v xml:space="preserve"> </v>
      </c>
      <c r="D898" s="3" t="str">
        <f ca="1">IF(OR(INDEX($K$2:$K$1001,MATCH(ROWS($J$2:J898),$J$2:$J$1001,0),1)&gt;=100000,INDEX($Q$1005:$U$1005,1,MATCH(COLUMNS($Q$1006:S1006),$Q$1006:$U$1006,0))&gt;=100000), " ",IF(INDEX($Q$2:$U$1001,MATCH(ROWS($J$2:J898),$J$2:$J$1001,0),MATCH(COLUMNS($Q$1006:S1006),$Q$1006:$U$1006,0)), HYPERLINK("#",""), HYPERLINK(CONCATENATE("#metadata!", ADDRESS(INDEX($L$2:$L$1001,MATCH(ROWS($J$2:J898),$J$2:$J$1001,0),0), INDEX($Q$1004:$U$1004,1,MATCH(COLUMNS($Q$1006:S1006),$Q$1006:$U$1006,0)))),"Fix")))</f>
        <v xml:space="preserve"> </v>
      </c>
      <c r="E898" s="3" t="str">
        <f ca="1">IF(OR(INDEX($K$2:$K$1001,MATCH(ROWS($J$2:J898),$J$2:$J$1001,0),1)&gt;=100000,INDEX($Q$1005:$U$1005,1,MATCH(COLUMNS($Q$1006:T1006),$Q$1006:$U$1006,0))&gt;=100000), " ",IF(INDEX($Q$2:$U$1001,MATCH(ROWS($J$2:J898),$J$2:$J$1001,0),MATCH(COLUMNS($Q$1006:T1006),$Q$1006:$U$1006,0)), HYPERLINK("#",""), HYPERLINK(CONCATENATE("#metadata!", ADDRESS(INDEX($L$2:$L$1001,MATCH(ROWS($J$2:J898),$J$2:$J$1001,0),0), INDEX($Q$1004:$U$1004,1,MATCH(COLUMNS($Q$1006:T1006),$Q$1006:$U$1006,0)))),"Fix")))</f>
        <v xml:space="preserve"> </v>
      </c>
      <c r="F898" s="3" t="str">
        <f ca="1">IF(OR(INDEX($K$2:$K$1001,MATCH(ROWS($J$2:J898),$J$2:$J$1001,0),1)&gt;=100000,INDEX($Q$1005:$U$1005,1,MATCH(COLUMNS($Q$1006:U1006),$Q$1006:$U$1006,0))&gt;=100000), " ",IF(INDEX($Q$2:$U$1001,MATCH(ROWS($J$2:J898),$J$2:$J$1001,0),MATCH(COLUMNS($Q$1006:U1006),$Q$1006:$U$1006,0)), HYPERLINK("#",""), HYPERLINK(CONCATENATE("#metadata!", ADDRESS(INDEX($L$2:$L$1001,MATCH(ROWS($J$2:J898),$J$2:$J$1001,0),0), INDEX($Q$1004:$U$1004,1,MATCH(COLUMNS($Q$1006:U1006),$Q$1006:$U$1006,0)))),"Fix")))</f>
        <v xml:space="preserve"> </v>
      </c>
      <c r="J898">
        <v>897</v>
      </c>
      <c r="K898">
        <v>100898</v>
      </c>
      <c r="L898">
        <v>898</v>
      </c>
      <c r="M898" t="b">
        <f t="shared" ref="M898:M961" si="14">IF(N898,TRUE,AND(Q898:U898))</f>
        <v>1</v>
      </c>
      <c r="N898" t="b">
        <f>COUNTBLANK(metadata!B898:F898)=COLUMNS(metadata!B898:F898)</f>
        <v>1</v>
      </c>
      <c r="O898" t="str">
        <v/>
      </c>
      <c r="Q898" t="b">
        <f ca="1">AND(IF(metadata!B898="",FALSE,TRUE),COUNTIF(metadata!B:B, metadata!B898) = 1,NOT(ISERROR(SUMPRODUCT(SEARCH(MID(metadata!B898,ROW(INDIRECT("1:"&amp;LEN(metadata!B898))), 1),"0123456789abcdefghijklmnopqrstuvwxyzABCDEFGHIJKLMNOPQRSTUVWXYZ.")))))</f>
        <v>0</v>
      </c>
      <c r="R898" t="b">
        <f>AND(IF(metadata!C898="",FALSE,TRUE),OR(EXACT(metadata!C898,"saline"),EXACT(metadata!C898,"non-saline")))</f>
        <v>0</v>
      </c>
      <c r="S898" t="b">
        <f>AND(IF(metadata!D898="",FALSE,TRUE),OR(EXACT(metadata!D898,"surface (non-saline)"),EXACT(metadata!D898,"aerosol (non-saline)"),EXACT(metadata!D898,"sediment (non-saline)"),EXACT(metadata!D898,"surface (saline)"),EXACT(metadata!D898,"aerosol (saline)"),EXACT(metadata!D898,"sediment (saline)")))</f>
        <v>0</v>
      </c>
      <c r="T898" t="b">
        <f>AND(IF(metadata!E898="",FALSE,TRUE),EXACT(metadata!E898,"built environment"))</f>
        <v>0</v>
      </c>
      <c r="U898" t="b">
        <f>OR(AND(IF(metadata!F898="",FALSE,TRUE),EXACT(metadata!F898,"not applicable")),AND(IF(metadata!F898="",FALSE,TRUE),EXACT(metadata!F898,"anaerobic digester content")))</f>
        <v>0</v>
      </c>
    </row>
    <row r="899" spans="1:21" x14ac:dyDescent="0.2">
      <c r="A899" s="4" t="str">
        <f ca="1">IF(B899=" "," ",HYPERLINK(CONCATENATE("#metadata!",ADDRESS(INDEX($L$2:$L$1001,MATCH(ROWS($J$2:J899),$J$2:$J$1001,0),0),1)),INDEX($O$2:$O$1001,MATCH(ROWS($J$2:J899),$J$2:$J$1001,0),0)))</f>
        <v xml:space="preserve"> </v>
      </c>
      <c r="B899" s="3" t="str">
        <f ca="1">IF(OR(INDEX($K$2:$K$1001,MATCH(ROWS($J$2:J899),$J$2:$J$1001,0),1)&gt;=100000,INDEX($Q$1005:$U$1005,1,MATCH(COLUMNS($Q$1006:Q1006),$Q$1006:$U$1006,0))&gt;=100000), " ",IF(INDEX($Q$2:$U$1001,MATCH(ROWS($J$2:J899),$J$2:$J$1001,0),MATCH(COLUMNS($Q$1006:Q1006),$Q$1006:$U$1006,0)), HYPERLINK("#",""), HYPERLINK(CONCATENATE("#metadata!", ADDRESS(INDEX($L$2:$L$1001,MATCH(ROWS($J$2:J899),$J$2:$J$1001,0),0), INDEX($Q$1004:$U$1004,1,MATCH(COLUMNS($Q$1006:Q1006),$Q$1006:$U$1006,0)))),"Fix")))</f>
        <v xml:space="preserve"> </v>
      </c>
      <c r="C899" s="3" t="str">
        <f ca="1">IF(OR(INDEX($K$2:$K$1001,MATCH(ROWS($J$2:J899),$J$2:$J$1001,0),1)&gt;=100000,INDEX($Q$1005:$U$1005,1,MATCH(COLUMNS($Q$1006:R1006),$Q$1006:$U$1006,0))&gt;=100000), " ",IF(INDEX($Q$2:$U$1001,MATCH(ROWS($J$2:J899),$J$2:$J$1001,0),MATCH(COLUMNS($Q$1006:R1006),$Q$1006:$U$1006,0)), HYPERLINK("#",""), HYPERLINK(CONCATENATE("#metadata!", ADDRESS(INDEX($L$2:$L$1001,MATCH(ROWS($J$2:J899),$J$2:$J$1001,0),0), INDEX($Q$1004:$U$1004,1,MATCH(COLUMNS($Q$1006:R1006),$Q$1006:$U$1006,0)))),"Fix")))</f>
        <v xml:space="preserve"> </v>
      </c>
      <c r="D899" s="3" t="str">
        <f ca="1">IF(OR(INDEX($K$2:$K$1001,MATCH(ROWS($J$2:J899),$J$2:$J$1001,0),1)&gt;=100000,INDEX($Q$1005:$U$1005,1,MATCH(COLUMNS($Q$1006:S1006),$Q$1006:$U$1006,0))&gt;=100000), " ",IF(INDEX($Q$2:$U$1001,MATCH(ROWS($J$2:J899),$J$2:$J$1001,0),MATCH(COLUMNS($Q$1006:S1006),$Q$1006:$U$1006,0)), HYPERLINK("#",""), HYPERLINK(CONCATENATE("#metadata!", ADDRESS(INDEX($L$2:$L$1001,MATCH(ROWS($J$2:J899),$J$2:$J$1001,0),0), INDEX($Q$1004:$U$1004,1,MATCH(COLUMNS($Q$1006:S1006),$Q$1006:$U$1006,0)))),"Fix")))</f>
        <v xml:space="preserve"> </v>
      </c>
      <c r="E899" s="3" t="str">
        <f ca="1">IF(OR(INDEX($K$2:$K$1001,MATCH(ROWS($J$2:J899),$J$2:$J$1001,0),1)&gt;=100000,INDEX($Q$1005:$U$1005,1,MATCH(COLUMNS($Q$1006:T1006),$Q$1006:$U$1006,0))&gt;=100000), " ",IF(INDEX($Q$2:$U$1001,MATCH(ROWS($J$2:J899),$J$2:$J$1001,0),MATCH(COLUMNS($Q$1006:T1006),$Q$1006:$U$1006,0)), HYPERLINK("#",""), HYPERLINK(CONCATENATE("#metadata!", ADDRESS(INDEX($L$2:$L$1001,MATCH(ROWS($J$2:J899),$J$2:$J$1001,0),0), INDEX($Q$1004:$U$1004,1,MATCH(COLUMNS($Q$1006:T1006),$Q$1006:$U$1006,0)))),"Fix")))</f>
        <v xml:space="preserve"> </v>
      </c>
      <c r="F899" s="3" t="str">
        <f ca="1">IF(OR(INDEX($K$2:$K$1001,MATCH(ROWS($J$2:J899),$J$2:$J$1001,0),1)&gt;=100000,INDEX($Q$1005:$U$1005,1,MATCH(COLUMNS($Q$1006:U1006),$Q$1006:$U$1006,0))&gt;=100000), " ",IF(INDEX($Q$2:$U$1001,MATCH(ROWS($J$2:J899),$J$2:$J$1001,0),MATCH(COLUMNS($Q$1006:U1006),$Q$1006:$U$1006,0)), HYPERLINK("#",""), HYPERLINK(CONCATENATE("#metadata!", ADDRESS(INDEX($L$2:$L$1001,MATCH(ROWS($J$2:J899),$J$2:$J$1001,0),0), INDEX($Q$1004:$U$1004,1,MATCH(COLUMNS($Q$1006:U1006),$Q$1006:$U$1006,0)))),"Fix")))</f>
        <v xml:space="preserve"> </v>
      </c>
      <c r="J899">
        <v>898</v>
      </c>
      <c r="K899">
        <v>100899</v>
      </c>
      <c r="L899">
        <v>899</v>
      </c>
      <c r="M899" t="b">
        <f t="shared" si="14"/>
        <v>1</v>
      </c>
      <c r="N899" t="b">
        <f>COUNTBLANK(metadata!B899:F899)=COLUMNS(metadata!B899:F899)</f>
        <v>1</v>
      </c>
      <c r="O899" t="str">
        <v/>
      </c>
      <c r="Q899" t="b">
        <f ca="1">AND(IF(metadata!B899="",FALSE,TRUE),COUNTIF(metadata!B:B, metadata!B899) = 1,NOT(ISERROR(SUMPRODUCT(SEARCH(MID(metadata!B899,ROW(INDIRECT("1:"&amp;LEN(metadata!B899))), 1),"0123456789abcdefghijklmnopqrstuvwxyzABCDEFGHIJKLMNOPQRSTUVWXYZ.")))))</f>
        <v>0</v>
      </c>
      <c r="R899" t="b">
        <f>AND(IF(metadata!C899="",FALSE,TRUE),OR(EXACT(metadata!C899,"saline"),EXACT(metadata!C899,"non-saline")))</f>
        <v>0</v>
      </c>
      <c r="S899" t="b">
        <f>AND(IF(metadata!D899="",FALSE,TRUE),OR(EXACT(metadata!D899,"surface (non-saline)"),EXACT(metadata!D899,"aerosol (non-saline)"),EXACT(metadata!D899,"sediment (non-saline)"),EXACT(metadata!D899,"surface (saline)"),EXACT(metadata!D899,"aerosol (saline)"),EXACT(metadata!D899,"sediment (saline)")))</f>
        <v>0</v>
      </c>
      <c r="T899" t="b">
        <f>AND(IF(metadata!E899="",FALSE,TRUE),EXACT(metadata!E899,"built environment"))</f>
        <v>0</v>
      </c>
      <c r="U899" t="b">
        <f>OR(AND(IF(metadata!F899="",FALSE,TRUE),EXACT(metadata!F899,"not applicable")),AND(IF(metadata!F899="",FALSE,TRUE),EXACT(metadata!F899,"anaerobic digester content")))</f>
        <v>0</v>
      </c>
    </row>
    <row r="900" spans="1:21" x14ac:dyDescent="0.2">
      <c r="A900" s="4" t="str">
        <f ca="1">IF(B900=" "," ",HYPERLINK(CONCATENATE("#metadata!",ADDRESS(INDEX($L$2:$L$1001,MATCH(ROWS($J$2:J900),$J$2:$J$1001,0),0),1)),INDEX($O$2:$O$1001,MATCH(ROWS($J$2:J900),$J$2:$J$1001,0),0)))</f>
        <v xml:space="preserve"> </v>
      </c>
      <c r="B900" s="3" t="str">
        <f ca="1">IF(OR(INDEX($K$2:$K$1001,MATCH(ROWS($J$2:J900),$J$2:$J$1001,0),1)&gt;=100000,INDEX($Q$1005:$U$1005,1,MATCH(COLUMNS($Q$1006:Q1006),$Q$1006:$U$1006,0))&gt;=100000), " ",IF(INDEX($Q$2:$U$1001,MATCH(ROWS($J$2:J900),$J$2:$J$1001,0),MATCH(COLUMNS($Q$1006:Q1006),$Q$1006:$U$1006,0)), HYPERLINK("#",""), HYPERLINK(CONCATENATE("#metadata!", ADDRESS(INDEX($L$2:$L$1001,MATCH(ROWS($J$2:J900),$J$2:$J$1001,0),0), INDEX($Q$1004:$U$1004,1,MATCH(COLUMNS($Q$1006:Q1006),$Q$1006:$U$1006,0)))),"Fix")))</f>
        <v xml:space="preserve"> </v>
      </c>
      <c r="C900" s="3" t="str">
        <f ca="1">IF(OR(INDEX($K$2:$K$1001,MATCH(ROWS($J$2:J900),$J$2:$J$1001,0),1)&gt;=100000,INDEX($Q$1005:$U$1005,1,MATCH(COLUMNS($Q$1006:R1006),$Q$1006:$U$1006,0))&gt;=100000), " ",IF(INDEX($Q$2:$U$1001,MATCH(ROWS($J$2:J900),$J$2:$J$1001,0),MATCH(COLUMNS($Q$1006:R1006),$Q$1006:$U$1006,0)), HYPERLINK("#",""), HYPERLINK(CONCATENATE("#metadata!", ADDRESS(INDEX($L$2:$L$1001,MATCH(ROWS($J$2:J900),$J$2:$J$1001,0),0), INDEX($Q$1004:$U$1004,1,MATCH(COLUMNS($Q$1006:R1006),$Q$1006:$U$1006,0)))),"Fix")))</f>
        <v xml:space="preserve"> </v>
      </c>
      <c r="D900" s="3" t="str">
        <f ca="1">IF(OR(INDEX($K$2:$K$1001,MATCH(ROWS($J$2:J900),$J$2:$J$1001,0),1)&gt;=100000,INDEX($Q$1005:$U$1005,1,MATCH(COLUMNS($Q$1006:S1006),$Q$1006:$U$1006,0))&gt;=100000), " ",IF(INDEX($Q$2:$U$1001,MATCH(ROWS($J$2:J900),$J$2:$J$1001,0),MATCH(COLUMNS($Q$1006:S1006),$Q$1006:$U$1006,0)), HYPERLINK("#",""), HYPERLINK(CONCATENATE("#metadata!", ADDRESS(INDEX($L$2:$L$1001,MATCH(ROWS($J$2:J900),$J$2:$J$1001,0),0), INDEX($Q$1004:$U$1004,1,MATCH(COLUMNS($Q$1006:S1006),$Q$1006:$U$1006,0)))),"Fix")))</f>
        <v xml:space="preserve"> </v>
      </c>
      <c r="E900" s="3" t="str">
        <f ca="1">IF(OR(INDEX($K$2:$K$1001,MATCH(ROWS($J$2:J900),$J$2:$J$1001,0),1)&gt;=100000,INDEX($Q$1005:$U$1005,1,MATCH(COLUMNS($Q$1006:T1006),$Q$1006:$U$1006,0))&gt;=100000), " ",IF(INDEX($Q$2:$U$1001,MATCH(ROWS($J$2:J900),$J$2:$J$1001,0),MATCH(COLUMNS($Q$1006:T1006),$Q$1006:$U$1006,0)), HYPERLINK("#",""), HYPERLINK(CONCATENATE("#metadata!", ADDRESS(INDEX($L$2:$L$1001,MATCH(ROWS($J$2:J900),$J$2:$J$1001,0),0), INDEX($Q$1004:$U$1004,1,MATCH(COLUMNS($Q$1006:T1006),$Q$1006:$U$1006,0)))),"Fix")))</f>
        <v xml:space="preserve"> </v>
      </c>
      <c r="F900" s="3" t="str">
        <f ca="1">IF(OR(INDEX($K$2:$K$1001,MATCH(ROWS($J$2:J900),$J$2:$J$1001,0),1)&gt;=100000,INDEX($Q$1005:$U$1005,1,MATCH(COLUMNS($Q$1006:U1006),$Q$1006:$U$1006,0))&gt;=100000), " ",IF(INDEX($Q$2:$U$1001,MATCH(ROWS($J$2:J900),$J$2:$J$1001,0),MATCH(COLUMNS($Q$1006:U1006),$Q$1006:$U$1006,0)), HYPERLINK("#",""), HYPERLINK(CONCATENATE("#metadata!", ADDRESS(INDEX($L$2:$L$1001,MATCH(ROWS($J$2:J900),$J$2:$J$1001,0),0), INDEX($Q$1004:$U$1004,1,MATCH(COLUMNS($Q$1006:U1006),$Q$1006:$U$1006,0)))),"Fix")))</f>
        <v xml:space="preserve"> </v>
      </c>
      <c r="J900">
        <v>899</v>
      </c>
      <c r="K900">
        <v>100900</v>
      </c>
      <c r="L900">
        <v>900</v>
      </c>
      <c r="M900" t="b">
        <f t="shared" si="14"/>
        <v>1</v>
      </c>
      <c r="N900" t="b">
        <f>COUNTBLANK(metadata!B900:F900)=COLUMNS(metadata!B900:F900)</f>
        <v>1</v>
      </c>
      <c r="O900" t="str">
        <v/>
      </c>
      <c r="Q900" t="b">
        <f ca="1">AND(IF(metadata!B900="",FALSE,TRUE),COUNTIF(metadata!B:B, metadata!B900) = 1,NOT(ISERROR(SUMPRODUCT(SEARCH(MID(metadata!B900,ROW(INDIRECT("1:"&amp;LEN(metadata!B900))), 1),"0123456789abcdefghijklmnopqrstuvwxyzABCDEFGHIJKLMNOPQRSTUVWXYZ.")))))</f>
        <v>0</v>
      </c>
      <c r="R900" t="b">
        <f>AND(IF(metadata!C900="",FALSE,TRUE),OR(EXACT(metadata!C900,"saline"),EXACT(metadata!C900,"non-saline")))</f>
        <v>0</v>
      </c>
      <c r="S900" t="b">
        <f>AND(IF(metadata!D900="",FALSE,TRUE),OR(EXACT(metadata!D900,"surface (non-saline)"),EXACT(metadata!D900,"aerosol (non-saline)"),EXACT(metadata!D900,"sediment (non-saline)"),EXACT(metadata!D900,"surface (saline)"),EXACT(metadata!D900,"aerosol (saline)"),EXACT(metadata!D900,"sediment (saline)")))</f>
        <v>0</v>
      </c>
      <c r="T900" t="b">
        <f>AND(IF(metadata!E900="",FALSE,TRUE),EXACT(metadata!E900,"built environment"))</f>
        <v>0</v>
      </c>
      <c r="U900" t="b">
        <f>OR(AND(IF(metadata!F900="",FALSE,TRUE),EXACT(metadata!F900,"not applicable")),AND(IF(metadata!F900="",FALSE,TRUE),EXACT(metadata!F900,"anaerobic digester content")))</f>
        <v>0</v>
      </c>
    </row>
    <row r="901" spans="1:21" x14ac:dyDescent="0.2">
      <c r="A901" s="4" t="str">
        <f ca="1">IF(B901=" "," ",HYPERLINK(CONCATENATE("#metadata!",ADDRESS(INDEX($L$2:$L$1001,MATCH(ROWS($J$2:J901),$J$2:$J$1001,0),0),1)),INDEX($O$2:$O$1001,MATCH(ROWS($J$2:J901),$J$2:$J$1001,0),0)))</f>
        <v xml:space="preserve"> </v>
      </c>
      <c r="B901" s="3" t="str">
        <f ca="1">IF(OR(INDEX($K$2:$K$1001,MATCH(ROWS($J$2:J901),$J$2:$J$1001,0),1)&gt;=100000,INDEX($Q$1005:$U$1005,1,MATCH(COLUMNS($Q$1006:Q1006),$Q$1006:$U$1006,0))&gt;=100000), " ",IF(INDEX($Q$2:$U$1001,MATCH(ROWS($J$2:J901),$J$2:$J$1001,0),MATCH(COLUMNS($Q$1006:Q1006),$Q$1006:$U$1006,0)), HYPERLINK("#",""), HYPERLINK(CONCATENATE("#metadata!", ADDRESS(INDEX($L$2:$L$1001,MATCH(ROWS($J$2:J901),$J$2:$J$1001,0),0), INDEX($Q$1004:$U$1004,1,MATCH(COLUMNS($Q$1006:Q1006),$Q$1006:$U$1006,0)))),"Fix")))</f>
        <v xml:space="preserve"> </v>
      </c>
      <c r="C901" s="3" t="str">
        <f ca="1">IF(OR(INDEX($K$2:$K$1001,MATCH(ROWS($J$2:J901),$J$2:$J$1001,0),1)&gt;=100000,INDEX($Q$1005:$U$1005,1,MATCH(COLUMNS($Q$1006:R1006),$Q$1006:$U$1006,0))&gt;=100000), " ",IF(INDEX($Q$2:$U$1001,MATCH(ROWS($J$2:J901),$J$2:$J$1001,0),MATCH(COLUMNS($Q$1006:R1006),$Q$1006:$U$1006,0)), HYPERLINK("#",""), HYPERLINK(CONCATENATE("#metadata!", ADDRESS(INDEX($L$2:$L$1001,MATCH(ROWS($J$2:J901),$J$2:$J$1001,0),0), INDEX($Q$1004:$U$1004,1,MATCH(COLUMNS($Q$1006:R1006),$Q$1006:$U$1006,0)))),"Fix")))</f>
        <v xml:space="preserve"> </v>
      </c>
      <c r="D901" s="3" t="str">
        <f ca="1">IF(OR(INDEX($K$2:$K$1001,MATCH(ROWS($J$2:J901),$J$2:$J$1001,0),1)&gt;=100000,INDEX($Q$1005:$U$1005,1,MATCH(COLUMNS($Q$1006:S1006),$Q$1006:$U$1006,0))&gt;=100000), " ",IF(INDEX($Q$2:$U$1001,MATCH(ROWS($J$2:J901),$J$2:$J$1001,0),MATCH(COLUMNS($Q$1006:S1006),$Q$1006:$U$1006,0)), HYPERLINK("#",""), HYPERLINK(CONCATENATE("#metadata!", ADDRESS(INDEX($L$2:$L$1001,MATCH(ROWS($J$2:J901),$J$2:$J$1001,0),0), INDEX($Q$1004:$U$1004,1,MATCH(COLUMNS($Q$1006:S1006),$Q$1006:$U$1006,0)))),"Fix")))</f>
        <v xml:space="preserve"> </v>
      </c>
      <c r="E901" s="3" t="str">
        <f ca="1">IF(OR(INDEX($K$2:$K$1001,MATCH(ROWS($J$2:J901),$J$2:$J$1001,0),1)&gt;=100000,INDEX($Q$1005:$U$1005,1,MATCH(COLUMNS($Q$1006:T1006),$Q$1006:$U$1006,0))&gt;=100000), " ",IF(INDEX($Q$2:$U$1001,MATCH(ROWS($J$2:J901),$J$2:$J$1001,0),MATCH(COLUMNS($Q$1006:T1006),$Q$1006:$U$1006,0)), HYPERLINK("#",""), HYPERLINK(CONCATENATE("#metadata!", ADDRESS(INDEX($L$2:$L$1001,MATCH(ROWS($J$2:J901),$J$2:$J$1001,0),0), INDEX($Q$1004:$U$1004,1,MATCH(COLUMNS($Q$1006:T1006),$Q$1006:$U$1006,0)))),"Fix")))</f>
        <v xml:space="preserve"> </v>
      </c>
      <c r="F901" s="3" t="str">
        <f ca="1">IF(OR(INDEX($K$2:$K$1001,MATCH(ROWS($J$2:J901),$J$2:$J$1001,0),1)&gt;=100000,INDEX($Q$1005:$U$1005,1,MATCH(COLUMNS($Q$1006:U1006),$Q$1006:$U$1006,0))&gt;=100000), " ",IF(INDEX($Q$2:$U$1001,MATCH(ROWS($J$2:J901),$J$2:$J$1001,0),MATCH(COLUMNS($Q$1006:U1006),$Q$1006:$U$1006,0)), HYPERLINK("#",""), HYPERLINK(CONCATENATE("#metadata!", ADDRESS(INDEX($L$2:$L$1001,MATCH(ROWS($J$2:J901),$J$2:$J$1001,0),0), INDEX($Q$1004:$U$1004,1,MATCH(COLUMNS($Q$1006:U1006),$Q$1006:$U$1006,0)))),"Fix")))</f>
        <v xml:space="preserve"> </v>
      </c>
      <c r="J901">
        <v>900</v>
      </c>
      <c r="K901">
        <v>100901</v>
      </c>
      <c r="L901">
        <v>901</v>
      </c>
      <c r="M901" t="b">
        <f t="shared" si="14"/>
        <v>1</v>
      </c>
      <c r="N901" t="b">
        <f>COUNTBLANK(metadata!B901:F901)=COLUMNS(metadata!B901:F901)</f>
        <v>1</v>
      </c>
      <c r="O901" t="str">
        <v/>
      </c>
      <c r="Q901" t="b">
        <f ca="1">AND(IF(metadata!B901="",FALSE,TRUE),COUNTIF(metadata!B:B, metadata!B901) = 1,NOT(ISERROR(SUMPRODUCT(SEARCH(MID(metadata!B901,ROW(INDIRECT("1:"&amp;LEN(metadata!B901))), 1),"0123456789abcdefghijklmnopqrstuvwxyzABCDEFGHIJKLMNOPQRSTUVWXYZ.")))))</f>
        <v>0</v>
      </c>
      <c r="R901" t="b">
        <f>AND(IF(metadata!C901="",FALSE,TRUE),OR(EXACT(metadata!C901,"saline"),EXACT(metadata!C901,"non-saline")))</f>
        <v>0</v>
      </c>
      <c r="S901" t="b">
        <f>AND(IF(metadata!D901="",FALSE,TRUE),OR(EXACT(metadata!D901,"surface (non-saline)"),EXACT(metadata!D901,"aerosol (non-saline)"),EXACT(metadata!D901,"sediment (non-saline)"),EXACT(metadata!D901,"surface (saline)"),EXACT(metadata!D901,"aerosol (saline)"),EXACT(metadata!D901,"sediment (saline)")))</f>
        <v>0</v>
      </c>
      <c r="T901" t="b">
        <f>AND(IF(metadata!E901="",FALSE,TRUE),EXACT(metadata!E901,"built environment"))</f>
        <v>0</v>
      </c>
      <c r="U901" t="b">
        <f>OR(AND(IF(metadata!F901="",FALSE,TRUE),EXACT(metadata!F901,"not applicable")),AND(IF(metadata!F901="",FALSE,TRUE),EXACT(metadata!F901,"anaerobic digester content")))</f>
        <v>0</v>
      </c>
    </row>
    <row r="902" spans="1:21" x14ac:dyDescent="0.2">
      <c r="A902" s="4" t="str">
        <f ca="1">IF(B902=" "," ",HYPERLINK(CONCATENATE("#metadata!",ADDRESS(INDEX($L$2:$L$1001,MATCH(ROWS($J$2:J902),$J$2:$J$1001,0),0),1)),INDEX($O$2:$O$1001,MATCH(ROWS($J$2:J902),$J$2:$J$1001,0),0)))</f>
        <v xml:space="preserve"> </v>
      </c>
      <c r="B902" s="3" t="str">
        <f ca="1">IF(OR(INDEX($K$2:$K$1001,MATCH(ROWS($J$2:J902),$J$2:$J$1001,0),1)&gt;=100000,INDEX($Q$1005:$U$1005,1,MATCH(COLUMNS($Q$1006:Q1006),$Q$1006:$U$1006,0))&gt;=100000), " ",IF(INDEX($Q$2:$U$1001,MATCH(ROWS($J$2:J902),$J$2:$J$1001,0),MATCH(COLUMNS($Q$1006:Q1006),$Q$1006:$U$1006,0)), HYPERLINK("#",""), HYPERLINK(CONCATENATE("#metadata!", ADDRESS(INDEX($L$2:$L$1001,MATCH(ROWS($J$2:J902),$J$2:$J$1001,0),0), INDEX($Q$1004:$U$1004,1,MATCH(COLUMNS($Q$1006:Q1006),$Q$1006:$U$1006,0)))),"Fix")))</f>
        <v xml:space="preserve"> </v>
      </c>
      <c r="C902" s="3" t="str">
        <f ca="1">IF(OR(INDEX($K$2:$K$1001,MATCH(ROWS($J$2:J902),$J$2:$J$1001,0),1)&gt;=100000,INDEX($Q$1005:$U$1005,1,MATCH(COLUMNS($Q$1006:R1006),$Q$1006:$U$1006,0))&gt;=100000), " ",IF(INDEX($Q$2:$U$1001,MATCH(ROWS($J$2:J902),$J$2:$J$1001,0),MATCH(COLUMNS($Q$1006:R1006),$Q$1006:$U$1006,0)), HYPERLINK("#",""), HYPERLINK(CONCATENATE("#metadata!", ADDRESS(INDEX($L$2:$L$1001,MATCH(ROWS($J$2:J902),$J$2:$J$1001,0),0), INDEX($Q$1004:$U$1004,1,MATCH(COLUMNS($Q$1006:R1006),$Q$1006:$U$1006,0)))),"Fix")))</f>
        <v xml:space="preserve"> </v>
      </c>
      <c r="D902" s="3" t="str">
        <f ca="1">IF(OR(INDEX($K$2:$K$1001,MATCH(ROWS($J$2:J902),$J$2:$J$1001,0),1)&gt;=100000,INDEX($Q$1005:$U$1005,1,MATCH(COLUMNS($Q$1006:S1006),$Q$1006:$U$1006,0))&gt;=100000), " ",IF(INDEX($Q$2:$U$1001,MATCH(ROWS($J$2:J902),$J$2:$J$1001,0),MATCH(COLUMNS($Q$1006:S1006),$Q$1006:$U$1006,0)), HYPERLINK("#",""), HYPERLINK(CONCATENATE("#metadata!", ADDRESS(INDEX($L$2:$L$1001,MATCH(ROWS($J$2:J902),$J$2:$J$1001,0),0), INDEX($Q$1004:$U$1004,1,MATCH(COLUMNS($Q$1006:S1006),$Q$1006:$U$1006,0)))),"Fix")))</f>
        <v xml:space="preserve"> </v>
      </c>
      <c r="E902" s="3" t="str">
        <f ca="1">IF(OR(INDEX($K$2:$K$1001,MATCH(ROWS($J$2:J902),$J$2:$J$1001,0),1)&gt;=100000,INDEX($Q$1005:$U$1005,1,MATCH(COLUMNS($Q$1006:T1006),$Q$1006:$U$1006,0))&gt;=100000), " ",IF(INDEX($Q$2:$U$1001,MATCH(ROWS($J$2:J902),$J$2:$J$1001,0),MATCH(COLUMNS($Q$1006:T1006),$Q$1006:$U$1006,0)), HYPERLINK("#",""), HYPERLINK(CONCATENATE("#metadata!", ADDRESS(INDEX($L$2:$L$1001,MATCH(ROWS($J$2:J902),$J$2:$J$1001,0),0), INDEX($Q$1004:$U$1004,1,MATCH(COLUMNS($Q$1006:T1006),$Q$1006:$U$1006,0)))),"Fix")))</f>
        <v xml:space="preserve"> </v>
      </c>
      <c r="F902" s="3" t="str">
        <f ca="1">IF(OR(INDEX($K$2:$K$1001,MATCH(ROWS($J$2:J902),$J$2:$J$1001,0),1)&gt;=100000,INDEX($Q$1005:$U$1005,1,MATCH(COLUMNS($Q$1006:U1006),$Q$1006:$U$1006,0))&gt;=100000), " ",IF(INDEX($Q$2:$U$1001,MATCH(ROWS($J$2:J902),$J$2:$J$1001,0),MATCH(COLUMNS($Q$1006:U1006),$Q$1006:$U$1006,0)), HYPERLINK("#",""), HYPERLINK(CONCATENATE("#metadata!", ADDRESS(INDEX($L$2:$L$1001,MATCH(ROWS($J$2:J902),$J$2:$J$1001,0),0), INDEX($Q$1004:$U$1004,1,MATCH(COLUMNS($Q$1006:U1006),$Q$1006:$U$1006,0)))),"Fix")))</f>
        <v xml:space="preserve"> </v>
      </c>
      <c r="J902">
        <v>901</v>
      </c>
      <c r="K902">
        <v>100902</v>
      </c>
      <c r="L902">
        <v>902</v>
      </c>
      <c r="M902" t="b">
        <f t="shared" si="14"/>
        <v>1</v>
      </c>
      <c r="N902" t="b">
        <f>COUNTBLANK(metadata!B902:F902)=COLUMNS(metadata!B902:F902)</f>
        <v>1</v>
      </c>
      <c r="O902" t="str">
        <v/>
      </c>
      <c r="Q902" t="b">
        <f ca="1">AND(IF(metadata!B902="",FALSE,TRUE),COUNTIF(metadata!B:B, metadata!B902) = 1,NOT(ISERROR(SUMPRODUCT(SEARCH(MID(metadata!B902,ROW(INDIRECT("1:"&amp;LEN(metadata!B902))), 1),"0123456789abcdefghijklmnopqrstuvwxyzABCDEFGHIJKLMNOPQRSTUVWXYZ.")))))</f>
        <v>0</v>
      </c>
      <c r="R902" t="b">
        <f>AND(IF(metadata!C902="",FALSE,TRUE),OR(EXACT(metadata!C902,"saline"),EXACT(metadata!C902,"non-saline")))</f>
        <v>0</v>
      </c>
      <c r="S902" t="b">
        <f>AND(IF(metadata!D902="",FALSE,TRUE),OR(EXACT(metadata!D902,"surface (non-saline)"),EXACT(metadata!D902,"aerosol (non-saline)"),EXACT(metadata!D902,"sediment (non-saline)"),EXACT(metadata!D902,"surface (saline)"),EXACT(metadata!D902,"aerosol (saline)"),EXACT(metadata!D902,"sediment (saline)")))</f>
        <v>0</v>
      </c>
      <c r="T902" t="b">
        <f>AND(IF(metadata!E902="",FALSE,TRUE),EXACT(metadata!E902,"built environment"))</f>
        <v>0</v>
      </c>
      <c r="U902" t="b">
        <f>OR(AND(IF(metadata!F902="",FALSE,TRUE),EXACT(metadata!F902,"not applicable")),AND(IF(metadata!F902="",FALSE,TRUE),EXACT(metadata!F902,"anaerobic digester content")))</f>
        <v>0</v>
      </c>
    </row>
    <row r="903" spans="1:21" x14ac:dyDescent="0.2">
      <c r="A903" s="4" t="str">
        <f ca="1">IF(B903=" "," ",HYPERLINK(CONCATENATE("#metadata!",ADDRESS(INDEX($L$2:$L$1001,MATCH(ROWS($J$2:J903),$J$2:$J$1001,0),0),1)),INDEX($O$2:$O$1001,MATCH(ROWS($J$2:J903),$J$2:$J$1001,0),0)))</f>
        <v xml:space="preserve"> </v>
      </c>
      <c r="B903" s="3" t="str">
        <f ca="1">IF(OR(INDEX($K$2:$K$1001,MATCH(ROWS($J$2:J903),$J$2:$J$1001,0),1)&gt;=100000,INDEX($Q$1005:$U$1005,1,MATCH(COLUMNS($Q$1006:Q1006),$Q$1006:$U$1006,0))&gt;=100000), " ",IF(INDEX($Q$2:$U$1001,MATCH(ROWS($J$2:J903),$J$2:$J$1001,0),MATCH(COLUMNS($Q$1006:Q1006),$Q$1006:$U$1006,0)), HYPERLINK("#",""), HYPERLINK(CONCATENATE("#metadata!", ADDRESS(INDEX($L$2:$L$1001,MATCH(ROWS($J$2:J903),$J$2:$J$1001,0),0), INDEX($Q$1004:$U$1004,1,MATCH(COLUMNS($Q$1006:Q1006),$Q$1006:$U$1006,0)))),"Fix")))</f>
        <v xml:space="preserve"> </v>
      </c>
      <c r="C903" s="3" t="str">
        <f ca="1">IF(OR(INDEX($K$2:$K$1001,MATCH(ROWS($J$2:J903),$J$2:$J$1001,0),1)&gt;=100000,INDEX($Q$1005:$U$1005,1,MATCH(COLUMNS($Q$1006:R1006),$Q$1006:$U$1006,0))&gt;=100000), " ",IF(INDEX($Q$2:$U$1001,MATCH(ROWS($J$2:J903),$J$2:$J$1001,0),MATCH(COLUMNS($Q$1006:R1006),$Q$1006:$U$1006,0)), HYPERLINK("#",""), HYPERLINK(CONCATENATE("#metadata!", ADDRESS(INDEX($L$2:$L$1001,MATCH(ROWS($J$2:J903),$J$2:$J$1001,0),0), INDEX($Q$1004:$U$1004,1,MATCH(COLUMNS($Q$1006:R1006),$Q$1006:$U$1006,0)))),"Fix")))</f>
        <v xml:space="preserve"> </v>
      </c>
      <c r="D903" s="3" t="str">
        <f ca="1">IF(OR(INDEX($K$2:$K$1001,MATCH(ROWS($J$2:J903),$J$2:$J$1001,0),1)&gt;=100000,INDEX($Q$1005:$U$1005,1,MATCH(COLUMNS($Q$1006:S1006),$Q$1006:$U$1006,0))&gt;=100000), " ",IF(INDEX($Q$2:$U$1001,MATCH(ROWS($J$2:J903),$J$2:$J$1001,0),MATCH(COLUMNS($Q$1006:S1006),$Q$1006:$U$1006,0)), HYPERLINK("#",""), HYPERLINK(CONCATENATE("#metadata!", ADDRESS(INDEX($L$2:$L$1001,MATCH(ROWS($J$2:J903),$J$2:$J$1001,0),0), INDEX($Q$1004:$U$1004,1,MATCH(COLUMNS($Q$1006:S1006),$Q$1006:$U$1006,0)))),"Fix")))</f>
        <v xml:space="preserve"> </v>
      </c>
      <c r="E903" s="3" t="str">
        <f ca="1">IF(OR(INDEX($K$2:$K$1001,MATCH(ROWS($J$2:J903),$J$2:$J$1001,0),1)&gt;=100000,INDEX($Q$1005:$U$1005,1,MATCH(COLUMNS($Q$1006:T1006),$Q$1006:$U$1006,0))&gt;=100000), " ",IF(INDEX($Q$2:$U$1001,MATCH(ROWS($J$2:J903),$J$2:$J$1001,0),MATCH(COLUMNS($Q$1006:T1006),$Q$1006:$U$1006,0)), HYPERLINK("#",""), HYPERLINK(CONCATENATE("#metadata!", ADDRESS(INDEX($L$2:$L$1001,MATCH(ROWS($J$2:J903),$J$2:$J$1001,0),0), INDEX($Q$1004:$U$1004,1,MATCH(COLUMNS($Q$1006:T1006),$Q$1006:$U$1006,0)))),"Fix")))</f>
        <v xml:space="preserve"> </v>
      </c>
      <c r="F903" s="3" t="str">
        <f ca="1">IF(OR(INDEX($K$2:$K$1001,MATCH(ROWS($J$2:J903),$J$2:$J$1001,0),1)&gt;=100000,INDEX($Q$1005:$U$1005,1,MATCH(COLUMNS($Q$1006:U1006),$Q$1006:$U$1006,0))&gt;=100000), " ",IF(INDEX($Q$2:$U$1001,MATCH(ROWS($J$2:J903),$J$2:$J$1001,0),MATCH(COLUMNS($Q$1006:U1006),$Q$1006:$U$1006,0)), HYPERLINK("#",""), HYPERLINK(CONCATENATE("#metadata!", ADDRESS(INDEX($L$2:$L$1001,MATCH(ROWS($J$2:J903),$J$2:$J$1001,0),0), INDEX($Q$1004:$U$1004,1,MATCH(COLUMNS($Q$1006:U1006),$Q$1006:$U$1006,0)))),"Fix")))</f>
        <v xml:space="preserve"> </v>
      </c>
      <c r="J903">
        <v>902</v>
      </c>
      <c r="K903">
        <v>100903</v>
      </c>
      <c r="L903">
        <v>903</v>
      </c>
      <c r="M903" t="b">
        <f t="shared" si="14"/>
        <v>1</v>
      </c>
      <c r="N903" t="b">
        <f>COUNTBLANK(metadata!B903:F903)=COLUMNS(metadata!B903:F903)</f>
        <v>1</v>
      </c>
      <c r="O903" t="str">
        <v/>
      </c>
      <c r="Q903" t="b">
        <f ca="1">AND(IF(metadata!B903="",FALSE,TRUE),COUNTIF(metadata!B:B, metadata!B903) = 1,NOT(ISERROR(SUMPRODUCT(SEARCH(MID(metadata!B903,ROW(INDIRECT("1:"&amp;LEN(metadata!B903))), 1),"0123456789abcdefghijklmnopqrstuvwxyzABCDEFGHIJKLMNOPQRSTUVWXYZ.")))))</f>
        <v>0</v>
      </c>
      <c r="R903" t="b">
        <f>AND(IF(metadata!C903="",FALSE,TRUE),OR(EXACT(metadata!C903,"saline"),EXACT(metadata!C903,"non-saline")))</f>
        <v>0</v>
      </c>
      <c r="S903" t="b">
        <f>AND(IF(metadata!D903="",FALSE,TRUE),OR(EXACT(metadata!D903,"surface (non-saline)"),EXACT(metadata!D903,"aerosol (non-saline)"),EXACT(metadata!D903,"sediment (non-saline)"),EXACT(metadata!D903,"surface (saline)"),EXACT(metadata!D903,"aerosol (saline)"),EXACT(metadata!D903,"sediment (saline)")))</f>
        <v>0</v>
      </c>
      <c r="T903" t="b">
        <f>AND(IF(metadata!E903="",FALSE,TRUE),EXACT(metadata!E903,"built environment"))</f>
        <v>0</v>
      </c>
      <c r="U903" t="b">
        <f>OR(AND(IF(metadata!F903="",FALSE,TRUE),EXACT(metadata!F903,"not applicable")),AND(IF(metadata!F903="",FALSE,TRUE),EXACT(metadata!F903,"anaerobic digester content")))</f>
        <v>0</v>
      </c>
    </row>
    <row r="904" spans="1:21" x14ac:dyDescent="0.2">
      <c r="A904" s="4" t="str">
        <f ca="1">IF(B904=" "," ",HYPERLINK(CONCATENATE("#metadata!",ADDRESS(INDEX($L$2:$L$1001,MATCH(ROWS($J$2:J904),$J$2:$J$1001,0),0),1)),INDEX($O$2:$O$1001,MATCH(ROWS($J$2:J904),$J$2:$J$1001,0),0)))</f>
        <v xml:space="preserve"> </v>
      </c>
      <c r="B904" s="3" t="str">
        <f ca="1">IF(OR(INDEX($K$2:$K$1001,MATCH(ROWS($J$2:J904),$J$2:$J$1001,0),1)&gt;=100000,INDEX($Q$1005:$U$1005,1,MATCH(COLUMNS($Q$1006:Q1006),$Q$1006:$U$1006,0))&gt;=100000), " ",IF(INDEX($Q$2:$U$1001,MATCH(ROWS($J$2:J904),$J$2:$J$1001,0),MATCH(COLUMNS($Q$1006:Q1006),$Q$1006:$U$1006,0)), HYPERLINK("#",""), HYPERLINK(CONCATENATE("#metadata!", ADDRESS(INDEX($L$2:$L$1001,MATCH(ROWS($J$2:J904),$J$2:$J$1001,0),0), INDEX($Q$1004:$U$1004,1,MATCH(COLUMNS($Q$1006:Q1006),$Q$1006:$U$1006,0)))),"Fix")))</f>
        <v xml:space="preserve"> </v>
      </c>
      <c r="C904" s="3" t="str">
        <f ca="1">IF(OR(INDEX($K$2:$K$1001,MATCH(ROWS($J$2:J904),$J$2:$J$1001,0),1)&gt;=100000,INDEX($Q$1005:$U$1005,1,MATCH(COLUMNS($Q$1006:R1006),$Q$1006:$U$1006,0))&gt;=100000), " ",IF(INDEX($Q$2:$U$1001,MATCH(ROWS($J$2:J904),$J$2:$J$1001,0),MATCH(COLUMNS($Q$1006:R1006),$Q$1006:$U$1006,0)), HYPERLINK("#",""), HYPERLINK(CONCATENATE("#metadata!", ADDRESS(INDEX($L$2:$L$1001,MATCH(ROWS($J$2:J904),$J$2:$J$1001,0),0), INDEX($Q$1004:$U$1004,1,MATCH(COLUMNS($Q$1006:R1006),$Q$1006:$U$1006,0)))),"Fix")))</f>
        <v xml:space="preserve"> </v>
      </c>
      <c r="D904" s="3" t="str">
        <f ca="1">IF(OR(INDEX($K$2:$K$1001,MATCH(ROWS($J$2:J904),$J$2:$J$1001,0),1)&gt;=100000,INDEX($Q$1005:$U$1005,1,MATCH(COLUMNS($Q$1006:S1006),$Q$1006:$U$1006,0))&gt;=100000), " ",IF(INDEX($Q$2:$U$1001,MATCH(ROWS($J$2:J904),$J$2:$J$1001,0),MATCH(COLUMNS($Q$1006:S1006),$Q$1006:$U$1006,0)), HYPERLINK("#",""), HYPERLINK(CONCATENATE("#metadata!", ADDRESS(INDEX($L$2:$L$1001,MATCH(ROWS($J$2:J904),$J$2:$J$1001,0),0), INDEX($Q$1004:$U$1004,1,MATCH(COLUMNS($Q$1006:S1006),$Q$1006:$U$1006,0)))),"Fix")))</f>
        <v xml:space="preserve"> </v>
      </c>
      <c r="E904" s="3" t="str">
        <f ca="1">IF(OR(INDEX($K$2:$K$1001,MATCH(ROWS($J$2:J904),$J$2:$J$1001,0),1)&gt;=100000,INDEX($Q$1005:$U$1005,1,MATCH(COLUMNS($Q$1006:T1006),$Q$1006:$U$1006,0))&gt;=100000), " ",IF(INDEX($Q$2:$U$1001,MATCH(ROWS($J$2:J904),$J$2:$J$1001,0),MATCH(COLUMNS($Q$1006:T1006),$Q$1006:$U$1006,0)), HYPERLINK("#",""), HYPERLINK(CONCATENATE("#metadata!", ADDRESS(INDEX($L$2:$L$1001,MATCH(ROWS($J$2:J904),$J$2:$J$1001,0),0), INDEX($Q$1004:$U$1004,1,MATCH(COLUMNS($Q$1006:T1006),$Q$1006:$U$1006,0)))),"Fix")))</f>
        <v xml:space="preserve"> </v>
      </c>
      <c r="F904" s="3" t="str">
        <f ca="1">IF(OR(INDEX($K$2:$K$1001,MATCH(ROWS($J$2:J904),$J$2:$J$1001,0),1)&gt;=100000,INDEX($Q$1005:$U$1005,1,MATCH(COLUMNS($Q$1006:U1006),$Q$1006:$U$1006,0))&gt;=100000), " ",IF(INDEX($Q$2:$U$1001,MATCH(ROWS($J$2:J904),$J$2:$J$1001,0),MATCH(COLUMNS($Q$1006:U1006),$Q$1006:$U$1006,0)), HYPERLINK("#",""), HYPERLINK(CONCATENATE("#metadata!", ADDRESS(INDEX($L$2:$L$1001,MATCH(ROWS($J$2:J904),$J$2:$J$1001,0),0), INDEX($Q$1004:$U$1004,1,MATCH(COLUMNS($Q$1006:U1006),$Q$1006:$U$1006,0)))),"Fix")))</f>
        <v xml:space="preserve"> </v>
      </c>
      <c r="J904">
        <v>903</v>
      </c>
      <c r="K904">
        <v>100904</v>
      </c>
      <c r="L904">
        <v>904</v>
      </c>
      <c r="M904" t="b">
        <f t="shared" si="14"/>
        <v>1</v>
      </c>
      <c r="N904" t="b">
        <f>COUNTBLANK(metadata!B904:F904)=COLUMNS(metadata!B904:F904)</f>
        <v>1</v>
      </c>
      <c r="O904" t="str">
        <v/>
      </c>
      <c r="Q904" t="b">
        <f ca="1">AND(IF(metadata!B904="",FALSE,TRUE),COUNTIF(metadata!B:B, metadata!B904) = 1,NOT(ISERROR(SUMPRODUCT(SEARCH(MID(metadata!B904,ROW(INDIRECT("1:"&amp;LEN(metadata!B904))), 1),"0123456789abcdefghijklmnopqrstuvwxyzABCDEFGHIJKLMNOPQRSTUVWXYZ.")))))</f>
        <v>0</v>
      </c>
      <c r="R904" t="b">
        <f>AND(IF(metadata!C904="",FALSE,TRUE),OR(EXACT(metadata!C904,"saline"),EXACT(metadata!C904,"non-saline")))</f>
        <v>0</v>
      </c>
      <c r="S904" t="b">
        <f>AND(IF(metadata!D904="",FALSE,TRUE),OR(EXACT(metadata!D904,"surface (non-saline)"),EXACT(metadata!D904,"aerosol (non-saline)"),EXACT(metadata!D904,"sediment (non-saline)"),EXACT(metadata!D904,"surface (saline)"),EXACT(metadata!D904,"aerosol (saline)"),EXACT(metadata!D904,"sediment (saline)")))</f>
        <v>0</v>
      </c>
      <c r="T904" t="b">
        <f>AND(IF(metadata!E904="",FALSE,TRUE),EXACT(metadata!E904,"built environment"))</f>
        <v>0</v>
      </c>
      <c r="U904" t="b">
        <f>OR(AND(IF(metadata!F904="",FALSE,TRUE),EXACT(metadata!F904,"not applicable")),AND(IF(metadata!F904="",FALSE,TRUE),EXACT(metadata!F904,"anaerobic digester content")))</f>
        <v>0</v>
      </c>
    </row>
    <row r="905" spans="1:21" x14ac:dyDescent="0.2">
      <c r="A905" s="4" t="str">
        <f ca="1">IF(B905=" "," ",HYPERLINK(CONCATENATE("#metadata!",ADDRESS(INDEX($L$2:$L$1001,MATCH(ROWS($J$2:J905),$J$2:$J$1001,0),0),1)),INDEX($O$2:$O$1001,MATCH(ROWS($J$2:J905),$J$2:$J$1001,0),0)))</f>
        <v xml:space="preserve"> </v>
      </c>
      <c r="B905" s="3" t="str">
        <f ca="1">IF(OR(INDEX($K$2:$K$1001,MATCH(ROWS($J$2:J905),$J$2:$J$1001,0),1)&gt;=100000,INDEX($Q$1005:$U$1005,1,MATCH(COLUMNS($Q$1006:Q1006),$Q$1006:$U$1006,0))&gt;=100000), " ",IF(INDEX($Q$2:$U$1001,MATCH(ROWS($J$2:J905),$J$2:$J$1001,0),MATCH(COLUMNS($Q$1006:Q1006),$Q$1006:$U$1006,0)), HYPERLINK("#",""), HYPERLINK(CONCATENATE("#metadata!", ADDRESS(INDEX($L$2:$L$1001,MATCH(ROWS($J$2:J905),$J$2:$J$1001,0),0), INDEX($Q$1004:$U$1004,1,MATCH(COLUMNS($Q$1006:Q1006),$Q$1006:$U$1006,0)))),"Fix")))</f>
        <v xml:space="preserve"> </v>
      </c>
      <c r="C905" s="3" t="str">
        <f ca="1">IF(OR(INDEX($K$2:$K$1001,MATCH(ROWS($J$2:J905),$J$2:$J$1001,0),1)&gt;=100000,INDEX($Q$1005:$U$1005,1,MATCH(COLUMNS($Q$1006:R1006),$Q$1006:$U$1006,0))&gt;=100000), " ",IF(INDEX($Q$2:$U$1001,MATCH(ROWS($J$2:J905),$J$2:$J$1001,0),MATCH(COLUMNS($Q$1006:R1006),$Q$1006:$U$1006,0)), HYPERLINK("#",""), HYPERLINK(CONCATENATE("#metadata!", ADDRESS(INDEX($L$2:$L$1001,MATCH(ROWS($J$2:J905),$J$2:$J$1001,0),0), INDEX($Q$1004:$U$1004,1,MATCH(COLUMNS($Q$1006:R1006),$Q$1006:$U$1006,0)))),"Fix")))</f>
        <v xml:space="preserve"> </v>
      </c>
      <c r="D905" s="3" t="str">
        <f ca="1">IF(OR(INDEX($K$2:$K$1001,MATCH(ROWS($J$2:J905),$J$2:$J$1001,0),1)&gt;=100000,INDEX($Q$1005:$U$1005,1,MATCH(COLUMNS($Q$1006:S1006),$Q$1006:$U$1006,0))&gt;=100000), " ",IF(INDEX($Q$2:$U$1001,MATCH(ROWS($J$2:J905),$J$2:$J$1001,0),MATCH(COLUMNS($Q$1006:S1006),$Q$1006:$U$1006,0)), HYPERLINK("#",""), HYPERLINK(CONCATENATE("#metadata!", ADDRESS(INDEX($L$2:$L$1001,MATCH(ROWS($J$2:J905),$J$2:$J$1001,0),0), INDEX($Q$1004:$U$1004,1,MATCH(COLUMNS($Q$1006:S1006),$Q$1006:$U$1006,0)))),"Fix")))</f>
        <v xml:space="preserve"> </v>
      </c>
      <c r="E905" s="3" t="str">
        <f ca="1">IF(OR(INDEX($K$2:$K$1001,MATCH(ROWS($J$2:J905),$J$2:$J$1001,0),1)&gt;=100000,INDEX($Q$1005:$U$1005,1,MATCH(COLUMNS($Q$1006:T1006),$Q$1006:$U$1006,0))&gt;=100000), " ",IF(INDEX($Q$2:$U$1001,MATCH(ROWS($J$2:J905),$J$2:$J$1001,0),MATCH(COLUMNS($Q$1006:T1006),$Q$1006:$U$1006,0)), HYPERLINK("#",""), HYPERLINK(CONCATENATE("#metadata!", ADDRESS(INDEX($L$2:$L$1001,MATCH(ROWS($J$2:J905),$J$2:$J$1001,0),0), INDEX($Q$1004:$U$1004,1,MATCH(COLUMNS($Q$1006:T1006),$Q$1006:$U$1006,0)))),"Fix")))</f>
        <v xml:space="preserve"> </v>
      </c>
      <c r="F905" s="3" t="str">
        <f ca="1">IF(OR(INDEX($K$2:$K$1001,MATCH(ROWS($J$2:J905),$J$2:$J$1001,0),1)&gt;=100000,INDEX($Q$1005:$U$1005,1,MATCH(COLUMNS($Q$1006:U1006),$Q$1006:$U$1006,0))&gt;=100000), " ",IF(INDEX($Q$2:$U$1001,MATCH(ROWS($J$2:J905),$J$2:$J$1001,0),MATCH(COLUMNS($Q$1006:U1006),$Q$1006:$U$1006,0)), HYPERLINK("#",""), HYPERLINK(CONCATENATE("#metadata!", ADDRESS(INDEX($L$2:$L$1001,MATCH(ROWS($J$2:J905),$J$2:$J$1001,0),0), INDEX($Q$1004:$U$1004,1,MATCH(COLUMNS($Q$1006:U1006),$Q$1006:$U$1006,0)))),"Fix")))</f>
        <v xml:space="preserve"> </v>
      </c>
      <c r="J905">
        <v>904</v>
      </c>
      <c r="K905">
        <v>100905</v>
      </c>
      <c r="L905">
        <v>905</v>
      </c>
      <c r="M905" t="b">
        <f t="shared" si="14"/>
        <v>1</v>
      </c>
      <c r="N905" t="b">
        <f>COUNTBLANK(metadata!B905:F905)=COLUMNS(metadata!B905:F905)</f>
        <v>1</v>
      </c>
      <c r="O905" t="str">
        <v/>
      </c>
      <c r="Q905" t="b">
        <f ca="1">AND(IF(metadata!B905="",FALSE,TRUE),COUNTIF(metadata!B:B, metadata!B905) = 1,NOT(ISERROR(SUMPRODUCT(SEARCH(MID(metadata!B905,ROW(INDIRECT("1:"&amp;LEN(metadata!B905))), 1),"0123456789abcdefghijklmnopqrstuvwxyzABCDEFGHIJKLMNOPQRSTUVWXYZ.")))))</f>
        <v>0</v>
      </c>
      <c r="R905" t="b">
        <f>AND(IF(metadata!C905="",FALSE,TRUE),OR(EXACT(metadata!C905,"saline"),EXACT(metadata!C905,"non-saline")))</f>
        <v>0</v>
      </c>
      <c r="S905" t="b">
        <f>AND(IF(metadata!D905="",FALSE,TRUE),OR(EXACT(metadata!D905,"surface (non-saline)"),EXACT(metadata!D905,"aerosol (non-saline)"),EXACT(metadata!D905,"sediment (non-saline)"),EXACT(metadata!D905,"surface (saline)"),EXACT(metadata!D905,"aerosol (saline)"),EXACT(metadata!D905,"sediment (saline)")))</f>
        <v>0</v>
      </c>
      <c r="T905" t="b">
        <f>AND(IF(metadata!E905="",FALSE,TRUE),EXACT(metadata!E905,"built environment"))</f>
        <v>0</v>
      </c>
      <c r="U905" t="b">
        <f>OR(AND(IF(metadata!F905="",FALSE,TRUE),EXACT(metadata!F905,"not applicable")),AND(IF(metadata!F905="",FALSE,TRUE),EXACT(metadata!F905,"anaerobic digester content")))</f>
        <v>0</v>
      </c>
    </row>
    <row r="906" spans="1:21" x14ac:dyDescent="0.2">
      <c r="A906" s="4" t="str">
        <f ca="1">IF(B906=" "," ",HYPERLINK(CONCATENATE("#metadata!",ADDRESS(INDEX($L$2:$L$1001,MATCH(ROWS($J$2:J906),$J$2:$J$1001,0),0),1)),INDEX($O$2:$O$1001,MATCH(ROWS($J$2:J906),$J$2:$J$1001,0),0)))</f>
        <v xml:space="preserve"> </v>
      </c>
      <c r="B906" s="3" t="str">
        <f ca="1">IF(OR(INDEX($K$2:$K$1001,MATCH(ROWS($J$2:J906),$J$2:$J$1001,0),1)&gt;=100000,INDEX($Q$1005:$U$1005,1,MATCH(COLUMNS($Q$1006:Q1006),$Q$1006:$U$1006,0))&gt;=100000), " ",IF(INDEX($Q$2:$U$1001,MATCH(ROWS($J$2:J906),$J$2:$J$1001,0),MATCH(COLUMNS($Q$1006:Q1006),$Q$1006:$U$1006,0)), HYPERLINK("#",""), HYPERLINK(CONCATENATE("#metadata!", ADDRESS(INDEX($L$2:$L$1001,MATCH(ROWS($J$2:J906),$J$2:$J$1001,0),0), INDEX($Q$1004:$U$1004,1,MATCH(COLUMNS($Q$1006:Q1006),$Q$1006:$U$1006,0)))),"Fix")))</f>
        <v xml:space="preserve"> </v>
      </c>
      <c r="C906" s="3" t="str">
        <f ca="1">IF(OR(INDEX($K$2:$K$1001,MATCH(ROWS($J$2:J906),$J$2:$J$1001,0),1)&gt;=100000,INDEX($Q$1005:$U$1005,1,MATCH(COLUMNS($Q$1006:R1006),$Q$1006:$U$1006,0))&gt;=100000), " ",IF(INDEX($Q$2:$U$1001,MATCH(ROWS($J$2:J906),$J$2:$J$1001,0),MATCH(COLUMNS($Q$1006:R1006),$Q$1006:$U$1006,0)), HYPERLINK("#",""), HYPERLINK(CONCATENATE("#metadata!", ADDRESS(INDEX($L$2:$L$1001,MATCH(ROWS($J$2:J906),$J$2:$J$1001,0),0), INDEX($Q$1004:$U$1004,1,MATCH(COLUMNS($Q$1006:R1006),$Q$1006:$U$1006,0)))),"Fix")))</f>
        <v xml:space="preserve"> </v>
      </c>
      <c r="D906" s="3" t="str">
        <f ca="1">IF(OR(INDEX($K$2:$K$1001,MATCH(ROWS($J$2:J906),$J$2:$J$1001,0),1)&gt;=100000,INDEX($Q$1005:$U$1005,1,MATCH(COLUMNS($Q$1006:S1006),$Q$1006:$U$1006,0))&gt;=100000), " ",IF(INDEX($Q$2:$U$1001,MATCH(ROWS($J$2:J906),$J$2:$J$1001,0),MATCH(COLUMNS($Q$1006:S1006),$Q$1006:$U$1006,0)), HYPERLINK("#",""), HYPERLINK(CONCATENATE("#metadata!", ADDRESS(INDEX($L$2:$L$1001,MATCH(ROWS($J$2:J906),$J$2:$J$1001,0),0), INDEX($Q$1004:$U$1004,1,MATCH(COLUMNS($Q$1006:S1006),$Q$1006:$U$1006,0)))),"Fix")))</f>
        <v xml:space="preserve"> </v>
      </c>
      <c r="E906" s="3" t="str">
        <f ca="1">IF(OR(INDEX($K$2:$K$1001,MATCH(ROWS($J$2:J906),$J$2:$J$1001,0),1)&gt;=100000,INDEX($Q$1005:$U$1005,1,MATCH(COLUMNS($Q$1006:T1006),$Q$1006:$U$1006,0))&gt;=100000), " ",IF(INDEX($Q$2:$U$1001,MATCH(ROWS($J$2:J906),$J$2:$J$1001,0),MATCH(COLUMNS($Q$1006:T1006),$Q$1006:$U$1006,0)), HYPERLINK("#",""), HYPERLINK(CONCATENATE("#metadata!", ADDRESS(INDEX($L$2:$L$1001,MATCH(ROWS($J$2:J906),$J$2:$J$1001,0),0), INDEX($Q$1004:$U$1004,1,MATCH(COLUMNS($Q$1006:T1006),$Q$1006:$U$1006,0)))),"Fix")))</f>
        <v xml:space="preserve"> </v>
      </c>
      <c r="F906" s="3" t="str">
        <f ca="1">IF(OR(INDEX($K$2:$K$1001,MATCH(ROWS($J$2:J906),$J$2:$J$1001,0),1)&gt;=100000,INDEX($Q$1005:$U$1005,1,MATCH(COLUMNS($Q$1006:U1006),$Q$1006:$U$1006,0))&gt;=100000), " ",IF(INDEX($Q$2:$U$1001,MATCH(ROWS($J$2:J906),$J$2:$J$1001,0),MATCH(COLUMNS($Q$1006:U1006),$Q$1006:$U$1006,0)), HYPERLINK("#",""), HYPERLINK(CONCATENATE("#metadata!", ADDRESS(INDEX($L$2:$L$1001,MATCH(ROWS($J$2:J906),$J$2:$J$1001,0),0), INDEX($Q$1004:$U$1004,1,MATCH(COLUMNS($Q$1006:U1006),$Q$1006:$U$1006,0)))),"Fix")))</f>
        <v xml:space="preserve"> </v>
      </c>
      <c r="J906">
        <v>905</v>
      </c>
      <c r="K906">
        <v>100906</v>
      </c>
      <c r="L906">
        <v>906</v>
      </c>
      <c r="M906" t="b">
        <f t="shared" si="14"/>
        <v>1</v>
      </c>
      <c r="N906" t="b">
        <f>COUNTBLANK(metadata!B906:F906)=COLUMNS(metadata!B906:F906)</f>
        <v>1</v>
      </c>
      <c r="O906" t="str">
        <v/>
      </c>
      <c r="Q906" t="b">
        <f ca="1">AND(IF(metadata!B906="",FALSE,TRUE),COUNTIF(metadata!B:B, metadata!B906) = 1,NOT(ISERROR(SUMPRODUCT(SEARCH(MID(metadata!B906,ROW(INDIRECT("1:"&amp;LEN(metadata!B906))), 1),"0123456789abcdefghijklmnopqrstuvwxyzABCDEFGHIJKLMNOPQRSTUVWXYZ.")))))</f>
        <v>0</v>
      </c>
      <c r="R906" t="b">
        <f>AND(IF(metadata!C906="",FALSE,TRUE),OR(EXACT(metadata!C906,"saline"),EXACT(metadata!C906,"non-saline")))</f>
        <v>0</v>
      </c>
      <c r="S906" t="b">
        <f>AND(IF(metadata!D906="",FALSE,TRUE),OR(EXACT(metadata!D906,"surface (non-saline)"),EXACT(metadata!D906,"aerosol (non-saline)"),EXACT(metadata!D906,"sediment (non-saline)"),EXACT(metadata!D906,"surface (saline)"),EXACT(metadata!D906,"aerosol (saline)"),EXACT(metadata!D906,"sediment (saline)")))</f>
        <v>0</v>
      </c>
      <c r="T906" t="b">
        <f>AND(IF(metadata!E906="",FALSE,TRUE),EXACT(metadata!E906,"built environment"))</f>
        <v>0</v>
      </c>
      <c r="U906" t="b">
        <f>OR(AND(IF(metadata!F906="",FALSE,TRUE),EXACT(metadata!F906,"not applicable")),AND(IF(metadata!F906="",FALSE,TRUE),EXACT(metadata!F906,"anaerobic digester content")))</f>
        <v>0</v>
      </c>
    </row>
    <row r="907" spans="1:21" x14ac:dyDescent="0.2">
      <c r="A907" s="4" t="str">
        <f ca="1">IF(B907=" "," ",HYPERLINK(CONCATENATE("#metadata!",ADDRESS(INDEX($L$2:$L$1001,MATCH(ROWS($J$2:J907),$J$2:$J$1001,0),0),1)),INDEX($O$2:$O$1001,MATCH(ROWS($J$2:J907),$J$2:$J$1001,0),0)))</f>
        <v xml:space="preserve"> </v>
      </c>
      <c r="B907" s="3" t="str">
        <f ca="1">IF(OR(INDEX($K$2:$K$1001,MATCH(ROWS($J$2:J907),$J$2:$J$1001,0),1)&gt;=100000,INDEX($Q$1005:$U$1005,1,MATCH(COLUMNS($Q$1006:Q1006),$Q$1006:$U$1006,0))&gt;=100000), " ",IF(INDEX($Q$2:$U$1001,MATCH(ROWS($J$2:J907),$J$2:$J$1001,0),MATCH(COLUMNS($Q$1006:Q1006),$Q$1006:$U$1006,0)), HYPERLINK("#",""), HYPERLINK(CONCATENATE("#metadata!", ADDRESS(INDEX($L$2:$L$1001,MATCH(ROWS($J$2:J907),$J$2:$J$1001,0),0), INDEX($Q$1004:$U$1004,1,MATCH(COLUMNS($Q$1006:Q1006),$Q$1006:$U$1006,0)))),"Fix")))</f>
        <v xml:space="preserve"> </v>
      </c>
      <c r="C907" s="3" t="str">
        <f ca="1">IF(OR(INDEX($K$2:$K$1001,MATCH(ROWS($J$2:J907),$J$2:$J$1001,0),1)&gt;=100000,INDEX($Q$1005:$U$1005,1,MATCH(COLUMNS($Q$1006:R1006),$Q$1006:$U$1006,0))&gt;=100000), " ",IF(INDEX($Q$2:$U$1001,MATCH(ROWS($J$2:J907),$J$2:$J$1001,0),MATCH(COLUMNS($Q$1006:R1006),$Q$1006:$U$1006,0)), HYPERLINK("#",""), HYPERLINK(CONCATENATE("#metadata!", ADDRESS(INDEX($L$2:$L$1001,MATCH(ROWS($J$2:J907),$J$2:$J$1001,0),0), INDEX($Q$1004:$U$1004,1,MATCH(COLUMNS($Q$1006:R1006),$Q$1006:$U$1006,0)))),"Fix")))</f>
        <v xml:space="preserve"> </v>
      </c>
      <c r="D907" s="3" t="str">
        <f ca="1">IF(OR(INDEX($K$2:$K$1001,MATCH(ROWS($J$2:J907),$J$2:$J$1001,0),1)&gt;=100000,INDEX($Q$1005:$U$1005,1,MATCH(COLUMNS($Q$1006:S1006),$Q$1006:$U$1006,0))&gt;=100000), " ",IF(INDEX($Q$2:$U$1001,MATCH(ROWS($J$2:J907),$J$2:$J$1001,0),MATCH(COLUMNS($Q$1006:S1006),$Q$1006:$U$1006,0)), HYPERLINK("#",""), HYPERLINK(CONCATENATE("#metadata!", ADDRESS(INDEX($L$2:$L$1001,MATCH(ROWS($J$2:J907),$J$2:$J$1001,0),0), INDEX($Q$1004:$U$1004,1,MATCH(COLUMNS($Q$1006:S1006),$Q$1006:$U$1006,0)))),"Fix")))</f>
        <v xml:space="preserve"> </v>
      </c>
      <c r="E907" s="3" t="str">
        <f ca="1">IF(OR(INDEX($K$2:$K$1001,MATCH(ROWS($J$2:J907),$J$2:$J$1001,0),1)&gt;=100000,INDEX($Q$1005:$U$1005,1,MATCH(COLUMNS($Q$1006:T1006),$Q$1006:$U$1006,0))&gt;=100000), " ",IF(INDEX($Q$2:$U$1001,MATCH(ROWS($J$2:J907),$J$2:$J$1001,0),MATCH(COLUMNS($Q$1006:T1006),$Q$1006:$U$1006,0)), HYPERLINK("#",""), HYPERLINK(CONCATENATE("#metadata!", ADDRESS(INDEX($L$2:$L$1001,MATCH(ROWS($J$2:J907),$J$2:$J$1001,0),0), INDEX($Q$1004:$U$1004,1,MATCH(COLUMNS($Q$1006:T1006),$Q$1006:$U$1006,0)))),"Fix")))</f>
        <v xml:space="preserve"> </v>
      </c>
      <c r="F907" s="3" t="str">
        <f ca="1">IF(OR(INDEX($K$2:$K$1001,MATCH(ROWS($J$2:J907),$J$2:$J$1001,0),1)&gt;=100000,INDEX($Q$1005:$U$1005,1,MATCH(COLUMNS($Q$1006:U1006),$Q$1006:$U$1006,0))&gt;=100000), " ",IF(INDEX($Q$2:$U$1001,MATCH(ROWS($J$2:J907),$J$2:$J$1001,0),MATCH(COLUMNS($Q$1006:U1006),$Q$1006:$U$1006,0)), HYPERLINK("#",""), HYPERLINK(CONCATENATE("#metadata!", ADDRESS(INDEX($L$2:$L$1001,MATCH(ROWS($J$2:J907),$J$2:$J$1001,0),0), INDEX($Q$1004:$U$1004,1,MATCH(COLUMNS($Q$1006:U1006),$Q$1006:$U$1006,0)))),"Fix")))</f>
        <v xml:space="preserve"> </v>
      </c>
      <c r="J907">
        <v>906</v>
      </c>
      <c r="K907">
        <v>100907</v>
      </c>
      <c r="L907">
        <v>907</v>
      </c>
      <c r="M907" t="b">
        <f t="shared" si="14"/>
        <v>1</v>
      </c>
      <c r="N907" t="b">
        <f>COUNTBLANK(metadata!B907:F907)=COLUMNS(metadata!B907:F907)</f>
        <v>1</v>
      </c>
      <c r="O907" t="str">
        <v/>
      </c>
      <c r="Q907" t="b">
        <f ca="1">AND(IF(metadata!B907="",FALSE,TRUE),COUNTIF(metadata!B:B, metadata!B907) = 1,NOT(ISERROR(SUMPRODUCT(SEARCH(MID(metadata!B907,ROW(INDIRECT("1:"&amp;LEN(metadata!B907))), 1),"0123456789abcdefghijklmnopqrstuvwxyzABCDEFGHIJKLMNOPQRSTUVWXYZ.")))))</f>
        <v>0</v>
      </c>
      <c r="R907" t="b">
        <f>AND(IF(metadata!C907="",FALSE,TRUE),OR(EXACT(metadata!C907,"saline"),EXACT(metadata!C907,"non-saline")))</f>
        <v>0</v>
      </c>
      <c r="S907" t="b">
        <f>AND(IF(metadata!D907="",FALSE,TRUE),OR(EXACT(metadata!D907,"surface (non-saline)"),EXACT(metadata!D907,"aerosol (non-saline)"),EXACT(metadata!D907,"sediment (non-saline)"),EXACT(metadata!D907,"surface (saline)"),EXACT(metadata!D907,"aerosol (saline)"),EXACT(metadata!D907,"sediment (saline)")))</f>
        <v>0</v>
      </c>
      <c r="T907" t="b">
        <f>AND(IF(metadata!E907="",FALSE,TRUE),EXACT(metadata!E907,"built environment"))</f>
        <v>0</v>
      </c>
      <c r="U907" t="b">
        <f>OR(AND(IF(metadata!F907="",FALSE,TRUE),EXACT(metadata!F907,"not applicable")),AND(IF(metadata!F907="",FALSE,TRUE),EXACT(metadata!F907,"anaerobic digester content")))</f>
        <v>0</v>
      </c>
    </row>
    <row r="908" spans="1:21" x14ac:dyDescent="0.2">
      <c r="A908" s="4" t="str">
        <f ca="1">IF(B908=" "," ",HYPERLINK(CONCATENATE("#metadata!",ADDRESS(INDEX($L$2:$L$1001,MATCH(ROWS($J$2:J908),$J$2:$J$1001,0),0),1)),INDEX($O$2:$O$1001,MATCH(ROWS($J$2:J908),$J$2:$J$1001,0),0)))</f>
        <v xml:space="preserve"> </v>
      </c>
      <c r="B908" s="3" t="str">
        <f ca="1">IF(OR(INDEX($K$2:$K$1001,MATCH(ROWS($J$2:J908),$J$2:$J$1001,0),1)&gt;=100000,INDEX($Q$1005:$U$1005,1,MATCH(COLUMNS($Q$1006:Q1006),$Q$1006:$U$1006,0))&gt;=100000), " ",IF(INDEX($Q$2:$U$1001,MATCH(ROWS($J$2:J908),$J$2:$J$1001,0),MATCH(COLUMNS($Q$1006:Q1006),$Q$1006:$U$1006,0)), HYPERLINK("#",""), HYPERLINK(CONCATENATE("#metadata!", ADDRESS(INDEX($L$2:$L$1001,MATCH(ROWS($J$2:J908),$J$2:$J$1001,0),0), INDEX($Q$1004:$U$1004,1,MATCH(COLUMNS($Q$1006:Q1006),$Q$1006:$U$1006,0)))),"Fix")))</f>
        <v xml:space="preserve"> </v>
      </c>
      <c r="C908" s="3" t="str">
        <f ca="1">IF(OR(INDEX($K$2:$K$1001,MATCH(ROWS($J$2:J908),$J$2:$J$1001,0),1)&gt;=100000,INDEX($Q$1005:$U$1005,1,MATCH(COLUMNS($Q$1006:R1006),$Q$1006:$U$1006,0))&gt;=100000), " ",IF(INDEX($Q$2:$U$1001,MATCH(ROWS($J$2:J908),$J$2:$J$1001,0),MATCH(COLUMNS($Q$1006:R1006),$Q$1006:$U$1006,0)), HYPERLINK("#",""), HYPERLINK(CONCATENATE("#metadata!", ADDRESS(INDEX($L$2:$L$1001,MATCH(ROWS($J$2:J908),$J$2:$J$1001,0),0), INDEX($Q$1004:$U$1004,1,MATCH(COLUMNS($Q$1006:R1006),$Q$1006:$U$1006,0)))),"Fix")))</f>
        <v xml:space="preserve"> </v>
      </c>
      <c r="D908" s="3" t="str">
        <f ca="1">IF(OR(INDEX($K$2:$K$1001,MATCH(ROWS($J$2:J908),$J$2:$J$1001,0),1)&gt;=100000,INDEX($Q$1005:$U$1005,1,MATCH(COLUMNS($Q$1006:S1006),$Q$1006:$U$1006,0))&gt;=100000), " ",IF(INDEX($Q$2:$U$1001,MATCH(ROWS($J$2:J908),$J$2:$J$1001,0),MATCH(COLUMNS($Q$1006:S1006),$Q$1006:$U$1006,0)), HYPERLINK("#",""), HYPERLINK(CONCATENATE("#metadata!", ADDRESS(INDEX($L$2:$L$1001,MATCH(ROWS($J$2:J908),$J$2:$J$1001,0),0), INDEX($Q$1004:$U$1004,1,MATCH(COLUMNS($Q$1006:S1006),$Q$1006:$U$1006,0)))),"Fix")))</f>
        <v xml:space="preserve"> </v>
      </c>
      <c r="E908" s="3" t="str">
        <f ca="1">IF(OR(INDEX($K$2:$K$1001,MATCH(ROWS($J$2:J908),$J$2:$J$1001,0),1)&gt;=100000,INDEX($Q$1005:$U$1005,1,MATCH(COLUMNS($Q$1006:T1006),$Q$1006:$U$1006,0))&gt;=100000), " ",IF(INDEX($Q$2:$U$1001,MATCH(ROWS($J$2:J908),$J$2:$J$1001,0),MATCH(COLUMNS($Q$1006:T1006),$Q$1006:$U$1006,0)), HYPERLINK("#",""), HYPERLINK(CONCATENATE("#metadata!", ADDRESS(INDEX($L$2:$L$1001,MATCH(ROWS($J$2:J908),$J$2:$J$1001,0),0), INDEX($Q$1004:$U$1004,1,MATCH(COLUMNS($Q$1006:T1006),$Q$1006:$U$1006,0)))),"Fix")))</f>
        <v xml:space="preserve"> </v>
      </c>
      <c r="F908" s="3" t="str">
        <f ca="1">IF(OR(INDEX($K$2:$K$1001,MATCH(ROWS($J$2:J908),$J$2:$J$1001,0),1)&gt;=100000,INDEX($Q$1005:$U$1005,1,MATCH(COLUMNS($Q$1006:U1006),$Q$1006:$U$1006,0))&gt;=100000), " ",IF(INDEX($Q$2:$U$1001,MATCH(ROWS($J$2:J908),$J$2:$J$1001,0),MATCH(COLUMNS($Q$1006:U1006),$Q$1006:$U$1006,0)), HYPERLINK("#",""), HYPERLINK(CONCATENATE("#metadata!", ADDRESS(INDEX($L$2:$L$1001,MATCH(ROWS($J$2:J908),$J$2:$J$1001,0),0), INDEX($Q$1004:$U$1004,1,MATCH(COLUMNS($Q$1006:U1006),$Q$1006:$U$1006,0)))),"Fix")))</f>
        <v xml:space="preserve"> </v>
      </c>
      <c r="J908">
        <v>907</v>
      </c>
      <c r="K908">
        <v>100908</v>
      </c>
      <c r="L908">
        <v>908</v>
      </c>
      <c r="M908" t="b">
        <f t="shared" si="14"/>
        <v>1</v>
      </c>
      <c r="N908" t="b">
        <f>COUNTBLANK(metadata!B908:F908)=COLUMNS(metadata!B908:F908)</f>
        <v>1</v>
      </c>
      <c r="O908" t="str">
        <v/>
      </c>
      <c r="Q908" t="b">
        <f ca="1">AND(IF(metadata!B908="",FALSE,TRUE),COUNTIF(metadata!B:B, metadata!B908) = 1,NOT(ISERROR(SUMPRODUCT(SEARCH(MID(metadata!B908,ROW(INDIRECT("1:"&amp;LEN(metadata!B908))), 1),"0123456789abcdefghijklmnopqrstuvwxyzABCDEFGHIJKLMNOPQRSTUVWXYZ.")))))</f>
        <v>0</v>
      </c>
      <c r="R908" t="b">
        <f>AND(IF(metadata!C908="",FALSE,TRUE),OR(EXACT(metadata!C908,"saline"),EXACT(metadata!C908,"non-saline")))</f>
        <v>0</v>
      </c>
      <c r="S908" t="b">
        <f>AND(IF(metadata!D908="",FALSE,TRUE),OR(EXACT(metadata!D908,"surface (non-saline)"),EXACT(metadata!D908,"aerosol (non-saline)"),EXACT(metadata!D908,"sediment (non-saline)"),EXACT(metadata!D908,"surface (saline)"),EXACT(metadata!D908,"aerosol (saline)"),EXACT(metadata!D908,"sediment (saline)")))</f>
        <v>0</v>
      </c>
      <c r="T908" t="b">
        <f>AND(IF(metadata!E908="",FALSE,TRUE),EXACT(metadata!E908,"built environment"))</f>
        <v>0</v>
      </c>
      <c r="U908" t="b">
        <f>OR(AND(IF(metadata!F908="",FALSE,TRUE),EXACT(metadata!F908,"not applicable")),AND(IF(metadata!F908="",FALSE,TRUE),EXACT(metadata!F908,"anaerobic digester content")))</f>
        <v>0</v>
      </c>
    </row>
    <row r="909" spans="1:21" x14ac:dyDescent="0.2">
      <c r="A909" s="4" t="str">
        <f ca="1">IF(B909=" "," ",HYPERLINK(CONCATENATE("#metadata!",ADDRESS(INDEX($L$2:$L$1001,MATCH(ROWS($J$2:J909),$J$2:$J$1001,0),0),1)),INDEX($O$2:$O$1001,MATCH(ROWS($J$2:J909),$J$2:$J$1001,0),0)))</f>
        <v xml:space="preserve"> </v>
      </c>
      <c r="B909" s="3" t="str">
        <f ca="1">IF(OR(INDEX($K$2:$K$1001,MATCH(ROWS($J$2:J909),$J$2:$J$1001,0),1)&gt;=100000,INDEX($Q$1005:$U$1005,1,MATCH(COLUMNS($Q$1006:Q1006),$Q$1006:$U$1006,0))&gt;=100000), " ",IF(INDEX($Q$2:$U$1001,MATCH(ROWS($J$2:J909),$J$2:$J$1001,0),MATCH(COLUMNS($Q$1006:Q1006),$Q$1006:$U$1006,0)), HYPERLINK("#",""), HYPERLINK(CONCATENATE("#metadata!", ADDRESS(INDEX($L$2:$L$1001,MATCH(ROWS($J$2:J909),$J$2:$J$1001,0),0), INDEX($Q$1004:$U$1004,1,MATCH(COLUMNS($Q$1006:Q1006),$Q$1006:$U$1006,0)))),"Fix")))</f>
        <v xml:space="preserve"> </v>
      </c>
      <c r="C909" s="3" t="str">
        <f ca="1">IF(OR(INDEX($K$2:$K$1001,MATCH(ROWS($J$2:J909),$J$2:$J$1001,0),1)&gt;=100000,INDEX($Q$1005:$U$1005,1,MATCH(COLUMNS($Q$1006:R1006),$Q$1006:$U$1006,0))&gt;=100000), " ",IF(INDEX($Q$2:$U$1001,MATCH(ROWS($J$2:J909),$J$2:$J$1001,0),MATCH(COLUMNS($Q$1006:R1006),$Q$1006:$U$1006,0)), HYPERLINK("#",""), HYPERLINK(CONCATENATE("#metadata!", ADDRESS(INDEX($L$2:$L$1001,MATCH(ROWS($J$2:J909),$J$2:$J$1001,0),0), INDEX($Q$1004:$U$1004,1,MATCH(COLUMNS($Q$1006:R1006),$Q$1006:$U$1006,0)))),"Fix")))</f>
        <v xml:space="preserve"> </v>
      </c>
      <c r="D909" s="3" t="str">
        <f ca="1">IF(OR(INDEX($K$2:$K$1001,MATCH(ROWS($J$2:J909),$J$2:$J$1001,0),1)&gt;=100000,INDEX($Q$1005:$U$1005,1,MATCH(COLUMNS($Q$1006:S1006),$Q$1006:$U$1006,0))&gt;=100000), " ",IF(INDEX($Q$2:$U$1001,MATCH(ROWS($J$2:J909),$J$2:$J$1001,0),MATCH(COLUMNS($Q$1006:S1006),$Q$1006:$U$1006,0)), HYPERLINK("#",""), HYPERLINK(CONCATENATE("#metadata!", ADDRESS(INDEX($L$2:$L$1001,MATCH(ROWS($J$2:J909),$J$2:$J$1001,0),0), INDEX($Q$1004:$U$1004,1,MATCH(COLUMNS($Q$1006:S1006),$Q$1006:$U$1006,0)))),"Fix")))</f>
        <v xml:space="preserve"> </v>
      </c>
      <c r="E909" s="3" t="str">
        <f ca="1">IF(OR(INDEX($K$2:$K$1001,MATCH(ROWS($J$2:J909),$J$2:$J$1001,0),1)&gt;=100000,INDEX($Q$1005:$U$1005,1,MATCH(COLUMNS($Q$1006:T1006),$Q$1006:$U$1006,0))&gt;=100000), " ",IF(INDEX($Q$2:$U$1001,MATCH(ROWS($J$2:J909),$J$2:$J$1001,0),MATCH(COLUMNS($Q$1006:T1006),$Q$1006:$U$1006,0)), HYPERLINK("#",""), HYPERLINK(CONCATENATE("#metadata!", ADDRESS(INDEX($L$2:$L$1001,MATCH(ROWS($J$2:J909),$J$2:$J$1001,0),0), INDEX($Q$1004:$U$1004,1,MATCH(COLUMNS($Q$1006:T1006),$Q$1006:$U$1006,0)))),"Fix")))</f>
        <v xml:space="preserve"> </v>
      </c>
      <c r="F909" s="3" t="str">
        <f ca="1">IF(OR(INDEX($K$2:$K$1001,MATCH(ROWS($J$2:J909),$J$2:$J$1001,0),1)&gt;=100000,INDEX($Q$1005:$U$1005,1,MATCH(COLUMNS($Q$1006:U1006),$Q$1006:$U$1006,0))&gt;=100000), " ",IF(INDEX($Q$2:$U$1001,MATCH(ROWS($J$2:J909),$J$2:$J$1001,0),MATCH(COLUMNS($Q$1006:U1006),$Q$1006:$U$1006,0)), HYPERLINK("#",""), HYPERLINK(CONCATENATE("#metadata!", ADDRESS(INDEX($L$2:$L$1001,MATCH(ROWS($J$2:J909),$J$2:$J$1001,0),0), INDEX($Q$1004:$U$1004,1,MATCH(COLUMNS($Q$1006:U1006),$Q$1006:$U$1006,0)))),"Fix")))</f>
        <v xml:space="preserve"> </v>
      </c>
      <c r="J909">
        <v>908</v>
      </c>
      <c r="K909">
        <v>100909</v>
      </c>
      <c r="L909">
        <v>909</v>
      </c>
      <c r="M909" t="b">
        <f t="shared" si="14"/>
        <v>1</v>
      </c>
      <c r="N909" t="b">
        <f>COUNTBLANK(metadata!B909:F909)=COLUMNS(metadata!B909:F909)</f>
        <v>1</v>
      </c>
      <c r="O909" t="str">
        <v/>
      </c>
      <c r="Q909" t="b">
        <f ca="1">AND(IF(metadata!B909="",FALSE,TRUE),COUNTIF(metadata!B:B, metadata!B909) = 1,NOT(ISERROR(SUMPRODUCT(SEARCH(MID(metadata!B909,ROW(INDIRECT("1:"&amp;LEN(metadata!B909))), 1),"0123456789abcdefghijklmnopqrstuvwxyzABCDEFGHIJKLMNOPQRSTUVWXYZ.")))))</f>
        <v>0</v>
      </c>
      <c r="R909" t="b">
        <f>AND(IF(metadata!C909="",FALSE,TRUE),OR(EXACT(metadata!C909,"saline"),EXACT(metadata!C909,"non-saline")))</f>
        <v>0</v>
      </c>
      <c r="S909" t="b">
        <f>AND(IF(metadata!D909="",FALSE,TRUE),OR(EXACT(metadata!D909,"surface (non-saline)"),EXACT(metadata!D909,"aerosol (non-saline)"),EXACT(metadata!D909,"sediment (non-saline)"),EXACT(metadata!D909,"surface (saline)"),EXACT(metadata!D909,"aerosol (saline)"),EXACT(metadata!D909,"sediment (saline)")))</f>
        <v>0</v>
      </c>
      <c r="T909" t="b">
        <f>AND(IF(metadata!E909="",FALSE,TRUE),EXACT(metadata!E909,"built environment"))</f>
        <v>0</v>
      </c>
      <c r="U909" t="b">
        <f>OR(AND(IF(metadata!F909="",FALSE,TRUE),EXACT(metadata!F909,"not applicable")),AND(IF(metadata!F909="",FALSE,TRUE),EXACT(metadata!F909,"anaerobic digester content")))</f>
        <v>0</v>
      </c>
    </row>
    <row r="910" spans="1:21" x14ac:dyDescent="0.2">
      <c r="A910" s="4" t="str">
        <f ca="1">IF(B910=" "," ",HYPERLINK(CONCATENATE("#metadata!",ADDRESS(INDEX($L$2:$L$1001,MATCH(ROWS($J$2:J910),$J$2:$J$1001,0),0),1)),INDEX($O$2:$O$1001,MATCH(ROWS($J$2:J910),$J$2:$J$1001,0),0)))</f>
        <v xml:space="preserve"> </v>
      </c>
      <c r="B910" s="3" t="str">
        <f ca="1">IF(OR(INDEX($K$2:$K$1001,MATCH(ROWS($J$2:J910),$J$2:$J$1001,0),1)&gt;=100000,INDEX($Q$1005:$U$1005,1,MATCH(COLUMNS($Q$1006:Q1006),$Q$1006:$U$1006,0))&gt;=100000), " ",IF(INDEX($Q$2:$U$1001,MATCH(ROWS($J$2:J910),$J$2:$J$1001,0),MATCH(COLUMNS($Q$1006:Q1006),$Q$1006:$U$1006,0)), HYPERLINK("#",""), HYPERLINK(CONCATENATE("#metadata!", ADDRESS(INDEX($L$2:$L$1001,MATCH(ROWS($J$2:J910),$J$2:$J$1001,0),0), INDEX($Q$1004:$U$1004,1,MATCH(COLUMNS($Q$1006:Q1006),$Q$1006:$U$1006,0)))),"Fix")))</f>
        <v xml:space="preserve"> </v>
      </c>
      <c r="C910" s="3" t="str">
        <f ca="1">IF(OR(INDEX($K$2:$K$1001,MATCH(ROWS($J$2:J910),$J$2:$J$1001,0),1)&gt;=100000,INDEX($Q$1005:$U$1005,1,MATCH(COLUMNS($Q$1006:R1006),$Q$1006:$U$1006,0))&gt;=100000), " ",IF(INDEX($Q$2:$U$1001,MATCH(ROWS($J$2:J910),$J$2:$J$1001,0),MATCH(COLUMNS($Q$1006:R1006),$Q$1006:$U$1006,0)), HYPERLINK("#",""), HYPERLINK(CONCATENATE("#metadata!", ADDRESS(INDEX($L$2:$L$1001,MATCH(ROWS($J$2:J910),$J$2:$J$1001,0),0), INDEX($Q$1004:$U$1004,1,MATCH(COLUMNS($Q$1006:R1006),$Q$1006:$U$1006,0)))),"Fix")))</f>
        <v xml:space="preserve"> </v>
      </c>
      <c r="D910" s="3" t="str">
        <f ca="1">IF(OR(INDEX($K$2:$K$1001,MATCH(ROWS($J$2:J910),$J$2:$J$1001,0),1)&gt;=100000,INDEX($Q$1005:$U$1005,1,MATCH(COLUMNS($Q$1006:S1006),$Q$1006:$U$1006,0))&gt;=100000), " ",IF(INDEX($Q$2:$U$1001,MATCH(ROWS($J$2:J910),$J$2:$J$1001,0),MATCH(COLUMNS($Q$1006:S1006),$Q$1006:$U$1006,0)), HYPERLINK("#",""), HYPERLINK(CONCATENATE("#metadata!", ADDRESS(INDEX($L$2:$L$1001,MATCH(ROWS($J$2:J910),$J$2:$J$1001,0),0), INDEX($Q$1004:$U$1004,1,MATCH(COLUMNS($Q$1006:S1006),$Q$1006:$U$1006,0)))),"Fix")))</f>
        <v xml:space="preserve"> </v>
      </c>
      <c r="E910" s="3" t="str">
        <f ca="1">IF(OR(INDEX($K$2:$K$1001,MATCH(ROWS($J$2:J910),$J$2:$J$1001,0),1)&gt;=100000,INDEX($Q$1005:$U$1005,1,MATCH(COLUMNS($Q$1006:T1006),$Q$1006:$U$1006,0))&gt;=100000), " ",IF(INDEX($Q$2:$U$1001,MATCH(ROWS($J$2:J910),$J$2:$J$1001,0),MATCH(COLUMNS($Q$1006:T1006),$Q$1006:$U$1006,0)), HYPERLINK("#",""), HYPERLINK(CONCATENATE("#metadata!", ADDRESS(INDEX($L$2:$L$1001,MATCH(ROWS($J$2:J910),$J$2:$J$1001,0),0), INDEX($Q$1004:$U$1004,1,MATCH(COLUMNS($Q$1006:T1006),$Q$1006:$U$1006,0)))),"Fix")))</f>
        <v xml:space="preserve"> </v>
      </c>
      <c r="F910" s="3" t="str">
        <f ca="1">IF(OR(INDEX($K$2:$K$1001,MATCH(ROWS($J$2:J910),$J$2:$J$1001,0),1)&gt;=100000,INDEX($Q$1005:$U$1005,1,MATCH(COLUMNS($Q$1006:U1006),$Q$1006:$U$1006,0))&gt;=100000), " ",IF(INDEX($Q$2:$U$1001,MATCH(ROWS($J$2:J910),$J$2:$J$1001,0),MATCH(COLUMNS($Q$1006:U1006),$Q$1006:$U$1006,0)), HYPERLINK("#",""), HYPERLINK(CONCATENATE("#metadata!", ADDRESS(INDEX($L$2:$L$1001,MATCH(ROWS($J$2:J910),$J$2:$J$1001,0),0), INDEX($Q$1004:$U$1004,1,MATCH(COLUMNS($Q$1006:U1006),$Q$1006:$U$1006,0)))),"Fix")))</f>
        <v xml:space="preserve"> </v>
      </c>
      <c r="J910">
        <v>909</v>
      </c>
      <c r="K910">
        <v>100910</v>
      </c>
      <c r="L910">
        <v>910</v>
      </c>
      <c r="M910" t="b">
        <f t="shared" si="14"/>
        <v>1</v>
      </c>
      <c r="N910" t="b">
        <f>COUNTBLANK(metadata!B910:F910)=COLUMNS(metadata!B910:F910)</f>
        <v>1</v>
      </c>
      <c r="O910" t="str">
        <v/>
      </c>
      <c r="Q910" t="b">
        <f ca="1">AND(IF(metadata!B910="",FALSE,TRUE),COUNTIF(metadata!B:B, metadata!B910) = 1,NOT(ISERROR(SUMPRODUCT(SEARCH(MID(metadata!B910,ROW(INDIRECT("1:"&amp;LEN(metadata!B910))), 1),"0123456789abcdefghijklmnopqrstuvwxyzABCDEFGHIJKLMNOPQRSTUVWXYZ.")))))</f>
        <v>0</v>
      </c>
      <c r="R910" t="b">
        <f>AND(IF(metadata!C910="",FALSE,TRUE),OR(EXACT(metadata!C910,"saline"),EXACT(metadata!C910,"non-saline")))</f>
        <v>0</v>
      </c>
      <c r="S910" t="b">
        <f>AND(IF(metadata!D910="",FALSE,TRUE),OR(EXACT(metadata!D910,"surface (non-saline)"),EXACT(metadata!D910,"aerosol (non-saline)"),EXACT(metadata!D910,"sediment (non-saline)"),EXACT(metadata!D910,"surface (saline)"),EXACT(metadata!D910,"aerosol (saline)"),EXACT(metadata!D910,"sediment (saline)")))</f>
        <v>0</v>
      </c>
      <c r="T910" t="b">
        <f>AND(IF(metadata!E910="",FALSE,TRUE),EXACT(metadata!E910,"built environment"))</f>
        <v>0</v>
      </c>
      <c r="U910" t="b">
        <f>OR(AND(IF(metadata!F910="",FALSE,TRUE),EXACT(metadata!F910,"not applicable")),AND(IF(metadata!F910="",FALSE,TRUE),EXACT(metadata!F910,"anaerobic digester content")))</f>
        <v>0</v>
      </c>
    </row>
    <row r="911" spans="1:21" x14ac:dyDescent="0.2">
      <c r="A911" s="4" t="str">
        <f ca="1">IF(B911=" "," ",HYPERLINK(CONCATENATE("#metadata!",ADDRESS(INDEX($L$2:$L$1001,MATCH(ROWS($J$2:J911),$J$2:$J$1001,0),0),1)),INDEX($O$2:$O$1001,MATCH(ROWS($J$2:J911),$J$2:$J$1001,0),0)))</f>
        <v xml:space="preserve"> </v>
      </c>
      <c r="B911" s="3" t="str">
        <f ca="1">IF(OR(INDEX($K$2:$K$1001,MATCH(ROWS($J$2:J911),$J$2:$J$1001,0),1)&gt;=100000,INDEX($Q$1005:$U$1005,1,MATCH(COLUMNS($Q$1006:Q1006),$Q$1006:$U$1006,0))&gt;=100000), " ",IF(INDEX($Q$2:$U$1001,MATCH(ROWS($J$2:J911),$J$2:$J$1001,0),MATCH(COLUMNS($Q$1006:Q1006),$Q$1006:$U$1006,0)), HYPERLINK("#",""), HYPERLINK(CONCATENATE("#metadata!", ADDRESS(INDEX($L$2:$L$1001,MATCH(ROWS($J$2:J911),$J$2:$J$1001,0),0), INDEX($Q$1004:$U$1004,1,MATCH(COLUMNS($Q$1006:Q1006),$Q$1006:$U$1006,0)))),"Fix")))</f>
        <v xml:space="preserve"> </v>
      </c>
      <c r="C911" s="3" t="str">
        <f ca="1">IF(OR(INDEX($K$2:$K$1001,MATCH(ROWS($J$2:J911),$J$2:$J$1001,0),1)&gt;=100000,INDEX($Q$1005:$U$1005,1,MATCH(COLUMNS($Q$1006:R1006),$Q$1006:$U$1006,0))&gt;=100000), " ",IF(INDEX($Q$2:$U$1001,MATCH(ROWS($J$2:J911),$J$2:$J$1001,0),MATCH(COLUMNS($Q$1006:R1006),$Q$1006:$U$1006,0)), HYPERLINK("#",""), HYPERLINK(CONCATENATE("#metadata!", ADDRESS(INDEX($L$2:$L$1001,MATCH(ROWS($J$2:J911),$J$2:$J$1001,0),0), INDEX($Q$1004:$U$1004,1,MATCH(COLUMNS($Q$1006:R1006),$Q$1006:$U$1006,0)))),"Fix")))</f>
        <v xml:space="preserve"> </v>
      </c>
      <c r="D911" s="3" t="str">
        <f ca="1">IF(OR(INDEX($K$2:$K$1001,MATCH(ROWS($J$2:J911),$J$2:$J$1001,0),1)&gt;=100000,INDEX($Q$1005:$U$1005,1,MATCH(COLUMNS($Q$1006:S1006),$Q$1006:$U$1006,0))&gt;=100000), " ",IF(INDEX($Q$2:$U$1001,MATCH(ROWS($J$2:J911),$J$2:$J$1001,0),MATCH(COLUMNS($Q$1006:S1006),$Q$1006:$U$1006,0)), HYPERLINK("#",""), HYPERLINK(CONCATENATE("#metadata!", ADDRESS(INDEX($L$2:$L$1001,MATCH(ROWS($J$2:J911),$J$2:$J$1001,0),0), INDEX($Q$1004:$U$1004,1,MATCH(COLUMNS($Q$1006:S1006),$Q$1006:$U$1006,0)))),"Fix")))</f>
        <v xml:space="preserve"> </v>
      </c>
      <c r="E911" s="3" t="str">
        <f ca="1">IF(OR(INDEX($K$2:$K$1001,MATCH(ROWS($J$2:J911),$J$2:$J$1001,0),1)&gt;=100000,INDEX($Q$1005:$U$1005,1,MATCH(COLUMNS($Q$1006:T1006),$Q$1006:$U$1006,0))&gt;=100000), " ",IF(INDEX($Q$2:$U$1001,MATCH(ROWS($J$2:J911),$J$2:$J$1001,0),MATCH(COLUMNS($Q$1006:T1006),$Q$1006:$U$1006,0)), HYPERLINK("#",""), HYPERLINK(CONCATENATE("#metadata!", ADDRESS(INDEX($L$2:$L$1001,MATCH(ROWS($J$2:J911),$J$2:$J$1001,0),0), INDEX($Q$1004:$U$1004,1,MATCH(COLUMNS($Q$1006:T1006),$Q$1006:$U$1006,0)))),"Fix")))</f>
        <v xml:space="preserve"> </v>
      </c>
      <c r="F911" s="3" t="str">
        <f ca="1">IF(OR(INDEX($K$2:$K$1001,MATCH(ROWS($J$2:J911),$J$2:$J$1001,0),1)&gt;=100000,INDEX($Q$1005:$U$1005,1,MATCH(COLUMNS($Q$1006:U1006),$Q$1006:$U$1006,0))&gt;=100000), " ",IF(INDEX($Q$2:$U$1001,MATCH(ROWS($J$2:J911),$J$2:$J$1001,0),MATCH(COLUMNS($Q$1006:U1006),$Q$1006:$U$1006,0)), HYPERLINK("#",""), HYPERLINK(CONCATENATE("#metadata!", ADDRESS(INDEX($L$2:$L$1001,MATCH(ROWS($J$2:J911),$J$2:$J$1001,0),0), INDEX($Q$1004:$U$1004,1,MATCH(COLUMNS($Q$1006:U1006),$Q$1006:$U$1006,0)))),"Fix")))</f>
        <v xml:space="preserve"> </v>
      </c>
      <c r="J911">
        <v>910</v>
      </c>
      <c r="K911">
        <v>100911</v>
      </c>
      <c r="L911">
        <v>911</v>
      </c>
      <c r="M911" t="b">
        <f t="shared" si="14"/>
        <v>1</v>
      </c>
      <c r="N911" t="b">
        <f>COUNTBLANK(metadata!B911:F911)=COLUMNS(metadata!B911:F911)</f>
        <v>1</v>
      </c>
      <c r="O911" t="str">
        <v/>
      </c>
      <c r="Q911" t="b">
        <f ca="1">AND(IF(metadata!B911="",FALSE,TRUE),COUNTIF(metadata!B:B, metadata!B911) = 1,NOT(ISERROR(SUMPRODUCT(SEARCH(MID(metadata!B911,ROW(INDIRECT("1:"&amp;LEN(metadata!B911))), 1),"0123456789abcdefghijklmnopqrstuvwxyzABCDEFGHIJKLMNOPQRSTUVWXYZ.")))))</f>
        <v>0</v>
      </c>
      <c r="R911" t="b">
        <f>AND(IF(metadata!C911="",FALSE,TRUE),OR(EXACT(metadata!C911,"saline"),EXACT(metadata!C911,"non-saline")))</f>
        <v>0</v>
      </c>
      <c r="S911" t="b">
        <f>AND(IF(metadata!D911="",FALSE,TRUE),OR(EXACT(metadata!D911,"surface (non-saline)"),EXACT(metadata!D911,"aerosol (non-saline)"),EXACT(metadata!D911,"sediment (non-saline)"),EXACT(metadata!D911,"surface (saline)"),EXACT(metadata!D911,"aerosol (saline)"),EXACT(metadata!D911,"sediment (saline)")))</f>
        <v>0</v>
      </c>
      <c r="T911" t="b">
        <f>AND(IF(metadata!E911="",FALSE,TRUE),EXACT(metadata!E911,"built environment"))</f>
        <v>0</v>
      </c>
      <c r="U911" t="b">
        <f>OR(AND(IF(metadata!F911="",FALSE,TRUE),EXACT(metadata!F911,"not applicable")),AND(IF(metadata!F911="",FALSE,TRUE),EXACT(metadata!F911,"anaerobic digester content")))</f>
        <v>0</v>
      </c>
    </row>
    <row r="912" spans="1:21" x14ac:dyDescent="0.2">
      <c r="A912" s="4" t="str">
        <f ca="1">IF(B912=" "," ",HYPERLINK(CONCATENATE("#metadata!",ADDRESS(INDEX($L$2:$L$1001,MATCH(ROWS($J$2:J912),$J$2:$J$1001,0),0),1)),INDEX($O$2:$O$1001,MATCH(ROWS($J$2:J912),$J$2:$J$1001,0),0)))</f>
        <v xml:space="preserve"> </v>
      </c>
      <c r="B912" s="3" t="str">
        <f ca="1">IF(OR(INDEX($K$2:$K$1001,MATCH(ROWS($J$2:J912),$J$2:$J$1001,0),1)&gt;=100000,INDEX($Q$1005:$U$1005,1,MATCH(COLUMNS($Q$1006:Q1006),$Q$1006:$U$1006,0))&gt;=100000), " ",IF(INDEX($Q$2:$U$1001,MATCH(ROWS($J$2:J912),$J$2:$J$1001,0),MATCH(COLUMNS($Q$1006:Q1006),$Q$1006:$U$1006,0)), HYPERLINK("#",""), HYPERLINK(CONCATENATE("#metadata!", ADDRESS(INDEX($L$2:$L$1001,MATCH(ROWS($J$2:J912),$J$2:$J$1001,0),0), INDEX($Q$1004:$U$1004,1,MATCH(COLUMNS($Q$1006:Q1006),$Q$1006:$U$1006,0)))),"Fix")))</f>
        <v xml:space="preserve"> </v>
      </c>
      <c r="C912" s="3" t="str">
        <f ca="1">IF(OR(INDEX($K$2:$K$1001,MATCH(ROWS($J$2:J912),$J$2:$J$1001,0),1)&gt;=100000,INDEX($Q$1005:$U$1005,1,MATCH(COLUMNS($Q$1006:R1006),$Q$1006:$U$1006,0))&gt;=100000), " ",IF(INDEX($Q$2:$U$1001,MATCH(ROWS($J$2:J912),$J$2:$J$1001,0),MATCH(COLUMNS($Q$1006:R1006),$Q$1006:$U$1006,0)), HYPERLINK("#",""), HYPERLINK(CONCATENATE("#metadata!", ADDRESS(INDEX($L$2:$L$1001,MATCH(ROWS($J$2:J912),$J$2:$J$1001,0),0), INDEX($Q$1004:$U$1004,1,MATCH(COLUMNS($Q$1006:R1006),$Q$1006:$U$1006,0)))),"Fix")))</f>
        <v xml:space="preserve"> </v>
      </c>
      <c r="D912" s="3" t="str">
        <f ca="1">IF(OR(INDEX($K$2:$K$1001,MATCH(ROWS($J$2:J912),$J$2:$J$1001,0),1)&gt;=100000,INDEX($Q$1005:$U$1005,1,MATCH(COLUMNS($Q$1006:S1006),$Q$1006:$U$1006,0))&gt;=100000), " ",IF(INDEX($Q$2:$U$1001,MATCH(ROWS($J$2:J912),$J$2:$J$1001,0),MATCH(COLUMNS($Q$1006:S1006),$Q$1006:$U$1006,0)), HYPERLINK("#",""), HYPERLINK(CONCATENATE("#metadata!", ADDRESS(INDEX($L$2:$L$1001,MATCH(ROWS($J$2:J912),$J$2:$J$1001,0),0), INDEX($Q$1004:$U$1004,1,MATCH(COLUMNS($Q$1006:S1006),$Q$1006:$U$1006,0)))),"Fix")))</f>
        <v xml:space="preserve"> </v>
      </c>
      <c r="E912" s="3" t="str">
        <f ca="1">IF(OR(INDEX($K$2:$K$1001,MATCH(ROWS($J$2:J912),$J$2:$J$1001,0),1)&gt;=100000,INDEX($Q$1005:$U$1005,1,MATCH(COLUMNS($Q$1006:T1006),$Q$1006:$U$1006,0))&gt;=100000), " ",IF(INDEX($Q$2:$U$1001,MATCH(ROWS($J$2:J912),$J$2:$J$1001,0),MATCH(COLUMNS($Q$1006:T1006),$Q$1006:$U$1006,0)), HYPERLINK("#",""), HYPERLINK(CONCATENATE("#metadata!", ADDRESS(INDEX($L$2:$L$1001,MATCH(ROWS($J$2:J912),$J$2:$J$1001,0),0), INDEX($Q$1004:$U$1004,1,MATCH(COLUMNS($Q$1006:T1006),$Q$1006:$U$1006,0)))),"Fix")))</f>
        <v xml:space="preserve"> </v>
      </c>
      <c r="F912" s="3" t="str">
        <f ca="1">IF(OR(INDEX($K$2:$K$1001,MATCH(ROWS($J$2:J912),$J$2:$J$1001,0),1)&gt;=100000,INDEX($Q$1005:$U$1005,1,MATCH(COLUMNS($Q$1006:U1006),$Q$1006:$U$1006,0))&gt;=100000), " ",IF(INDEX($Q$2:$U$1001,MATCH(ROWS($J$2:J912),$J$2:$J$1001,0),MATCH(COLUMNS($Q$1006:U1006),$Q$1006:$U$1006,0)), HYPERLINK("#",""), HYPERLINK(CONCATENATE("#metadata!", ADDRESS(INDEX($L$2:$L$1001,MATCH(ROWS($J$2:J912),$J$2:$J$1001,0),0), INDEX($Q$1004:$U$1004,1,MATCH(COLUMNS($Q$1006:U1006),$Q$1006:$U$1006,0)))),"Fix")))</f>
        <v xml:space="preserve"> </v>
      </c>
      <c r="J912">
        <v>911</v>
      </c>
      <c r="K912">
        <v>100912</v>
      </c>
      <c r="L912">
        <v>912</v>
      </c>
      <c r="M912" t="b">
        <f t="shared" si="14"/>
        <v>1</v>
      </c>
      <c r="N912" t="b">
        <f>COUNTBLANK(metadata!B912:F912)=COLUMNS(metadata!B912:F912)</f>
        <v>1</v>
      </c>
      <c r="O912" t="str">
        <v/>
      </c>
      <c r="Q912" t="b">
        <f ca="1">AND(IF(metadata!B912="",FALSE,TRUE),COUNTIF(metadata!B:B, metadata!B912) = 1,NOT(ISERROR(SUMPRODUCT(SEARCH(MID(metadata!B912,ROW(INDIRECT("1:"&amp;LEN(metadata!B912))), 1),"0123456789abcdefghijklmnopqrstuvwxyzABCDEFGHIJKLMNOPQRSTUVWXYZ.")))))</f>
        <v>0</v>
      </c>
      <c r="R912" t="b">
        <f>AND(IF(metadata!C912="",FALSE,TRUE),OR(EXACT(metadata!C912,"saline"),EXACT(metadata!C912,"non-saline")))</f>
        <v>0</v>
      </c>
      <c r="S912" t="b">
        <f>AND(IF(metadata!D912="",FALSE,TRUE),OR(EXACT(metadata!D912,"surface (non-saline)"),EXACT(metadata!D912,"aerosol (non-saline)"),EXACT(metadata!D912,"sediment (non-saline)"),EXACT(metadata!D912,"surface (saline)"),EXACT(metadata!D912,"aerosol (saline)"),EXACT(metadata!D912,"sediment (saline)")))</f>
        <v>0</v>
      </c>
      <c r="T912" t="b">
        <f>AND(IF(metadata!E912="",FALSE,TRUE),EXACT(metadata!E912,"built environment"))</f>
        <v>0</v>
      </c>
      <c r="U912" t="b">
        <f>OR(AND(IF(metadata!F912="",FALSE,TRUE),EXACT(metadata!F912,"not applicable")),AND(IF(metadata!F912="",FALSE,TRUE),EXACT(metadata!F912,"anaerobic digester content")))</f>
        <v>0</v>
      </c>
    </row>
    <row r="913" spans="1:21" x14ac:dyDescent="0.2">
      <c r="A913" s="4" t="str">
        <f ca="1">IF(B913=" "," ",HYPERLINK(CONCATENATE("#metadata!",ADDRESS(INDEX($L$2:$L$1001,MATCH(ROWS($J$2:J913),$J$2:$J$1001,0),0),1)),INDEX($O$2:$O$1001,MATCH(ROWS($J$2:J913),$J$2:$J$1001,0),0)))</f>
        <v xml:space="preserve"> </v>
      </c>
      <c r="B913" s="3" t="str">
        <f ca="1">IF(OR(INDEX($K$2:$K$1001,MATCH(ROWS($J$2:J913),$J$2:$J$1001,0),1)&gt;=100000,INDEX($Q$1005:$U$1005,1,MATCH(COLUMNS($Q$1006:Q1006),$Q$1006:$U$1006,0))&gt;=100000), " ",IF(INDEX($Q$2:$U$1001,MATCH(ROWS($J$2:J913),$J$2:$J$1001,0),MATCH(COLUMNS($Q$1006:Q1006),$Q$1006:$U$1006,0)), HYPERLINK("#",""), HYPERLINK(CONCATENATE("#metadata!", ADDRESS(INDEX($L$2:$L$1001,MATCH(ROWS($J$2:J913),$J$2:$J$1001,0),0), INDEX($Q$1004:$U$1004,1,MATCH(COLUMNS($Q$1006:Q1006),$Q$1006:$U$1006,0)))),"Fix")))</f>
        <v xml:space="preserve"> </v>
      </c>
      <c r="C913" s="3" t="str">
        <f ca="1">IF(OR(INDEX($K$2:$K$1001,MATCH(ROWS($J$2:J913),$J$2:$J$1001,0),1)&gt;=100000,INDEX($Q$1005:$U$1005,1,MATCH(COLUMNS($Q$1006:R1006),$Q$1006:$U$1006,0))&gt;=100000), " ",IF(INDEX($Q$2:$U$1001,MATCH(ROWS($J$2:J913),$J$2:$J$1001,0),MATCH(COLUMNS($Q$1006:R1006),$Q$1006:$U$1006,0)), HYPERLINK("#",""), HYPERLINK(CONCATENATE("#metadata!", ADDRESS(INDEX($L$2:$L$1001,MATCH(ROWS($J$2:J913),$J$2:$J$1001,0),0), INDEX($Q$1004:$U$1004,1,MATCH(COLUMNS($Q$1006:R1006),$Q$1006:$U$1006,0)))),"Fix")))</f>
        <v xml:space="preserve"> </v>
      </c>
      <c r="D913" s="3" t="str">
        <f ca="1">IF(OR(INDEX($K$2:$K$1001,MATCH(ROWS($J$2:J913),$J$2:$J$1001,0),1)&gt;=100000,INDEX($Q$1005:$U$1005,1,MATCH(COLUMNS($Q$1006:S1006),$Q$1006:$U$1006,0))&gt;=100000), " ",IF(INDEX($Q$2:$U$1001,MATCH(ROWS($J$2:J913),$J$2:$J$1001,0),MATCH(COLUMNS($Q$1006:S1006),$Q$1006:$U$1006,0)), HYPERLINK("#",""), HYPERLINK(CONCATENATE("#metadata!", ADDRESS(INDEX($L$2:$L$1001,MATCH(ROWS($J$2:J913),$J$2:$J$1001,0),0), INDEX($Q$1004:$U$1004,1,MATCH(COLUMNS($Q$1006:S1006),$Q$1006:$U$1006,0)))),"Fix")))</f>
        <v xml:space="preserve"> </v>
      </c>
      <c r="E913" s="3" t="str">
        <f ca="1">IF(OR(INDEX($K$2:$K$1001,MATCH(ROWS($J$2:J913),$J$2:$J$1001,0),1)&gt;=100000,INDEX($Q$1005:$U$1005,1,MATCH(COLUMNS($Q$1006:T1006),$Q$1006:$U$1006,0))&gt;=100000), " ",IF(INDEX($Q$2:$U$1001,MATCH(ROWS($J$2:J913),$J$2:$J$1001,0),MATCH(COLUMNS($Q$1006:T1006),$Q$1006:$U$1006,0)), HYPERLINK("#",""), HYPERLINK(CONCATENATE("#metadata!", ADDRESS(INDEX($L$2:$L$1001,MATCH(ROWS($J$2:J913),$J$2:$J$1001,0),0), INDEX($Q$1004:$U$1004,1,MATCH(COLUMNS($Q$1006:T1006),$Q$1006:$U$1006,0)))),"Fix")))</f>
        <v xml:space="preserve"> </v>
      </c>
      <c r="F913" s="3" t="str">
        <f ca="1">IF(OR(INDEX($K$2:$K$1001,MATCH(ROWS($J$2:J913),$J$2:$J$1001,0),1)&gt;=100000,INDEX($Q$1005:$U$1005,1,MATCH(COLUMNS($Q$1006:U1006),$Q$1006:$U$1006,0))&gt;=100000), " ",IF(INDEX($Q$2:$U$1001,MATCH(ROWS($J$2:J913),$J$2:$J$1001,0),MATCH(COLUMNS($Q$1006:U1006),$Q$1006:$U$1006,0)), HYPERLINK("#",""), HYPERLINK(CONCATENATE("#metadata!", ADDRESS(INDEX($L$2:$L$1001,MATCH(ROWS($J$2:J913),$J$2:$J$1001,0),0), INDEX($Q$1004:$U$1004,1,MATCH(COLUMNS($Q$1006:U1006),$Q$1006:$U$1006,0)))),"Fix")))</f>
        <v xml:space="preserve"> </v>
      </c>
      <c r="J913">
        <v>912</v>
      </c>
      <c r="K913">
        <v>100913</v>
      </c>
      <c r="L913">
        <v>913</v>
      </c>
      <c r="M913" t="b">
        <f t="shared" si="14"/>
        <v>1</v>
      </c>
      <c r="N913" t="b">
        <f>COUNTBLANK(metadata!B913:F913)=COLUMNS(metadata!B913:F913)</f>
        <v>1</v>
      </c>
      <c r="O913" t="str">
        <v/>
      </c>
      <c r="Q913" t="b">
        <f ca="1">AND(IF(metadata!B913="",FALSE,TRUE),COUNTIF(metadata!B:B, metadata!B913) = 1,NOT(ISERROR(SUMPRODUCT(SEARCH(MID(metadata!B913,ROW(INDIRECT("1:"&amp;LEN(metadata!B913))), 1),"0123456789abcdefghijklmnopqrstuvwxyzABCDEFGHIJKLMNOPQRSTUVWXYZ.")))))</f>
        <v>0</v>
      </c>
      <c r="R913" t="b">
        <f>AND(IF(metadata!C913="",FALSE,TRUE),OR(EXACT(metadata!C913,"saline"),EXACT(metadata!C913,"non-saline")))</f>
        <v>0</v>
      </c>
      <c r="S913" t="b">
        <f>AND(IF(metadata!D913="",FALSE,TRUE),OR(EXACT(metadata!D913,"surface (non-saline)"),EXACT(metadata!D913,"aerosol (non-saline)"),EXACT(metadata!D913,"sediment (non-saline)"),EXACT(metadata!D913,"surface (saline)"),EXACT(metadata!D913,"aerosol (saline)"),EXACT(metadata!D913,"sediment (saline)")))</f>
        <v>0</v>
      </c>
      <c r="T913" t="b">
        <f>AND(IF(metadata!E913="",FALSE,TRUE),EXACT(metadata!E913,"built environment"))</f>
        <v>0</v>
      </c>
      <c r="U913" t="b">
        <f>OR(AND(IF(metadata!F913="",FALSE,TRUE),EXACT(metadata!F913,"not applicable")),AND(IF(metadata!F913="",FALSE,TRUE),EXACT(metadata!F913,"anaerobic digester content")))</f>
        <v>0</v>
      </c>
    </row>
    <row r="914" spans="1:21" x14ac:dyDescent="0.2">
      <c r="A914" s="4" t="str">
        <f ca="1">IF(B914=" "," ",HYPERLINK(CONCATENATE("#metadata!",ADDRESS(INDEX($L$2:$L$1001,MATCH(ROWS($J$2:J914),$J$2:$J$1001,0),0),1)),INDEX($O$2:$O$1001,MATCH(ROWS($J$2:J914),$J$2:$J$1001,0),0)))</f>
        <v xml:space="preserve"> </v>
      </c>
      <c r="B914" s="3" t="str">
        <f ca="1">IF(OR(INDEX($K$2:$K$1001,MATCH(ROWS($J$2:J914),$J$2:$J$1001,0),1)&gt;=100000,INDEX($Q$1005:$U$1005,1,MATCH(COLUMNS($Q$1006:Q1006),$Q$1006:$U$1006,0))&gt;=100000), " ",IF(INDEX($Q$2:$U$1001,MATCH(ROWS($J$2:J914),$J$2:$J$1001,0),MATCH(COLUMNS($Q$1006:Q1006),$Q$1006:$U$1006,0)), HYPERLINK("#",""), HYPERLINK(CONCATENATE("#metadata!", ADDRESS(INDEX($L$2:$L$1001,MATCH(ROWS($J$2:J914),$J$2:$J$1001,0),0), INDEX($Q$1004:$U$1004,1,MATCH(COLUMNS($Q$1006:Q1006),$Q$1006:$U$1006,0)))),"Fix")))</f>
        <v xml:space="preserve"> </v>
      </c>
      <c r="C914" s="3" t="str">
        <f ca="1">IF(OR(INDEX($K$2:$K$1001,MATCH(ROWS($J$2:J914),$J$2:$J$1001,0),1)&gt;=100000,INDEX($Q$1005:$U$1005,1,MATCH(COLUMNS($Q$1006:R1006),$Q$1006:$U$1006,0))&gt;=100000), " ",IF(INDEX($Q$2:$U$1001,MATCH(ROWS($J$2:J914),$J$2:$J$1001,0),MATCH(COLUMNS($Q$1006:R1006),$Q$1006:$U$1006,0)), HYPERLINK("#",""), HYPERLINK(CONCATENATE("#metadata!", ADDRESS(INDEX($L$2:$L$1001,MATCH(ROWS($J$2:J914),$J$2:$J$1001,0),0), INDEX($Q$1004:$U$1004,1,MATCH(COLUMNS($Q$1006:R1006),$Q$1006:$U$1006,0)))),"Fix")))</f>
        <v xml:space="preserve"> </v>
      </c>
      <c r="D914" s="3" t="str">
        <f ca="1">IF(OR(INDEX($K$2:$K$1001,MATCH(ROWS($J$2:J914),$J$2:$J$1001,0),1)&gt;=100000,INDEX($Q$1005:$U$1005,1,MATCH(COLUMNS($Q$1006:S1006),$Q$1006:$U$1006,0))&gt;=100000), " ",IF(INDEX($Q$2:$U$1001,MATCH(ROWS($J$2:J914),$J$2:$J$1001,0),MATCH(COLUMNS($Q$1006:S1006),$Q$1006:$U$1006,0)), HYPERLINK("#",""), HYPERLINK(CONCATENATE("#metadata!", ADDRESS(INDEX($L$2:$L$1001,MATCH(ROWS($J$2:J914),$J$2:$J$1001,0),0), INDEX($Q$1004:$U$1004,1,MATCH(COLUMNS($Q$1006:S1006),$Q$1006:$U$1006,0)))),"Fix")))</f>
        <v xml:space="preserve"> </v>
      </c>
      <c r="E914" s="3" t="str">
        <f ca="1">IF(OR(INDEX($K$2:$K$1001,MATCH(ROWS($J$2:J914),$J$2:$J$1001,0),1)&gt;=100000,INDEX($Q$1005:$U$1005,1,MATCH(COLUMNS($Q$1006:T1006),$Q$1006:$U$1006,0))&gt;=100000), " ",IF(INDEX($Q$2:$U$1001,MATCH(ROWS($J$2:J914),$J$2:$J$1001,0),MATCH(COLUMNS($Q$1006:T1006),$Q$1006:$U$1006,0)), HYPERLINK("#",""), HYPERLINK(CONCATENATE("#metadata!", ADDRESS(INDEX($L$2:$L$1001,MATCH(ROWS($J$2:J914),$J$2:$J$1001,0),0), INDEX($Q$1004:$U$1004,1,MATCH(COLUMNS($Q$1006:T1006),$Q$1006:$U$1006,0)))),"Fix")))</f>
        <v xml:space="preserve"> </v>
      </c>
      <c r="F914" s="3" t="str">
        <f ca="1">IF(OR(INDEX($K$2:$K$1001,MATCH(ROWS($J$2:J914),$J$2:$J$1001,0),1)&gt;=100000,INDEX($Q$1005:$U$1005,1,MATCH(COLUMNS($Q$1006:U1006),$Q$1006:$U$1006,0))&gt;=100000), " ",IF(INDEX($Q$2:$U$1001,MATCH(ROWS($J$2:J914),$J$2:$J$1001,0),MATCH(COLUMNS($Q$1006:U1006),$Q$1006:$U$1006,0)), HYPERLINK("#",""), HYPERLINK(CONCATENATE("#metadata!", ADDRESS(INDEX($L$2:$L$1001,MATCH(ROWS($J$2:J914),$J$2:$J$1001,0),0), INDEX($Q$1004:$U$1004,1,MATCH(COLUMNS($Q$1006:U1006),$Q$1006:$U$1006,0)))),"Fix")))</f>
        <v xml:space="preserve"> </v>
      </c>
      <c r="J914">
        <v>913</v>
      </c>
      <c r="K914">
        <v>100914</v>
      </c>
      <c r="L914">
        <v>914</v>
      </c>
      <c r="M914" t="b">
        <f t="shared" si="14"/>
        <v>1</v>
      </c>
      <c r="N914" t="b">
        <f>COUNTBLANK(metadata!B914:F914)=COLUMNS(metadata!B914:F914)</f>
        <v>1</v>
      </c>
      <c r="O914" t="str">
        <v/>
      </c>
      <c r="Q914" t="b">
        <f ca="1">AND(IF(metadata!B914="",FALSE,TRUE),COUNTIF(metadata!B:B, metadata!B914) = 1,NOT(ISERROR(SUMPRODUCT(SEARCH(MID(metadata!B914,ROW(INDIRECT("1:"&amp;LEN(metadata!B914))), 1),"0123456789abcdefghijklmnopqrstuvwxyzABCDEFGHIJKLMNOPQRSTUVWXYZ.")))))</f>
        <v>0</v>
      </c>
      <c r="R914" t="b">
        <f>AND(IF(metadata!C914="",FALSE,TRUE),OR(EXACT(metadata!C914,"saline"),EXACT(metadata!C914,"non-saline")))</f>
        <v>0</v>
      </c>
      <c r="S914" t="b">
        <f>AND(IF(metadata!D914="",FALSE,TRUE),OR(EXACT(metadata!D914,"surface (non-saline)"),EXACT(metadata!D914,"aerosol (non-saline)"),EXACT(metadata!D914,"sediment (non-saline)"),EXACT(metadata!D914,"surface (saline)"),EXACT(metadata!D914,"aerosol (saline)"),EXACT(metadata!D914,"sediment (saline)")))</f>
        <v>0</v>
      </c>
      <c r="T914" t="b">
        <f>AND(IF(metadata!E914="",FALSE,TRUE),EXACT(metadata!E914,"built environment"))</f>
        <v>0</v>
      </c>
      <c r="U914" t="b">
        <f>OR(AND(IF(metadata!F914="",FALSE,TRUE),EXACT(metadata!F914,"not applicable")),AND(IF(metadata!F914="",FALSE,TRUE),EXACT(metadata!F914,"anaerobic digester content")))</f>
        <v>0</v>
      </c>
    </row>
    <row r="915" spans="1:21" x14ac:dyDescent="0.2">
      <c r="A915" s="4" t="str">
        <f ca="1">IF(B915=" "," ",HYPERLINK(CONCATENATE("#metadata!",ADDRESS(INDEX($L$2:$L$1001,MATCH(ROWS($J$2:J915),$J$2:$J$1001,0),0),1)),INDEX($O$2:$O$1001,MATCH(ROWS($J$2:J915),$J$2:$J$1001,0),0)))</f>
        <v xml:space="preserve"> </v>
      </c>
      <c r="B915" s="3" t="str">
        <f ca="1">IF(OR(INDEX($K$2:$K$1001,MATCH(ROWS($J$2:J915),$J$2:$J$1001,0),1)&gt;=100000,INDEX($Q$1005:$U$1005,1,MATCH(COLUMNS($Q$1006:Q1006),$Q$1006:$U$1006,0))&gt;=100000), " ",IF(INDEX($Q$2:$U$1001,MATCH(ROWS($J$2:J915),$J$2:$J$1001,0),MATCH(COLUMNS($Q$1006:Q1006),$Q$1006:$U$1006,0)), HYPERLINK("#",""), HYPERLINK(CONCATENATE("#metadata!", ADDRESS(INDEX($L$2:$L$1001,MATCH(ROWS($J$2:J915),$J$2:$J$1001,0),0), INDEX($Q$1004:$U$1004,1,MATCH(COLUMNS($Q$1006:Q1006),$Q$1006:$U$1006,0)))),"Fix")))</f>
        <v xml:space="preserve"> </v>
      </c>
      <c r="C915" s="3" t="str">
        <f ca="1">IF(OR(INDEX($K$2:$K$1001,MATCH(ROWS($J$2:J915),$J$2:$J$1001,0),1)&gt;=100000,INDEX($Q$1005:$U$1005,1,MATCH(COLUMNS($Q$1006:R1006),$Q$1006:$U$1006,0))&gt;=100000), " ",IF(INDEX($Q$2:$U$1001,MATCH(ROWS($J$2:J915),$J$2:$J$1001,0),MATCH(COLUMNS($Q$1006:R1006),$Q$1006:$U$1006,0)), HYPERLINK("#",""), HYPERLINK(CONCATENATE("#metadata!", ADDRESS(INDEX($L$2:$L$1001,MATCH(ROWS($J$2:J915),$J$2:$J$1001,0),0), INDEX($Q$1004:$U$1004,1,MATCH(COLUMNS($Q$1006:R1006),$Q$1006:$U$1006,0)))),"Fix")))</f>
        <v xml:space="preserve"> </v>
      </c>
      <c r="D915" s="3" t="str">
        <f ca="1">IF(OR(INDEX($K$2:$K$1001,MATCH(ROWS($J$2:J915),$J$2:$J$1001,0),1)&gt;=100000,INDEX($Q$1005:$U$1005,1,MATCH(COLUMNS($Q$1006:S1006),$Q$1006:$U$1006,0))&gt;=100000), " ",IF(INDEX($Q$2:$U$1001,MATCH(ROWS($J$2:J915),$J$2:$J$1001,0),MATCH(COLUMNS($Q$1006:S1006),$Q$1006:$U$1006,0)), HYPERLINK("#",""), HYPERLINK(CONCATENATE("#metadata!", ADDRESS(INDEX($L$2:$L$1001,MATCH(ROWS($J$2:J915),$J$2:$J$1001,0),0), INDEX($Q$1004:$U$1004,1,MATCH(COLUMNS($Q$1006:S1006),$Q$1006:$U$1006,0)))),"Fix")))</f>
        <v xml:space="preserve"> </v>
      </c>
      <c r="E915" s="3" t="str">
        <f ca="1">IF(OR(INDEX($K$2:$K$1001,MATCH(ROWS($J$2:J915),$J$2:$J$1001,0),1)&gt;=100000,INDEX($Q$1005:$U$1005,1,MATCH(COLUMNS($Q$1006:T1006),$Q$1006:$U$1006,0))&gt;=100000), " ",IF(INDEX($Q$2:$U$1001,MATCH(ROWS($J$2:J915),$J$2:$J$1001,0),MATCH(COLUMNS($Q$1006:T1006),$Q$1006:$U$1006,0)), HYPERLINK("#",""), HYPERLINK(CONCATENATE("#metadata!", ADDRESS(INDEX($L$2:$L$1001,MATCH(ROWS($J$2:J915),$J$2:$J$1001,0),0), INDEX($Q$1004:$U$1004,1,MATCH(COLUMNS($Q$1006:T1006),$Q$1006:$U$1006,0)))),"Fix")))</f>
        <v xml:space="preserve"> </v>
      </c>
      <c r="F915" s="3" t="str">
        <f ca="1">IF(OR(INDEX($K$2:$K$1001,MATCH(ROWS($J$2:J915),$J$2:$J$1001,0),1)&gt;=100000,INDEX($Q$1005:$U$1005,1,MATCH(COLUMNS($Q$1006:U1006),$Q$1006:$U$1006,0))&gt;=100000), " ",IF(INDEX($Q$2:$U$1001,MATCH(ROWS($J$2:J915),$J$2:$J$1001,0),MATCH(COLUMNS($Q$1006:U1006),$Q$1006:$U$1006,0)), HYPERLINK("#",""), HYPERLINK(CONCATENATE("#metadata!", ADDRESS(INDEX($L$2:$L$1001,MATCH(ROWS($J$2:J915),$J$2:$J$1001,0),0), INDEX($Q$1004:$U$1004,1,MATCH(COLUMNS($Q$1006:U1006),$Q$1006:$U$1006,0)))),"Fix")))</f>
        <v xml:space="preserve"> </v>
      </c>
      <c r="J915">
        <v>914</v>
      </c>
      <c r="K915">
        <v>100915</v>
      </c>
      <c r="L915">
        <v>915</v>
      </c>
      <c r="M915" t="b">
        <f t="shared" si="14"/>
        <v>1</v>
      </c>
      <c r="N915" t="b">
        <f>COUNTBLANK(metadata!B915:F915)=COLUMNS(metadata!B915:F915)</f>
        <v>1</v>
      </c>
      <c r="O915" t="str">
        <v/>
      </c>
      <c r="Q915" t="b">
        <f ca="1">AND(IF(metadata!B915="",FALSE,TRUE),COUNTIF(metadata!B:B, metadata!B915) = 1,NOT(ISERROR(SUMPRODUCT(SEARCH(MID(metadata!B915,ROW(INDIRECT("1:"&amp;LEN(metadata!B915))), 1),"0123456789abcdefghijklmnopqrstuvwxyzABCDEFGHIJKLMNOPQRSTUVWXYZ.")))))</f>
        <v>0</v>
      </c>
      <c r="R915" t="b">
        <f>AND(IF(metadata!C915="",FALSE,TRUE),OR(EXACT(metadata!C915,"saline"),EXACT(metadata!C915,"non-saline")))</f>
        <v>0</v>
      </c>
      <c r="S915" t="b">
        <f>AND(IF(metadata!D915="",FALSE,TRUE),OR(EXACT(metadata!D915,"surface (non-saline)"),EXACT(metadata!D915,"aerosol (non-saline)"),EXACT(metadata!D915,"sediment (non-saline)"),EXACT(metadata!D915,"surface (saline)"),EXACT(metadata!D915,"aerosol (saline)"),EXACT(metadata!D915,"sediment (saline)")))</f>
        <v>0</v>
      </c>
      <c r="T915" t="b">
        <f>AND(IF(metadata!E915="",FALSE,TRUE),EXACT(metadata!E915,"built environment"))</f>
        <v>0</v>
      </c>
      <c r="U915" t="b">
        <f>OR(AND(IF(metadata!F915="",FALSE,TRUE),EXACT(metadata!F915,"not applicable")),AND(IF(metadata!F915="",FALSE,TRUE),EXACT(metadata!F915,"anaerobic digester content")))</f>
        <v>0</v>
      </c>
    </row>
    <row r="916" spans="1:21" x14ac:dyDescent="0.2">
      <c r="A916" s="4" t="str">
        <f ca="1">IF(B916=" "," ",HYPERLINK(CONCATENATE("#metadata!",ADDRESS(INDEX($L$2:$L$1001,MATCH(ROWS($J$2:J916),$J$2:$J$1001,0),0),1)),INDEX($O$2:$O$1001,MATCH(ROWS($J$2:J916),$J$2:$J$1001,0),0)))</f>
        <v xml:space="preserve"> </v>
      </c>
      <c r="B916" s="3" t="str">
        <f ca="1">IF(OR(INDEX($K$2:$K$1001,MATCH(ROWS($J$2:J916),$J$2:$J$1001,0),1)&gt;=100000,INDEX($Q$1005:$U$1005,1,MATCH(COLUMNS($Q$1006:Q1006),$Q$1006:$U$1006,0))&gt;=100000), " ",IF(INDEX($Q$2:$U$1001,MATCH(ROWS($J$2:J916),$J$2:$J$1001,0),MATCH(COLUMNS($Q$1006:Q1006),$Q$1006:$U$1006,0)), HYPERLINK("#",""), HYPERLINK(CONCATENATE("#metadata!", ADDRESS(INDEX($L$2:$L$1001,MATCH(ROWS($J$2:J916),$J$2:$J$1001,0),0), INDEX($Q$1004:$U$1004,1,MATCH(COLUMNS($Q$1006:Q1006),$Q$1006:$U$1006,0)))),"Fix")))</f>
        <v xml:space="preserve"> </v>
      </c>
      <c r="C916" s="3" t="str">
        <f ca="1">IF(OR(INDEX($K$2:$K$1001,MATCH(ROWS($J$2:J916),$J$2:$J$1001,0),1)&gt;=100000,INDEX($Q$1005:$U$1005,1,MATCH(COLUMNS($Q$1006:R1006),$Q$1006:$U$1006,0))&gt;=100000), " ",IF(INDEX($Q$2:$U$1001,MATCH(ROWS($J$2:J916),$J$2:$J$1001,0),MATCH(COLUMNS($Q$1006:R1006),$Q$1006:$U$1006,0)), HYPERLINK("#",""), HYPERLINK(CONCATENATE("#metadata!", ADDRESS(INDEX($L$2:$L$1001,MATCH(ROWS($J$2:J916),$J$2:$J$1001,0),0), INDEX($Q$1004:$U$1004,1,MATCH(COLUMNS($Q$1006:R1006),$Q$1006:$U$1006,0)))),"Fix")))</f>
        <v xml:space="preserve"> </v>
      </c>
      <c r="D916" s="3" t="str">
        <f ca="1">IF(OR(INDEX($K$2:$K$1001,MATCH(ROWS($J$2:J916),$J$2:$J$1001,0),1)&gt;=100000,INDEX($Q$1005:$U$1005,1,MATCH(COLUMNS($Q$1006:S1006),$Q$1006:$U$1006,0))&gt;=100000), " ",IF(INDEX($Q$2:$U$1001,MATCH(ROWS($J$2:J916),$J$2:$J$1001,0),MATCH(COLUMNS($Q$1006:S1006),$Q$1006:$U$1006,0)), HYPERLINK("#",""), HYPERLINK(CONCATENATE("#metadata!", ADDRESS(INDEX($L$2:$L$1001,MATCH(ROWS($J$2:J916),$J$2:$J$1001,0),0), INDEX($Q$1004:$U$1004,1,MATCH(COLUMNS($Q$1006:S1006),$Q$1006:$U$1006,0)))),"Fix")))</f>
        <v xml:space="preserve"> </v>
      </c>
      <c r="E916" s="3" t="str">
        <f ca="1">IF(OR(INDEX($K$2:$K$1001,MATCH(ROWS($J$2:J916),$J$2:$J$1001,0),1)&gt;=100000,INDEX($Q$1005:$U$1005,1,MATCH(COLUMNS($Q$1006:T1006),$Q$1006:$U$1006,0))&gt;=100000), " ",IF(INDEX($Q$2:$U$1001,MATCH(ROWS($J$2:J916),$J$2:$J$1001,0),MATCH(COLUMNS($Q$1006:T1006),$Q$1006:$U$1006,0)), HYPERLINK("#",""), HYPERLINK(CONCATENATE("#metadata!", ADDRESS(INDEX($L$2:$L$1001,MATCH(ROWS($J$2:J916),$J$2:$J$1001,0),0), INDEX($Q$1004:$U$1004,1,MATCH(COLUMNS($Q$1006:T1006),$Q$1006:$U$1006,0)))),"Fix")))</f>
        <v xml:space="preserve"> </v>
      </c>
      <c r="F916" s="3" t="str">
        <f ca="1">IF(OR(INDEX($K$2:$K$1001,MATCH(ROWS($J$2:J916),$J$2:$J$1001,0),1)&gt;=100000,INDEX($Q$1005:$U$1005,1,MATCH(COLUMNS($Q$1006:U1006),$Q$1006:$U$1006,0))&gt;=100000), " ",IF(INDEX($Q$2:$U$1001,MATCH(ROWS($J$2:J916),$J$2:$J$1001,0),MATCH(COLUMNS($Q$1006:U1006),$Q$1006:$U$1006,0)), HYPERLINK("#",""), HYPERLINK(CONCATENATE("#metadata!", ADDRESS(INDEX($L$2:$L$1001,MATCH(ROWS($J$2:J916),$J$2:$J$1001,0),0), INDEX($Q$1004:$U$1004,1,MATCH(COLUMNS($Q$1006:U1006),$Q$1006:$U$1006,0)))),"Fix")))</f>
        <v xml:space="preserve"> </v>
      </c>
      <c r="J916">
        <v>915</v>
      </c>
      <c r="K916">
        <v>100916</v>
      </c>
      <c r="L916">
        <v>916</v>
      </c>
      <c r="M916" t="b">
        <f t="shared" si="14"/>
        <v>1</v>
      </c>
      <c r="N916" t="b">
        <f>COUNTBLANK(metadata!B916:F916)=COLUMNS(metadata!B916:F916)</f>
        <v>1</v>
      </c>
      <c r="O916" t="str">
        <v/>
      </c>
      <c r="Q916" t="b">
        <f ca="1">AND(IF(metadata!B916="",FALSE,TRUE),COUNTIF(metadata!B:B, metadata!B916) = 1,NOT(ISERROR(SUMPRODUCT(SEARCH(MID(metadata!B916,ROW(INDIRECT("1:"&amp;LEN(metadata!B916))), 1),"0123456789abcdefghijklmnopqrstuvwxyzABCDEFGHIJKLMNOPQRSTUVWXYZ.")))))</f>
        <v>0</v>
      </c>
      <c r="R916" t="b">
        <f>AND(IF(metadata!C916="",FALSE,TRUE),OR(EXACT(metadata!C916,"saline"),EXACT(metadata!C916,"non-saline")))</f>
        <v>0</v>
      </c>
      <c r="S916" t="b">
        <f>AND(IF(metadata!D916="",FALSE,TRUE),OR(EXACT(metadata!D916,"surface (non-saline)"),EXACT(metadata!D916,"aerosol (non-saline)"),EXACT(metadata!D916,"sediment (non-saline)"),EXACT(metadata!D916,"surface (saline)"),EXACT(metadata!D916,"aerosol (saline)"),EXACT(metadata!D916,"sediment (saline)")))</f>
        <v>0</v>
      </c>
      <c r="T916" t="b">
        <f>AND(IF(metadata!E916="",FALSE,TRUE),EXACT(metadata!E916,"built environment"))</f>
        <v>0</v>
      </c>
      <c r="U916" t="b">
        <f>OR(AND(IF(metadata!F916="",FALSE,TRUE),EXACT(metadata!F916,"not applicable")),AND(IF(metadata!F916="",FALSE,TRUE),EXACT(metadata!F916,"anaerobic digester content")))</f>
        <v>0</v>
      </c>
    </row>
    <row r="917" spans="1:21" x14ac:dyDescent="0.2">
      <c r="A917" s="4" t="str">
        <f ca="1">IF(B917=" "," ",HYPERLINK(CONCATENATE("#metadata!",ADDRESS(INDEX($L$2:$L$1001,MATCH(ROWS($J$2:J917),$J$2:$J$1001,0),0),1)),INDEX($O$2:$O$1001,MATCH(ROWS($J$2:J917),$J$2:$J$1001,0),0)))</f>
        <v xml:space="preserve"> </v>
      </c>
      <c r="B917" s="3" t="str">
        <f ca="1">IF(OR(INDEX($K$2:$K$1001,MATCH(ROWS($J$2:J917),$J$2:$J$1001,0),1)&gt;=100000,INDEX($Q$1005:$U$1005,1,MATCH(COLUMNS($Q$1006:Q1006),$Q$1006:$U$1006,0))&gt;=100000), " ",IF(INDEX($Q$2:$U$1001,MATCH(ROWS($J$2:J917),$J$2:$J$1001,0),MATCH(COLUMNS($Q$1006:Q1006),$Q$1006:$U$1006,0)), HYPERLINK("#",""), HYPERLINK(CONCATENATE("#metadata!", ADDRESS(INDEX($L$2:$L$1001,MATCH(ROWS($J$2:J917),$J$2:$J$1001,0),0), INDEX($Q$1004:$U$1004,1,MATCH(COLUMNS($Q$1006:Q1006),$Q$1006:$U$1006,0)))),"Fix")))</f>
        <v xml:space="preserve"> </v>
      </c>
      <c r="C917" s="3" t="str">
        <f ca="1">IF(OR(INDEX($K$2:$K$1001,MATCH(ROWS($J$2:J917),$J$2:$J$1001,0),1)&gt;=100000,INDEX($Q$1005:$U$1005,1,MATCH(COLUMNS($Q$1006:R1006),$Q$1006:$U$1006,0))&gt;=100000), " ",IF(INDEX($Q$2:$U$1001,MATCH(ROWS($J$2:J917),$J$2:$J$1001,0),MATCH(COLUMNS($Q$1006:R1006),$Q$1006:$U$1006,0)), HYPERLINK("#",""), HYPERLINK(CONCATENATE("#metadata!", ADDRESS(INDEX($L$2:$L$1001,MATCH(ROWS($J$2:J917),$J$2:$J$1001,0),0), INDEX($Q$1004:$U$1004,1,MATCH(COLUMNS($Q$1006:R1006),$Q$1006:$U$1006,0)))),"Fix")))</f>
        <v xml:space="preserve"> </v>
      </c>
      <c r="D917" s="3" t="str">
        <f ca="1">IF(OR(INDEX($K$2:$K$1001,MATCH(ROWS($J$2:J917),$J$2:$J$1001,0),1)&gt;=100000,INDEX($Q$1005:$U$1005,1,MATCH(COLUMNS($Q$1006:S1006),$Q$1006:$U$1006,0))&gt;=100000), " ",IF(INDEX($Q$2:$U$1001,MATCH(ROWS($J$2:J917),$J$2:$J$1001,0),MATCH(COLUMNS($Q$1006:S1006),$Q$1006:$U$1006,0)), HYPERLINK("#",""), HYPERLINK(CONCATENATE("#metadata!", ADDRESS(INDEX($L$2:$L$1001,MATCH(ROWS($J$2:J917),$J$2:$J$1001,0),0), INDEX($Q$1004:$U$1004,1,MATCH(COLUMNS($Q$1006:S1006),$Q$1006:$U$1006,0)))),"Fix")))</f>
        <v xml:space="preserve"> </v>
      </c>
      <c r="E917" s="3" t="str">
        <f ca="1">IF(OR(INDEX($K$2:$K$1001,MATCH(ROWS($J$2:J917),$J$2:$J$1001,0),1)&gt;=100000,INDEX($Q$1005:$U$1005,1,MATCH(COLUMNS($Q$1006:T1006),$Q$1006:$U$1006,0))&gt;=100000), " ",IF(INDEX($Q$2:$U$1001,MATCH(ROWS($J$2:J917),$J$2:$J$1001,0),MATCH(COLUMNS($Q$1006:T1006),$Q$1006:$U$1006,0)), HYPERLINK("#",""), HYPERLINK(CONCATENATE("#metadata!", ADDRESS(INDEX($L$2:$L$1001,MATCH(ROWS($J$2:J917),$J$2:$J$1001,0),0), INDEX($Q$1004:$U$1004,1,MATCH(COLUMNS($Q$1006:T1006),$Q$1006:$U$1006,0)))),"Fix")))</f>
        <v xml:space="preserve"> </v>
      </c>
      <c r="F917" s="3" t="str">
        <f ca="1">IF(OR(INDEX($K$2:$K$1001,MATCH(ROWS($J$2:J917),$J$2:$J$1001,0),1)&gt;=100000,INDEX($Q$1005:$U$1005,1,MATCH(COLUMNS($Q$1006:U1006),$Q$1006:$U$1006,0))&gt;=100000), " ",IF(INDEX($Q$2:$U$1001,MATCH(ROWS($J$2:J917),$J$2:$J$1001,0),MATCH(COLUMNS($Q$1006:U1006),$Q$1006:$U$1006,0)), HYPERLINK("#",""), HYPERLINK(CONCATENATE("#metadata!", ADDRESS(INDEX($L$2:$L$1001,MATCH(ROWS($J$2:J917),$J$2:$J$1001,0),0), INDEX($Q$1004:$U$1004,1,MATCH(COLUMNS($Q$1006:U1006),$Q$1006:$U$1006,0)))),"Fix")))</f>
        <v xml:space="preserve"> </v>
      </c>
      <c r="J917">
        <v>916</v>
      </c>
      <c r="K917">
        <v>100917</v>
      </c>
      <c r="L917">
        <v>917</v>
      </c>
      <c r="M917" t="b">
        <f t="shared" si="14"/>
        <v>1</v>
      </c>
      <c r="N917" t="b">
        <f>COUNTBLANK(metadata!B917:F917)=COLUMNS(metadata!B917:F917)</f>
        <v>1</v>
      </c>
      <c r="O917" t="str">
        <v/>
      </c>
      <c r="Q917" t="b">
        <f ca="1">AND(IF(metadata!B917="",FALSE,TRUE),COUNTIF(metadata!B:B, metadata!B917) = 1,NOT(ISERROR(SUMPRODUCT(SEARCH(MID(metadata!B917,ROW(INDIRECT("1:"&amp;LEN(metadata!B917))), 1),"0123456789abcdefghijklmnopqrstuvwxyzABCDEFGHIJKLMNOPQRSTUVWXYZ.")))))</f>
        <v>0</v>
      </c>
      <c r="R917" t="b">
        <f>AND(IF(metadata!C917="",FALSE,TRUE),OR(EXACT(metadata!C917,"saline"),EXACT(metadata!C917,"non-saline")))</f>
        <v>0</v>
      </c>
      <c r="S917" t="b">
        <f>AND(IF(metadata!D917="",FALSE,TRUE),OR(EXACT(metadata!D917,"surface (non-saline)"),EXACT(metadata!D917,"aerosol (non-saline)"),EXACT(metadata!D917,"sediment (non-saline)"),EXACT(metadata!D917,"surface (saline)"),EXACT(metadata!D917,"aerosol (saline)"),EXACT(metadata!D917,"sediment (saline)")))</f>
        <v>0</v>
      </c>
      <c r="T917" t="b">
        <f>AND(IF(metadata!E917="",FALSE,TRUE),EXACT(metadata!E917,"built environment"))</f>
        <v>0</v>
      </c>
      <c r="U917" t="b">
        <f>OR(AND(IF(metadata!F917="",FALSE,TRUE),EXACT(metadata!F917,"not applicable")),AND(IF(metadata!F917="",FALSE,TRUE),EXACT(metadata!F917,"anaerobic digester content")))</f>
        <v>0</v>
      </c>
    </row>
    <row r="918" spans="1:21" x14ac:dyDescent="0.2">
      <c r="A918" s="4" t="str">
        <f ca="1">IF(B918=" "," ",HYPERLINK(CONCATENATE("#metadata!",ADDRESS(INDEX($L$2:$L$1001,MATCH(ROWS($J$2:J918),$J$2:$J$1001,0),0),1)),INDEX($O$2:$O$1001,MATCH(ROWS($J$2:J918),$J$2:$J$1001,0),0)))</f>
        <v xml:space="preserve"> </v>
      </c>
      <c r="B918" s="3" t="str">
        <f ca="1">IF(OR(INDEX($K$2:$K$1001,MATCH(ROWS($J$2:J918),$J$2:$J$1001,0),1)&gt;=100000,INDEX($Q$1005:$U$1005,1,MATCH(COLUMNS($Q$1006:Q1006),$Q$1006:$U$1006,0))&gt;=100000), " ",IF(INDEX($Q$2:$U$1001,MATCH(ROWS($J$2:J918),$J$2:$J$1001,0),MATCH(COLUMNS($Q$1006:Q1006),$Q$1006:$U$1006,0)), HYPERLINK("#",""), HYPERLINK(CONCATENATE("#metadata!", ADDRESS(INDEX($L$2:$L$1001,MATCH(ROWS($J$2:J918),$J$2:$J$1001,0),0), INDEX($Q$1004:$U$1004,1,MATCH(COLUMNS($Q$1006:Q1006),$Q$1006:$U$1006,0)))),"Fix")))</f>
        <v xml:space="preserve"> </v>
      </c>
      <c r="C918" s="3" t="str">
        <f ca="1">IF(OR(INDEX($K$2:$K$1001,MATCH(ROWS($J$2:J918),$J$2:$J$1001,0),1)&gt;=100000,INDEX($Q$1005:$U$1005,1,MATCH(COLUMNS($Q$1006:R1006),$Q$1006:$U$1006,0))&gt;=100000), " ",IF(INDEX($Q$2:$U$1001,MATCH(ROWS($J$2:J918),$J$2:$J$1001,0),MATCH(COLUMNS($Q$1006:R1006),$Q$1006:$U$1006,0)), HYPERLINK("#",""), HYPERLINK(CONCATENATE("#metadata!", ADDRESS(INDEX($L$2:$L$1001,MATCH(ROWS($J$2:J918),$J$2:$J$1001,0),0), INDEX($Q$1004:$U$1004,1,MATCH(COLUMNS($Q$1006:R1006),$Q$1006:$U$1006,0)))),"Fix")))</f>
        <v xml:space="preserve"> </v>
      </c>
      <c r="D918" s="3" t="str">
        <f ca="1">IF(OR(INDEX($K$2:$K$1001,MATCH(ROWS($J$2:J918),$J$2:$J$1001,0),1)&gt;=100000,INDEX($Q$1005:$U$1005,1,MATCH(COLUMNS($Q$1006:S1006),$Q$1006:$U$1006,0))&gt;=100000), " ",IF(INDEX($Q$2:$U$1001,MATCH(ROWS($J$2:J918),$J$2:$J$1001,0),MATCH(COLUMNS($Q$1006:S1006),$Q$1006:$U$1006,0)), HYPERLINK("#",""), HYPERLINK(CONCATENATE("#metadata!", ADDRESS(INDEX($L$2:$L$1001,MATCH(ROWS($J$2:J918),$J$2:$J$1001,0),0), INDEX($Q$1004:$U$1004,1,MATCH(COLUMNS($Q$1006:S1006),$Q$1006:$U$1006,0)))),"Fix")))</f>
        <v xml:space="preserve"> </v>
      </c>
      <c r="E918" s="3" t="str">
        <f ca="1">IF(OR(INDEX($K$2:$K$1001,MATCH(ROWS($J$2:J918),$J$2:$J$1001,0),1)&gt;=100000,INDEX($Q$1005:$U$1005,1,MATCH(COLUMNS($Q$1006:T1006),$Q$1006:$U$1006,0))&gt;=100000), " ",IF(INDEX($Q$2:$U$1001,MATCH(ROWS($J$2:J918),$J$2:$J$1001,0),MATCH(COLUMNS($Q$1006:T1006),$Q$1006:$U$1006,0)), HYPERLINK("#",""), HYPERLINK(CONCATENATE("#metadata!", ADDRESS(INDEX($L$2:$L$1001,MATCH(ROWS($J$2:J918),$J$2:$J$1001,0),0), INDEX($Q$1004:$U$1004,1,MATCH(COLUMNS($Q$1006:T1006),$Q$1006:$U$1006,0)))),"Fix")))</f>
        <v xml:space="preserve"> </v>
      </c>
      <c r="F918" s="3" t="str">
        <f ca="1">IF(OR(INDEX($K$2:$K$1001,MATCH(ROWS($J$2:J918),$J$2:$J$1001,0),1)&gt;=100000,INDEX($Q$1005:$U$1005,1,MATCH(COLUMNS($Q$1006:U1006),$Q$1006:$U$1006,0))&gt;=100000), " ",IF(INDEX($Q$2:$U$1001,MATCH(ROWS($J$2:J918),$J$2:$J$1001,0),MATCH(COLUMNS($Q$1006:U1006),$Q$1006:$U$1006,0)), HYPERLINK("#",""), HYPERLINK(CONCATENATE("#metadata!", ADDRESS(INDEX($L$2:$L$1001,MATCH(ROWS($J$2:J918),$J$2:$J$1001,0),0), INDEX($Q$1004:$U$1004,1,MATCH(COLUMNS($Q$1006:U1006),$Q$1006:$U$1006,0)))),"Fix")))</f>
        <v xml:space="preserve"> </v>
      </c>
      <c r="J918">
        <v>917</v>
      </c>
      <c r="K918">
        <v>100918</v>
      </c>
      <c r="L918">
        <v>918</v>
      </c>
      <c r="M918" t="b">
        <f t="shared" si="14"/>
        <v>1</v>
      </c>
      <c r="N918" t="b">
        <f>COUNTBLANK(metadata!B918:F918)=COLUMNS(metadata!B918:F918)</f>
        <v>1</v>
      </c>
      <c r="O918" t="str">
        <v/>
      </c>
      <c r="Q918" t="b">
        <f ca="1">AND(IF(metadata!B918="",FALSE,TRUE),COUNTIF(metadata!B:B, metadata!B918) = 1,NOT(ISERROR(SUMPRODUCT(SEARCH(MID(metadata!B918,ROW(INDIRECT("1:"&amp;LEN(metadata!B918))), 1),"0123456789abcdefghijklmnopqrstuvwxyzABCDEFGHIJKLMNOPQRSTUVWXYZ.")))))</f>
        <v>0</v>
      </c>
      <c r="R918" t="b">
        <f>AND(IF(metadata!C918="",FALSE,TRUE),OR(EXACT(metadata!C918,"saline"),EXACT(metadata!C918,"non-saline")))</f>
        <v>0</v>
      </c>
      <c r="S918" t="b">
        <f>AND(IF(metadata!D918="",FALSE,TRUE),OR(EXACT(metadata!D918,"surface (non-saline)"),EXACT(metadata!D918,"aerosol (non-saline)"),EXACT(metadata!D918,"sediment (non-saline)"),EXACT(metadata!D918,"surface (saline)"),EXACT(metadata!D918,"aerosol (saline)"),EXACT(metadata!D918,"sediment (saline)")))</f>
        <v>0</v>
      </c>
      <c r="T918" t="b">
        <f>AND(IF(metadata!E918="",FALSE,TRUE),EXACT(metadata!E918,"built environment"))</f>
        <v>0</v>
      </c>
      <c r="U918" t="b">
        <f>OR(AND(IF(metadata!F918="",FALSE,TRUE),EXACT(metadata!F918,"not applicable")),AND(IF(metadata!F918="",FALSE,TRUE),EXACT(metadata!F918,"anaerobic digester content")))</f>
        <v>0</v>
      </c>
    </row>
    <row r="919" spans="1:21" x14ac:dyDescent="0.2">
      <c r="A919" s="4" t="str">
        <f ca="1">IF(B919=" "," ",HYPERLINK(CONCATENATE("#metadata!",ADDRESS(INDEX($L$2:$L$1001,MATCH(ROWS($J$2:J919),$J$2:$J$1001,0),0),1)),INDEX($O$2:$O$1001,MATCH(ROWS($J$2:J919),$J$2:$J$1001,0),0)))</f>
        <v xml:space="preserve"> </v>
      </c>
      <c r="B919" s="3" t="str">
        <f ca="1">IF(OR(INDEX($K$2:$K$1001,MATCH(ROWS($J$2:J919),$J$2:$J$1001,0),1)&gt;=100000,INDEX($Q$1005:$U$1005,1,MATCH(COLUMNS($Q$1006:Q1006),$Q$1006:$U$1006,0))&gt;=100000), " ",IF(INDEX($Q$2:$U$1001,MATCH(ROWS($J$2:J919),$J$2:$J$1001,0),MATCH(COLUMNS($Q$1006:Q1006),$Q$1006:$U$1006,0)), HYPERLINK("#",""), HYPERLINK(CONCATENATE("#metadata!", ADDRESS(INDEX($L$2:$L$1001,MATCH(ROWS($J$2:J919),$J$2:$J$1001,0),0), INDEX($Q$1004:$U$1004,1,MATCH(COLUMNS($Q$1006:Q1006),$Q$1006:$U$1006,0)))),"Fix")))</f>
        <v xml:space="preserve"> </v>
      </c>
      <c r="C919" s="3" t="str">
        <f ca="1">IF(OR(INDEX($K$2:$K$1001,MATCH(ROWS($J$2:J919),$J$2:$J$1001,0),1)&gt;=100000,INDEX($Q$1005:$U$1005,1,MATCH(COLUMNS($Q$1006:R1006),$Q$1006:$U$1006,0))&gt;=100000), " ",IF(INDEX($Q$2:$U$1001,MATCH(ROWS($J$2:J919),$J$2:$J$1001,0),MATCH(COLUMNS($Q$1006:R1006),$Q$1006:$U$1006,0)), HYPERLINK("#",""), HYPERLINK(CONCATENATE("#metadata!", ADDRESS(INDEX($L$2:$L$1001,MATCH(ROWS($J$2:J919),$J$2:$J$1001,0),0), INDEX($Q$1004:$U$1004,1,MATCH(COLUMNS($Q$1006:R1006),$Q$1006:$U$1006,0)))),"Fix")))</f>
        <v xml:space="preserve"> </v>
      </c>
      <c r="D919" s="3" t="str">
        <f ca="1">IF(OR(INDEX($K$2:$K$1001,MATCH(ROWS($J$2:J919),$J$2:$J$1001,0),1)&gt;=100000,INDEX($Q$1005:$U$1005,1,MATCH(COLUMNS($Q$1006:S1006),$Q$1006:$U$1006,0))&gt;=100000), " ",IF(INDEX($Q$2:$U$1001,MATCH(ROWS($J$2:J919),$J$2:$J$1001,0),MATCH(COLUMNS($Q$1006:S1006),$Q$1006:$U$1006,0)), HYPERLINK("#",""), HYPERLINK(CONCATENATE("#metadata!", ADDRESS(INDEX($L$2:$L$1001,MATCH(ROWS($J$2:J919),$J$2:$J$1001,0),0), INDEX($Q$1004:$U$1004,1,MATCH(COLUMNS($Q$1006:S1006),$Q$1006:$U$1006,0)))),"Fix")))</f>
        <v xml:space="preserve"> </v>
      </c>
      <c r="E919" s="3" t="str">
        <f ca="1">IF(OR(INDEX($K$2:$K$1001,MATCH(ROWS($J$2:J919),$J$2:$J$1001,0),1)&gt;=100000,INDEX($Q$1005:$U$1005,1,MATCH(COLUMNS($Q$1006:T1006),$Q$1006:$U$1006,0))&gt;=100000), " ",IF(INDEX($Q$2:$U$1001,MATCH(ROWS($J$2:J919),$J$2:$J$1001,0),MATCH(COLUMNS($Q$1006:T1006),$Q$1006:$U$1006,0)), HYPERLINK("#",""), HYPERLINK(CONCATENATE("#metadata!", ADDRESS(INDEX($L$2:$L$1001,MATCH(ROWS($J$2:J919),$J$2:$J$1001,0),0), INDEX($Q$1004:$U$1004,1,MATCH(COLUMNS($Q$1006:T1006),$Q$1006:$U$1006,0)))),"Fix")))</f>
        <v xml:space="preserve"> </v>
      </c>
      <c r="F919" s="3" t="str">
        <f ca="1">IF(OR(INDEX($K$2:$K$1001,MATCH(ROWS($J$2:J919),$J$2:$J$1001,0),1)&gt;=100000,INDEX($Q$1005:$U$1005,1,MATCH(COLUMNS($Q$1006:U1006),$Q$1006:$U$1006,0))&gt;=100000), " ",IF(INDEX($Q$2:$U$1001,MATCH(ROWS($J$2:J919),$J$2:$J$1001,0),MATCH(COLUMNS($Q$1006:U1006),$Q$1006:$U$1006,0)), HYPERLINK("#",""), HYPERLINK(CONCATENATE("#metadata!", ADDRESS(INDEX($L$2:$L$1001,MATCH(ROWS($J$2:J919),$J$2:$J$1001,0),0), INDEX($Q$1004:$U$1004,1,MATCH(COLUMNS($Q$1006:U1006),$Q$1006:$U$1006,0)))),"Fix")))</f>
        <v xml:space="preserve"> </v>
      </c>
      <c r="J919">
        <v>918</v>
      </c>
      <c r="K919">
        <v>100919</v>
      </c>
      <c r="L919">
        <v>919</v>
      </c>
      <c r="M919" t="b">
        <f t="shared" si="14"/>
        <v>1</v>
      </c>
      <c r="N919" t="b">
        <f>COUNTBLANK(metadata!B919:F919)=COLUMNS(metadata!B919:F919)</f>
        <v>1</v>
      </c>
      <c r="O919" t="str">
        <v/>
      </c>
      <c r="Q919" t="b">
        <f ca="1">AND(IF(metadata!B919="",FALSE,TRUE),COUNTIF(metadata!B:B, metadata!B919) = 1,NOT(ISERROR(SUMPRODUCT(SEARCH(MID(metadata!B919,ROW(INDIRECT("1:"&amp;LEN(metadata!B919))), 1),"0123456789abcdefghijklmnopqrstuvwxyzABCDEFGHIJKLMNOPQRSTUVWXYZ.")))))</f>
        <v>0</v>
      </c>
      <c r="R919" t="b">
        <f>AND(IF(metadata!C919="",FALSE,TRUE),OR(EXACT(metadata!C919,"saline"),EXACT(metadata!C919,"non-saline")))</f>
        <v>0</v>
      </c>
      <c r="S919" t="b">
        <f>AND(IF(metadata!D919="",FALSE,TRUE),OR(EXACT(metadata!D919,"surface (non-saline)"),EXACT(metadata!D919,"aerosol (non-saline)"),EXACT(metadata!D919,"sediment (non-saline)"),EXACT(metadata!D919,"surface (saline)"),EXACT(metadata!D919,"aerosol (saline)"),EXACT(metadata!D919,"sediment (saline)")))</f>
        <v>0</v>
      </c>
      <c r="T919" t="b">
        <f>AND(IF(metadata!E919="",FALSE,TRUE),EXACT(metadata!E919,"built environment"))</f>
        <v>0</v>
      </c>
      <c r="U919" t="b">
        <f>OR(AND(IF(metadata!F919="",FALSE,TRUE),EXACT(metadata!F919,"not applicable")),AND(IF(metadata!F919="",FALSE,TRUE),EXACT(metadata!F919,"anaerobic digester content")))</f>
        <v>0</v>
      </c>
    </row>
    <row r="920" spans="1:21" x14ac:dyDescent="0.2">
      <c r="A920" s="4" t="str">
        <f ca="1">IF(B920=" "," ",HYPERLINK(CONCATENATE("#metadata!",ADDRESS(INDEX($L$2:$L$1001,MATCH(ROWS($J$2:J920),$J$2:$J$1001,0),0),1)),INDEX($O$2:$O$1001,MATCH(ROWS($J$2:J920),$J$2:$J$1001,0),0)))</f>
        <v xml:space="preserve"> </v>
      </c>
      <c r="B920" s="3" t="str">
        <f ca="1">IF(OR(INDEX($K$2:$K$1001,MATCH(ROWS($J$2:J920),$J$2:$J$1001,0),1)&gt;=100000,INDEX($Q$1005:$U$1005,1,MATCH(COLUMNS($Q$1006:Q1006),$Q$1006:$U$1006,0))&gt;=100000), " ",IF(INDEX($Q$2:$U$1001,MATCH(ROWS($J$2:J920),$J$2:$J$1001,0),MATCH(COLUMNS($Q$1006:Q1006),$Q$1006:$U$1006,0)), HYPERLINK("#",""), HYPERLINK(CONCATENATE("#metadata!", ADDRESS(INDEX($L$2:$L$1001,MATCH(ROWS($J$2:J920),$J$2:$J$1001,0),0), INDEX($Q$1004:$U$1004,1,MATCH(COLUMNS($Q$1006:Q1006),$Q$1006:$U$1006,0)))),"Fix")))</f>
        <v xml:space="preserve"> </v>
      </c>
      <c r="C920" s="3" t="str">
        <f ca="1">IF(OR(INDEX($K$2:$K$1001,MATCH(ROWS($J$2:J920),$J$2:$J$1001,0),1)&gt;=100000,INDEX($Q$1005:$U$1005,1,MATCH(COLUMNS($Q$1006:R1006),$Q$1006:$U$1006,0))&gt;=100000), " ",IF(INDEX($Q$2:$U$1001,MATCH(ROWS($J$2:J920),$J$2:$J$1001,0),MATCH(COLUMNS($Q$1006:R1006),$Q$1006:$U$1006,0)), HYPERLINK("#",""), HYPERLINK(CONCATENATE("#metadata!", ADDRESS(INDEX($L$2:$L$1001,MATCH(ROWS($J$2:J920),$J$2:$J$1001,0),0), INDEX($Q$1004:$U$1004,1,MATCH(COLUMNS($Q$1006:R1006),$Q$1006:$U$1006,0)))),"Fix")))</f>
        <v xml:space="preserve"> </v>
      </c>
      <c r="D920" s="3" t="str">
        <f ca="1">IF(OR(INDEX($K$2:$K$1001,MATCH(ROWS($J$2:J920),$J$2:$J$1001,0),1)&gt;=100000,INDEX($Q$1005:$U$1005,1,MATCH(COLUMNS($Q$1006:S1006),$Q$1006:$U$1006,0))&gt;=100000), " ",IF(INDEX($Q$2:$U$1001,MATCH(ROWS($J$2:J920),$J$2:$J$1001,0),MATCH(COLUMNS($Q$1006:S1006),$Q$1006:$U$1006,0)), HYPERLINK("#",""), HYPERLINK(CONCATENATE("#metadata!", ADDRESS(INDEX($L$2:$L$1001,MATCH(ROWS($J$2:J920),$J$2:$J$1001,0),0), INDEX($Q$1004:$U$1004,1,MATCH(COLUMNS($Q$1006:S1006),$Q$1006:$U$1006,0)))),"Fix")))</f>
        <v xml:space="preserve"> </v>
      </c>
      <c r="E920" s="3" t="str">
        <f ca="1">IF(OR(INDEX($K$2:$K$1001,MATCH(ROWS($J$2:J920),$J$2:$J$1001,0),1)&gt;=100000,INDEX($Q$1005:$U$1005,1,MATCH(COLUMNS($Q$1006:T1006),$Q$1006:$U$1006,0))&gt;=100000), " ",IF(INDEX($Q$2:$U$1001,MATCH(ROWS($J$2:J920),$J$2:$J$1001,0),MATCH(COLUMNS($Q$1006:T1006),$Q$1006:$U$1006,0)), HYPERLINK("#",""), HYPERLINK(CONCATENATE("#metadata!", ADDRESS(INDEX($L$2:$L$1001,MATCH(ROWS($J$2:J920),$J$2:$J$1001,0),0), INDEX($Q$1004:$U$1004,1,MATCH(COLUMNS($Q$1006:T1006),$Q$1006:$U$1006,0)))),"Fix")))</f>
        <v xml:space="preserve"> </v>
      </c>
      <c r="F920" s="3" t="str">
        <f ca="1">IF(OR(INDEX($K$2:$K$1001,MATCH(ROWS($J$2:J920),$J$2:$J$1001,0),1)&gt;=100000,INDEX($Q$1005:$U$1005,1,MATCH(COLUMNS($Q$1006:U1006),$Q$1006:$U$1006,0))&gt;=100000), " ",IF(INDEX($Q$2:$U$1001,MATCH(ROWS($J$2:J920),$J$2:$J$1001,0),MATCH(COLUMNS($Q$1006:U1006),$Q$1006:$U$1006,0)), HYPERLINK("#",""), HYPERLINK(CONCATENATE("#metadata!", ADDRESS(INDEX($L$2:$L$1001,MATCH(ROWS($J$2:J920),$J$2:$J$1001,0),0), INDEX($Q$1004:$U$1004,1,MATCH(COLUMNS($Q$1006:U1006),$Q$1006:$U$1006,0)))),"Fix")))</f>
        <v xml:space="preserve"> </v>
      </c>
      <c r="J920">
        <v>919</v>
      </c>
      <c r="K920">
        <v>100920</v>
      </c>
      <c r="L920">
        <v>920</v>
      </c>
      <c r="M920" t="b">
        <f t="shared" si="14"/>
        <v>1</v>
      </c>
      <c r="N920" t="b">
        <f>COUNTBLANK(metadata!B920:F920)=COLUMNS(metadata!B920:F920)</f>
        <v>1</v>
      </c>
      <c r="O920" t="str">
        <v/>
      </c>
      <c r="Q920" t="b">
        <f ca="1">AND(IF(metadata!B920="",FALSE,TRUE),COUNTIF(metadata!B:B, metadata!B920) = 1,NOT(ISERROR(SUMPRODUCT(SEARCH(MID(metadata!B920,ROW(INDIRECT("1:"&amp;LEN(metadata!B920))), 1),"0123456789abcdefghijklmnopqrstuvwxyzABCDEFGHIJKLMNOPQRSTUVWXYZ.")))))</f>
        <v>0</v>
      </c>
      <c r="R920" t="b">
        <f>AND(IF(metadata!C920="",FALSE,TRUE),OR(EXACT(metadata!C920,"saline"),EXACT(metadata!C920,"non-saline")))</f>
        <v>0</v>
      </c>
      <c r="S920" t="b">
        <f>AND(IF(metadata!D920="",FALSE,TRUE),OR(EXACT(metadata!D920,"surface (non-saline)"),EXACT(metadata!D920,"aerosol (non-saline)"),EXACT(metadata!D920,"sediment (non-saline)"),EXACT(metadata!D920,"surface (saline)"),EXACT(metadata!D920,"aerosol (saline)"),EXACT(metadata!D920,"sediment (saline)")))</f>
        <v>0</v>
      </c>
      <c r="T920" t="b">
        <f>AND(IF(metadata!E920="",FALSE,TRUE),EXACT(metadata!E920,"built environment"))</f>
        <v>0</v>
      </c>
      <c r="U920" t="b">
        <f>OR(AND(IF(metadata!F920="",FALSE,TRUE),EXACT(metadata!F920,"not applicable")),AND(IF(metadata!F920="",FALSE,TRUE),EXACT(metadata!F920,"anaerobic digester content")))</f>
        <v>0</v>
      </c>
    </row>
    <row r="921" spans="1:21" x14ac:dyDescent="0.2">
      <c r="A921" s="4" t="str">
        <f ca="1">IF(B921=" "," ",HYPERLINK(CONCATENATE("#metadata!",ADDRESS(INDEX($L$2:$L$1001,MATCH(ROWS($J$2:J921),$J$2:$J$1001,0),0),1)),INDEX($O$2:$O$1001,MATCH(ROWS($J$2:J921),$J$2:$J$1001,0),0)))</f>
        <v xml:space="preserve"> </v>
      </c>
      <c r="B921" s="3" t="str">
        <f ca="1">IF(OR(INDEX($K$2:$K$1001,MATCH(ROWS($J$2:J921),$J$2:$J$1001,0),1)&gt;=100000,INDEX($Q$1005:$U$1005,1,MATCH(COLUMNS($Q$1006:Q1006),$Q$1006:$U$1006,0))&gt;=100000), " ",IF(INDEX($Q$2:$U$1001,MATCH(ROWS($J$2:J921),$J$2:$J$1001,0),MATCH(COLUMNS($Q$1006:Q1006),$Q$1006:$U$1006,0)), HYPERLINK("#",""), HYPERLINK(CONCATENATE("#metadata!", ADDRESS(INDEX($L$2:$L$1001,MATCH(ROWS($J$2:J921),$J$2:$J$1001,0),0), INDEX($Q$1004:$U$1004,1,MATCH(COLUMNS($Q$1006:Q1006),$Q$1006:$U$1006,0)))),"Fix")))</f>
        <v xml:space="preserve"> </v>
      </c>
      <c r="C921" s="3" t="str">
        <f ca="1">IF(OR(INDEX($K$2:$K$1001,MATCH(ROWS($J$2:J921),$J$2:$J$1001,0),1)&gt;=100000,INDEX($Q$1005:$U$1005,1,MATCH(COLUMNS($Q$1006:R1006),$Q$1006:$U$1006,0))&gt;=100000), " ",IF(INDEX($Q$2:$U$1001,MATCH(ROWS($J$2:J921),$J$2:$J$1001,0),MATCH(COLUMNS($Q$1006:R1006),$Q$1006:$U$1006,0)), HYPERLINK("#",""), HYPERLINK(CONCATENATE("#metadata!", ADDRESS(INDEX($L$2:$L$1001,MATCH(ROWS($J$2:J921),$J$2:$J$1001,0),0), INDEX($Q$1004:$U$1004,1,MATCH(COLUMNS($Q$1006:R1006),$Q$1006:$U$1006,0)))),"Fix")))</f>
        <v xml:space="preserve"> </v>
      </c>
      <c r="D921" s="3" t="str">
        <f ca="1">IF(OR(INDEX($K$2:$K$1001,MATCH(ROWS($J$2:J921),$J$2:$J$1001,0),1)&gt;=100000,INDEX($Q$1005:$U$1005,1,MATCH(COLUMNS($Q$1006:S1006),$Q$1006:$U$1006,0))&gt;=100000), " ",IF(INDEX($Q$2:$U$1001,MATCH(ROWS($J$2:J921),$J$2:$J$1001,0),MATCH(COLUMNS($Q$1006:S1006),$Q$1006:$U$1006,0)), HYPERLINK("#",""), HYPERLINK(CONCATENATE("#metadata!", ADDRESS(INDEX($L$2:$L$1001,MATCH(ROWS($J$2:J921),$J$2:$J$1001,0),0), INDEX($Q$1004:$U$1004,1,MATCH(COLUMNS($Q$1006:S1006),$Q$1006:$U$1006,0)))),"Fix")))</f>
        <v xml:space="preserve"> </v>
      </c>
      <c r="E921" s="3" t="str">
        <f ca="1">IF(OR(INDEX($K$2:$K$1001,MATCH(ROWS($J$2:J921),$J$2:$J$1001,0),1)&gt;=100000,INDEX($Q$1005:$U$1005,1,MATCH(COLUMNS($Q$1006:T1006),$Q$1006:$U$1006,0))&gt;=100000), " ",IF(INDEX($Q$2:$U$1001,MATCH(ROWS($J$2:J921),$J$2:$J$1001,0),MATCH(COLUMNS($Q$1006:T1006),$Q$1006:$U$1006,0)), HYPERLINK("#",""), HYPERLINK(CONCATENATE("#metadata!", ADDRESS(INDEX($L$2:$L$1001,MATCH(ROWS($J$2:J921),$J$2:$J$1001,0),0), INDEX($Q$1004:$U$1004,1,MATCH(COLUMNS($Q$1006:T1006),$Q$1006:$U$1006,0)))),"Fix")))</f>
        <v xml:space="preserve"> </v>
      </c>
      <c r="F921" s="3" t="str">
        <f ca="1">IF(OR(INDEX($K$2:$K$1001,MATCH(ROWS($J$2:J921),$J$2:$J$1001,0),1)&gt;=100000,INDEX($Q$1005:$U$1005,1,MATCH(COLUMNS($Q$1006:U1006),$Q$1006:$U$1006,0))&gt;=100000), " ",IF(INDEX($Q$2:$U$1001,MATCH(ROWS($J$2:J921),$J$2:$J$1001,0),MATCH(COLUMNS($Q$1006:U1006),$Q$1006:$U$1006,0)), HYPERLINK("#",""), HYPERLINK(CONCATENATE("#metadata!", ADDRESS(INDEX($L$2:$L$1001,MATCH(ROWS($J$2:J921),$J$2:$J$1001,0),0), INDEX($Q$1004:$U$1004,1,MATCH(COLUMNS($Q$1006:U1006),$Q$1006:$U$1006,0)))),"Fix")))</f>
        <v xml:space="preserve"> </v>
      </c>
      <c r="J921">
        <v>920</v>
      </c>
      <c r="K921">
        <v>100921</v>
      </c>
      <c r="L921">
        <v>921</v>
      </c>
      <c r="M921" t="b">
        <f t="shared" si="14"/>
        <v>1</v>
      </c>
      <c r="N921" t="b">
        <f>COUNTBLANK(metadata!B921:F921)=COLUMNS(metadata!B921:F921)</f>
        <v>1</v>
      </c>
      <c r="O921" t="str">
        <v/>
      </c>
      <c r="Q921" t="b">
        <f ca="1">AND(IF(metadata!B921="",FALSE,TRUE),COUNTIF(metadata!B:B, metadata!B921) = 1,NOT(ISERROR(SUMPRODUCT(SEARCH(MID(metadata!B921,ROW(INDIRECT("1:"&amp;LEN(metadata!B921))), 1),"0123456789abcdefghijklmnopqrstuvwxyzABCDEFGHIJKLMNOPQRSTUVWXYZ.")))))</f>
        <v>0</v>
      </c>
      <c r="R921" t="b">
        <f>AND(IF(metadata!C921="",FALSE,TRUE),OR(EXACT(metadata!C921,"saline"),EXACT(metadata!C921,"non-saline")))</f>
        <v>0</v>
      </c>
      <c r="S921" t="b">
        <f>AND(IF(metadata!D921="",FALSE,TRUE),OR(EXACT(metadata!D921,"surface (non-saline)"),EXACT(metadata!D921,"aerosol (non-saline)"),EXACT(metadata!D921,"sediment (non-saline)"),EXACT(metadata!D921,"surface (saline)"),EXACT(metadata!D921,"aerosol (saline)"),EXACT(metadata!D921,"sediment (saline)")))</f>
        <v>0</v>
      </c>
      <c r="T921" t="b">
        <f>AND(IF(metadata!E921="",FALSE,TRUE),EXACT(metadata!E921,"built environment"))</f>
        <v>0</v>
      </c>
      <c r="U921" t="b">
        <f>OR(AND(IF(metadata!F921="",FALSE,TRUE),EXACT(metadata!F921,"not applicable")),AND(IF(metadata!F921="",FALSE,TRUE),EXACT(metadata!F921,"anaerobic digester content")))</f>
        <v>0</v>
      </c>
    </row>
    <row r="922" spans="1:21" x14ac:dyDescent="0.2">
      <c r="A922" s="4" t="str">
        <f ca="1">IF(B922=" "," ",HYPERLINK(CONCATENATE("#metadata!",ADDRESS(INDEX($L$2:$L$1001,MATCH(ROWS($J$2:J922),$J$2:$J$1001,0),0),1)),INDEX($O$2:$O$1001,MATCH(ROWS($J$2:J922),$J$2:$J$1001,0),0)))</f>
        <v xml:space="preserve"> </v>
      </c>
      <c r="B922" s="3" t="str">
        <f ca="1">IF(OR(INDEX($K$2:$K$1001,MATCH(ROWS($J$2:J922),$J$2:$J$1001,0),1)&gt;=100000,INDEX($Q$1005:$U$1005,1,MATCH(COLUMNS($Q$1006:Q1006),$Q$1006:$U$1006,0))&gt;=100000), " ",IF(INDEX($Q$2:$U$1001,MATCH(ROWS($J$2:J922),$J$2:$J$1001,0),MATCH(COLUMNS($Q$1006:Q1006),$Q$1006:$U$1006,0)), HYPERLINK("#",""), HYPERLINK(CONCATENATE("#metadata!", ADDRESS(INDEX($L$2:$L$1001,MATCH(ROWS($J$2:J922),$J$2:$J$1001,0),0), INDEX($Q$1004:$U$1004,1,MATCH(COLUMNS($Q$1006:Q1006),$Q$1006:$U$1006,0)))),"Fix")))</f>
        <v xml:space="preserve"> </v>
      </c>
      <c r="C922" s="3" t="str">
        <f ca="1">IF(OR(INDEX($K$2:$K$1001,MATCH(ROWS($J$2:J922),$J$2:$J$1001,0),1)&gt;=100000,INDEX($Q$1005:$U$1005,1,MATCH(COLUMNS($Q$1006:R1006),$Q$1006:$U$1006,0))&gt;=100000), " ",IF(INDEX($Q$2:$U$1001,MATCH(ROWS($J$2:J922),$J$2:$J$1001,0),MATCH(COLUMNS($Q$1006:R1006),$Q$1006:$U$1006,0)), HYPERLINK("#",""), HYPERLINK(CONCATENATE("#metadata!", ADDRESS(INDEX($L$2:$L$1001,MATCH(ROWS($J$2:J922),$J$2:$J$1001,0),0), INDEX($Q$1004:$U$1004,1,MATCH(COLUMNS($Q$1006:R1006),$Q$1006:$U$1006,0)))),"Fix")))</f>
        <v xml:space="preserve"> </v>
      </c>
      <c r="D922" s="3" t="str">
        <f ca="1">IF(OR(INDEX($K$2:$K$1001,MATCH(ROWS($J$2:J922),$J$2:$J$1001,0),1)&gt;=100000,INDEX($Q$1005:$U$1005,1,MATCH(COLUMNS($Q$1006:S1006),$Q$1006:$U$1006,0))&gt;=100000), " ",IF(INDEX($Q$2:$U$1001,MATCH(ROWS($J$2:J922),$J$2:$J$1001,0),MATCH(COLUMNS($Q$1006:S1006),$Q$1006:$U$1006,0)), HYPERLINK("#",""), HYPERLINK(CONCATENATE("#metadata!", ADDRESS(INDEX($L$2:$L$1001,MATCH(ROWS($J$2:J922),$J$2:$J$1001,0),0), INDEX($Q$1004:$U$1004,1,MATCH(COLUMNS($Q$1006:S1006),$Q$1006:$U$1006,0)))),"Fix")))</f>
        <v xml:space="preserve"> </v>
      </c>
      <c r="E922" s="3" t="str">
        <f ca="1">IF(OR(INDEX($K$2:$K$1001,MATCH(ROWS($J$2:J922),$J$2:$J$1001,0),1)&gt;=100000,INDEX($Q$1005:$U$1005,1,MATCH(COLUMNS($Q$1006:T1006),$Q$1006:$U$1006,0))&gt;=100000), " ",IF(INDEX($Q$2:$U$1001,MATCH(ROWS($J$2:J922),$J$2:$J$1001,0),MATCH(COLUMNS($Q$1006:T1006),$Q$1006:$U$1006,0)), HYPERLINK("#",""), HYPERLINK(CONCATENATE("#metadata!", ADDRESS(INDEX($L$2:$L$1001,MATCH(ROWS($J$2:J922),$J$2:$J$1001,0),0), INDEX($Q$1004:$U$1004,1,MATCH(COLUMNS($Q$1006:T1006),$Q$1006:$U$1006,0)))),"Fix")))</f>
        <v xml:space="preserve"> </v>
      </c>
      <c r="F922" s="3" t="str">
        <f ca="1">IF(OR(INDEX($K$2:$K$1001,MATCH(ROWS($J$2:J922),$J$2:$J$1001,0),1)&gt;=100000,INDEX($Q$1005:$U$1005,1,MATCH(COLUMNS($Q$1006:U1006),$Q$1006:$U$1006,0))&gt;=100000), " ",IF(INDEX($Q$2:$U$1001,MATCH(ROWS($J$2:J922),$J$2:$J$1001,0),MATCH(COLUMNS($Q$1006:U1006),$Q$1006:$U$1006,0)), HYPERLINK("#",""), HYPERLINK(CONCATENATE("#metadata!", ADDRESS(INDEX($L$2:$L$1001,MATCH(ROWS($J$2:J922),$J$2:$J$1001,0),0), INDEX($Q$1004:$U$1004,1,MATCH(COLUMNS($Q$1006:U1006),$Q$1006:$U$1006,0)))),"Fix")))</f>
        <v xml:space="preserve"> </v>
      </c>
      <c r="J922">
        <v>921</v>
      </c>
      <c r="K922">
        <v>100922</v>
      </c>
      <c r="L922">
        <v>922</v>
      </c>
      <c r="M922" t="b">
        <f t="shared" si="14"/>
        <v>1</v>
      </c>
      <c r="N922" t="b">
        <f>COUNTBLANK(metadata!B922:F922)=COLUMNS(metadata!B922:F922)</f>
        <v>1</v>
      </c>
      <c r="O922" t="str">
        <v/>
      </c>
      <c r="Q922" t="b">
        <f ca="1">AND(IF(metadata!B922="",FALSE,TRUE),COUNTIF(metadata!B:B, metadata!B922) = 1,NOT(ISERROR(SUMPRODUCT(SEARCH(MID(metadata!B922,ROW(INDIRECT("1:"&amp;LEN(metadata!B922))), 1),"0123456789abcdefghijklmnopqrstuvwxyzABCDEFGHIJKLMNOPQRSTUVWXYZ.")))))</f>
        <v>0</v>
      </c>
      <c r="R922" t="b">
        <f>AND(IF(metadata!C922="",FALSE,TRUE),OR(EXACT(metadata!C922,"saline"),EXACT(metadata!C922,"non-saline")))</f>
        <v>0</v>
      </c>
      <c r="S922" t="b">
        <f>AND(IF(metadata!D922="",FALSE,TRUE),OR(EXACT(metadata!D922,"surface (non-saline)"),EXACT(metadata!D922,"aerosol (non-saline)"),EXACT(metadata!D922,"sediment (non-saline)"),EXACT(metadata!D922,"surface (saline)"),EXACT(metadata!D922,"aerosol (saline)"),EXACT(metadata!D922,"sediment (saline)")))</f>
        <v>0</v>
      </c>
      <c r="T922" t="b">
        <f>AND(IF(metadata!E922="",FALSE,TRUE),EXACT(metadata!E922,"built environment"))</f>
        <v>0</v>
      </c>
      <c r="U922" t="b">
        <f>OR(AND(IF(metadata!F922="",FALSE,TRUE),EXACT(metadata!F922,"not applicable")),AND(IF(metadata!F922="",FALSE,TRUE),EXACT(metadata!F922,"anaerobic digester content")))</f>
        <v>0</v>
      </c>
    </row>
    <row r="923" spans="1:21" x14ac:dyDescent="0.2">
      <c r="A923" s="4" t="str">
        <f ca="1">IF(B923=" "," ",HYPERLINK(CONCATENATE("#metadata!",ADDRESS(INDEX($L$2:$L$1001,MATCH(ROWS($J$2:J923),$J$2:$J$1001,0),0),1)),INDEX($O$2:$O$1001,MATCH(ROWS($J$2:J923),$J$2:$J$1001,0),0)))</f>
        <v xml:space="preserve"> </v>
      </c>
      <c r="B923" s="3" t="str">
        <f ca="1">IF(OR(INDEX($K$2:$K$1001,MATCH(ROWS($J$2:J923),$J$2:$J$1001,0),1)&gt;=100000,INDEX($Q$1005:$U$1005,1,MATCH(COLUMNS($Q$1006:Q1006),$Q$1006:$U$1006,0))&gt;=100000), " ",IF(INDEX($Q$2:$U$1001,MATCH(ROWS($J$2:J923),$J$2:$J$1001,0),MATCH(COLUMNS($Q$1006:Q1006),$Q$1006:$U$1006,0)), HYPERLINK("#",""), HYPERLINK(CONCATENATE("#metadata!", ADDRESS(INDEX($L$2:$L$1001,MATCH(ROWS($J$2:J923),$J$2:$J$1001,0),0), INDEX($Q$1004:$U$1004,1,MATCH(COLUMNS($Q$1006:Q1006),$Q$1006:$U$1006,0)))),"Fix")))</f>
        <v xml:space="preserve"> </v>
      </c>
      <c r="C923" s="3" t="str">
        <f ca="1">IF(OR(INDEX($K$2:$K$1001,MATCH(ROWS($J$2:J923),$J$2:$J$1001,0),1)&gt;=100000,INDEX($Q$1005:$U$1005,1,MATCH(COLUMNS($Q$1006:R1006),$Q$1006:$U$1006,0))&gt;=100000), " ",IF(INDEX($Q$2:$U$1001,MATCH(ROWS($J$2:J923),$J$2:$J$1001,0),MATCH(COLUMNS($Q$1006:R1006),$Q$1006:$U$1006,0)), HYPERLINK("#",""), HYPERLINK(CONCATENATE("#metadata!", ADDRESS(INDEX($L$2:$L$1001,MATCH(ROWS($J$2:J923),$J$2:$J$1001,0),0), INDEX($Q$1004:$U$1004,1,MATCH(COLUMNS($Q$1006:R1006),$Q$1006:$U$1006,0)))),"Fix")))</f>
        <v xml:space="preserve"> </v>
      </c>
      <c r="D923" s="3" t="str">
        <f ca="1">IF(OR(INDEX($K$2:$K$1001,MATCH(ROWS($J$2:J923),$J$2:$J$1001,0),1)&gt;=100000,INDEX($Q$1005:$U$1005,1,MATCH(COLUMNS($Q$1006:S1006),$Q$1006:$U$1006,0))&gt;=100000), " ",IF(INDEX($Q$2:$U$1001,MATCH(ROWS($J$2:J923),$J$2:$J$1001,0),MATCH(COLUMNS($Q$1006:S1006),$Q$1006:$U$1006,0)), HYPERLINK("#",""), HYPERLINK(CONCATENATE("#metadata!", ADDRESS(INDEX($L$2:$L$1001,MATCH(ROWS($J$2:J923),$J$2:$J$1001,0),0), INDEX($Q$1004:$U$1004,1,MATCH(COLUMNS($Q$1006:S1006),$Q$1006:$U$1006,0)))),"Fix")))</f>
        <v xml:space="preserve"> </v>
      </c>
      <c r="E923" s="3" t="str">
        <f ca="1">IF(OR(INDEX($K$2:$K$1001,MATCH(ROWS($J$2:J923),$J$2:$J$1001,0),1)&gt;=100000,INDEX($Q$1005:$U$1005,1,MATCH(COLUMNS($Q$1006:T1006),$Q$1006:$U$1006,0))&gt;=100000), " ",IF(INDEX($Q$2:$U$1001,MATCH(ROWS($J$2:J923),$J$2:$J$1001,0),MATCH(COLUMNS($Q$1006:T1006),$Q$1006:$U$1006,0)), HYPERLINK("#",""), HYPERLINK(CONCATENATE("#metadata!", ADDRESS(INDEX($L$2:$L$1001,MATCH(ROWS($J$2:J923),$J$2:$J$1001,0),0), INDEX($Q$1004:$U$1004,1,MATCH(COLUMNS($Q$1006:T1006),$Q$1006:$U$1006,0)))),"Fix")))</f>
        <v xml:space="preserve"> </v>
      </c>
      <c r="F923" s="3" t="str">
        <f ca="1">IF(OR(INDEX($K$2:$K$1001,MATCH(ROWS($J$2:J923),$J$2:$J$1001,0),1)&gt;=100000,INDEX($Q$1005:$U$1005,1,MATCH(COLUMNS($Q$1006:U1006),$Q$1006:$U$1006,0))&gt;=100000), " ",IF(INDEX($Q$2:$U$1001,MATCH(ROWS($J$2:J923),$J$2:$J$1001,0),MATCH(COLUMNS($Q$1006:U1006),$Q$1006:$U$1006,0)), HYPERLINK("#",""), HYPERLINK(CONCATENATE("#metadata!", ADDRESS(INDEX($L$2:$L$1001,MATCH(ROWS($J$2:J923),$J$2:$J$1001,0),0), INDEX($Q$1004:$U$1004,1,MATCH(COLUMNS($Q$1006:U1006),$Q$1006:$U$1006,0)))),"Fix")))</f>
        <v xml:space="preserve"> </v>
      </c>
      <c r="J923">
        <v>922</v>
      </c>
      <c r="K923">
        <v>100923</v>
      </c>
      <c r="L923">
        <v>923</v>
      </c>
      <c r="M923" t="b">
        <f t="shared" si="14"/>
        <v>1</v>
      </c>
      <c r="N923" t="b">
        <f>COUNTBLANK(metadata!B923:F923)=COLUMNS(metadata!B923:F923)</f>
        <v>1</v>
      </c>
      <c r="O923" t="str">
        <v/>
      </c>
      <c r="Q923" t="b">
        <f ca="1">AND(IF(metadata!B923="",FALSE,TRUE),COUNTIF(metadata!B:B, metadata!B923) = 1,NOT(ISERROR(SUMPRODUCT(SEARCH(MID(metadata!B923,ROW(INDIRECT("1:"&amp;LEN(metadata!B923))), 1),"0123456789abcdefghijklmnopqrstuvwxyzABCDEFGHIJKLMNOPQRSTUVWXYZ.")))))</f>
        <v>0</v>
      </c>
      <c r="R923" t="b">
        <f>AND(IF(metadata!C923="",FALSE,TRUE),OR(EXACT(metadata!C923,"saline"),EXACT(metadata!C923,"non-saline")))</f>
        <v>0</v>
      </c>
      <c r="S923" t="b">
        <f>AND(IF(metadata!D923="",FALSE,TRUE),OR(EXACT(metadata!D923,"surface (non-saline)"),EXACT(metadata!D923,"aerosol (non-saline)"),EXACT(metadata!D923,"sediment (non-saline)"),EXACT(metadata!D923,"surface (saline)"),EXACT(metadata!D923,"aerosol (saline)"),EXACT(metadata!D923,"sediment (saline)")))</f>
        <v>0</v>
      </c>
      <c r="T923" t="b">
        <f>AND(IF(metadata!E923="",FALSE,TRUE),EXACT(metadata!E923,"built environment"))</f>
        <v>0</v>
      </c>
      <c r="U923" t="b">
        <f>OR(AND(IF(metadata!F923="",FALSE,TRUE),EXACT(metadata!F923,"not applicable")),AND(IF(metadata!F923="",FALSE,TRUE),EXACT(metadata!F923,"anaerobic digester content")))</f>
        <v>0</v>
      </c>
    </row>
    <row r="924" spans="1:21" x14ac:dyDescent="0.2">
      <c r="A924" s="4" t="str">
        <f ca="1">IF(B924=" "," ",HYPERLINK(CONCATENATE("#metadata!",ADDRESS(INDEX($L$2:$L$1001,MATCH(ROWS($J$2:J924),$J$2:$J$1001,0),0),1)),INDEX($O$2:$O$1001,MATCH(ROWS($J$2:J924),$J$2:$J$1001,0),0)))</f>
        <v xml:space="preserve"> </v>
      </c>
      <c r="B924" s="3" t="str">
        <f ca="1">IF(OR(INDEX($K$2:$K$1001,MATCH(ROWS($J$2:J924),$J$2:$J$1001,0),1)&gt;=100000,INDEX($Q$1005:$U$1005,1,MATCH(COLUMNS($Q$1006:Q1006),$Q$1006:$U$1006,0))&gt;=100000), " ",IF(INDEX($Q$2:$U$1001,MATCH(ROWS($J$2:J924),$J$2:$J$1001,0),MATCH(COLUMNS($Q$1006:Q1006),$Q$1006:$U$1006,0)), HYPERLINK("#",""), HYPERLINK(CONCATENATE("#metadata!", ADDRESS(INDEX($L$2:$L$1001,MATCH(ROWS($J$2:J924),$J$2:$J$1001,0),0), INDEX($Q$1004:$U$1004,1,MATCH(COLUMNS($Q$1006:Q1006),$Q$1006:$U$1006,0)))),"Fix")))</f>
        <v xml:space="preserve"> </v>
      </c>
      <c r="C924" s="3" t="str">
        <f ca="1">IF(OR(INDEX($K$2:$K$1001,MATCH(ROWS($J$2:J924),$J$2:$J$1001,0),1)&gt;=100000,INDEX($Q$1005:$U$1005,1,MATCH(COLUMNS($Q$1006:R1006),$Q$1006:$U$1006,0))&gt;=100000), " ",IF(INDEX($Q$2:$U$1001,MATCH(ROWS($J$2:J924),$J$2:$J$1001,0),MATCH(COLUMNS($Q$1006:R1006),$Q$1006:$U$1006,0)), HYPERLINK("#",""), HYPERLINK(CONCATENATE("#metadata!", ADDRESS(INDEX($L$2:$L$1001,MATCH(ROWS($J$2:J924),$J$2:$J$1001,0),0), INDEX($Q$1004:$U$1004,1,MATCH(COLUMNS($Q$1006:R1006),$Q$1006:$U$1006,0)))),"Fix")))</f>
        <v xml:space="preserve"> </v>
      </c>
      <c r="D924" s="3" t="str">
        <f ca="1">IF(OR(INDEX($K$2:$K$1001,MATCH(ROWS($J$2:J924),$J$2:$J$1001,0),1)&gt;=100000,INDEX($Q$1005:$U$1005,1,MATCH(COLUMNS($Q$1006:S1006),$Q$1006:$U$1006,0))&gt;=100000), " ",IF(INDEX($Q$2:$U$1001,MATCH(ROWS($J$2:J924),$J$2:$J$1001,0),MATCH(COLUMNS($Q$1006:S1006),$Q$1006:$U$1006,0)), HYPERLINK("#",""), HYPERLINK(CONCATENATE("#metadata!", ADDRESS(INDEX($L$2:$L$1001,MATCH(ROWS($J$2:J924),$J$2:$J$1001,0),0), INDEX($Q$1004:$U$1004,1,MATCH(COLUMNS($Q$1006:S1006),$Q$1006:$U$1006,0)))),"Fix")))</f>
        <v xml:space="preserve"> </v>
      </c>
      <c r="E924" s="3" t="str">
        <f ca="1">IF(OR(INDEX($K$2:$K$1001,MATCH(ROWS($J$2:J924),$J$2:$J$1001,0),1)&gt;=100000,INDEX($Q$1005:$U$1005,1,MATCH(COLUMNS($Q$1006:T1006),$Q$1006:$U$1006,0))&gt;=100000), " ",IF(INDEX($Q$2:$U$1001,MATCH(ROWS($J$2:J924),$J$2:$J$1001,0),MATCH(COLUMNS($Q$1006:T1006),$Q$1006:$U$1006,0)), HYPERLINK("#",""), HYPERLINK(CONCATENATE("#metadata!", ADDRESS(INDEX($L$2:$L$1001,MATCH(ROWS($J$2:J924),$J$2:$J$1001,0),0), INDEX($Q$1004:$U$1004,1,MATCH(COLUMNS($Q$1006:T1006),$Q$1006:$U$1006,0)))),"Fix")))</f>
        <v xml:space="preserve"> </v>
      </c>
      <c r="F924" s="3" t="str">
        <f ca="1">IF(OR(INDEX($K$2:$K$1001,MATCH(ROWS($J$2:J924),$J$2:$J$1001,0),1)&gt;=100000,INDEX($Q$1005:$U$1005,1,MATCH(COLUMNS($Q$1006:U1006),$Q$1006:$U$1006,0))&gt;=100000), " ",IF(INDEX($Q$2:$U$1001,MATCH(ROWS($J$2:J924),$J$2:$J$1001,0),MATCH(COLUMNS($Q$1006:U1006),$Q$1006:$U$1006,0)), HYPERLINK("#",""), HYPERLINK(CONCATENATE("#metadata!", ADDRESS(INDEX($L$2:$L$1001,MATCH(ROWS($J$2:J924),$J$2:$J$1001,0),0), INDEX($Q$1004:$U$1004,1,MATCH(COLUMNS($Q$1006:U1006),$Q$1006:$U$1006,0)))),"Fix")))</f>
        <v xml:space="preserve"> </v>
      </c>
      <c r="J924">
        <v>923</v>
      </c>
      <c r="K924">
        <v>100924</v>
      </c>
      <c r="L924">
        <v>924</v>
      </c>
      <c r="M924" t="b">
        <f t="shared" si="14"/>
        <v>1</v>
      </c>
      <c r="N924" t="b">
        <f>COUNTBLANK(metadata!B924:F924)=COLUMNS(metadata!B924:F924)</f>
        <v>1</v>
      </c>
      <c r="O924" t="str">
        <v/>
      </c>
      <c r="Q924" t="b">
        <f ca="1">AND(IF(metadata!B924="",FALSE,TRUE),COUNTIF(metadata!B:B, metadata!B924) = 1,NOT(ISERROR(SUMPRODUCT(SEARCH(MID(metadata!B924,ROW(INDIRECT("1:"&amp;LEN(metadata!B924))), 1),"0123456789abcdefghijklmnopqrstuvwxyzABCDEFGHIJKLMNOPQRSTUVWXYZ.")))))</f>
        <v>0</v>
      </c>
      <c r="R924" t="b">
        <f>AND(IF(metadata!C924="",FALSE,TRUE),OR(EXACT(metadata!C924,"saline"),EXACT(metadata!C924,"non-saline")))</f>
        <v>0</v>
      </c>
      <c r="S924" t="b">
        <f>AND(IF(metadata!D924="",FALSE,TRUE),OR(EXACT(metadata!D924,"surface (non-saline)"),EXACT(metadata!D924,"aerosol (non-saline)"),EXACT(metadata!D924,"sediment (non-saline)"),EXACT(metadata!D924,"surface (saline)"),EXACT(metadata!D924,"aerosol (saline)"),EXACT(metadata!D924,"sediment (saline)")))</f>
        <v>0</v>
      </c>
      <c r="T924" t="b">
        <f>AND(IF(metadata!E924="",FALSE,TRUE),EXACT(metadata!E924,"built environment"))</f>
        <v>0</v>
      </c>
      <c r="U924" t="b">
        <f>OR(AND(IF(metadata!F924="",FALSE,TRUE),EXACT(metadata!F924,"not applicable")),AND(IF(metadata!F924="",FALSE,TRUE),EXACT(metadata!F924,"anaerobic digester content")))</f>
        <v>0</v>
      </c>
    </row>
    <row r="925" spans="1:21" x14ac:dyDescent="0.2">
      <c r="A925" s="4" t="str">
        <f ca="1">IF(B925=" "," ",HYPERLINK(CONCATENATE("#metadata!",ADDRESS(INDEX($L$2:$L$1001,MATCH(ROWS($J$2:J925),$J$2:$J$1001,0),0),1)),INDEX($O$2:$O$1001,MATCH(ROWS($J$2:J925),$J$2:$J$1001,0),0)))</f>
        <v xml:space="preserve"> </v>
      </c>
      <c r="B925" s="3" t="str">
        <f ca="1">IF(OR(INDEX($K$2:$K$1001,MATCH(ROWS($J$2:J925),$J$2:$J$1001,0),1)&gt;=100000,INDEX($Q$1005:$U$1005,1,MATCH(COLUMNS($Q$1006:Q1006),$Q$1006:$U$1006,0))&gt;=100000), " ",IF(INDEX($Q$2:$U$1001,MATCH(ROWS($J$2:J925),$J$2:$J$1001,0),MATCH(COLUMNS($Q$1006:Q1006),$Q$1006:$U$1006,0)), HYPERLINK("#",""), HYPERLINK(CONCATENATE("#metadata!", ADDRESS(INDEX($L$2:$L$1001,MATCH(ROWS($J$2:J925),$J$2:$J$1001,0),0), INDEX($Q$1004:$U$1004,1,MATCH(COLUMNS($Q$1006:Q1006),$Q$1006:$U$1006,0)))),"Fix")))</f>
        <v xml:space="preserve"> </v>
      </c>
      <c r="C925" s="3" t="str">
        <f ca="1">IF(OR(INDEX($K$2:$K$1001,MATCH(ROWS($J$2:J925),$J$2:$J$1001,0),1)&gt;=100000,INDEX($Q$1005:$U$1005,1,MATCH(COLUMNS($Q$1006:R1006),$Q$1006:$U$1006,0))&gt;=100000), " ",IF(INDEX($Q$2:$U$1001,MATCH(ROWS($J$2:J925),$J$2:$J$1001,0),MATCH(COLUMNS($Q$1006:R1006),$Q$1006:$U$1006,0)), HYPERLINK("#",""), HYPERLINK(CONCATENATE("#metadata!", ADDRESS(INDEX($L$2:$L$1001,MATCH(ROWS($J$2:J925),$J$2:$J$1001,0),0), INDEX($Q$1004:$U$1004,1,MATCH(COLUMNS($Q$1006:R1006),$Q$1006:$U$1006,0)))),"Fix")))</f>
        <v xml:space="preserve"> </v>
      </c>
      <c r="D925" s="3" t="str">
        <f ca="1">IF(OR(INDEX($K$2:$K$1001,MATCH(ROWS($J$2:J925),$J$2:$J$1001,0),1)&gt;=100000,INDEX($Q$1005:$U$1005,1,MATCH(COLUMNS($Q$1006:S1006),$Q$1006:$U$1006,0))&gt;=100000), " ",IF(INDEX($Q$2:$U$1001,MATCH(ROWS($J$2:J925),$J$2:$J$1001,0),MATCH(COLUMNS($Q$1006:S1006),$Q$1006:$U$1006,0)), HYPERLINK("#",""), HYPERLINK(CONCATENATE("#metadata!", ADDRESS(INDEX($L$2:$L$1001,MATCH(ROWS($J$2:J925),$J$2:$J$1001,0),0), INDEX($Q$1004:$U$1004,1,MATCH(COLUMNS($Q$1006:S1006),$Q$1006:$U$1006,0)))),"Fix")))</f>
        <v xml:space="preserve"> </v>
      </c>
      <c r="E925" s="3" t="str">
        <f ca="1">IF(OR(INDEX($K$2:$K$1001,MATCH(ROWS($J$2:J925),$J$2:$J$1001,0),1)&gt;=100000,INDEX($Q$1005:$U$1005,1,MATCH(COLUMNS($Q$1006:T1006),$Q$1006:$U$1006,0))&gt;=100000), " ",IF(INDEX($Q$2:$U$1001,MATCH(ROWS($J$2:J925),$J$2:$J$1001,0),MATCH(COLUMNS($Q$1006:T1006),$Q$1006:$U$1006,0)), HYPERLINK("#",""), HYPERLINK(CONCATENATE("#metadata!", ADDRESS(INDEX($L$2:$L$1001,MATCH(ROWS($J$2:J925),$J$2:$J$1001,0),0), INDEX($Q$1004:$U$1004,1,MATCH(COLUMNS($Q$1006:T1006),$Q$1006:$U$1006,0)))),"Fix")))</f>
        <v xml:space="preserve"> </v>
      </c>
      <c r="F925" s="3" t="str">
        <f ca="1">IF(OR(INDEX($K$2:$K$1001,MATCH(ROWS($J$2:J925),$J$2:$J$1001,0),1)&gt;=100000,INDEX($Q$1005:$U$1005,1,MATCH(COLUMNS($Q$1006:U1006),$Q$1006:$U$1006,0))&gt;=100000), " ",IF(INDEX($Q$2:$U$1001,MATCH(ROWS($J$2:J925),$J$2:$J$1001,0),MATCH(COLUMNS($Q$1006:U1006),$Q$1006:$U$1006,0)), HYPERLINK("#",""), HYPERLINK(CONCATENATE("#metadata!", ADDRESS(INDEX($L$2:$L$1001,MATCH(ROWS($J$2:J925),$J$2:$J$1001,0),0), INDEX($Q$1004:$U$1004,1,MATCH(COLUMNS($Q$1006:U1006),$Q$1006:$U$1006,0)))),"Fix")))</f>
        <v xml:space="preserve"> </v>
      </c>
      <c r="J925">
        <v>924</v>
      </c>
      <c r="K925">
        <v>100925</v>
      </c>
      <c r="L925">
        <v>925</v>
      </c>
      <c r="M925" t="b">
        <f t="shared" si="14"/>
        <v>1</v>
      </c>
      <c r="N925" t="b">
        <f>COUNTBLANK(metadata!B925:F925)=COLUMNS(metadata!B925:F925)</f>
        <v>1</v>
      </c>
      <c r="O925" t="str">
        <v/>
      </c>
      <c r="Q925" t="b">
        <f ca="1">AND(IF(metadata!B925="",FALSE,TRUE),COUNTIF(metadata!B:B, metadata!B925) = 1,NOT(ISERROR(SUMPRODUCT(SEARCH(MID(metadata!B925,ROW(INDIRECT("1:"&amp;LEN(metadata!B925))), 1),"0123456789abcdefghijklmnopqrstuvwxyzABCDEFGHIJKLMNOPQRSTUVWXYZ.")))))</f>
        <v>0</v>
      </c>
      <c r="R925" t="b">
        <f>AND(IF(metadata!C925="",FALSE,TRUE),OR(EXACT(metadata!C925,"saline"),EXACT(metadata!C925,"non-saline")))</f>
        <v>0</v>
      </c>
      <c r="S925" t="b">
        <f>AND(IF(metadata!D925="",FALSE,TRUE),OR(EXACT(metadata!D925,"surface (non-saline)"),EXACT(metadata!D925,"aerosol (non-saline)"),EXACT(metadata!D925,"sediment (non-saline)"),EXACT(metadata!D925,"surface (saline)"),EXACT(metadata!D925,"aerosol (saline)"),EXACT(metadata!D925,"sediment (saline)")))</f>
        <v>0</v>
      </c>
      <c r="T925" t="b">
        <f>AND(IF(metadata!E925="",FALSE,TRUE),EXACT(metadata!E925,"built environment"))</f>
        <v>0</v>
      </c>
      <c r="U925" t="b">
        <f>OR(AND(IF(metadata!F925="",FALSE,TRUE),EXACT(metadata!F925,"not applicable")),AND(IF(metadata!F925="",FALSE,TRUE),EXACT(metadata!F925,"anaerobic digester content")))</f>
        <v>0</v>
      </c>
    </row>
    <row r="926" spans="1:21" x14ac:dyDescent="0.2">
      <c r="A926" s="4" t="str">
        <f ca="1">IF(B926=" "," ",HYPERLINK(CONCATENATE("#metadata!",ADDRESS(INDEX($L$2:$L$1001,MATCH(ROWS($J$2:J926),$J$2:$J$1001,0),0),1)),INDEX($O$2:$O$1001,MATCH(ROWS($J$2:J926),$J$2:$J$1001,0),0)))</f>
        <v xml:space="preserve"> </v>
      </c>
      <c r="B926" s="3" t="str">
        <f ca="1">IF(OR(INDEX($K$2:$K$1001,MATCH(ROWS($J$2:J926),$J$2:$J$1001,0),1)&gt;=100000,INDEX($Q$1005:$U$1005,1,MATCH(COLUMNS($Q$1006:Q1006),$Q$1006:$U$1006,0))&gt;=100000), " ",IF(INDEX($Q$2:$U$1001,MATCH(ROWS($J$2:J926),$J$2:$J$1001,0),MATCH(COLUMNS($Q$1006:Q1006),$Q$1006:$U$1006,0)), HYPERLINK("#",""), HYPERLINK(CONCATENATE("#metadata!", ADDRESS(INDEX($L$2:$L$1001,MATCH(ROWS($J$2:J926),$J$2:$J$1001,0),0), INDEX($Q$1004:$U$1004,1,MATCH(COLUMNS($Q$1006:Q1006),$Q$1006:$U$1006,0)))),"Fix")))</f>
        <v xml:space="preserve"> </v>
      </c>
      <c r="C926" s="3" t="str">
        <f ca="1">IF(OR(INDEX($K$2:$K$1001,MATCH(ROWS($J$2:J926),$J$2:$J$1001,0),1)&gt;=100000,INDEX($Q$1005:$U$1005,1,MATCH(COLUMNS($Q$1006:R1006),$Q$1006:$U$1006,0))&gt;=100000), " ",IF(INDEX($Q$2:$U$1001,MATCH(ROWS($J$2:J926),$J$2:$J$1001,0),MATCH(COLUMNS($Q$1006:R1006),$Q$1006:$U$1006,0)), HYPERLINK("#",""), HYPERLINK(CONCATENATE("#metadata!", ADDRESS(INDEX($L$2:$L$1001,MATCH(ROWS($J$2:J926),$J$2:$J$1001,0),0), INDEX($Q$1004:$U$1004,1,MATCH(COLUMNS($Q$1006:R1006),$Q$1006:$U$1006,0)))),"Fix")))</f>
        <v xml:space="preserve"> </v>
      </c>
      <c r="D926" s="3" t="str">
        <f ca="1">IF(OR(INDEX($K$2:$K$1001,MATCH(ROWS($J$2:J926),$J$2:$J$1001,0),1)&gt;=100000,INDEX($Q$1005:$U$1005,1,MATCH(COLUMNS($Q$1006:S1006),$Q$1006:$U$1006,0))&gt;=100000), " ",IF(INDEX($Q$2:$U$1001,MATCH(ROWS($J$2:J926),$J$2:$J$1001,0),MATCH(COLUMNS($Q$1006:S1006),$Q$1006:$U$1006,0)), HYPERLINK("#",""), HYPERLINK(CONCATENATE("#metadata!", ADDRESS(INDEX($L$2:$L$1001,MATCH(ROWS($J$2:J926),$J$2:$J$1001,0),0), INDEX($Q$1004:$U$1004,1,MATCH(COLUMNS($Q$1006:S1006),$Q$1006:$U$1006,0)))),"Fix")))</f>
        <v xml:space="preserve"> </v>
      </c>
      <c r="E926" s="3" t="str">
        <f ca="1">IF(OR(INDEX($K$2:$K$1001,MATCH(ROWS($J$2:J926),$J$2:$J$1001,0),1)&gt;=100000,INDEX($Q$1005:$U$1005,1,MATCH(COLUMNS($Q$1006:T1006),$Q$1006:$U$1006,0))&gt;=100000), " ",IF(INDEX($Q$2:$U$1001,MATCH(ROWS($J$2:J926),$J$2:$J$1001,0),MATCH(COLUMNS($Q$1006:T1006),$Q$1006:$U$1006,0)), HYPERLINK("#",""), HYPERLINK(CONCATENATE("#metadata!", ADDRESS(INDEX($L$2:$L$1001,MATCH(ROWS($J$2:J926),$J$2:$J$1001,0),0), INDEX($Q$1004:$U$1004,1,MATCH(COLUMNS($Q$1006:T1006),$Q$1006:$U$1006,0)))),"Fix")))</f>
        <v xml:space="preserve"> </v>
      </c>
      <c r="F926" s="3" t="str">
        <f ca="1">IF(OR(INDEX($K$2:$K$1001,MATCH(ROWS($J$2:J926),$J$2:$J$1001,0),1)&gt;=100000,INDEX($Q$1005:$U$1005,1,MATCH(COLUMNS($Q$1006:U1006),$Q$1006:$U$1006,0))&gt;=100000), " ",IF(INDEX($Q$2:$U$1001,MATCH(ROWS($J$2:J926),$J$2:$J$1001,0),MATCH(COLUMNS($Q$1006:U1006),$Q$1006:$U$1006,0)), HYPERLINK("#",""), HYPERLINK(CONCATENATE("#metadata!", ADDRESS(INDEX($L$2:$L$1001,MATCH(ROWS($J$2:J926),$J$2:$J$1001,0),0), INDEX($Q$1004:$U$1004,1,MATCH(COLUMNS($Q$1006:U1006),$Q$1006:$U$1006,0)))),"Fix")))</f>
        <v xml:space="preserve"> </v>
      </c>
      <c r="J926">
        <v>925</v>
      </c>
      <c r="K926">
        <v>100926</v>
      </c>
      <c r="L926">
        <v>926</v>
      </c>
      <c r="M926" t="b">
        <f t="shared" si="14"/>
        <v>1</v>
      </c>
      <c r="N926" t="b">
        <f>COUNTBLANK(metadata!B926:F926)=COLUMNS(metadata!B926:F926)</f>
        <v>1</v>
      </c>
      <c r="O926" t="str">
        <v/>
      </c>
      <c r="Q926" t="b">
        <f ca="1">AND(IF(metadata!B926="",FALSE,TRUE),COUNTIF(metadata!B:B, metadata!B926) = 1,NOT(ISERROR(SUMPRODUCT(SEARCH(MID(metadata!B926,ROW(INDIRECT("1:"&amp;LEN(metadata!B926))), 1),"0123456789abcdefghijklmnopqrstuvwxyzABCDEFGHIJKLMNOPQRSTUVWXYZ.")))))</f>
        <v>0</v>
      </c>
      <c r="R926" t="b">
        <f>AND(IF(metadata!C926="",FALSE,TRUE),OR(EXACT(metadata!C926,"saline"),EXACT(metadata!C926,"non-saline")))</f>
        <v>0</v>
      </c>
      <c r="S926" t="b">
        <f>AND(IF(metadata!D926="",FALSE,TRUE),OR(EXACT(metadata!D926,"surface (non-saline)"),EXACT(metadata!D926,"aerosol (non-saline)"),EXACT(metadata!D926,"sediment (non-saline)"),EXACT(metadata!D926,"surface (saline)"),EXACT(metadata!D926,"aerosol (saline)"),EXACT(metadata!D926,"sediment (saline)")))</f>
        <v>0</v>
      </c>
      <c r="T926" t="b">
        <f>AND(IF(metadata!E926="",FALSE,TRUE),EXACT(metadata!E926,"built environment"))</f>
        <v>0</v>
      </c>
      <c r="U926" t="b">
        <f>OR(AND(IF(metadata!F926="",FALSE,TRUE),EXACT(metadata!F926,"not applicable")),AND(IF(metadata!F926="",FALSE,TRUE),EXACT(metadata!F926,"anaerobic digester content")))</f>
        <v>0</v>
      </c>
    </row>
    <row r="927" spans="1:21" x14ac:dyDescent="0.2">
      <c r="A927" s="4" t="str">
        <f ca="1">IF(B927=" "," ",HYPERLINK(CONCATENATE("#metadata!",ADDRESS(INDEX($L$2:$L$1001,MATCH(ROWS($J$2:J927),$J$2:$J$1001,0),0),1)),INDEX($O$2:$O$1001,MATCH(ROWS($J$2:J927),$J$2:$J$1001,0),0)))</f>
        <v xml:space="preserve"> </v>
      </c>
      <c r="B927" s="3" t="str">
        <f ca="1">IF(OR(INDEX($K$2:$K$1001,MATCH(ROWS($J$2:J927),$J$2:$J$1001,0),1)&gt;=100000,INDEX($Q$1005:$U$1005,1,MATCH(COLUMNS($Q$1006:Q1006),$Q$1006:$U$1006,0))&gt;=100000), " ",IF(INDEX($Q$2:$U$1001,MATCH(ROWS($J$2:J927),$J$2:$J$1001,0),MATCH(COLUMNS($Q$1006:Q1006),$Q$1006:$U$1006,0)), HYPERLINK("#",""), HYPERLINK(CONCATENATE("#metadata!", ADDRESS(INDEX($L$2:$L$1001,MATCH(ROWS($J$2:J927),$J$2:$J$1001,0),0), INDEX($Q$1004:$U$1004,1,MATCH(COLUMNS($Q$1006:Q1006),$Q$1006:$U$1006,0)))),"Fix")))</f>
        <v xml:space="preserve"> </v>
      </c>
      <c r="C927" s="3" t="str">
        <f ca="1">IF(OR(INDEX($K$2:$K$1001,MATCH(ROWS($J$2:J927),$J$2:$J$1001,0),1)&gt;=100000,INDEX($Q$1005:$U$1005,1,MATCH(COLUMNS($Q$1006:R1006),$Q$1006:$U$1006,0))&gt;=100000), " ",IF(INDEX($Q$2:$U$1001,MATCH(ROWS($J$2:J927),$J$2:$J$1001,0),MATCH(COLUMNS($Q$1006:R1006),$Q$1006:$U$1006,0)), HYPERLINK("#",""), HYPERLINK(CONCATENATE("#metadata!", ADDRESS(INDEX($L$2:$L$1001,MATCH(ROWS($J$2:J927),$J$2:$J$1001,0),0), INDEX($Q$1004:$U$1004,1,MATCH(COLUMNS($Q$1006:R1006),$Q$1006:$U$1006,0)))),"Fix")))</f>
        <v xml:space="preserve"> </v>
      </c>
      <c r="D927" s="3" t="str">
        <f ca="1">IF(OR(INDEX($K$2:$K$1001,MATCH(ROWS($J$2:J927),$J$2:$J$1001,0),1)&gt;=100000,INDEX($Q$1005:$U$1005,1,MATCH(COLUMNS($Q$1006:S1006),$Q$1006:$U$1006,0))&gt;=100000), " ",IF(INDEX($Q$2:$U$1001,MATCH(ROWS($J$2:J927),$J$2:$J$1001,0),MATCH(COLUMNS($Q$1006:S1006),$Q$1006:$U$1006,0)), HYPERLINK("#",""), HYPERLINK(CONCATENATE("#metadata!", ADDRESS(INDEX($L$2:$L$1001,MATCH(ROWS($J$2:J927),$J$2:$J$1001,0),0), INDEX($Q$1004:$U$1004,1,MATCH(COLUMNS($Q$1006:S1006),$Q$1006:$U$1006,0)))),"Fix")))</f>
        <v xml:space="preserve"> </v>
      </c>
      <c r="E927" s="3" t="str">
        <f ca="1">IF(OR(INDEX($K$2:$K$1001,MATCH(ROWS($J$2:J927),$J$2:$J$1001,0),1)&gt;=100000,INDEX($Q$1005:$U$1005,1,MATCH(COLUMNS($Q$1006:T1006),$Q$1006:$U$1006,0))&gt;=100000), " ",IF(INDEX($Q$2:$U$1001,MATCH(ROWS($J$2:J927),$J$2:$J$1001,0),MATCH(COLUMNS($Q$1006:T1006),$Q$1006:$U$1006,0)), HYPERLINK("#",""), HYPERLINK(CONCATENATE("#metadata!", ADDRESS(INDEX($L$2:$L$1001,MATCH(ROWS($J$2:J927),$J$2:$J$1001,0),0), INDEX($Q$1004:$U$1004,1,MATCH(COLUMNS($Q$1006:T1006),$Q$1006:$U$1006,0)))),"Fix")))</f>
        <v xml:space="preserve"> </v>
      </c>
      <c r="F927" s="3" t="str">
        <f ca="1">IF(OR(INDEX($K$2:$K$1001,MATCH(ROWS($J$2:J927),$J$2:$J$1001,0),1)&gt;=100000,INDEX($Q$1005:$U$1005,1,MATCH(COLUMNS($Q$1006:U1006),$Q$1006:$U$1006,0))&gt;=100000), " ",IF(INDEX($Q$2:$U$1001,MATCH(ROWS($J$2:J927),$J$2:$J$1001,0),MATCH(COLUMNS($Q$1006:U1006),$Q$1006:$U$1006,0)), HYPERLINK("#",""), HYPERLINK(CONCATENATE("#metadata!", ADDRESS(INDEX($L$2:$L$1001,MATCH(ROWS($J$2:J927),$J$2:$J$1001,0),0), INDEX($Q$1004:$U$1004,1,MATCH(COLUMNS($Q$1006:U1006),$Q$1006:$U$1006,0)))),"Fix")))</f>
        <v xml:space="preserve"> </v>
      </c>
      <c r="J927">
        <v>926</v>
      </c>
      <c r="K927">
        <v>100927</v>
      </c>
      <c r="L927">
        <v>927</v>
      </c>
      <c r="M927" t="b">
        <f t="shared" si="14"/>
        <v>1</v>
      </c>
      <c r="N927" t="b">
        <f>COUNTBLANK(metadata!B927:F927)=COLUMNS(metadata!B927:F927)</f>
        <v>1</v>
      </c>
      <c r="O927" t="str">
        <v/>
      </c>
      <c r="Q927" t="b">
        <f ca="1">AND(IF(metadata!B927="",FALSE,TRUE),COUNTIF(metadata!B:B, metadata!B927) = 1,NOT(ISERROR(SUMPRODUCT(SEARCH(MID(metadata!B927,ROW(INDIRECT("1:"&amp;LEN(metadata!B927))), 1),"0123456789abcdefghijklmnopqrstuvwxyzABCDEFGHIJKLMNOPQRSTUVWXYZ.")))))</f>
        <v>0</v>
      </c>
      <c r="R927" t="b">
        <f>AND(IF(metadata!C927="",FALSE,TRUE),OR(EXACT(metadata!C927,"saline"),EXACT(metadata!C927,"non-saline")))</f>
        <v>0</v>
      </c>
      <c r="S927" t="b">
        <f>AND(IF(metadata!D927="",FALSE,TRUE),OR(EXACT(metadata!D927,"surface (non-saline)"),EXACT(metadata!D927,"aerosol (non-saline)"),EXACT(metadata!D927,"sediment (non-saline)"),EXACT(metadata!D927,"surface (saline)"),EXACT(metadata!D927,"aerosol (saline)"),EXACT(metadata!D927,"sediment (saline)")))</f>
        <v>0</v>
      </c>
      <c r="T927" t="b">
        <f>AND(IF(metadata!E927="",FALSE,TRUE),EXACT(metadata!E927,"built environment"))</f>
        <v>0</v>
      </c>
      <c r="U927" t="b">
        <f>OR(AND(IF(metadata!F927="",FALSE,TRUE),EXACT(metadata!F927,"not applicable")),AND(IF(metadata!F927="",FALSE,TRUE),EXACT(metadata!F927,"anaerobic digester content")))</f>
        <v>0</v>
      </c>
    </row>
    <row r="928" spans="1:21" x14ac:dyDescent="0.2">
      <c r="A928" s="4" t="str">
        <f ca="1">IF(B928=" "," ",HYPERLINK(CONCATENATE("#metadata!",ADDRESS(INDEX($L$2:$L$1001,MATCH(ROWS($J$2:J928),$J$2:$J$1001,0),0),1)),INDEX($O$2:$O$1001,MATCH(ROWS($J$2:J928),$J$2:$J$1001,0),0)))</f>
        <v xml:space="preserve"> </v>
      </c>
      <c r="B928" s="3" t="str">
        <f ca="1">IF(OR(INDEX($K$2:$K$1001,MATCH(ROWS($J$2:J928),$J$2:$J$1001,0),1)&gt;=100000,INDEX($Q$1005:$U$1005,1,MATCH(COLUMNS($Q$1006:Q1006),$Q$1006:$U$1006,0))&gt;=100000), " ",IF(INDEX($Q$2:$U$1001,MATCH(ROWS($J$2:J928),$J$2:$J$1001,0),MATCH(COLUMNS($Q$1006:Q1006),$Q$1006:$U$1006,0)), HYPERLINK("#",""), HYPERLINK(CONCATENATE("#metadata!", ADDRESS(INDEX($L$2:$L$1001,MATCH(ROWS($J$2:J928),$J$2:$J$1001,0),0), INDEX($Q$1004:$U$1004,1,MATCH(COLUMNS($Q$1006:Q1006),$Q$1006:$U$1006,0)))),"Fix")))</f>
        <v xml:space="preserve"> </v>
      </c>
      <c r="C928" s="3" t="str">
        <f ca="1">IF(OR(INDEX($K$2:$K$1001,MATCH(ROWS($J$2:J928),$J$2:$J$1001,0),1)&gt;=100000,INDEX($Q$1005:$U$1005,1,MATCH(COLUMNS($Q$1006:R1006),$Q$1006:$U$1006,0))&gt;=100000), " ",IF(INDEX($Q$2:$U$1001,MATCH(ROWS($J$2:J928),$J$2:$J$1001,0),MATCH(COLUMNS($Q$1006:R1006),$Q$1006:$U$1006,0)), HYPERLINK("#",""), HYPERLINK(CONCATENATE("#metadata!", ADDRESS(INDEX($L$2:$L$1001,MATCH(ROWS($J$2:J928),$J$2:$J$1001,0),0), INDEX($Q$1004:$U$1004,1,MATCH(COLUMNS($Q$1006:R1006),$Q$1006:$U$1006,0)))),"Fix")))</f>
        <v xml:space="preserve"> </v>
      </c>
      <c r="D928" s="3" t="str">
        <f ca="1">IF(OR(INDEX($K$2:$K$1001,MATCH(ROWS($J$2:J928),$J$2:$J$1001,0),1)&gt;=100000,INDEX($Q$1005:$U$1005,1,MATCH(COLUMNS($Q$1006:S1006),$Q$1006:$U$1006,0))&gt;=100000), " ",IF(INDEX($Q$2:$U$1001,MATCH(ROWS($J$2:J928),$J$2:$J$1001,0),MATCH(COLUMNS($Q$1006:S1006),$Q$1006:$U$1006,0)), HYPERLINK("#",""), HYPERLINK(CONCATENATE("#metadata!", ADDRESS(INDEX($L$2:$L$1001,MATCH(ROWS($J$2:J928),$J$2:$J$1001,0),0), INDEX($Q$1004:$U$1004,1,MATCH(COLUMNS($Q$1006:S1006),$Q$1006:$U$1006,0)))),"Fix")))</f>
        <v xml:space="preserve"> </v>
      </c>
      <c r="E928" s="3" t="str">
        <f ca="1">IF(OR(INDEX($K$2:$K$1001,MATCH(ROWS($J$2:J928),$J$2:$J$1001,0),1)&gt;=100000,INDEX($Q$1005:$U$1005,1,MATCH(COLUMNS($Q$1006:T1006),$Q$1006:$U$1006,0))&gt;=100000), " ",IF(INDEX($Q$2:$U$1001,MATCH(ROWS($J$2:J928),$J$2:$J$1001,0),MATCH(COLUMNS($Q$1006:T1006),$Q$1006:$U$1006,0)), HYPERLINK("#",""), HYPERLINK(CONCATENATE("#metadata!", ADDRESS(INDEX($L$2:$L$1001,MATCH(ROWS($J$2:J928),$J$2:$J$1001,0),0), INDEX($Q$1004:$U$1004,1,MATCH(COLUMNS($Q$1006:T1006),$Q$1006:$U$1006,0)))),"Fix")))</f>
        <v xml:space="preserve"> </v>
      </c>
      <c r="F928" s="3" t="str">
        <f ca="1">IF(OR(INDEX($K$2:$K$1001,MATCH(ROWS($J$2:J928),$J$2:$J$1001,0),1)&gt;=100000,INDEX($Q$1005:$U$1005,1,MATCH(COLUMNS($Q$1006:U1006),$Q$1006:$U$1006,0))&gt;=100000), " ",IF(INDEX($Q$2:$U$1001,MATCH(ROWS($J$2:J928),$J$2:$J$1001,0),MATCH(COLUMNS($Q$1006:U1006),$Q$1006:$U$1006,0)), HYPERLINK("#",""), HYPERLINK(CONCATENATE("#metadata!", ADDRESS(INDEX($L$2:$L$1001,MATCH(ROWS($J$2:J928),$J$2:$J$1001,0),0), INDEX($Q$1004:$U$1004,1,MATCH(COLUMNS($Q$1006:U1006),$Q$1006:$U$1006,0)))),"Fix")))</f>
        <v xml:space="preserve"> </v>
      </c>
      <c r="J928">
        <v>927</v>
      </c>
      <c r="K928">
        <v>100928</v>
      </c>
      <c r="L928">
        <v>928</v>
      </c>
      <c r="M928" t="b">
        <f t="shared" si="14"/>
        <v>1</v>
      </c>
      <c r="N928" t="b">
        <f>COUNTBLANK(metadata!B928:F928)=COLUMNS(metadata!B928:F928)</f>
        <v>1</v>
      </c>
      <c r="O928" t="str">
        <v/>
      </c>
      <c r="Q928" t="b">
        <f ca="1">AND(IF(metadata!B928="",FALSE,TRUE),COUNTIF(metadata!B:B, metadata!B928) = 1,NOT(ISERROR(SUMPRODUCT(SEARCH(MID(metadata!B928,ROW(INDIRECT("1:"&amp;LEN(metadata!B928))), 1),"0123456789abcdefghijklmnopqrstuvwxyzABCDEFGHIJKLMNOPQRSTUVWXYZ.")))))</f>
        <v>0</v>
      </c>
      <c r="R928" t="b">
        <f>AND(IF(metadata!C928="",FALSE,TRUE),OR(EXACT(metadata!C928,"saline"),EXACT(metadata!C928,"non-saline")))</f>
        <v>0</v>
      </c>
      <c r="S928" t="b">
        <f>AND(IF(metadata!D928="",FALSE,TRUE),OR(EXACT(metadata!D928,"surface (non-saline)"),EXACT(metadata!D928,"aerosol (non-saline)"),EXACT(metadata!D928,"sediment (non-saline)"),EXACT(metadata!D928,"surface (saline)"),EXACT(metadata!D928,"aerosol (saline)"),EXACT(metadata!D928,"sediment (saline)")))</f>
        <v>0</v>
      </c>
      <c r="T928" t="b">
        <f>AND(IF(metadata!E928="",FALSE,TRUE),EXACT(metadata!E928,"built environment"))</f>
        <v>0</v>
      </c>
      <c r="U928" t="b">
        <f>OR(AND(IF(metadata!F928="",FALSE,TRUE),EXACT(metadata!F928,"not applicable")),AND(IF(metadata!F928="",FALSE,TRUE),EXACT(metadata!F928,"anaerobic digester content")))</f>
        <v>0</v>
      </c>
    </row>
    <row r="929" spans="1:21" x14ac:dyDescent="0.2">
      <c r="A929" s="4" t="str">
        <f ca="1">IF(B929=" "," ",HYPERLINK(CONCATENATE("#metadata!",ADDRESS(INDEX($L$2:$L$1001,MATCH(ROWS($J$2:J929),$J$2:$J$1001,0),0),1)),INDEX($O$2:$O$1001,MATCH(ROWS($J$2:J929),$J$2:$J$1001,0),0)))</f>
        <v xml:space="preserve"> </v>
      </c>
      <c r="B929" s="3" t="str">
        <f ca="1">IF(OR(INDEX($K$2:$K$1001,MATCH(ROWS($J$2:J929),$J$2:$J$1001,0),1)&gt;=100000,INDEX($Q$1005:$U$1005,1,MATCH(COLUMNS($Q$1006:Q1006),$Q$1006:$U$1006,0))&gt;=100000), " ",IF(INDEX($Q$2:$U$1001,MATCH(ROWS($J$2:J929),$J$2:$J$1001,0),MATCH(COLUMNS($Q$1006:Q1006),$Q$1006:$U$1006,0)), HYPERLINK("#",""), HYPERLINK(CONCATENATE("#metadata!", ADDRESS(INDEX($L$2:$L$1001,MATCH(ROWS($J$2:J929),$J$2:$J$1001,0),0), INDEX($Q$1004:$U$1004,1,MATCH(COLUMNS($Q$1006:Q1006),$Q$1006:$U$1006,0)))),"Fix")))</f>
        <v xml:space="preserve"> </v>
      </c>
      <c r="C929" s="3" t="str">
        <f ca="1">IF(OR(INDEX($K$2:$K$1001,MATCH(ROWS($J$2:J929),$J$2:$J$1001,0),1)&gt;=100000,INDEX($Q$1005:$U$1005,1,MATCH(COLUMNS($Q$1006:R1006),$Q$1006:$U$1006,0))&gt;=100000), " ",IF(INDEX($Q$2:$U$1001,MATCH(ROWS($J$2:J929),$J$2:$J$1001,0),MATCH(COLUMNS($Q$1006:R1006),$Q$1006:$U$1006,0)), HYPERLINK("#",""), HYPERLINK(CONCATENATE("#metadata!", ADDRESS(INDEX($L$2:$L$1001,MATCH(ROWS($J$2:J929),$J$2:$J$1001,0),0), INDEX($Q$1004:$U$1004,1,MATCH(COLUMNS($Q$1006:R1006),$Q$1006:$U$1006,0)))),"Fix")))</f>
        <v xml:space="preserve"> </v>
      </c>
      <c r="D929" s="3" t="str">
        <f ca="1">IF(OR(INDEX($K$2:$K$1001,MATCH(ROWS($J$2:J929),$J$2:$J$1001,0),1)&gt;=100000,INDEX($Q$1005:$U$1005,1,MATCH(COLUMNS($Q$1006:S1006),$Q$1006:$U$1006,0))&gt;=100000), " ",IF(INDEX($Q$2:$U$1001,MATCH(ROWS($J$2:J929),$J$2:$J$1001,0),MATCH(COLUMNS($Q$1006:S1006),$Q$1006:$U$1006,0)), HYPERLINK("#",""), HYPERLINK(CONCATENATE("#metadata!", ADDRESS(INDEX($L$2:$L$1001,MATCH(ROWS($J$2:J929),$J$2:$J$1001,0),0), INDEX($Q$1004:$U$1004,1,MATCH(COLUMNS($Q$1006:S1006),$Q$1006:$U$1006,0)))),"Fix")))</f>
        <v xml:space="preserve"> </v>
      </c>
      <c r="E929" s="3" t="str">
        <f ca="1">IF(OR(INDEX($K$2:$K$1001,MATCH(ROWS($J$2:J929),$J$2:$J$1001,0),1)&gt;=100000,INDEX($Q$1005:$U$1005,1,MATCH(COLUMNS($Q$1006:T1006),$Q$1006:$U$1006,0))&gt;=100000), " ",IF(INDEX($Q$2:$U$1001,MATCH(ROWS($J$2:J929),$J$2:$J$1001,0),MATCH(COLUMNS($Q$1006:T1006),$Q$1006:$U$1006,0)), HYPERLINK("#",""), HYPERLINK(CONCATENATE("#metadata!", ADDRESS(INDEX($L$2:$L$1001,MATCH(ROWS($J$2:J929),$J$2:$J$1001,0),0), INDEX($Q$1004:$U$1004,1,MATCH(COLUMNS($Q$1006:T1006),$Q$1006:$U$1006,0)))),"Fix")))</f>
        <v xml:space="preserve"> </v>
      </c>
      <c r="F929" s="3" t="str">
        <f ca="1">IF(OR(INDEX($K$2:$K$1001,MATCH(ROWS($J$2:J929),$J$2:$J$1001,0),1)&gt;=100000,INDEX($Q$1005:$U$1005,1,MATCH(COLUMNS($Q$1006:U1006),$Q$1006:$U$1006,0))&gt;=100000), " ",IF(INDEX($Q$2:$U$1001,MATCH(ROWS($J$2:J929),$J$2:$J$1001,0),MATCH(COLUMNS($Q$1006:U1006),$Q$1006:$U$1006,0)), HYPERLINK("#",""), HYPERLINK(CONCATENATE("#metadata!", ADDRESS(INDEX($L$2:$L$1001,MATCH(ROWS($J$2:J929),$J$2:$J$1001,0),0), INDEX($Q$1004:$U$1004,1,MATCH(COLUMNS($Q$1006:U1006),$Q$1006:$U$1006,0)))),"Fix")))</f>
        <v xml:space="preserve"> </v>
      </c>
      <c r="J929">
        <v>928</v>
      </c>
      <c r="K929">
        <v>100929</v>
      </c>
      <c r="L929">
        <v>929</v>
      </c>
      <c r="M929" t="b">
        <f t="shared" si="14"/>
        <v>1</v>
      </c>
      <c r="N929" t="b">
        <f>COUNTBLANK(metadata!B929:F929)=COLUMNS(metadata!B929:F929)</f>
        <v>1</v>
      </c>
      <c r="O929" t="str">
        <v/>
      </c>
      <c r="Q929" t="b">
        <f ca="1">AND(IF(metadata!B929="",FALSE,TRUE),COUNTIF(metadata!B:B, metadata!B929) = 1,NOT(ISERROR(SUMPRODUCT(SEARCH(MID(metadata!B929,ROW(INDIRECT("1:"&amp;LEN(metadata!B929))), 1),"0123456789abcdefghijklmnopqrstuvwxyzABCDEFGHIJKLMNOPQRSTUVWXYZ.")))))</f>
        <v>0</v>
      </c>
      <c r="R929" t="b">
        <f>AND(IF(metadata!C929="",FALSE,TRUE),OR(EXACT(metadata!C929,"saline"),EXACT(metadata!C929,"non-saline")))</f>
        <v>0</v>
      </c>
      <c r="S929" t="b">
        <f>AND(IF(metadata!D929="",FALSE,TRUE),OR(EXACT(metadata!D929,"surface (non-saline)"),EXACT(metadata!D929,"aerosol (non-saline)"),EXACT(metadata!D929,"sediment (non-saline)"),EXACT(metadata!D929,"surface (saline)"),EXACT(metadata!D929,"aerosol (saline)"),EXACT(metadata!D929,"sediment (saline)")))</f>
        <v>0</v>
      </c>
      <c r="T929" t="b">
        <f>AND(IF(metadata!E929="",FALSE,TRUE),EXACT(metadata!E929,"built environment"))</f>
        <v>0</v>
      </c>
      <c r="U929" t="b">
        <f>OR(AND(IF(metadata!F929="",FALSE,TRUE),EXACT(metadata!F929,"not applicable")),AND(IF(metadata!F929="",FALSE,TRUE),EXACT(metadata!F929,"anaerobic digester content")))</f>
        <v>0</v>
      </c>
    </row>
    <row r="930" spans="1:21" x14ac:dyDescent="0.2">
      <c r="A930" s="4" t="str">
        <f ca="1">IF(B930=" "," ",HYPERLINK(CONCATENATE("#metadata!",ADDRESS(INDEX($L$2:$L$1001,MATCH(ROWS($J$2:J930),$J$2:$J$1001,0),0),1)),INDEX($O$2:$O$1001,MATCH(ROWS($J$2:J930),$J$2:$J$1001,0),0)))</f>
        <v xml:space="preserve"> </v>
      </c>
      <c r="B930" s="3" t="str">
        <f ca="1">IF(OR(INDEX($K$2:$K$1001,MATCH(ROWS($J$2:J930),$J$2:$J$1001,0),1)&gt;=100000,INDEX($Q$1005:$U$1005,1,MATCH(COLUMNS($Q$1006:Q1006),$Q$1006:$U$1006,0))&gt;=100000), " ",IF(INDEX($Q$2:$U$1001,MATCH(ROWS($J$2:J930),$J$2:$J$1001,0),MATCH(COLUMNS($Q$1006:Q1006),$Q$1006:$U$1006,0)), HYPERLINK("#",""), HYPERLINK(CONCATENATE("#metadata!", ADDRESS(INDEX($L$2:$L$1001,MATCH(ROWS($J$2:J930),$J$2:$J$1001,0),0), INDEX($Q$1004:$U$1004,1,MATCH(COLUMNS($Q$1006:Q1006),$Q$1006:$U$1006,0)))),"Fix")))</f>
        <v xml:space="preserve"> </v>
      </c>
      <c r="C930" s="3" t="str">
        <f ca="1">IF(OR(INDEX($K$2:$K$1001,MATCH(ROWS($J$2:J930),$J$2:$J$1001,0),1)&gt;=100000,INDEX($Q$1005:$U$1005,1,MATCH(COLUMNS($Q$1006:R1006),$Q$1006:$U$1006,0))&gt;=100000), " ",IF(INDEX($Q$2:$U$1001,MATCH(ROWS($J$2:J930),$J$2:$J$1001,0),MATCH(COLUMNS($Q$1006:R1006),$Q$1006:$U$1006,0)), HYPERLINK("#",""), HYPERLINK(CONCATENATE("#metadata!", ADDRESS(INDEX($L$2:$L$1001,MATCH(ROWS($J$2:J930),$J$2:$J$1001,0),0), INDEX($Q$1004:$U$1004,1,MATCH(COLUMNS($Q$1006:R1006),$Q$1006:$U$1006,0)))),"Fix")))</f>
        <v xml:space="preserve"> </v>
      </c>
      <c r="D930" s="3" t="str">
        <f ca="1">IF(OR(INDEX($K$2:$K$1001,MATCH(ROWS($J$2:J930),$J$2:$J$1001,0),1)&gt;=100000,INDEX($Q$1005:$U$1005,1,MATCH(COLUMNS($Q$1006:S1006),$Q$1006:$U$1006,0))&gt;=100000), " ",IF(INDEX($Q$2:$U$1001,MATCH(ROWS($J$2:J930),$J$2:$J$1001,0),MATCH(COLUMNS($Q$1006:S1006),$Q$1006:$U$1006,0)), HYPERLINK("#",""), HYPERLINK(CONCATENATE("#metadata!", ADDRESS(INDEX($L$2:$L$1001,MATCH(ROWS($J$2:J930),$J$2:$J$1001,0),0), INDEX($Q$1004:$U$1004,1,MATCH(COLUMNS($Q$1006:S1006),$Q$1006:$U$1006,0)))),"Fix")))</f>
        <v xml:space="preserve"> </v>
      </c>
      <c r="E930" s="3" t="str">
        <f ca="1">IF(OR(INDEX($K$2:$K$1001,MATCH(ROWS($J$2:J930),$J$2:$J$1001,0),1)&gt;=100000,INDEX($Q$1005:$U$1005,1,MATCH(COLUMNS($Q$1006:T1006),$Q$1006:$U$1006,0))&gt;=100000), " ",IF(INDEX($Q$2:$U$1001,MATCH(ROWS($J$2:J930),$J$2:$J$1001,0),MATCH(COLUMNS($Q$1006:T1006),$Q$1006:$U$1006,0)), HYPERLINK("#",""), HYPERLINK(CONCATENATE("#metadata!", ADDRESS(INDEX($L$2:$L$1001,MATCH(ROWS($J$2:J930),$J$2:$J$1001,0),0), INDEX($Q$1004:$U$1004,1,MATCH(COLUMNS($Q$1006:T1006),$Q$1006:$U$1006,0)))),"Fix")))</f>
        <v xml:space="preserve"> </v>
      </c>
      <c r="F930" s="3" t="str">
        <f ca="1">IF(OR(INDEX($K$2:$K$1001,MATCH(ROWS($J$2:J930),$J$2:$J$1001,0),1)&gt;=100000,INDEX($Q$1005:$U$1005,1,MATCH(COLUMNS($Q$1006:U1006),$Q$1006:$U$1006,0))&gt;=100000), " ",IF(INDEX($Q$2:$U$1001,MATCH(ROWS($J$2:J930),$J$2:$J$1001,0),MATCH(COLUMNS($Q$1006:U1006),$Q$1006:$U$1006,0)), HYPERLINK("#",""), HYPERLINK(CONCATENATE("#metadata!", ADDRESS(INDEX($L$2:$L$1001,MATCH(ROWS($J$2:J930),$J$2:$J$1001,0),0), INDEX($Q$1004:$U$1004,1,MATCH(COLUMNS($Q$1006:U1006),$Q$1006:$U$1006,0)))),"Fix")))</f>
        <v xml:space="preserve"> </v>
      </c>
      <c r="J930">
        <v>929</v>
      </c>
      <c r="K930">
        <v>100930</v>
      </c>
      <c r="L930">
        <v>930</v>
      </c>
      <c r="M930" t="b">
        <f t="shared" si="14"/>
        <v>1</v>
      </c>
      <c r="N930" t="b">
        <f>COUNTBLANK(metadata!B930:F930)=COLUMNS(metadata!B930:F930)</f>
        <v>1</v>
      </c>
      <c r="O930" t="str">
        <v/>
      </c>
      <c r="Q930" t="b">
        <f ca="1">AND(IF(metadata!B930="",FALSE,TRUE),COUNTIF(metadata!B:B, metadata!B930) = 1,NOT(ISERROR(SUMPRODUCT(SEARCH(MID(metadata!B930,ROW(INDIRECT("1:"&amp;LEN(metadata!B930))), 1),"0123456789abcdefghijklmnopqrstuvwxyzABCDEFGHIJKLMNOPQRSTUVWXYZ.")))))</f>
        <v>0</v>
      </c>
      <c r="R930" t="b">
        <f>AND(IF(metadata!C930="",FALSE,TRUE),OR(EXACT(metadata!C930,"saline"),EXACT(metadata!C930,"non-saline")))</f>
        <v>0</v>
      </c>
      <c r="S930" t="b">
        <f>AND(IF(metadata!D930="",FALSE,TRUE),OR(EXACT(metadata!D930,"surface (non-saline)"),EXACT(metadata!D930,"aerosol (non-saline)"),EXACT(metadata!D930,"sediment (non-saline)"),EXACT(metadata!D930,"surface (saline)"),EXACT(metadata!D930,"aerosol (saline)"),EXACT(metadata!D930,"sediment (saline)")))</f>
        <v>0</v>
      </c>
      <c r="T930" t="b">
        <f>AND(IF(metadata!E930="",FALSE,TRUE),EXACT(metadata!E930,"built environment"))</f>
        <v>0</v>
      </c>
      <c r="U930" t="b">
        <f>OR(AND(IF(metadata!F930="",FALSE,TRUE),EXACT(metadata!F930,"not applicable")),AND(IF(metadata!F930="",FALSE,TRUE),EXACT(metadata!F930,"anaerobic digester content")))</f>
        <v>0</v>
      </c>
    </row>
    <row r="931" spans="1:21" x14ac:dyDescent="0.2">
      <c r="A931" s="4" t="str">
        <f ca="1">IF(B931=" "," ",HYPERLINK(CONCATENATE("#metadata!",ADDRESS(INDEX($L$2:$L$1001,MATCH(ROWS($J$2:J931),$J$2:$J$1001,0),0),1)),INDEX($O$2:$O$1001,MATCH(ROWS($J$2:J931),$J$2:$J$1001,0),0)))</f>
        <v xml:space="preserve"> </v>
      </c>
      <c r="B931" s="3" t="str">
        <f ca="1">IF(OR(INDEX($K$2:$K$1001,MATCH(ROWS($J$2:J931),$J$2:$J$1001,0),1)&gt;=100000,INDEX($Q$1005:$U$1005,1,MATCH(COLUMNS($Q$1006:Q1006),$Q$1006:$U$1006,0))&gt;=100000), " ",IF(INDEX($Q$2:$U$1001,MATCH(ROWS($J$2:J931),$J$2:$J$1001,0),MATCH(COLUMNS($Q$1006:Q1006),$Q$1006:$U$1006,0)), HYPERLINK("#",""), HYPERLINK(CONCATENATE("#metadata!", ADDRESS(INDEX($L$2:$L$1001,MATCH(ROWS($J$2:J931),$J$2:$J$1001,0),0), INDEX($Q$1004:$U$1004,1,MATCH(COLUMNS($Q$1006:Q1006),$Q$1006:$U$1006,0)))),"Fix")))</f>
        <v xml:space="preserve"> </v>
      </c>
      <c r="C931" s="3" t="str">
        <f ca="1">IF(OR(INDEX($K$2:$K$1001,MATCH(ROWS($J$2:J931),$J$2:$J$1001,0),1)&gt;=100000,INDEX($Q$1005:$U$1005,1,MATCH(COLUMNS($Q$1006:R1006),$Q$1006:$U$1006,0))&gt;=100000), " ",IF(INDEX($Q$2:$U$1001,MATCH(ROWS($J$2:J931),$J$2:$J$1001,0),MATCH(COLUMNS($Q$1006:R1006),$Q$1006:$U$1006,0)), HYPERLINK("#",""), HYPERLINK(CONCATENATE("#metadata!", ADDRESS(INDEX($L$2:$L$1001,MATCH(ROWS($J$2:J931),$J$2:$J$1001,0),0), INDEX($Q$1004:$U$1004,1,MATCH(COLUMNS($Q$1006:R1006),$Q$1006:$U$1006,0)))),"Fix")))</f>
        <v xml:space="preserve"> </v>
      </c>
      <c r="D931" s="3" t="str">
        <f ca="1">IF(OR(INDEX($K$2:$K$1001,MATCH(ROWS($J$2:J931),$J$2:$J$1001,0),1)&gt;=100000,INDEX($Q$1005:$U$1005,1,MATCH(COLUMNS($Q$1006:S1006),$Q$1006:$U$1006,0))&gt;=100000), " ",IF(INDEX($Q$2:$U$1001,MATCH(ROWS($J$2:J931),$J$2:$J$1001,0),MATCH(COLUMNS($Q$1006:S1006),$Q$1006:$U$1006,0)), HYPERLINK("#",""), HYPERLINK(CONCATENATE("#metadata!", ADDRESS(INDEX($L$2:$L$1001,MATCH(ROWS($J$2:J931),$J$2:$J$1001,0),0), INDEX($Q$1004:$U$1004,1,MATCH(COLUMNS($Q$1006:S1006),$Q$1006:$U$1006,0)))),"Fix")))</f>
        <v xml:space="preserve"> </v>
      </c>
      <c r="E931" s="3" t="str">
        <f ca="1">IF(OR(INDEX($K$2:$K$1001,MATCH(ROWS($J$2:J931),$J$2:$J$1001,0),1)&gt;=100000,INDEX($Q$1005:$U$1005,1,MATCH(COLUMNS($Q$1006:T1006),$Q$1006:$U$1006,0))&gt;=100000), " ",IF(INDEX($Q$2:$U$1001,MATCH(ROWS($J$2:J931),$J$2:$J$1001,0),MATCH(COLUMNS($Q$1006:T1006),$Q$1006:$U$1006,0)), HYPERLINK("#",""), HYPERLINK(CONCATENATE("#metadata!", ADDRESS(INDEX($L$2:$L$1001,MATCH(ROWS($J$2:J931),$J$2:$J$1001,0),0), INDEX($Q$1004:$U$1004,1,MATCH(COLUMNS($Q$1006:T1006),$Q$1006:$U$1006,0)))),"Fix")))</f>
        <v xml:space="preserve"> </v>
      </c>
      <c r="F931" s="3" t="str">
        <f ca="1">IF(OR(INDEX($K$2:$K$1001,MATCH(ROWS($J$2:J931),$J$2:$J$1001,0),1)&gt;=100000,INDEX($Q$1005:$U$1005,1,MATCH(COLUMNS($Q$1006:U1006),$Q$1006:$U$1006,0))&gt;=100000), " ",IF(INDEX($Q$2:$U$1001,MATCH(ROWS($J$2:J931),$J$2:$J$1001,0),MATCH(COLUMNS($Q$1006:U1006),$Q$1006:$U$1006,0)), HYPERLINK("#",""), HYPERLINK(CONCATENATE("#metadata!", ADDRESS(INDEX($L$2:$L$1001,MATCH(ROWS($J$2:J931),$J$2:$J$1001,0),0), INDEX($Q$1004:$U$1004,1,MATCH(COLUMNS($Q$1006:U1006),$Q$1006:$U$1006,0)))),"Fix")))</f>
        <v xml:space="preserve"> </v>
      </c>
      <c r="J931">
        <v>930</v>
      </c>
      <c r="K931">
        <v>100931</v>
      </c>
      <c r="L931">
        <v>931</v>
      </c>
      <c r="M931" t="b">
        <f t="shared" si="14"/>
        <v>1</v>
      </c>
      <c r="N931" t="b">
        <f>COUNTBLANK(metadata!B931:F931)=COLUMNS(metadata!B931:F931)</f>
        <v>1</v>
      </c>
      <c r="O931" t="str">
        <v/>
      </c>
      <c r="Q931" t="b">
        <f ca="1">AND(IF(metadata!B931="",FALSE,TRUE),COUNTIF(metadata!B:B, metadata!B931) = 1,NOT(ISERROR(SUMPRODUCT(SEARCH(MID(metadata!B931,ROW(INDIRECT("1:"&amp;LEN(metadata!B931))), 1),"0123456789abcdefghijklmnopqrstuvwxyzABCDEFGHIJKLMNOPQRSTUVWXYZ.")))))</f>
        <v>0</v>
      </c>
      <c r="R931" t="b">
        <f>AND(IF(metadata!C931="",FALSE,TRUE),OR(EXACT(metadata!C931,"saline"),EXACT(metadata!C931,"non-saline")))</f>
        <v>0</v>
      </c>
      <c r="S931" t="b">
        <f>AND(IF(metadata!D931="",FALSE,TRUE),OR(EXACT(metadata!D931,"surface (non-saline)"),EXACT(metadata!D931,"aerosol (non-saline)"),EXACT(metadata!D931,"sediment (non-saline)"),EXACT(metadata!D931,"surface (saline)"),EXACT(metadata!D931,"aerosol (saline)"),EXACT(metadata!D931,"sediment (saline)")))</f>
        <v>0</v>
      </c>
      <c r="T931" t="b">
        <f>AND(IF(metadata!E931="",FALSE,TRUE),EXACT(metadata!E931,"built environment"))</f>
        <v>0</v>
      </c>
      <c r="U931" t="b">
        <f>OR(AND(IF(metadata!F931="",FALSE,TRUE),EXACT(metadata!F931,"not applicable")),AND(IF(metadata!F931="",FALSE,TRUE),EXACT(metadata!F931,"anaerobic digester content")))</f>
        <v>0</v>
      </c>
    </row>
    <row r="932" spans="1:21" x14ac:dyDescent="0.2">
      <c r="A932" s="4" t="str">
        <f ca="1">IF(B932=" "," ",HYPERLINK(CONCATENATE("#metadata!",ADDRESS(INDEX($L$2:$L$1001,MATCH(ROWS($J$2:J932),$J$2:$J$1001,0),0),1)),INDEX($O$2:$O$1001,MATCH(ROWS($J$2:J932),$J$2:$J$1001,0),0)))</f>
        <v xml:space="preserve"> </v>
      </c>
      <c r="B932" s="3" t="str">
        <f ca="1">IF(OR(INDEX($K$2:$K$1001,MATCH(ROWS($J$2:J932),$J$2:$J$1001,0),1)&gt;=100000,INDEX($Q$1005:$U$1005,1,MATCH(COLUMNS($Q$1006:Q1006),$Q$1006:$U$1006,0))&gt;=100000), " ",IF(INDEX($Q$2:$U$1001,MATCH(ROWS($J$2:J932),$J$2:$J$1001,0),MATCH(COLUMNS($Q$1006:Q1006),$Q$1006:$U$1006,0)), HYPERLINK("#",""), HYPERLINK(CONCATENATE("#metadata!", ADDRESS(INDEX($L$2:$L$1001,MATCH(ROWS($J$2:J932),$J$2:$J$1001,0),0), INDEX($Q$1004:$U$1004,1,MATCH(COLUMNS($Q$1006:Q1006),$Q$1006:$U$1006,0)))),"Fix")))</f>
        <v xml:space="preserve"> </v>
      </c>
      <c r="C932" s="3" t="str">
        <f ca="1">IF(OR(INDEX($K$2:$K$1001,MATCH(ROWS($J$2:J932),$J$2:$J$1001,0),1)&gt;=100000,INDEX($Q$1005:$U$1005,1,MATCH(COLUMNS($Q$1006:R1006),$Q$1006:$U$1006,0))&gt;=100000), " ",IF(INDEX($Q$2:$U$1001,MATCH(ROWS($J$2:J932),$J$2:$J$1001,0),MATCH(COLUMNS($Q$1006:R1006),$Q$1006:$U$1006,0)), HYPERLINK("#",""), HYPERLINK(CONCATENATE("#metadata!", ADDRESS(INDEX($L$2:$L$1001,MATCH(ROWS($J$2:J932),$J$2:$J$1001,0),0), INDEX($Q$1004:$U$1004,1,MATCH(COLUMNS($Q$1006:R1006),$Q$1006:$U$1006,0)))),"Fix")))</f>
        <v xml:space="preserve"> </v>
      </c>
      <c r="D932" s="3" t="str">
        <f ca="1">IF(OR(INDEX($K$2:$K$1001,MATCH(ROWS($J$2:J932),$J$2:$J$1001,0),1)&gt;=100000,INDEX($Q$1005:$U$1005,1,MATCH(COLUMNS($Q$1006:S1006),$Q$1006:$U$1006,0))&gt;=100000), " ",IF(INDEX($Q$2:$U$1001,MATCH(ROWS($J$2:J932),$J$2:$J$1001,0),MATCH(COLUMNS($Q$1006:S1006),$Q$1006:$U$1006,0)), HYPERLINK("#",""), HYPERLINK(CONCATENATE("#metadata!", ADDRESS(INDEX($L$2:$L$1001,MATCH(ROWS($J$2:J932),$J$2:$J$1001,0),0), INDEX($Q$1004:$U$1004,1,MATCH(COLUMNS($Q$1006:S1006),$Q$1006:$U$1006,0)))),"Fix")))</f>
        <v xml:space="preserve"> </v>
      </c>
      <c r="E932" s="3" t="str">
        <f ca="1">IF(OR(INDEX($K$2:$K$1001,MATCH(ROWS($J$2:J932),$J$2:$J$1001,0),1)&gt;=100000,INDEX($Q$1005:$U$1005,1,MATCH(COLUMNS($Q$1006:T1006),$Q$1006:$U$1006,0))&gt;=100000), " ",IF(INDEX($Q$2:$U$1001,MATCH(ROWS($J$2:J932),$J$2:$J$1001,0),MATCH(COLUMNS($Q$1006:T1006),$Q$1006:$U$1006,0)), HYPERLINK("#",""), HYPERLINK(CONCATENATE("#metadata!", ADDRESS(INDEX($L$2:$L$1001,MATCH(ROWS($J$2:J932),$J$2:$J$1001,0),0), INDEX($Q$1004:$U$1004,1,MATCH(COLUMNS($Q$1006:T1006),$Q$1006:$U$1006,0)))),"Fix")))</f>
        <v xml:space="preserve"> </v>
      </c>
      <c r="F932" s="3" t="str">
        <f ca="1">IF(OR(INDEX($K$2:$K$1001,MATCH(ROWS($J$2:J932),$J$2:$J$1001,0),1)&gt;=100000,INDEX($Q$1005:$U$1005,1,MATCH(COLUMNS($Q$1006:U1006),$Q$1006:$U$1006,0))&gt;=100000), " ",IF(INDEX($Q$2:$U$1001,MATCH(ROWS($J$2:J932),$J$2:$J$1001,0),MATCH(COLUMNS($Q$1006:U1006),$Q$1006:$U$1006,0)), HYPERLINK("#",""), HYPERLINK(CONCATENATE("#metadata!", ADDRESS(INDEX($L$2:$L$1001,MATCH(ROWS($J$2:J932),$J$2:$J$1001,0),0), INDEX($Q$1004:$U$1004,1,MATCH(COLUMNS($Q$1006:U1006),$Q$1006:$U$1006,0)))),"Fix")))</f>
        <v xml:space="preserve"> </v>
      </c>
      <c r="J932">
        <v>931</v>
      </c>
      <c r="K932">
        <v>100932</v>
      </c>
      <c r="L932">
        <v>932</v>
      </c>
      <c r="M932" t="b">
        <f t="shared" si="14"/>
        <v>1</v>
      </c>
      <c r="N932" t="b">
        <f>COUNTBLANK(metadata!B932:F932)=COLUMNS(metadata!B932:F932)</f>
        <v>1</v>
      </c>
      <c r="O932" t="str">
        <v/>
      </c>
      <c r="Q932" t="b">
        <f ca="1">AND(IF(metadata!B932="",FALSE,TRUE),COUNTIF(metadata!B:B, metadata!B932) = 1,NOT(ISERROR(SUMPRODUCT(SEARCH(MID(metadata!B932,ROW(INDIRECT("1:"&amp;LEN(metadata!B932))), 1),"0123456789abcdefghijklmnopqrstuvwxyzABCDEFGHIJKLMNOPQRSTUVWXYZ.")))))</f>
        <v>0</v>
      </c>
      <c r="R932" t="b">
        <f>AND(IF(metadata!C932="",FALSE,TRUE),OR(EXACT(metadata!C932,"saline"),EXACT(metadata!C932,"non-saline")))</f>
        <v>0</v>
      </c>
      <c r="S932" t="b">
        <f>AND(IF(metadata!D932="",FALSE,TRUE),OR(EXACT(metadata!D932,"surface (non-saline)"),EXACT(metadata!D932,"aerosol (non-saline)"),EXACT(metadata!D932,"sediment (non-saline)"),EXACT(metadata!D932,"surface (saline)"),EXACT(metadata!D932,"aerosol (saline)"),EXACT(metadata!D932,"sediment (saline)")))</f>
        <v>0</v>
      </c>
      <c r="T932" t="b">
        <f>AND(IF(metadata!E932="",FALSE,TRUE),EXACT(metadata!E932,"built environment"))</f>
        <v>0</v>
      </c>
      <c r="U932" t="b">
        <f>OR(AND(IF(metadata!F932="",FALSE,TRUE),EXACT(metadata!F932,"not applicable")),AND(IF(metadata!F932="",FALSE,TRUE),EXACT(metadata!F932,"anaerobic digester content")))</f>
        <v>0</v>
      </c>
    </row>
    <row r="933" spans="1:21" x14ac:dyDescent="0.2">
      <c r="A933" s="4" t="str">
        <f ca="1">IF(B933=" "," ",HYPERLINK(CONCATENATE("#metadata!",ADDRESS(INDEX($L$2:$L$1001,MATCH(ROWS($J$2:J933),$J$2:$J$1001,0),0),1)),INDEX($O$2:$O$1001,MATCH(ROWS($J$2:J933),$J$2:$J$1001,0),0)))</f>
        <v xml:space="preserve"> </v>
      </c>
      <c r="B933" s="3" t="str">
        <f ca="1">IF(OR(INDEX($K$2:$K$1001,MATCH(ROWS($J$2:J933),$J$2:$J$1001,0),1)&gt;=100000,INDEX($Q$1005:$U$1005,1,MATCH(COLUMNS($Q$1006:Q1006),$Q$1006:$U$1006,0))&gt;=100000), " ",IF(INDEX($Q$2:$U$1001,MATCH(ROWS($J$2:J933),$J$2:$J$1001,0),MATCH(COLUMNS($Q$1006:Q1006),$Q$1006:$U$1006,0)), HYPERLINK("#",""), HYPERLINK(CONCATENATE("#metadata!", ADDRESS(INDEX($L$2:$L$1001,MATCH(ROWS($J$2:J933),$J$2:$J$1001,0),0), INDEX($Q$1004:$U$1004,1,MATCH(COLUMNS($Q$1006:Q1006),$Q$1006:$U$1006,0)))),"Fix")))</f>
        <v xml:space="preserve"> </v>
      </c>
      <c r="C933" s="3" t="str">
        <f ca="1">IF(OR(INDEX($K$2:$K$1001,MATCH(ROWS($J$2:J933),$J$2:$J$1001,0),1)&gt;=100000,INDEX($Q$1005:$U$1005,1,MATCH(COLUMNS($Q$1006:R1006),$Q$1006:$U$1006,0))&gt;=100000), " ",IF(INDEX($Q$2:$U$1001,MATCH(ROWS($J$2:J933),$J$2:$J$1001,0),MATCH(COLUMNS($Q$1006:R1006),$Q$1006:$U$1006,0)), HYPERLINK("#",""), HYPERLINK(CONCATENATE("#metadata!", ADDRESS(INDEX($L$2:$L$1001,MATCH(ROWS($J$2:J933),$J$2:$J$1001,0),0), INDEX($Q$1004:$U$1004,1,MATCH(COLUMNS($Q$1006:R1006),$Q$1006:$U$1006,0)))),"Fix")))</f>
        <v xml:space="preserve"> </v>
      </c>
      <c r="D933" s="3" t="str">
        <f ca="1">IF(OR(INDEX($K$2:$K$1001,MATCH(ROWS($J$2:J933),$J$2:$J$1001,0),1)&gt;=100000,INDEX($Q$1005:$U$1005,1,MATCH(COLUMNS($Q$1006:S1006),$Q$1006:$U$1006,0))&gt;=100000), " ",IF(INDEX($Q$2:$U$1001,MATCH(ROWS($J$2:J933),$J$2:$J$1001,0),MATCH(COLUMNS($Q$1006:S1006),$Q$1006:$U$1006,0)), HYPERLINK("#",""), HYPERLINK(CONCATENATE("#metadata!", ADDRESS(INDEX($L$2:$L$1001,MATCH(ROWS($J$2:J933),$J$2:$J$1001,0),0), INDEX($Q$1004:$U$1004,1,MATCH(COLUMNS($Q$1006:S1006),$Q$1006:$U$1006,0)))),"Fix")))</f>
        <v xml:space="preserve"> </v>
      </c>
      <c r="E933" s="3" t="str">
        <f ca="1">IF(OR(INDEX($K$2:$K$1001,MATCH(ROWS($J$2:J933),$J$2:$J$1001,0),1)&gt;=100000,INDEX($Q$1005:$U$1005,1,MATCH(COLUMNS($Q$1006:T1006),$Q$1006:$U$1006,0))&gt;=100000), " ",IF(INDEX($Q$2:$U$1001,MATCH(ROWS($J$2:J933),$J$2:$J$1001,0),MATCH(COLUMNS($Q$1006:T1006),$Q$1006:$U$1006,0)), HYPERLINK("#",""), HYPERLINK(CONCATENATE("#metadata!", ADDRESS(INDEX($L$2:$L$1001,MATCH(ROWS($J$2:J933),$J$2:$J$1001,0),0), INDEX($Q$1004:$U$1004,1,MATCH(COLUMNS($Q$1006:T1006),$Q$1006:$U$1006,0)))),"Fix")))</f>
        <v xml:space="preserve"> </v>
      </c>
      <c r="F933" s="3" t="str">
        <f ca="1">IF(OR(INDEX($K$2:$K$1001,MATCH(ROWS($J$2:J933),$J$2:$J$1001,0),1)&gt;=100000,INDEX($Q$1005:$U$1005,1,MATCH(COLUMNS($Q$1006:U1006),$Q$1006:$U$1006,0))&gt;=100000), " ",IF(INDEX($Q$2:$U$1001,MATCH(ROWS($J$2:J933),$J$2:$J$1001,0),MATCH(COLUMNS($Q$1006:U1006),$Q$1006:$U$1006,0)), HYPERLINK("#",""), HYPERLINK(CONCATENATE("#metadata!", ADDRESS(INDEX($L$2:$L$1001,MATCH(ROWS($J$2:J933),$J$2:$J$1001,0),0), INDEX($Q$1004:$U$1004,1,MATCH(COLUMNS($Q$1006:U1006),$Q$1006:$U$1006,0)))),"Fix")))</f>
        <v xml:space="preserve"> </v>
      </c>
      <c r="J933">
        <v>932</v>
      </c>
      <c r="K933">
        <v>100933</v>
      </c>
      <c r="L933">
        <v>933</v>
      </c>
      <c r="M933" t="b">
        <f t="shared" si="14"/>
        <v>1</v>
      </c>
      <c r="N933" t="b">
        <f>COUNTBLANK(metadata!B933:F933)=COLUMNS(metadata!B933:F933)</f>
        <v>1</v>
      </c>
      <c r="O933" t="str">
        <v/>
      </c>
      <c r="Q933" t="b">
        <f ca="1">AND(IF(metadata!B933="",FALSE,TRUE),COUNTIF(metadata!B:B, metadata!B933) = 1,NOT(ISERROR(SUMPRODUCT(SEARCH(MID(metadata!B933,ROW(INDIRECT("1:"&amp;LEN(metadata!B933))), 1),"0123456789abcdefghijklmnopqrstuvwxyzABCDEFGHIJKLMNOPQRSTUVWXYZ.")))))</f>
        <v>0</v>
      </c>
      <c r="R933" t="b">
        <f>AND(IF(metadata!C933="",FALSE,TRUE),OR(EXACT(metadata!C933,"saline"),EXACT(metadata!C933,"non-saline")))</f>
        <v>0</v>
      </c>
      <c r="S933" t="b">
        <f>AND(IF(metadata!D933="",FALSE,TRUE),OR(EXACT(metadata!D933,"surface (non-saline)"),EXACT(metadata!D933,"aerosol (non-saline)"),EXACT(metadata!D933,"sediment (non-saline)"),EXACT(metadata!D933,"surface (saline)"),EXACT(metadata!D933,"aerosol (saline)"),EXACT(metadata!D933,"sediment (saline)")))</f>
        <v>0</v>
      </c>
      <c r="T933" t="b">
        <f>AND(IF(metadata!E933="",FALSE,TRUE),EXACT(metadata!E933,"built environment"))</f>
        <v>0</v>
      </c>
      <c r="U933" t="b">
        <f>OR(AND(IF(metadata!F933="",FALSE,TRUE),EXACT(metadata!F933,"not applicable")),AND(IF(metadata!F933="",FALSE,TRUE),EXACT(metadata!F933,"anaerobic digester content")))</f>
        <v>0</v>
      </c>
    </row>
    <row r="934" spans="1:21" x14ac:dyDescent="0.2">
      <c r="A934" s="4" t="str">
        <f ca="1">IF(B934=" "," ",HYPERLINK(CONCATENATE("#metadata!",ADDRESS(INDEX($L$2:$L$1001,MATCH(ROWS($J$2:J934),$J$2:$J$1001,0),0),1)),INDEX($O$2:$O$1001,MATCH(ROWS($J$2:J934),$J$2:$J$1001,0),0)))</f>
        <v xml:space="preserve"> </v>
      </c>
      <c r="B934" s="3" t="str">
        <f ca="1">IF(OR(INDEX($K$2:$K$1001,MATCH(ROWS($J$2:J934),$J$2:$J$1001,0),1)&gt;=100000,INDEX($Q$1005:$U$1005,1,MATCH(COLUMNS($Q$1006:Q1006),$Q$1006:$U$1006,0))&gt;=100000), " ",IF(INDEX($Q$2:$U$1001,MATCH(ROWS($J$2:J934),$J$2:$J$1001,0),MATCH(COLUMNS($Q$1006:Q1006),$Q$1006:$U$1006,0)), HYPERLINK("#",""), HYPERLINK(CONCATENATE("#metadata!", ADDRESS(INDEX($L$2:$L$1001,MATCH(ROWS($J$2:J934),$J$2:$J$1001,0),0), INDEX($Q$1004:$U$1004,1,MATCH(COLUMNS($Q$1006:Q1006),$Q$1006:$U$1006,0)))),"Fix")))</f>
        <v xml:space="preserve"> </v>
      </c>
      <c r="C934" s="3" t="str">
        <f ca="1">IF(OR(INDEX($K$2:$K$1001,MATCH(ROWS($J$2:J934),$J$2:$J$1001,0),1)&gt;=100000,INDEX($Q$1005:$U$1005,1,MATCH(COLUMNS($Q$1006:R1006),$Q$1006:$U$1006,0))&gt;=100000), " ",IF(INDEX($Q$2:$U$1001,MATCH(ROWS($J$2:J934),$J$2:$J$1001,0),MATCH(COLUMNS($Q$1006:R1006),$Q$1006:$U$1006,0)), HYPERLINK("#",""), HYPERLINK(CONCATENATE("#metadata!", ADDRESS(INDEX($L$2:$L$1001,MATCH(ROWS($J$2:J934),$J$2:$J$1001,0),0), INDEX($Q$1004:$U$1004,1,MATCH(COLUMNS($Q$1006:R1006),$Q$1006:$U$1006,0)))),"Fix")))</f>
        <v xml:space="preserve"> </v>
      </c>
      <c r="D934" s="3" t="str">
        <f ca="1">IF(OR(INDEX($K$2:$K$1001,MATCH(ROWS($J$2:J934),$J$2:$J$1001,0),1)&gt;=100000,INDEX($Q$1005:$U$1005,1,MATCH(COLUMNS($Q$1006:S1006),$Q$1006:$U$1006,0))&gt;=100000), " ",IF(INDEX($Q$2:$U$1001,MATCH(ROWS($J$2:J934),$J$2:$J$1001,0),MATCH(COLUMNS($Q$1006:S1006),$Q$1006:$U$1006,0)), HYPERLINK("#",""), HYPERLINK(CONCATENATE("#metadata!", ADDRESS(INDEX($L$2:$L$1001,MATCH(ROWS($J$2:J934),$J$2:$J$1001,0),0), INDEX($Q$1004:$U$1004,1,MATCH(COLUMNS($Q$1006:S1006),$Q$1006:$U$1006,0)))),"Fix")))</f>
        <v xml:space="preserve"> </v>
      </c>
      <c r="E934" s="3" t="str">
        <f ca="1">IF(OR(INDEX($K$2:$K$1001,MATCH(ROWS($J$2:J934),$J$2:$J$1001,0),1)&gt;=100000,INDEX($Q$1005:$U$1005,1,MATCH(COLUMNS($Q$1006:T1006),$Q$1006:$U$1006,0))&gt;=100000), " ",IF(INDEX($Q$2:$U$1001,MATCH(ROWS($J$2:J934),$J$2:$J$1001,0),MATCH(COLUMNS($Q$1006:T1006),$Q$1006:$U$1006,0)), HYPERLINK("#",""), HYPERLINK(CONCATENATE("#metadata!", ADDRESS(INDEX($L$2:$L$1001,MATCH(ROWS($J$2:J934),$J$2:$J$1001,0),0), INDEX($Q$1004:$U$1004,1,MATCH(COLUMNS($Q$1006:T1006),$Q$1006:$U$1006,0)))),"Fix")))</f>
        <v xml:space="preserve"> </v>
      </c>
      <c r="F934" s="3" t="str">
        <f ca="1">IF(OR(INDEX($K$2:$K$1001,MATCH(ROWS($J$2:J934),$J$2:$J$1001,0),1)&gt;=100000,INDEX($Q$1005:$U$1005,1,MATCH(COLUMNS($Q$1006:U1006),$Q$1006:$U$1006,0))&gt;=100000), " ",IF(INDEX($Q$2:$U$1001,MATCH(ROWS($J$2:J934),$J$2:$J$1001,0),MATCH(COLUMNS($Q$1006:U1006),$Q$1006:$U$1006,0)), HYPERLINK("#",""), HYPERLINK(CONCATENATE("#metadata!", ADDRESS(INDEX($L$2:$L$1001,MATCH(ROWS($J$2:J934),$J$2:$J$1001,0),0), INDEX($Q$1004:$U$1004,1,MATCH(COLUMNS($Q$1006:U1006),$Q$1006:$U$1006,0)))),"Fix")))</f>
        <v xml:space="preserve"> </v>
      </c>
      <c r="J934">
        <v>933</v>
      </c>
      <c r="K934">
        <v>100934</v>
      </c>
      <c r="L934">
        <v>934</v>
      </c>
      <c r="M934" t="b">
        <f t="shared" si="14"/>
        <v>1</v>
      </c>
      <c r="N934" t="b">
        <f>COUNTBLANK(metadata!B934:F934)=COLUMNS(metadata!B934:F934)</f>
        <v>1</v>
      </c>
      <c r="O934" t="str">
        <v/>
      </c>
      <c r="Q934" t="b">
        <f ca="1">AND(IF(metadata!B934="",FALSE,TRUE),COUNTIF(metadata!B:B, metadata!B934) = 1,NOT(ISERROR(SUMPRODUCT(SEARCH(MID(metadata!B934,ROW(INDIRECT("1:"&amp;LEN(metadata!B934))), 1),"0123456789abcdefghijklmnopqrstuvwxyzABCDEFGHIJKLMNOPQRSTUVWXYZ.")))))</f>
        <v>0</v>
      </c>
      <c r="R934" t="b">
        <f>AND(IF(metadata!C934="",FALSE,TRUE),OR(EXACT(metadata!C934,"saline"),EXACT(metadata!C934,"non-saline")))</f>
        <v>0</v>
      </c>
      <c r="S934" t="b">
        <f>AND(IF(metadata!D934="",FALSE,TRUE),OR(EXACT(metadata!D934,"surface (non-saline)"),EXACT(metadata!D934,"aerosol (non-saline)"),EXACT(metadata!D934,"sediment (non-saline)"),EXACT(metadata!D934,"surface (saline)"),EXACT(metadata!D934,"aerosol (saline)"),EXACT(metadata!D934,"sediment (saline)")))</f>
        <v>0</v>
      </c>
      <c r="T934" t="b">
        <f>AND(IF(metadata!E934="",FALSE,TRUE),EXACT(metadata!E934,"built environment"))</f>
        <v>0</v>
      </c>
      <c r="U934" t="b">
        <f>OR(AND(IF(metadata!F934="",FALSE,TRUE),EXACT(metadata!F934,"not applicable")),AND(IF(metadata!F934="",FALSE,TRUE),EXACT(metadata!F934,"anaerobic digester content")))</f>
        <v>0</v>
      </c>
    </row>
    <row r="935" spans="1:21" x14ac:dyDescent="0.2">
      <c r="A935" s="4" t="str">
        <f ca="1">IF(B935=" "," ",HYPERLINK(CONCATENATE("#metadata!",ADDRESS(INDEX($L$2:$L$1001,MATCH(ROWS($J$2:J935),$J$2:$J$1001,0),0),1)),INDEX($O$2:$O$1001,MATCH(ROWS($J$2:J935),$J$2:$J$1001,0),0)))</f>
        <v xml:space="preserve"> </v>
      </c>
      <c r="B935" s="3" t="str">
        <f ca="1">IF(OR(INDEX($K$2:$K$1001,MATCH(ROWS($J$2:J935),$J$2:$J$1001,0),1)&gt;=100000,INDEX($Q$1005:$U$1005,1,MATCH(COLUMNS($Q$1006:Q1006),$Q$1006:$U$1006,0))&gt;=100000), " ",IF(INDEX($Q$2:$U$1001,MATCH(ROWS($J$2:J935),$J$2:$J$1001,0),MATCH(COLUMNS($Q$1006:Q1006),$Q$1006:$U$1006,0)), HYPERLINK("#",""), HYPERLINK(CONCATENATE("#metadata!", ADDRESS(INDEX($L$2:$L$1001,MATCH(ROWS($J$2:J935),$J$2:$J$1001,0),0), INDEX($Q$1004:$U$1004,1,MATCH(COLUMNS($Q$1006:Q1006),$Q$1006:$U$1006,0)))),"Fix")))</f>
        <v xml:space="preserve"> </v>
      </c>
      <c r="C935" s="3" t="str">
        <f ca="1">IF(OR(INDEX($K$2:$K$1001,MATCH(ROWS($J$2:J935),$J$2:$J$1001,0),1)&gt;=100000,INDEX($Q$1005:$U$1005,1,MATCH(COLUMNS($Q$1006:R1006),$Q$1006:$U$1006,0))&gt;=100000), " ",IF(INDEX($Q$2:$U$1001,MATCH(ROWS($J$2:J935),$J$2:$J$1001,0),MATCH(COLUMNS($Q$1006:R1006),$Q$1006:$U$1006,0)), HYPERLINK("#",""), HYPERLINK(CONCATENATE("#metadata!", ADDRESS(INDEX($L$2:$L$1001,MATCH(ROWS($J$2:J935),$J$2:$J$1001,0),0), INDEX($Q$1004:$U$1004,1,MATCH(COLUMNS($Q$1006:R1006),$Q$1006:$U$1006,0)))),"Fix")))</f>
        <v xml:space="preserve"> </v>
      </c>
      <c r="D935" s="3" t="str">
        <f ca="1">IF(OR(INDEX($K$2:$K$1001,MATCH(ROWS($J$2:J935),$J$2:$J$1001,0),1)&gt;=100000,INDEX($Q$1005:$U$1005,1,MATCH(COLUMNS($Q$1006:S1006),$Q$1006:$U$1006,0))&gt;=100000), " ",IF(INDEX($Q$2:$U$1001,MATCH(ROWS($J$2:J935),$J$2:$J$1001,0),MATCH(COLUMNS($Q$1006:S1006),$Q$1006:$U$1006,0)), HYPERLINK("#",""), HYPERLINK(CONCATENATE("#metadata!", ADDRESS(INDEX($L$2:$L$1001,MATCH(ROWS($J$2:J935),$J$2:$J$1001,0),0), INDEX($Q$1004:$U$1004,1,MATCH(COLUMNS($Q$1006:S1006),$Q$1006:$U$1006,0)))),"Fix")))</f>
        <v xml:space="preserve"> </v>
      </c>
      <c r="E935" s="3" t="str">
        <f ca="1">IF(OR(INDEX($K$2:$K$1001,MATCH(ROWS($J$2:J935),$J$2:$J$1001,0),1)&gt;=100000,INDEX($Q$1005:$U$1005,1,MATCH(COLUMNS($Q$1006:T1006),$Q$1006:$U$1006,0))&gt;=100000), " ",IF(INDEX($Q$2:$U$1001,MATCH(ROWS($J$2:J935),$J$2:$J$1001,0),MATCH(COLUMNS($Q$1006:T1006),$Q$1006:$U$1006,0)), HYPERLINK("#",""), HYPERLINK(CONCATENATE("#metadata!", ADDRESS(INDEX($L$2:$L$1001,MATCH(ROWS($J$2:J935),$J$2:$J$1001,0),0), INDEX($Q$1004:$U$1004,1,MATCH(COLUMNS($Q$1006:T1006),$Q$1006:$U$1006,0)))),"Fix")))</f>
        <v xml:space="preserve"> </v>
      </c>
      <c r="F935" s="3" t="str">
        <f ca="1">IF(OR(INDEX($K$2:$K$1001,MATCH(ROWS($J$2:J935),$J$2:$J$1001,0),1)&gt;=100000,INDEX($Q$1005:$U$1005,1,MATCH(COLUMNS($Q$1006:U1006),$Q$1006:$U$1006,0))&gt;=100000), " ",IF(INDEX($Q$2:$U$1001,MATCH(ROWS($J$2:J935),$J$2:$J$1001,0),MATCH(COLUMNS($Q$1006:U1006),$Q$1006:$U$1006,0)), HYPERLINK("#",""), HYPERLINK(CONCATENATE("#metadata!", ADDRESS(INDEX($L$2:$L$1001,MATCH(ROWS($J$2:J935),$J$2:$J$1001,0),0), INDEX($Q$1004:$U$1004,1,MATCH(COLUMNS($Q$1006:U1006),$Q$1006:$U$1006,0)))),"Fix")))</f>
        <v xml:space="preserve"> </v>
      </c>
      <c r="J935">
        <v>934</v>
      </c>
      <c r="K935">
        <v>100935</v>
      </c>
      <c r="L935">
        <v>935</v>
      </c>
      <c r="M935" t="b">
        <f t="shared" si="14"/>
        <v>1</v>
      </c>
      <c r="N935" t="b">
        <f>COUNTBLANK(metadata!B935:F935)=COLUMNS(metadata!B935:F935)</f>
        <v>1</v>
      </c>
      <c r="O935" t="str">
        <v/>
      </c>
      <c r="Q935" t="b">
        <f ca="1">AND(IF(metadata!B935="",FALSE,TRUE),COUNTIF(metadata!B:B, metadata!B935) = 1,NOT(ISERROR(SUMPRODUCT(SEARCH(MID(metadata!B935,ROW(INDIRECT("1:"&amp;LEN(metadata!B935))), 1),"0123456789abcdefghijklmnopqrstuvwxyzABCDEFGHIJKLMNOPQRSTUVWXYZ.")))))</f>
        <v>0</v>
      </c>
      <c r="R935" t="b">
        <f>AND(IF(metadata!C935="",FALSE,TRUE),OR(EXACT(metadata!C935,"saline"),EXACT(metadata!C935,"non-saline")))</f>
        <v>0</v>
      </c>
      <c r="S935" t="b">
        <f>AND(IF(metadata!D935="",FALSE,TRUE),OR(EXACT(metadata!D935,"surface (non-saline)"),EXACT(metadata!D935,"aerosol (non-saline)"),EXACT(metadata!D935,"sediment (non-saline)"),EXACT(metadata!D935,"surface (saline)"),EXACT(metadata!D935,"aerosol (saline)"),EXACT(metadata!D935,"sediment (saline)")))</f>
        <v>0</v>
      </c>
      <c r="T935" t="b">
        <f>AND(IF(metadata!E935="",FALSE,TRUE),EXACT(metadata!E935,"built environment"))</f>
        <v>0</v>
      </c>
      <c r="U935" t="b">
        <f>OR(AND(IF(metadata!F935="",FALSE,TRUE),EXACT(metadata!F935,"not applicable")),AND(IF(metadata!F935="",FALSE,TRUE),EXACT(metadata!F935,"anaerobic digester content")))</f>
        <v>0</v>
      </c>
    </row>
    <row r="936" spans="1:21" x14ac:dyDescent="0.2">
      <c r="A936" s="4" t="str">
        <f ca="1">IF(B936=" "," ",HYPERLINK(CONCATENATE("#metadata!",ADDRESS(INDEX($L$2:$L$1001,MATCH(ROWS($J$2:J936),$J$2:$J$1001,0),0),1)),INDEX($O$2:$O$1001,MATCH(ROWS($J$2:J936),$J$2:$J$1001,0),0)))</f>
        <v xml:space="preserve"> </v>
      </c>
      <c r="B936" s="3" t="str">
        <f ca="1">IF(OR(INDEX($K$2:$K$1001,MATCH(ROWS($J$2:J936),$J$2:$J$1001,0),1)&gt;=100000,INDEX($Q$1005:$U$1005,1,MATCH(COLUMNS($Q$1006:Q1006),$Q$1006:$U$1006,0))&gt;=100000), " ",IF(INDEX($Q$2:$U$1001,MATCH(ROWS($J$2:J936),$J$2:$J$1001,0),MATCH(COLUMNS($Q$1006:Q1006),$Q$1006:$U$1006,0)), HYPERLINK("#",""), HYPERLINK(CONCATENATE("#metadata!", ADDRESS(INDEX($L$2:$L$1001,MATCH(ROWS($J$2:J936),$J$2:$J$1001,0),0), INDEX($Q$1004:$U$1004,1,MATCH(COLUMNS($Q$1006:Q1006),$Q$1006:$U$1006,0)))),"Fix")))</f>
        <v xml:space="preserve"> </v>
      </c>
      <c r="C936" s="3" t="str">
        <f ca="1">IF(OR(INDEX($K$2:$K$1001,MATCH(ROWS($J$2:J936),$J$2:$J$1001,0),1)&gt;=100000,INDEX($Q$1005:$U$1005,1,MATCH(COLUMNS($Q$1006:R1006),$Q$1006:$U$1006,0))&gt;=100000), " ",IF(INDEX($Q$2:$U$1001,MATCH(ROWS($J$2:J936),$J$2:$J$1001,0),MATCH(COLUMNS($Q$1006:R1006),$Q$1006:$U$1006,0)), HYPERLINK("#",""), HYPERLINK(CONCATENATE("#metadata!", ADDRESS(INDEX($L$2:$L$1001,MATCH(ROWS($J$2:J936),$J$2:$J$1001,0),0), INDEX($Q$1004:$U$1004,1,MATCH(COLUMNS($Q$1006:R1006),$Q$1006:$U$1006,0)))),"Fix")))</f>
        <v xml:space="preserve"> </v>
      </c>
      <c r="D936" s="3" t="str">
        <f ca="1">IF(OR(INDEX($K$2:$K$1001,MATCH(ROWS($J$2:J936),$J$2:$J$1001,0),1)&gt;=100000,INDEX($Q$1005:$U$1005,1,MATCH(COLUMNS($Q$1006:S1006),$Q$1006:$U$1006,0))&gt;=100000), " ",IF(INDEX($Q$2:$U$1001,MATCH(ROWS($J$2:J936),$J$2:$J$1001,0),MATCH(COLUMNS($Q$1006:S1006),$Q$1006:$U$1006,0)), HYPERLINK("#",""), HYPERLINK(CONCATENATE("#metadata!", ADDRESS(INDEX($L$2:$L$1001,MATCH(ROWS($J$2:J936),$J$2:$J$1001,0),0), INDEX($Q$1004:$U$1004,1,MATCH(COLUMNS($Q$1006:S1006),$Q$1006:$U$1006,0)))),"Fix")))</f>
        <v xml:space="preserve"> </v>
      </c>
      <c r="E936" s="3" t="str">
        <f ca="1">IF(OR(INDEX($K$2:$K$1001,MATCH(ROWS($J$2:J936),$J$2:$J$1001,0),1)&gt;=100000,INDEX($Q$1005:$U$1005,1,MATCH(COLUMNS($Q$1006:T1006),$Q$1006:$U$1006,0))&gt;=100000), " ",IF(INDEX($Q$2:$U$1001,MATCH(ROWS($J$2:J936),$J$2:$J$1001,0),MATCH(COLUMNS($Q$1006:T1006),$Q$1006:$U$1006,0)), HYPERLINK("#",""), HYPERLINK(CONCATENATE("#metadata!", ADDRESS(INDEX($L$2:$L$1001,MATCH(ROWS($J$2:J936),$J$2:$J$1001,0),0), INDEX($Q$1004:$U$1004,1,MATCH(COLUMNS($Q$1006:T1006),$Q$1006:$U$1006,0)))),"Fix")))</f>
        <v xml:space="preserve"> </v>
      </c>
      <c r="F936" s="3" t="str">
        <f ca="1">IF(OR(INDEX($K$2:$K$1001,MATCH(ROWS($J$2:J936),$J$2:$J$1001,0),1)&gt;=100000,INDEX($Q$1005:$U$1005,1,MATCH(COLUMNS($Q$1006:U1006),$Q$1006:$U$1006,0))&gt;=100000), " ",IF(INDEX($Q$2:$U$1001,MATCH(ROWS($J$2:J936),$J$2:$J$1001,0),MATCH(COLUMNS($Q$1006:U1006),$Q$1006:$U$1006,0)), HYPERLINK("#",""), HYPERLINK(CONCATENATE("#metadata!", ADDRESS(INDEX($L$2:$L$1001,MATCH(ROWS($J$2:J936),$J$2:$J$1001,0),0), INDEX($Q$1004:$U$1004,1,MATCH(COLUMNS($Q$1006:U1006),$Q$1006:$U$1006,0)))),"Fix")))</f>
        <v xml:space="preserve"> </v>
      </c>
      <c r="J936">
        <v>935</v>
      </c>
      <c r="K936">
        <v>100936</v>
      </c>
      <c r="L936">
        <v>936</v>
      </c>
      <c r="M936" t="b">
        <f t="shared" si="14"/>
        <v>1</v>
      </c>
      <c r="N936" t="b">
        <f>COUNTBLANK(metadata!B936:F936)=COLUMNS(metadata!B936:F936)</f>
        <v>1</v>
      </c>
      <c r="O936" t="str">
        <v/>
      </c>
      <c r="Q936" t="b">
        <f ca="1">AND(IF(metadata!B936="",FALSE,TRUE),COUNTIF(metadata!B:B, metadata!B936) = 1,NOT(ISERROR(SUMPRODUCT(SEARCH(MID(metadata!B936,ROW(INDIRECT("1:"&amp;LEN(metadata!B936))), 1),"0123456789abcdefghijklmnopqrstuvwxyzABCDEFGHIJKLMNOPQRSTUVWXYZ.")))))</f>
        <v>0</v>
      </c>
      <c r="R936" t="b">
        <f>AND(IF(metadata!C936="",FALSE,TRUE),OR(EXACT(metadata!C936,"saline"),EXACT(metadata!C936,"non-saline")))</f>
        <v>0</v>
      </c>
      <c r="S936" t="b">
        <f>AND(IF(metadata!D936="",FALSE,TRUE),OR(EXACT(metadata!D936,"surface (non-saline)"),EXACT(metadata!D936,"aerosol (non-saline)"),EXACT(metadata!D936,"sediment (non-saline)"),EXACT(metadata!D936,"surface (saline)"),EXACT(metadata!D936,"aerosol (saline)"),EXACT(metadata!D936,"sediment (saline)")))</f>
        <v>0</v>
      </c>
      <c r="T936" t="b">
        <f>AND(IF(metadata!E936="",FALSE,TRUE),EXACT(metadata!E936,"built environment"))</f>
        <v>0</v>
      </c>
      <c r="U936" t="b">
        <f>OR(AND(IF(metadata!F936="",FALSE,TRUE),EXACT(metadata!F936,"not applicable")),AND(IF(metadata!F936="",FALSE,TRUE),EXACT(metadata!F936,"anaerobic digester content")))</f>
        <v>0</v>
      </c>
    </row>
    <row r="937" spans="1:21" x14ac:dyDescent="0.2">
      <c r="A937" s="4" t="str">
        <f ca="1">IF(B937=" "," ",HYPERLINK(CONCATENATE("#metadata!",ADDRESS(INDEX($L$2:$L$1001,MATCH(ROWS($J$2:J937),$J$2:$J$1001,0),0),1)),INDEX($O$2:$O$1001,MATCH(ROWS($J$2:J937),$J$2:$J$1001,0),0)))</f>
        <v xml:space="preserve"> </v>
      </c>
      <c r="B937" s="3" t="str">
        <f ca="1">IF(OR(INDEX($K$2:$K$1001,MATCH(ROWS($J$2:J937),$J$2:$J$1001,0),1)&gt;=100000,INDEX($Q$1005:$U$1005,1,MATCH(COLUMNS($Q$1006:Q1006),$Q$1006:$U$1006,0))&gt;=100000), " ",IF(INDEX($Q$2:$U$1001,MATCH(ROWS($J$2:J937),$J$2:$J$1001,0),MATCH(COLUMNS($Q$1006:Q1006),$Q$1006:$U$1006,0)), HYPERLINK("#",""), HYPERLINK(CONCATENATE("#metadata!", ADDRESS(INDEX($L$2:$L$1001,MATCH(ROWS($J$2:J937),$J$2:$J$1001,0),0), INDEX($Q$1004:$U$1004,1,MATCH(COLUMNS($Q$1006:Q1006),$Q$1006:$U$1006,0)))),"Fix")))</f>
        <v xml:space="preserve"> </v>
      </c>
      <c r="C937" s="3" t="str">
        <f ca="1">IF(OR(INDEX($K$2:$K$1001,MATCH(ROWS($J$2:J937),$J$2:$J$1001,0),1)&gt;=100000,INDEX($Q$1005:$U$1005,1,MATCH(COLUMNS($Q$1006:R1006),$Q$1006:$U$1006,0))&gt;=100000), " ",IF(INDEX($Q$2:$U$1001,MATCH(ROWS($J$2:J937),$J$2:$J$1001,0),MATCH(COLUMNS($Q$1006:R1006),$Q$1006:$U$1006,0)), HYPERLINK("#",""), HYPERLINK(CONCATENATE("#metadata!", ADDRESS(INDEX($L$2:$L$1001,MATCH(ROWS($J$2:J937),$J$2:$J$1001,0),0), INDEX($Q$1004:$U$1004,1,MATCH(COLUMNS($Q$1006:R1006),$Q$1006:$U$1006,0)))),"Fix")))</f>
        <v xml:space="preserve"> </v>
      </c>
      <c r="D937" s="3" t="str">
        <f ca="1">IF(OR(INDEX($K$2:$K$1001,MATCH(ROWS($J$2:J937),$J$2:$J$1001,0),1)&gt;=100000,INDEX($Q$1005:$U$1005,1,MATCH(COLUMNS($Q$1006:S1006),$Q$1006:$U$1006,0))&gt;=100000), " ",IF(INDEX($Q$2:$U$1001,MATCH(ROWS($J$2:J937),$J$2:$J$1001,0),MATCH(COLUMNS($Q$1006:S1006),$Q$1006:$U$1006,0)), HYPERLINK("#",""), HYPERLINK(CONCATENATE("#metadata!", ADDRESS(INDEX($L$2:$L$1001,MATCH(ROWS($J$2:J937),$J$2:$J$1001,0),0), INDEX($Q$1004:$U$1004,1,MATCH(COLUMNS($Q$1006:S1006),$Q$1006:$U$1006,0)))),"Fix")))</f>
        <v xml:space="preserve"> </v>
      </c>
      <c r="E937" s="3" t="str">
        <f ca="1">IF(OR(INDEX($K$2:$K$1001,MATCH(ROWS($J$2:J937),$J$2:$J$1001,0),1)&gt;=100000,INDEX($Q$1005:$U$1005,1,MATCH(COLUMNS($Q$1006:T1006),$Q$1006:$U$1006,0))&gt;=100000), " ",IF(INDEX($Q$2:$U$1001,MATCH(ROWS($J$2:J937),$J$2:$J$1001,0),MATCH(COLUMNS($Q$1006:T1006),$Q$1006:$U$1006,0)), HYPERLINK("#",""), HYPERLINK(CONCATENATE("#metadata!", ADDRESS(INDEX($L$2:$L$1001,MATCH(ROWS($J$2:J937),$J$2:$J$1001,0),0), INDEX($Q$1004:$U$1004,1,MATCH(COLUMNS($Q$1006:T1006),$Q$1006:$U$1006,0)))),"Fix")))</f>
        <v xml:space="preserve"> </v>
      </c>
      <c r="F937" s="3" t="str">
        <f ca="1">IF(OR(INDEX($K$2:$K$1001,MATCH(ROWS($J$2:J937),$J$2:$J$1001,0),1)&gt;=100000,INDEX($Q$1005:$U$1005,1,MATCH(COLUMNS($Q$1006:U1006),$Q$1006:$U$1006,0))&gt;=100000), " ",IF(INDEX($Q$2:$U$1001,MATCH(ROWS($J$2:J937),$J$2:$J$1001,0),MATCH(COLUMNS($Q$1006:U1006),$Q$1006:$U$1006,0)), HYPERLINK("#",""), HYPERLINK(CONCATENATE("#metadata!", ADDRESS(INDEX($L$2:$L$1001,MATCH(ROWS($J$2:J937),$J$2:$J$1001,0),0), INDEX($Q$1004:$U$1004,1,MATCH(COLUMNS($Q$1006:U1006),$Q$1006:$U$1006,0)))),"Fix")))</f>
        <v xml:space="preserve"> </v>
      </c>
      <c r="J937">
        <v>936</v>
      </c>
      <c r="K937">
        <v>100937</v>
      </c>
      <c r="L937">
        <v>937</v>
      </c>
      <c r="M937" t="b">
        <f t="shared" si="14"/>
        <v>1</v>
      </c>
      <c r="N937" t="b">
        <f>COUNTBLANK(metadata!B937:F937)=COLUMNS(metadata!B937:F937)</f>
        <v>1</v>
      </c>
      <c r="O937" t="str">
        <v/>
      </c>
      <c r="Q937" t="b">
        <f ca="1">AND(IF(metadata!B937="",FALSE,TRUE),COUNTIF(metadata!B:B, metadata!B937) = 1,NOT(ISERROR(SUMPRODUCT(SEARCH(MID(metadata!B937,ROW(INDIRECT("1:"&amp;LEN(metadata!B937))), 1),"0123456789abcdefghijklmnopqrstuvwxyzABCDEFGHIJKLMNOPQRSTUVWXYZ.")))))</f>
        <v>0</v>
      </c>
      <c r="R937" t="b">
        <f>AND(IF(metadata!C937="",FALSE,TRUE),OR(EXACT(metadata!C937,"saline"),EXACT(metadata!C937,"non-saline")))</f>
        <v>0</v>
      </c>
      <c r="S937" t="b">
        <f>AND(IF(metadata!D937="",FALSE,TRUE),OR(EXACT(metadata!D937,"surface (non-saline)"),EXACT(metadata!D937,"aerosol (non-saline)"),EXACT(metadata!D937,"sediment (non-saline)"),EXACT(metadata!D937,"surface (saline)"),EXACT(metadata!D937,"aerosol (saline)"),EXACT(metadata!D937,"sediment (saline)")))</f>
        <v>0</v>
      </c>
      <c r="T937" t="b">
        <f>AND(IF(metadata!E937="",FALSE,TRUE),EXACT(metadata!E937,"built environment"))</f>
        <v>0</v>
      </c>
      <c r="U937" t="b">
        <f>OR(AND(IF(metadata!F937="",FALSE,TRUE),EXACT(metadata!F937,"not applicable")),AND(IF(metadata!F937="",FALSE,TRUE),EXACT(metadata!F937,"anaerobic digester content")))</f>
        <v>0</v>
      </c>
    </row>
    <row r="938" spans="1:21" x14ac:dyDescent="0.2">
      <c r="A938" s="4" t="str">
        <f ca="1">IF(B938=" "," ",HYPERLINK(CONCATENATE("#metadata!",ADDRESS(INDEX($L$2:$L$1001,MATCH(ROWS($J$2:J938),$J$2:$J$1001,0),0),1)),INDEX($O$2:$O$1001,MATCH(ROWS($J$2:J938),$J$2:$J$1001,0),0)))</f>
        <v xml:space="preserve"> </v>
      </c>
      <c r="B938" s="3" t="str">
        <f ca="1">IF(OR(INDEX($K$2:$K$1001,MATCH(ROWS($J$2:J938),$J$2:$J$1001,0),1)&gt;=100000,INDEX($Q$1005:$U$1005,1,MATCH(COLUMNS($Q$1006:Q1006),$Q$1006:$U$1006,0))&gt;=100000), " ",IF(INDEX($Q$2:$U$1001,MATCH(ROWS($J$2:J938),$J$2:$J$1001,0),MATCH(COLUMNS($Q$1006:Q1006),$Q$1006:$U$1006,0)), HYPERLINK("#",""), HYPERLINK(CONCATENATE("#metadata!", ADDRESS(INDEX($L$2:$L$1001,MATCH(ROWS($J$2:J938),$J$2:$J$1001,0),0), INDEX($Q$1004:$U$1004,1,MATCH(COLUMNS($Q$1006:Q1006),$Q$1006:$U$1006,0)))),"Fix")))</f>
        <v xml:space="preserve"> </v>
      </c>
      <c r="C938" s="3" t="str">
        <f ca="1">IF(OR(INDEX($K$2:$K$1001,MATCH(ROWS($J$2:J938),$J$2:$J$1001,0),1)&gt;=100000,INDEX($Q$1005:$U$1005,1,MATCH(COLUMNS($Q$1006:R1006),$Q$1006:$U$1006,0))&gt;=100000), " ",IF(INDEX($Q$2:$U$1001,MATCH(ROWS($J$2:J938),$J$2:$J$1001,0),MATCH(COLUMNS($Q$1006:R1006),$Q$1006:$U$1006,0)), HYPERLINK("#",""), HYPERLINK(CONCATENATE("#metadata!", ADDRESS(INDEX($L$2:$L$1001,MATCH(ROWS($J$2:J938),$J$2:$J$1001,0),0), INDEX($Q$1004:$U$1004,1,MATCH(COLUMNS($Q$1006:R1006),$Q$1006:$U$1006,0)))),"Fix")))</f>
        <v xml:space="preserve"> </v>
      </c>
      <c r="D938" s="3" t="str">
        <f ca="1">IF(OR(INDEX($K$2:$K$1001,MATCH(ROWS($J$2:J938),$J$2:$J$1001,0),1)&gt;=100000,INDEX($Q$1005:$U$1005,1,MATCH(COLUMNS($Q$1006:S1006),$Q$1006:$U$1006,0))&gt;=100000), " ",IF(INDEX($Q$2:$U$1001,MATCH(ROWS($J$2:J938),$J$2:$J$1001,0),MATCH(COLUMNS($Q$1006:S1006),$Q$1006:$U$1006,0)), HYPERLINK("#",""), HYPERLINK(CONCATENATE("#metadata!", ADDRESS(INDEX($L$2:$L$1001,MATCH(ROWS($J$2:J938),$J$2:$J$1001,0),0), INDEX($Q$1004:$U$1004,1,MATCH(COLUMNS($Q$1006:S1006),$Q$1006:$U$1006,0)))),"Fix")))</f>
        <v xml:space="preserve"> </v>
      </c>
      <c r="E938" s="3" t="str">
        <f ca="1">IF(OR(INDEX($K$2:$K$1001,MATCH(ROWS($J$2:J938),$J$2:$J$1001,0),1)&gt;=100000,INDEX($Q$1005:$U$1005,1,MATCH(COLUMNS($Q$1006:T1006),$Q$1006:$U$1006,0))&gt;=100000), " ",IF(INDEX($Q$2:$U$1001,MATCH(ROWS($J$2:J938),$J$2:$J$1001,0),MATCH(COLUMNS($Q$1006:T1006),$Q$1006:$U$1006,0)), HYPERLINK("#",""), HYPERLINK(CONCATENATE("#metadata!", ADDRESS(INDEX($L$2:$L$1001,MATCH(ROWS($J$2:J938),$J$2:$J$1001,0),0), INDEX($Q$1004:$U$1004,1,MATCH(COLUMNS($Q$1006:T1006),$Q$1006:$U$1006,0)))),"Fix")))</f>
        <v xml:space="preserve"> </v>
      </c>
      <c r="F938" s="3" t="str">
        <f ca="1">IF(OR(INDEX($K$2:$K$1001,MATCH(ROWS($J$2:J938),$J$2:$J$1001,0),1)&gt;=100000,INDEX($Q$1005:$U$1005,1,MATCH(COLUMNS($Q$1006:U1006),$Q$1006:$U$1006,0))&gt;=100000), " ",IF(INDEX($Q$2:$U$1001,MATCH(ROWS($J$2:J938),$J$2:$J$1001,0),MATCH(COLUMNS($Q$1006:U1006),$Q$1006:$U$1006,0)), HYPERLINK("#",""), HYPERLINK(CONCATENATE("#metadata!", ADDRESS(INDEX($L$2:$L$1001,MATCH(ROWS($J$2:J938),$J$2:$J$1001,0),0), INDEX($Q$1004:$U$1004,1,MATCH(COLUMNS($Q$1006:U1006),$Q$1006:$U$1006,0)))),"Fix")))</f>
        <v xml:space="preserve"> </v>
      </c>
      <c r="J938">
        <v>937</v>
      </c>
      <c r="K938">
        <v>100938</v>
      </c>
      <c r="L938">
        <v>938</v>
      </c>
      <c r="M938" t="b">
        <f t="shared" si="14"/>
        <v>1</v>
      </c>
      <c r="N938" t="b">
        <f>COUNTBLANK(metadata!B938:F938)=COLUMNS(metadata!B938:F938)</f>
        <v>1</v>
      </c>
      <c r="O938" t="str">
        <v/>
      </c>
      <c r="Q938" t="b">
        <f ca="1">AND(IF(metadata!B938="",FALSE,TRUE),COUNTIF(metadata!B:B, metadata!B938) = 1,NOT(ISERROR(SUMPRODUCT(SEARCH(MID(metadata!B938,ROW(INDIRECT("1:"&amp;LEN(metadata!B938))), 1),"0123456789abcdefghijklmnopqrstuvwxyzABCDEFGHIJKLMNOPQRSTUVWXYZ.")))))</f>
        <v>0</v>
      </c>
      <c r="R938" t="b">
        <f>AND(IF(metadata!C938="",FALSE,TRUE),OR(EXACT(metadata!C938,"saline"),EXACT(metadata!C938,"non-saline")))</f>
        <v>0</v>
      </c>
      <c r="S938" t="b">
        <f>AND(IF(metadata!D938="",FALSE,TRUE),OR(EXACT(metadata!D938,"surface (non-saline)"),EXACT(metadata!D938,"aerosol (non-saline)"),EXACT(metadata!D938,"sediment (non-saline)"),EXACT(metadata!D938,"surface (saline)"),EXACT(metadata!D938,"aerosol (saline)"),EXACT(metadata!D938,"sediment (saline)")))</f>
        <v>0</v>
      </c>
      <c r="T938" t="b">
        <f>AND(IF(metadata!E938="",FALSE,TRUE),EXACT(metadata!E938,"built environment"))</f>
        <v>0</v>
      </c>
      <c r="U938" t="b">
        <f>OR(AND(IF(metadata!F938="",FALSE,TRUE),EXACT(metadata!F938,"not applicable")),AND(IF(metadata!F938="",FALSE,TRUE),EXACT(metadata!F938,"anaerobic digester content")))</f>
        <v>0</v>
      </c>
    </row>
    <row r="939" spans="1:21" x14ac:dyDescent="0.2">
      <c r="A939" s="4" t="str">
        <f ca="1">IF(B939=" "," ",HYPERLINK(CONCATENATE("#metadata!",ADDRESS(INDEX($L$2:$L$1001,MATCH(ROWS($J$2:J939),$J$2:$J$1001,0),0),1)),INDEX($O$2:$O$1001,MATCH(ROWS($J$2:J939),$J$2:$J$1001,0),0)))</f>
        <v xml:space="preserve"> </v>
      </c>
      <c r="B939" s="3" t="str">
        <f ca="1">IF(OR(INDEX($K$2:$K$1001,MATCH(ROWS($J$2:J939),$J$2:$J$1001,0),1)&gt;=100000,INDEX($Q$1005:$U$1005,1,MATCH(COLUMNS($Q$1006:Q1006),$Q$1006:$U$1006,0))&gt;=100000), " ",IF(INDEX($Q$2:$U$1001,MATCH(ROWS($J$2:J939),$J$2:$J$1001,0),MATCH(COLUMNS($Q$1006:Q1006),$Q$1006:$U$1006,0)), HYPERLINK("#",""), HYPERLINK(CONCATENATE("#metadata!", ADDRESS(INDEX($L$2:$L$1001,MATCH(ROWS($J$2:J939),$J$2:$J$1001,0),0), INDEX($Q$1004:$U$1004,1,MATCH(COLUMNS($Q$1006:Q1006),$Q$1006:$U$1006,0)))),"Fix")))</f>
        <v xml:space="preserve"> </v>
      </c>
      <c r="C939" s="3" t="str">
        <f ca="1">IF(OR(INDEX($K$2:$K$1001,MATCH(ROWS($J$2:J939),$J$2:$J$1001,0),1)&gt;=100000,INDEX($Q$1005:$U$1005,1,MATCH(COLUMNS($Q$1006:R1006),$Q$1006:$U$1006,0))&gt;=100000), " ",IF(INDEX($Q$2:$U$1001,MATCH(ROWS($J$2:J939),$J$2:$J$1001,0),MATCH(COLUMNS($Q$1006:R1006),$Q$1006:$U$1006,0)), HYPERLINK("#",""), HYPERLINK(CONCATENATE("#metadata!", ADDRESS(INDEX($L$2:$L$1001,MATCH(ROWS($J$2:J939),$J$2:$J$1001,0),0), INDEX($Q$1004:$U$1004,1,MATCH(COLUMNS($Q$1006:R1006),$Q$1006:$U$1006,0)))),"Fix")))</f>
        <v xml:space="preserve"> </v>
      </c>
      <c r="D939" s="3" t="str">
        <f ca="1">IF(OR(INDEX($K$2:$K$1001,MATCH(ROWS($J$2:J939),$J$2:$J$1001,0),1)&gt;=100000,INDEX($Q$1005:$U$1005,1,MATCH(COLUMNS($Q$1006:S1006),$Q$1006:$U$1006,0))&gt;=100000), " ",IF(INDEX($Q$2:$U$1001,MATCH(ROWS($J$2:J939),$J$2:$J$1001,0),MATCH(COLUMNS($Q$1006:S1006),$Q$1006:$U$1006,0)), HYPERLINK("#",""), HYPERLINK(CONCATENATE("#metadata!", ADDRESS(INDEX($L$2:$L$1001,MATCH(ROWS($J$2:J939),$J$2:$J$1001,0),0), INDEX($Q$1004:$U$1004,1,MATCH(COLUMNS($Q$1006:S1006),$Q$1006:$U$1006,0)))),"Fix")))</f>
        <v xml:space="preserve"> </v>
      </c>
      <c r="E939" s="3" t="str">
        <f ca="1">IF(OR(INDEX($K$2:$K$1001,MATCH(ROWS($J$2:J939),$J$2:$J$1001,0),1)&gt;=100000,INDEX($Q$1005:$U$1005,1,MATCH(COLUMNS($Q$1006:T1006),$Q$1006:$U$1006,0))&gt;=100000), " ",IF(INDEX($Q$2:$U$1001,MATCH(ROWS($J$2:J939),$J$2:$J$1001,0),MATCH(COLUMNS($Q$1006:T1006),$Q$1006:$U$1006,0)), HYPERLINK("#",""), HYPERLINK(CONCATENATE("#metadata!", ADDRESS(INDEX($L$2:$L$1001,MATCH(ROWS($J$2:J939),$J$2:$J$1001,0),0), INDEX($Q$1004:$U$1004,1,MATCH(COLUMNS($Q$1006:T1006),$Q$1006:$U$1006,0)))),"Fix")))</f>
        <v xml:space="preserve"> </v>
      </c>
      <c r="F939" s="3" t="str">
        <f ca="1">IF(OR(INDEX($K$2:$K$1001,MATCH(ROWS($J$2:J939),$J$2:$J$1001,0),1)&gt;=100000,INDEX($Q$1005:$U$1005,1,MATCH(COLUMNS($Q$1006:U1006),$Q$1006:$U$1006,0))&gt;=100000), " ",IF(INDEX($Q$2:$U$1001,MATCH(ROWS($J$2:J939),$J$2:$J$1001,0),MATCH(COLUMNS($Q$1006:U1006),$Q$1006:$U$1006,0)), HYPERLINK("#",""), HYPERLINK(CONCATENATE("#metadata!", ADDRESS(INDEX($L$2:$L$1001,MATCH(ROWS($J$2:J939),$J$2:$J$1001,0),0), INDEX($Q$1004:$U$1004,1,MATCH(COLUMNS($Q$1006:U1006),$Q$1006:$U$1006,0)))),"Fix")))</f>
        <v xml:space="preserve"> </v>
      </c>
      <c r="J939">
        <v>938</v>
      </c>
      <c r="K939">
        <v>100939</v>
      </c>
      <c r="L939">
        <v>939</v>
      </c>
      <c r="M939" t="b">
        <f t="shared" si="14"/>
        <v>1</v>
      </c>
      <c r="N939" t="b">
        <f>COUNTBLANK(metadata!B939:F939)=COLUMNS(metadata!B939:F939)</f>
        <v>1</v>
      </c>
      <c r="O939" t="str">
        <v/>
      </c>
      <c r="Q939" t="b">
        <f ca="1">AND(IF(metadata!B939="",FALSE,TRUE),COUNTIF(metadata!B:B, metadata!B939) = 1,NOT(ISERROR(SUMPRODUCT(SEARCH(MID(metadata!B939,ROW(INDIRECT("1:"&amp;LEN(metadata!B939))), 1),"0123456789abcdefghijklmnopqrstuvwxyzABCDEFGHIJKLMNOPQRSTUVWXYZ.")))))</f>
        <v>0</v>
      </c>
      <c r="R939" t="b">
        <f>AND(IF(metadata!C939="",FALSE,TRUE),OR(EXACT(metadata!C939,"saline"),EXACT(metadata!C939,"non-saline")))</f>
        <v>0</v>
      </c>
      <c r="S939" t="b">
        <f>AND(IF(metadata!D939="",FALSE,TRUE),OR(EXACT(metadata!D939,"surface (non-saline)"),EXACT(metadata!D939,"aerosol (non-saline)"),EXACT(metadata!D939,"sediment (non-saline)"),EXACT(metadata!D939,"surface (saline)"),EXACT(metadata!D939,"aerosol (saline)"),EXACT(metadata!D939,"sediment (saline)")))</f>
        <v>0</v>
      </c>
      <c r="T939" t="b">
        <f>AND(IF(metadata!E939="",FALSE,TRUE),EXACT(metadata!E939,"built environment"))</f>
        <v>0</v>
      </c>
      <c r="U939" t="b">
        <f>OR(AND(IF(metadata!F939="",FALSE,TRUE),EXACT(metadata!F939,"not applicable")),AND(IF(metadata!F939="",FALSE,TRUE),EXACT(metadata!F939,"anaerobic digester content")))</f>
        <v>0</v>
      </c>
    </row>
    <row r="940" spans="1:21" x14ac:dyDescent="0.2">
      <c r="A940" s="4" t="str">
        <f ca="1">IF(B940=" "," ",HYPERLINK(CONCATENATE("#metadata!",ADDRESS(INDEX($L$2:$L$1001,MATCH(ROWS($J$2:J940),$J$2:$J$1001,0),0),1)),INDEX($O$2:$O$1001,MATCH(ROWS($J$2:J940),$J$2:$J$1001,0),0)))</f>
        <v xml:space="preserve"> </v>
      </c>
      <c r="B940" s="3" t="str">
        <f ca="1">IF(OR(INDEX($K$2:$K$1001,MATCH(ROWS($J$2:J940),$J$2:$J$1001,0),1)&gt;=100000,INDEX($Q$1005:$U$1005,1,MATCH(COLUMNS($Q$1006:Q1006),$Q$1006:$U$1006,0))&gt;=100000), " ",IF(INDEX($Q$2:$U$1001,MATCH(ROWS($J$2:J940),$J$2:$J$1001,0),MATCH(COLUMNS($Q$1006:Q1006),$Q$1006:$U$1006,0)), HYPERLINK("#",""), HYPERLINK(CONCATENATE("#metadata!", ADDRESS(INDEX($L$2:$L$1001,MATCH(ROWS($J$2:J940),$J$2:$J$1001,0),0), INDEX($Q$1004:$U$1004,1,MATCH(COLUMNS($Q$1006:Q1006),$Q$1006:$U$1006,0)))),"Fix")))</f>
        <v xml:space="preserve"> </v>
      </c>
      <c r="C940" s="3" t="str">
        <f ca="1">IF(OR(INDEX($K$2:$K$1001,MATCH(ROWS($J$2:J940),$J$2:$J$1001,0),1)&gt;=100000,INDEX($Q$1005:$U$1005,1,MATCH(COLUMNS($Q$1006:R1006),$Q$1006:$U$1006,0))&gt;=100000), " ",IF(INDEX($Q$2:$U$1001,MATCH(ROWS($J$2:J940),$J$2:$J$1001,0),MATCH(COLUMNS($Q$1006:R1006),$Q$1006:$U$1006,0)), HYPERLINK("#",""), HYPERLINK(CONCATENATE("#metadata!", ADDRESS(INDEX($L$2:$L$1001,MATCH(ROWS($J$2:J940),$J$2:$J$1001,0),0), INDEX($Q$1004:$U$1004,1,MATCH(COLUMNS($Q$1006:R1006),$Q$1006:$U$1006,0)))),"Fix")))</f>
        <v xml:space="preserve"> </v>
      </c>
      <c r="D940" s="3" t="str">
        <f ca="1">IF(OR(INDEX($K$2:$K$1001,MATCH(ROWS($J$2:J940),$J$2:$J$1001,0),1)&gt;=100000,INDEX($Q$1005:$U$1005,1,MATCH(COLUMNS($Q$1006:S1006),$Q$1006:$U$1006,0))&gt;=100000), " ",IF(INDEX($Q$2:$U$1001,MATCH(ROWS($J$2:J940),$J$2:$J$1001,0),MATCH(COLUMNS($Q$1006:S1006),$Q$1006:$U$1006,0)), HYPERLINK("#",""), HYPERLINK(CONCATENATE("#metadata!", ADDRESS(INDEX($L$2:$L$1001,MATCH(ROWS($J$2:J940),$J$2:$J$1001,0),0), INDEX($Q$1004:$U$1004,1,MATCH(COLUMNS($Q$1006:S1006),$Q$1006:$U$1006,0)))),"Fix")))</f>
        <v xml:space="preserve"> </v>
      </c>
      <c r="E940" s="3" t="str">
        <f ca="1">IF(OR(INDEX($K$2:$K$1001,MATCH(ROWS($J$2:J940),$J$2:$J$1001,0),1)&gt;=100000,INDEX($Q$1005:$U$1005,1,MATCH(COLUMNS($Q$1006:T1006),$Q$1006:$U$1006,0))&gt;=100000), " ",IF(INDEX($Q$2:$U$1001,MATCH(ROWS($J$2:J940),$J$2:$J$1001,0),MATCH(COLUMNS($Q$1006:T1006),$Q$1006:$U$1006,0)), HYPERLINK("#",""), HYPERLINK(CONCATENATE("#metadata!", ADDRESS(INDEX($L$2:$L$1001,MATCH(ROWS($J$2:J940),$J$2:$J$1001,0),0), INDEX($Q$1004:$U$1004,1,MATCH(COLUMNS($Q$1006:T1006),$Q$1006:$U$1006,0)))),"Fix")))</f>
        <v xml:space="preserve"> </v>
      </c>
      <c r="F940" s="3" t="str">
        <f ca="1">IF(OR(INDEX($K$2:$K$1001,MATCH(ROWS($J$2:J940),$J$2:$J$1001,0),1)&gt;=100000,INDEX($Q$1005:$U$1005,1,MATCH(COLUMNS($Q$1006:U1006),$Q$1006:$U$1006,0))&gt;=100000), " ",IF(INDEX($Q$2:$U$1001,MATCH(ROWS($J$2:J940),$J$2:$J$1001,0),MATCH(COLUMNS($Q$1006:U1006),$Q$1006:$U$1006,0)), HYPERLINK("#",""), HYPERLINK(CONCATENATE("#metadata!", ADDRESS(INDEX($L$2:$L$1001,MATCH(ROWS($J$2:J940),$J$2:$J$1001,0),0), INDEX($Q$1004:$U$1004,1,MATCH(COLUMNS($Q$1006:U1006),$Q$1006:$U$1006,0)))),"Fix")))</f>
        <v xml:space="preserve"> </v>
      </c>
      <c r="J940">
        <v>939</v>
      </c>
      <c r="K940">
        <v>100940</v>
      </c>
      <c r="L940">
        <v>940</v>
      </c>
      <c r="M940" t="b">
        <f t="shared" si="14"/>
        <v>1</v>
      </c>
      <c r="N940" t="b">
        <f>COUNTBLANK(metadata!B940:F940)=COLUMNS(metadata!B940:F940)</f>
        <v>1</v>
      </c>
      <c r="O940" t="str">
        <v/>
      </c>
      <c r="Q940" t="b">
        <f ca="1">AND(IF(metadata!B940="",FALSE,TRUE),COUNTIF(metadata!B:B, metadata!B940) = 1,NOT(ISERROR(SUMPRODUCT(SEARCH(MID(metadata!B940,ROW(INDIRECT("1:"&amp;LEN(metadata!B940))), 1),"0123456789abcdefghijklmnopqrstuvwxyzABCDEFGHIJKLMNOPQRSTUVWXYZ.")))))</f>
        <v>0</v>
      </c>
      <c r="R940" t="b">
        <f>AND(IF(metadata!C940="",FALSE,TRUE),OR(EXACT(metadata!C940,"saline"),EXACT(metadata!C940,"non-saline")))</f>
        <v>0</v>
      </c>
      <c r="S940" t="b">
        <f>AND(IF(metadata!D940="",FALSE,TRUE),OR(EXACT(metadata!D940,"surface (non-saline)"),EXACT(metadata!D940,"aerosol (non-saline)"),EXACT(metadata!D940,"sediment (non-saline)"),EXACT(metadata!D940,"surface (saline)"),EXACT(metadata!D940,"aerosol (saline)"),EXACT(metadata!D940,"sediment (saline)")))</f>
        <v>0</v>
      </c>
      <c r="T940" t="b">
        <f>AND(IF(metadata!E940="",FALSE,TRUE),EXACT(metadata!E940,"built environment"))</f>
        <v>0</v>
      </c>
      <c r="U940" t="b">
        <f>OR(AND(IF(metadata!F940="",FALSE,TRUE),EXACT(metadata!F940,"not applicable")),AND(IF(metadata!F940="",FALSE,TRUE),EXACT(metadata!F940,"anaerobic digester content")))</f>
        <v>0</v>
      </c>
    </row>
    <row r="941" spans="1:21" x14ac:dyDescent="0.2">
      <c r="A941" s="4" t="str">
        <f ca="1">IF(B941=" "," ",HYPERLINK(CONCATENATE("#metadata!",ADDRESS(INDEX($L$2:$L$1001,MATCH(ROWS($J$2:J941),$J$2:$J$1001,0),0),1)),INDEX($O$2:$O$1001,MATCH(ROWS($J$2:J941),$J$2:$J$1001,0),0)))</f>
        <v xml:space="preserve"> </v>
      </c>
      <c r="B941" s="3" t="str">
        <f ca="1">IF(OR(INDEX($K$2:$K$1001,MATCH(ROWS($J$2:J941),$J$2:$J$1001,0),1)&gt;=100000,INDEX($Q$1005:$U$1005,1,MATCH(COLUMNS($Q$1006:Q1006),$Q$1006:$U$1006,0))&gt;=100000), " ",IF(INDEX($Q$2:$U$1001,MATCH(ROWS($J$2:J941),$J$2:$J$1001,0),MATCH(COLUMNS($Q$1006:Q1006),$Q$1006:$U$1006,0)), HYPERLINK("#",""), HYPERLINK(CONCATENATE("#metadata!", ADDRESS(INDEX($L$2:$L$1001,MATCH(ROWS($J$2:J941),$J$2:$J$1001,0),0), INDEX($Q$1004:$U$1004,1,MATCH(COLUMNS($Q$1006:Q1006),$Q$1006:$U$1006,0)))),"Fix")))</f>
        <v xml:space="preserve"> </v>
      </c>
      <c r="C941" s="3" t="str">
        <f ca="1">IF(OR(INDEX($K$2:$K$1001,MATCH(ROWS($J$2:J941),$J$2:$J$1001,0),1)&gt;=100000,INDEX($Q$1005:$U$1005,1,MATCH(COLUMNS($Q$1006:R1006),$Q$1006:$U$1006,0))&gt;=100000), " ",IF(INDEX($Q$2:$U$1001,MATCH(ROWS($J$2:J941),$J$2:$J$1001,0),MATCH(COLUMNS($Q$1006:R1006),$Q$1006:$U$1006,0)), HYPERLINK("#",""), HYPERLINK(CONCATENATE("#metadata!", ADDRESS(INDEX($L$2:$L$1001,MATCH(ROWS($J$2:J941),$J$2:$J$1001,0),0), INDEX($Q$1004:$U$1004,1,MATCH(COLUMNS($Q$1006:R1006),$Q$1006:$U$1006,0)))),"Fix")))</f>
        <v xml:space="preserve"> </v>
      </c>
      <c r="D941" s="3" t="str">
        <f ca="1">IF(OR(INDEX($K$2:$K$1001,MATCH(ROWS($J$2:J941),$J$2:$J$1001,0),1)&gt;=100000,INDEX($Q$1005:$U$1005,1,MATCH(COLUMNS($Q$1006:S1006),$Q$1006:$U$1006,0))&gt;=100000), " ",IF(INDEX($Q$2:$U$1001,MATCH(ROWS($J$2:J941),$J$2:$J$1001,0),MATCH(COLUMNS($Q$1006:S1006),$Q$1006:$U$1006,0)), HYPERLINK("#",""), HYPERLINK(CONCATENATE("#metadata!", ADDRESS(INDEX($L$2:$L$1001,MATCH(ROWS($J$2:J941),$J$2:$J$1001,0),0), INDEX($Q$1004:$U$1004,1,MATCH(COLUMNS($Q$1006:S1006),$Q$1006:$U$1006,0)))),"Fix")))</f>
        <v xml:space="preserve"> </v>
      </c>
      <c r="E941" s="3" t="str">
        <f ca="1">IF(OR(INDEX($K$2:$K$1001,MATCH(ROWS($J$2:J941),$J$2:$J$1001,0),1)&gt;=100000,INDEX($Q$1005:$U$1005,1,MATCH(COLUMNS($Q$1006:T1006),$Q$1006:$U$1006,0))&gt;=100000), " ",IF(INDEX($Q$2:$U$1001,MATCH(ROWS($J$2:J941),$J$2:$J$1001,0),MATCH(COLUMNS($Q$1006:T1006),$Q$1006:$U$1006,0)), HYPERLINK("#",""), HYPERLINK(CONCATENATE("#metadata!", ADDRESS(INDEX($L$2:$L$1001,MATCH(ROWS($J$2:J941),$J$2:$J$1001,0),0), INDEX($Q$1004:$U$1004,1,MATCH(COLUMNS($Q$1006:T1006),$Q$1006:$U$1006,0)))),"Fix")))</f>
        <v xml:space="preserve"> </v>
      </c>
      <c r="F941" s="3" t="str">
        <f ca="1">IF(OR(INDEX($K$2:$K$1001,MATCH(ROWS($J$2:J941),$J$2:$J$1001,0),1)&gt;=100000,INDEX($Q$1005:$U$1005,1,MATCH(COLUMNS($Q$1006:U1006),$Q$1006:$U$1006,0))&gt;=100000), " ",IF(INDEX($Q$2:$U$1001,MATCH(ROWS($J$2:J941),$J$2:$J$1001,0),MATCH(COLUMNS($Q$1006:U1006),$Q$1006:$U$1006,0)), HYPERLINK("#",""), HYPERLINK(CONCATENATE("#metadata!", ADDRESS(INDEX($L$2:$L$1001,MATCH(ROWS($J$2:J941),$J$2:$J$1001,0),0), INDEX($Q$1004:$U$1004,1,MATCH(COLUMNS($Q$1006:U1006),$Q$1006:$U$1006,0)))),"Fix")))</f>
        <v xml:space="preserve"> </v>
      </c>
      <c r="J941">
        <v>940</v>
      </c>
      <c r="K941">
        <v>100941</v>
      </c>
      <c r="L941">
        <v>941</v>
      </c>
      <c r="M941" t="b">
        <f t="shared" si="14"/>
        <v>1</v>
      </c>
      <c r="N941" t="b">
        <f>COUNTBLANK(metadata!B941:F941)=COLUMNS(metadata!B941:F941)</f>
        <v>1</v>
      </c>
      <c r="O941" t="str">
        <v/>
      </c>
      <c r="Q941" t="b">
        <f ca="1">AND(IF(metadata!B941="",FALSE,TRUE),COUNTIF(metadata!B:B, metadata!B941) = 1,NOT(ISERROR(SUMPRODUCT(SEARCH(MID(metadata!B941,ROW(INDIRECT("1:"&amp;LEN(metadata!B941))), 1),"0123456789abcdefghijklmnopqrstuvwxyzABCDEFGHIJKLMNOPQRSTUVWXYZ.")))))</f>
        <v>0</v>
      </c>
      <c r="R941" t="b">
        <f>AND(IF(metadata!C941="",FALSE,TRUE),OR(EXACT(metadata!C941,"saline"),EXACT(metadata!C941,"non-saline")))</f>
        <v>0</v>
      </c>
      <c r="S941" t="b">
        <f>AND(IF(metadata!D941="",FALSE,TRUE),OR(EXACT(metadata!D941,"surface (non-saline)"),EXACT(metadata!D941,"aerosol (non-saline)"),EXACT(metadata!D941,"sediment (non-saline)"),EXACT(metadata!D941,"surface (saline)"),EXACT(metadata!D941,"aerosol (saline)"),EXACT(metadata!D941,"sediment (saline)")))</f>
        <v>0</v>
      </c>
      <c r="T941" t="b">
        <f>AND(IF(metadata!E941="",FALSE,TRUE),EXACT(metadata!E941,"built environment"))</f>
        <v>0</v>
      </c>
      <c r="U941" t="b">
        <f>OR(AND(IF(metadata!F941="",FALSE,TRUE),EXACT(metadata!F941,"not applicable")),AND(IF(metadata!F941="",FALSE,TRUE),EXACT(metadata!F941,"anaerobic digester content")))</f>
        <v>0</v>
      </c>
    </row>
    <row r="942" spans="1:21" x14ac:dyDescent="0.2">
      <c r="A942" s="4" t="str">
        <f ca="1">IF(B942=" "," ",HYPERLINK(CONCATENATE("#metadata!",ADDRESS(INDEX($L$2:$L$1001,MATCH(ROWS($J$2:J942),$J$2:$J$1001,0),0),1)),INDEX($O$2:$O$1001,MATCH(ROWS($J$2:J942),$J$2:$J$1001,0),0)))</f>
        <v xml:space="preserve"> </v>
      </c>
      <c r="B942" s="3" t="str">
        <f ca="1">IF(OR(INDEX($K$2:$K$1001,MATCH(ROWS($J$2:J942),$J$2:$J$1001,0),1)&gt;=100000,INDEX($Q$1005:$U$1005,1,MATCH(COLUMNS($Q$1006:Q1006),$Q$1006:$U$1006,0))&gt;=100000), " ",IF(INDEX($Q$2:$U$1001,MATCH(ROWS($J$2:J942),$J$2:$J$1001,0),MATCH(COLUMNS($Q$1006:Q1006),$Q$1006:$U$1006,0)), HYPERLINK("#",""), HYPERLINK(CONCATENATE("#metadata!", ADDRESS(INDEX($L$2:$L$1001,MATCH(ROWS($J$2:J942),$J$2:$J$1001,0),0), INDEX($Q$1004:$U$1004,1,MATCH(COLUMNS($Q$1006:Q1006),$Q$1006:$U$1006,0)))),"Fix")))</f>
        <v xml:space="preserve"> </v>
      </c>
      <c r="C942" s="3" t="str">
        <f ca="1">IF(OR(INDEX($K$2:$K$1001,MATCH(ROWS($J$2:J942),$J$2:$J$1001,0),1)&gt;=100000,INDEX($Q$1005:$U$1005,1,MATCH(COLUMNS($Q$1006:R1006),$Q$1006:$U$1006,0))&gt;=100000), " ",IF(INDEX($Q$2:$U$1001,MATCH(ROWS($J$2:J942),$J$2:$J$1001,0),MATCH(COLUMNS($Q$1006:R1006),$Q$1006:$U$1006,0)), HYPERLINK("#",""), HYPERLINK(CONCATENATE("#metadata!", ADDRESS(INDEX($L$2:$L$1001,MATCH(ROWS($J$2:J942),$J$2:$J$1001,0),0), INDEX($Q$1004:$U$1004,1,MATCH(COLUMNS($Q$1006:R1006),$Q$1006:$U$1006,0)))),"Fix")))</f>
        <v xml:space="preserve"> </v>
      </c>
      <c r="D942" s="3" t="str">
        <f ca="1">IF(OR(INDEX($K$2:$K$1001,MATCH(ROWS($J$2:J942),$J$2:$J$1001,0),1)&gt;=100000,INDEX($Q$1005:$U$1005,1,MATCH(COLUMNS($Q$1006:S1006),$Q$1006:$U$1006,0))&gt;=100000), " ",IF(INDEX($Q$2:$U$1001,MATCH(ROWS($J$2:J942),$J$2:$J$1001,0),MATCH(COLUMNS($Q$1006:S1006),$Q$1006:$U$1006,0)), HYPERLINK("#",""), HYPERLINK(CONCATENATE("#metadata!", ADDRESS(INDEX($L$2:$L$1001,MATCH(ROWS($J$2:J942),$J$2:$J$1001,0),0), INDEX($Q$1004:$U$1004,1,MATCH(COLUMNS($Q$1006:S1006),$Q$1006:$U$1006,0)))),"Fix")))</f>
        <v xml:space="preserve"> </v>
      </c>
      <c r="E942" s="3" t="str">
        <f ca="1">IF(OR(INDEX($K$2:$K$1001,MATCH(ROWS($J$2:J942),$J$2:$J$1001,0),1)&gt;=100000,INDEX($Q$1005:$U$1005,1,MATCH(COLUMNS($Q$1006:T1006),$Q$1006:$U$1006,0))&gt;=100000), " ",IF(INDEX($Q$2:$U$1001,MATCH(ROWS($J$2:J942),$J$2:$J$1001,0),MATCH(COLUMNS($Q$1006:T1006),$Q$1006:$U$1006,0)), HYPERLINK("#",""), HYPERLINK(CONCATENATE("#metadata!", ADDRESS(INDEX($L$2:$L$1001,MATCH(ROWS($J$2:J942),$J$2:$J$1001,0),0), INDEX($Q$1004:$U$1004,1,MATCH(COLUMNS($Q$1006:T1006),$Q$1006:$U$1006,0)))),"Fix")))</f>
        <v xml:space="preserve"> </v>
      </c>
      <c r="F942" s="3" t="str">
        <f ca="1">IF(OR(INDEX($K$2:$K$1001,MATCH(ROWS($J$2:J942),$J$2:$J$1001,0),1)&gt;=100000,INDEX($Q$1005:$U$1005,1,MATCH(COLUMNS($Q$1006:U1006),$Q$1006:$U$1006,0))&gt;=100000), " ",IF(INDEX($Q$2:$U$1001,MATCH(ROWS($J$2:J942),$J$2:$J$1001,0),MATCH(COLUMNS($Q$1006:U1006),$Q$1006:$U$1006,0)), HYPERLINK("#",""), HYPERLINK(CONCATENATE("#metadata!", ADDRESS(INDEX($L$2:$L$1001,MATCH(ROWS($J$2:J942),$J$2:$J$1001,0),0), INDEX($Q$1004:$U$1004,1,MATCH(COLUMNS($Q$1006:U1006),$Q$1006:$U$1006,0)))),"Fix")))</f>
        <v xml:space="preserve"> </v>
      </c>
      <c r="J942">
        <v>941</v>
      </c>
      <c r="K942">
        <v>100942</v>
      </c>
      <c r="L942">
        <v>942</v>
      </c>
      <c r="M942" t="b">
        <f t="shared" si="14"/>
        <v>1</v>
      </c>
      <c r="N942" t="b">
        <f>COUNTBLANK(metadata!B942:F942)=COLUMNS(metadata!B942:F942)</f>
        <v>1</v>
      </c>
      <c r="O942" t="str">
        <v/>
      </c>
      <c r="Q942" t="b">
        <f ca="1">AND(IF(metadata!B942="",FALSE,TRUE),COUNTIF(metadata!B:B, metadata!B942) = 1,NOT(ISERROR(SUMPRODUCT(SEARCH(MID(metadata!B942,ROW(INDIRECT("1:"&amp;LEN(metadata!B942))), 1),"0123456789abcdefghijklmnopqrstuvwxyzABCDEFGHIJKLMNOPQRSTUVWXYZ.")))))</f>
        <v>0</v>
      </c>
      <c r="R942" t="b">
        <f>AND(IF(metadata!C942="",FALSE,TRUE),OR(EXACT(metadata!C942,"saline"),EXACT(metadata!C942,"non-saline")))</f>
        <v>0</v>
      </c>
      <c r="S942" t="b">
        <f>AND(IF(metadata!D942="",FALSE,TRUE),OR(EXACT(metadata!D942,"surface (non-saline)"),EXACT(metadata!D942,"aerosol (non-saline)"),EXACT(metadata!D942,"sediment (non-saline)"),EXACT(metadata!D942,"surface (saline)"),EXACT(metadata!D942,"aerosol (saline)"),EXACT(metadata!D942,"sediment (saline)")))</f>
        <v>0</v>
      </c>
      <c r="T942" t="b">
        <f>AND(IF(metadata!E942="",FALSE,TRUE),EXACT(metadata!E942,"built environment"))</f>
        <v>0</v>
      </c>
      <c r="U942" t="b">
        <f>OR(AND(IF(metadata!F942="",FALSE,TRUE),EXACT(metadata!F942,"not applicable")),AND(IF(metadata!F942="",FALSE,TRUE),EXACT(metadata!F942,"anaerobic digester content")))</f>
        <v>0</v>
      </c>
    </row>
    <row r="943" spans="1:21" x14ac:dyDescent="0.2">
      <c r="A943" s="4" t="str">
        <f ca="1">IF(B943=" "," ",HYPERLINK(CONCATENATE("#metadata!",ADDRESS(INDEX($L$2:$L$1001,MATCH(ROWS($J$2:J943),$J$2:$J$1001,0),0),1)),INDEX($O$2:$O$1001,MATCH(ROWS($J$2:J943),$J$2:$J$1001,0),0)))</f>
        <v xml:space="preserve"> </v>
      </c>
      <c r="B943" s="3" t="str">
        <f ca="1">IF(OR(INDEX($K$2:$K$1001,MATCH(ROWS($J$2:J943),$J$2:$J$1001,0),1)&gt;=100000,INDEX($Q$1005:$U$1005,1,MATCH(COLUMNS($Q$1006:Q1006),$Q$1006:$U$1006,0))&gt;=100000), " ",IF(INDEX($Q$2:$U$1001,MATCH(ROWS($J$2:J943),$J$2:$J$1001,0),MATCH(COLUMNS($Q$1006:Q1006),$Q$1006:$U$1006,0)), HYPERLINK("#",""), HYPERLINK(CONCATENATE("#metadata!", ADDRESS(INDEX($L$2:$L$1001,MATCH(ROWS($J$2:J943),$J$2:$J$1001,0),0), INDEX($Q$1004:$U$1004,1,MATCH(COLUMNS($Q$1006:Q1006),$Q$1006:$U$1006,0)))),"Fix")))</f>
        <v xml:space="preserve"> </v>
      </c>
      <c r="C943" s="3" t="str">
        <f ca="1">IF(OR(INDEX($K$2:$K$1001,MATCH(ROWS($J$2:J943),$J$2:$J$1001,0),1)&gt;=100000,INDEX($Q$1005:$U$1005,1,MATCH(COLUMNS($Q$1006:R1006),$Q$1006:$U$1006,0))&gt;=100000), " ",IF(INDEX($Q$2:$U$1001,MATCH(ROWS($J$2:J943),$J$2:$J$1001,0),MATCH(COLUMNS($Q$1006:R1006),$Q$1006:$U$1006,0)), HYPERLINK("#",""), HYPERLINK(CONCATENATE("#metadata!", ADDRESS(INDEX($L$2:$L$1001,MATCH(ROWS($J$2:J943),$J$2:$J$1001,0),0), INDEX($Q$1004:$U$1004,1,MATCH(COLUMNS($Q$1006:R1006),$Q$1006:$U$1006,0)))),"Fix")))</f>
        <v xml:space="preserve"> </v>
      </c>
      <c r="D943" s="3" t="str">
        <f ca="1">IF(OR(INDEX($K$2:$K$1001,MATCH(ROWS($J$2:J943),$J$2:$J$1001,0),1)&gt;=100000,INDEX($Q$1005:$U$1005,1,MATCH(COLUMNS($Q$1006:S1006),$Q$1006:$U$1006,0))&gt;=100000), " ",IF(INDEX($Q$2:$U$1001,MATCH(ROWS($J$2:J943),$J$2:$J$1001,0),MATCH(COLUMNS($Q$1006:S1006),$Q$1006:$U$1006,0)), HYPERLINK("#",""), HYPERLINK(CONCATENATE("#metadata!", ADDRESS(INDEX($L$2:$L$1001,MATCH(ROWS($J$2:J943),$J$2:$J$1001,0),0), INDEX($Q$1004:$U$1004,1,MATCH(COLUMNS($Q$1006:S1006),$Q$1006:$U$1006,0)))),"Fix")))</f>
        <v xml:space="preserve"> </v>
      </c>
      <c r="E943" s="3" t="str">
        <f ca="1">IF(OR(INDEX($K$2:$K$1001,MATCH(ROWS($J$2:J943),$J$2:$J$1001,0),1)&gt;=100000,INDEX($Q$1005:$U$1005,1,MATCH(COLUMNS($Q$1006:T1006),$Q$1006:$U$1006,0))&gt;=100000), " ",IF(INDEX($Q$2:$U$1001,MATCH(ROWS($J$2:J943),$J$2:$J$1001,0),MATCH(COLUMNS($Q$1006:T1006),$Q$1006:$U$1006,0)), HYPERLINK("#",""), HYPERLINK(CONCATENATE("#metadata!", ADDRESS(INDEX($L$2:$L$1001,MATCH(ROWS($J$2:J943),$J$2:$J$1001,0),0), INDEX($Q$1004:$U$1004,1,MATCH(COLUMNS($Q$1006:T1006),$Q$1006:$U$1006,0)))),"Fix")))</f>
        <v xml:space="preserve"> </v>
      </c>
      <c r="F943" s="3" t="str">
        <f ca="1">IF(OR(INDEX($K$2:$K$1001,MATCH(ROWS($J$2:J943),$J$2:$J$1001,0),1)&gt;=100000,INDEX($Q$1005:$U$1005,1,MATCH(COLUMNS($Q$1006:U1006),$Q$1006:$U$1006,0))&gt;=100000), " ",IF(INDEX($Q$2:$U$1001,MATCH(ROWS($J$2:J943),$J$2:$J$1001,0),MATCH(COLUMNS($Q$1006:U1006),$Q$1006:$U$1006,0)), HYPERLINK("#",""), HYPERLINK(CONCATENATE("#metadata!", ADDRESS(INDEX($L$2:$L$1001,MATCH(ROWS($J$2:J943),$J$2:$J$1001,0),0), INDEX($Q$1004:$U$1004,1,MATCH(COLUMNS($Q$1006:U1006),$Q$1006:$U$1006,0)))),"Fix")))</f>
        <v xml:space="preserve"> </v>
      </c>
      <c r="J943">
        <v>942</v>
      </c>
      <c r="K943">
        <v>100943</v>
      </c>
      <c r="L943">
        <v>943</v>
      </c>
      <c r="M943" t="b">
        <f t="shared" si="14"/>
        <v>1</v>
      </c>
      <c r="N943" t="b">
        <f>COUNTBLANK(metadata!B943:F943)=COLUMNS(metadata!B943:F943)</f>
        <v>1</v>
      </c>
      <c r="O943" t="str">
        <v/>
      </c>
      <c r="Q943" t="b">
        <f ca="1">AND(IF(metadata!B943="",FALSE,TRUE),COUNTIF(metadata!B:B, metadata!B943) = 1,NOT(ISERROR(SUMPRODUCT(SEARCH(MID(metadata!B943,ROW(INDIRECT("1:"&amp;LEN(metadata!B943))), 1),"0123456789abcdefghijklmnopqrstuvwxyzABCDEFGHIJKLMNOPQRSTUVWXYZ.")))))</f>
        <v>0</v>
      </c>
      <c r="R943" t="b">
        <f>AND(IF(metadata!C943="",FALSE,TRUE),OR(EXACT(metadata!C943,"saline"),EXACT(metadata!C943,"non-saline")))</f>
        <v>0</v>
      </c>
      <c r="S943" t="b">
        <f>AND(IF(metadata!D943="",FALSE,TRUE),OR(EXACT(metadata!D943,"surface (non-saline)"),EXACT(metadata!D943,"aerosol (non-saline)"),EXACT(metadata!D943,"sediment (non-saline)"),EXACT(metadata!D943,"surface (saline)"),EXACT(metadata!D943,"aerosol (saline)"),EXACT(metadata!D943,"sediment (saline)")))</f>
        <v>0</v>
      </c>
      <c r="T943" t="b">
        <f>AND(IF(metadata!E943="",FALSE,TRUE),EXACT(metadata!E943,"built environment"))</f>
        <v>0</v>
      </c>
      <c r="U943" t="b">
        <f>OR(AND(IF(metadata!F943="",FALSE,TRUE),EXACT(metadata!F943,"not applicable")),AND(IF(metadata!F943="",FALSE,TRUE),EXACT(metadata!F943,"anaerobic digester content")))</f>
        <v>0</v>
      </c>
    </row>
    <row r="944" spans="1:21" x14ac:dyDescent="0.2">
      <c r="A944" s="4" t="str">
        <f ca="1">IF(B944=" "," ",HYPERLINK(CONCATENATE("#metadata!",ADDRESS(INDEX($L$2:$L$1001,MATCH(ROWS($J$2:J944),$J$2:$J$1001,0),0),1)),INDEX($O$2:$O$1001,MATCH(ROWS($J$2:J944),$J$2:$J$1001,0),0)))</f>
        <v xml:space="preserve"> </v>
      </c>
      <c r="B944" s="3" t="str">
        <f ca="1">IF(OR(INDEX($K$2:$K$1001,MATCH(ROWS($J$2:J944),$J$2:$J$1001,0),1)&gt;=100000,INDEX($Q$1005:$U$1005,1,MATCH(COLUMNS($Q$1006:Q1006),$Q$1006:$U$1006,0))&gt;=100000), " ",IF(INDEX($Q$2:$U$1001,MATCH(ROWS($J$2:J944),$J$2:$J$1001,0),MATCH(COLUMNS($Q$1006:Q1006),$Q$1006:$U$1006,0)), HYPERLINK("#",""), HYPERLINK(CONCATENATE("#metadata!", ADDRESS(INDEX($L$2:$L$1001,MATCH(ROWS($J$2:J944),$J$2:$J$1001,0),0), INDEX($Q$1004:$U$1004,1,MATCH(COLUMNS($Q$1006:Q1006),$Q$1006:$U$1006,0)))),"Fix")))</f>
        <v xml:space="preserve"> </v>
      </c>
      <c r="C944" s="3" t="str">
        <f ca="1">IF(OR(INDEX($K$2:$K$1001,MATCH(ROWS($J$2:J944),$J$2:$J$1001,0),1)&gt;=100000,INDEX($Q$1005:$U$1005,1,MATCH(COLUMNS($Q$1006:R1006),$Q$1006:$U$1006,0))&gt;=100000), " ",IF(INDEX($Q$2:$U$1001,MATCH(ROWS($J$2:J944),$J$2:$J$1001,0),MATCH(COLUMNS($Q$1006:R1006),$Q$1006:$U$1006,0)), HYPERLINK("#",""), HYPERLINK(CONCATENATE("#metadata!", ADDRESS(INDEX($L$2:$L$1001,MATCH(ROWS($J$2:J944),$J$2:$J$1001,0),0), INDEX($Q$1004:$U$1004,1,MATCH(COLUMNS($Q$1006:R1006),$Q$1006:$U$1006,0)))),"Fix")))</f>
        <v xml:space="preserve"> </v>
      </c>
      <c r="D944" s="3" t="str">
        <f ca="1">IF(OR(INDEX($K$2:$K$1001,MATCH(ROWS($J$2:J944),$J$2:$J$1001,0),1)&gt;=100000,INDEX($Q$1005:$U$1005,1,MATCH(COLUMNS($Q$1006:S1006),$Q$1006:$U$1006,0))&gt;=100000), " ",IF(INDEX($Q$2:$U$1001,MATCH(ROWS($J$2:J944),$J$2:$J$1001,0),MATCH(COLUMNS($Q$1006:S1006),$Q$1006:$U$1006,0)), HYPERLINK("#",""), HYPERLINK(CONCATENATE("#metadata!", ADDRESS(INDEX($L$2:$L$1001,MATCH(ROWS($J$2:J944),$J$2:$J$1001,0),0), INDEX($Q$1004:$U$1004,1,MATCH(COLUMNS($Q$1006:S1006),$Q$1006:$U$1006,0)))),"Fix")))</f>
        <v xml:space="preserve"> </v>
      </c>
      <c r="E944" s="3" t="str">
        <f ca="1">IF(OR(INDEX($K$2:$K$1001,MATCH(ROWS($J$2:J944),$J$2:$J$1001,0),1)&gt;=100000,INDEX($Q$1005:$U$1005,1,MATCH(COLUMNS($Q$1006:T1006),$Q$1006:$U$1006,0))&gt;=100000), " ",IF(INDEX($Q$2:$U$1001,MATCH(ROWS($J$2:J944),$J$2:$J$1001,0),MATCH(COLUMNS($Q$1006:T1006),$Q$1006:$U$1006,0)), HYPERLINK("#",""), HYPERLINK(CONCATENATE("#metadata!", ADDRESS(INDEX($L$2:$L$1001,MATCH(ROWS($J$2:J944),$J$2:$J$1001,0),0), INDEX($Q$1004:$U$1004,1,MATCH(COLUMNS($Q$1006:T1006),$Q$1006:$U$1006,0)))),"Fix")))</f>
        <v xml:space="preserve"> </v>
      </c>
      <c r="F944" s="3" t="str">
        <f ca="1">IF(OR(INDEX($K$2:$K$1001,MATCH(ROWS($J$2:J944),$J$2:$J$1001,0),1)&gt;=100000,INDEX($Q$1005:$U$1005,1,MATCH(COLUMNS($Q$1006:U1006),$Q$1006:$U$1006,0))&gt;=100000), " ",IF(INDEX($Q$2:$U$1001,MATCH(ROWS($J$2:J944),$J$2:$J$1001,0),MATCH(COLUMNS($Q$1006:U1006),$Q$1006:$U$1006,0)), HYPERLINK("#",""), HYPERLINK(CONCATENATE("#metadata!", ADDRESS(INDEX($L$2:$L$1001,MATCH(ROWS($J$2:J944),$J$2:$J$1001,0),0), INDEX($Q$1004:$U$1004,1,MATCH(COLUMNS($Q$1006:U1006),$Q$1006:$U$1006,0)))),"Fix")))</f>
        <v xml:space="preserve"> </v>
      </c>
      <c r="J944">
        <v>943</v>
      </c>
      <c r="K944">
        <v>100944</v>
      </c>
      <c r="L944">
        <v>944</v>
      </c>
      <c r="M944" t="b">
        <f t="shared" si="14"/>
        <v>1</v>
      </c>
      <c r="N944" t="b">
        <f>COUNTBLANK(metadata!B944:F944)=COLUMNS(metadata!B944:F944)</f>
        <v>1</v>
      </c>
      <c r="O944" t="str">
        <v/>
      </c>
      <c r="Q944" t="b">
        <f ca="1">AND(IF(metadata!B944="",FALSE,TRUE),COUNTIF(metadata!B:B, metadata!B944) = 1,NOT(ISERROR(SUMPRODUCT(SEARCH(MID(metadata!B944,ROW(INDIRECT("1:"&amp;LEN(metadata!B944))), 1),"0123456789abcdefghijklmnopqrstuvwxyzABCDEFGHIJKLMNOPQRSTUVWXYZ.")))))</f>
        <v>0</v>
      </c>
      <c r="R944" t="b">
        <f>AND(IF(metadata!C944="",FALSE,TRUE),OR(EXACT(metadata!C944,"saline"),EXACT(metadata!C944,"non-saline")))</f>
        <v>0</v>
      </c>
      <c r="S944" t="b">
        <f>AND(IF(metadata!D944="",FALSE,TRUE),OR(EXACT(metadata!D944,"surface (non-saline)"),EXACT(metadata!D944,"aerosol (non-saline)"),EXACT(metadata!D944,"sediment (non-saline)"),EXACT(metadata!D944,"surface (saline)"),EXACT(metadata!D944,"aerosol (saline)"),EXACT(metadata!D944,"sediment (saline)")))</f>
        <v>0</v>
      </c>
      <c r="T944" t="b">
        <f>AND(IF(metadata!E944="",FALSE,TRUE),EXACT(metadata!E944,"built environment"))</f>
        <v>0</v>
      </c>
      <c r="U944" t="b">
        <f>OR(AND(IF(metadata!F944="",FALSE,TRUE),EXACT(metadata!F944,"not applicable")),AND(IF(metadata!F944="",FALSE,TRUE),EXACT(metadata!F944,"anaerobic digester content")))</f>
        <v>0</v>
      </c>
    </row>
    <row r="945" spans="1:21" x14ac:dyDescent="0.2">
      <c r="A945" s="4" t="str">
        <f ca="1">IF(B945=" "," ",HYPERLINK(CONCATENATE("#metadata!",ADDRESS(INDEX($L$2:$L$1001,MATCH(ROWS($J$2:J945),$J$2:$J$1001,0),0),1)),INDEX($O$2:$O$1001,MATCH(ROWS($J$2:J945),$J$2:$J$1001,0),0)))</f>
        <v xml:space="preserve"> </v>
      </c>
      <c r="B945" s="3" t="str">
        <f ca="1">IF(OR(INDEX($K$2:$K$1001,MATCH(ROWS($J$2:J945),$J$2:$J$1001,0),1)&gt;=100000,INDEX($Q$1005:$U$1005,1,MATCH(COLUMNS($Q$1006:Q1006),$Q$1006:$U$1006,0))&gt;=100000), " ",IF(INDEX($Q$2:$U$1001,MATCH(ROWS($J$2:J945),$J$2:$J$1001,0),MATCH(COLUMNS($Q$1006:Q1006),$Q$1006:$U$1006,0)), HYPERLINK("#",""), HYPERLINK(CONCATENATE("#metadata!", ADDRESS(INDEX($L$2:$L$1001,MATCH(ROWS($J$2:J945),$J$2:$J$1001,0),0), INDEX($Q$1004:$U$1004,1,MATCH(COLUMNS($Q$1006:Q1006),$Q$1006:$U$1006,0)))),"Fix")))</f>
        <v xml:space="preserve"> </v>
      </c>
      <c r="C945" s="3" t="str">
        <f ca="1">IF(OR(INDEX($K$2:$K$1001,MATCH(ROWS($J$2:J945),$J$2:$J$1001,0),1)&gt;=100000,INDEX($Q$1005:$U$1005,1,MATCH(COLUMNS($Q$1006:R1006),$Q$1006:$U$1006,0))&gt;=100000), " ",IF(INDEX($Q$2:$U$1001,MATCH(ROWS($J$2:J945),$J$2:$J$1001,0),MATCH(COLUMNS($Q$1006:R1006),$Q$1006:$U$1006,0)), HYPERLINK("#",""), HYPERLINK(CONCATENATE("#metadata!", ADDRESS(INDEX($L$2:$L$1001,MATCH(ROWS($J$2:J945),$J$2:$J$1001,0),0), INDEX($Q$1004:$U$1004,1,MATCH(COLUMNS($Q$1006:R1006),$Q$1006:$U$1006,0)))),"Fix")))</f>
        <v xml:space="preserve"> </v>
      </c>
      <c r="D945" s="3" t="str">
        <f ca="1">IF(OR(INDEX($K$2:$K$1001,MATCH(ROWS($J$2:J945),$J$2:$J$1001,0),1)&gt;=100000,INDEX($Q$1005:$U$1005,1,MATCH(COLUMNS($Q$1006:S1006),$Q$1006:$U$1006,0))&gt;=100000), " ",IF(INDEX($Q$2:$U$1001,MATCH(ROWS($J$2:J945),$J$2:$J$1001,0),MATCH(COLUMNS($Q$1006:S1006),$Q$1006:$U$1006,0)), HYPERLINK("#",""), HYPERLINK(CONCATENATE("#metadata!", ADDRESS(INDEX($L$2:$L$1001,MATCH(ROWS($J$2:J945),$J$2:$J$1001,0),0), INDEX($Q$1004:$U$1004,1,MATCH(COLUMNS($Q$1006:S1006),$Q$1006:$U$1006,0)))),"Fix")))</f>
        <v xml:space="preserve"> </v>
      </c>
      <c r="E945" s="3" t="str">
        <f ca="1">IF(OR(INDEX($K$2:$K$1001,MATCH(ROWS($J$2:J945),$J$2:$J$1001,0),1)&gt;=100000,INDEX($Q$1005:$U$1005,1,MATCH(COLUMNS($Q$1006:T1006),$Q$1006:$U$1006,0))&gt;=100000), " ",IF(INDEX($Q$2:$U$1001,MATCH(ROWS($J$2:J945),$J$2:$J$1001,0),MATCH(COLUMNS($Q$1006:T1006),$Q$1006:$U$1006,0)), HYPERLINK("#",""), HYPERLINK(CONCATENATE("#metadata!", ADDRESS(INDEX($L$2:$L$1001,MATCH(ROWS($J$2:J945),$J$2:$J$1001,0),0), INDEX($Q$1004:$U$1004,1,MATCH(COLUMNS($Q$1006:T1006),$Q$1006:$U$1006,0)))),"Fix")))</f>
        <v xml:space="preserve"> </v>
      </c>
      <c r="F945" s="3" t="str">
        <f ca="1">IF(OR(INDEX($K$2:$K$1001,MATCH(ROWS($J$2:J945),$J$2:$J$1001,0),1)&gt;=100000,INDEX($Q$1005:$U$1005,1,MATCH(COLUMNS($Q$1006:U1006),$Q$1006:$U$1006,0))&gt;=100000), " ",IF(INDEX($Q$2:$U$1001,MATCH(ROWS($J$2:J945),$J$2:$J$1001,0),MATCH(COLUMNS($Q$1006:U1006),$Q$1006:$U$1006,0)), HYPERLINK("#",""), HYPERLINK(CONCATENATE("#metadata!", ADDRESS(INDEX($L$2:$L$1001,MATCH(ROWS($J$2:J945),$J$2:$J$1001,0),0), INDEX($Q$1004:$U$1004,1,MATCH(COLUMNS($Q$1006:U1006),$Q$1006:$U$1006,0)))),"Fix")))</f>
        <v xml:space="preserve"> </v>
      </c>
      <c r="J945">
        <v>944</v>
      </c>
      <c r="K945">
        <v>100945</v>
      </c>
      <c r="L945">
        <v>945</v>
      </c>
      <c r="M945" t="b">
        <f t="shared" si="14"/>
        <v>1</v>
      </c>
      <c r="N945" t="b">
        <f>COUNTBLANK(metadata!B945:F945)=COLUMNS(metadata!B945:F945)</f>
        <v>1</v>
      </c>
      <c r="O945" t="str">
        <v/>
      </c>
      <c r="Q945" t="b">
        <f ca="1">AND(IF(metadata!B945="",FALSE,TRUE),COUNTIF(metadata!B:B, metadata!B945) = 1,NOT(ISERROR(SUMPRODUCT(SEARCH(MID(metadata!B945,ROW(INDIRECT("1:"&amp;LEN(metadata!B945))), 1),"0123456789abcdefghijklmnopqrstuvwxyzABCDEFGHIJKLMNOPQRSTUVWXYZ.")))))</f>
        <v>0</v>
      </c>
      <c r="R945" t="b">
        <f>AND(IF(metadata!C945="",FALSE,TRUE),OR(EXACT(metadata!C945,"saline"),EXACT(metadata!C945,"non-saline")))</f>
        <v>0</v>
      </c>
      <c r="S945" t="b">
        <f>AND(IF(metadata!D945="",FALSE,TRUE),OR(EXACT(metadata!D945,"surface (non-saline)"),EXACT(metadata!D945,"aerosol (non-saline)"),EXACT(metadata!D945,"sediment (non-saline)"),EXACT(metadata!D945,"surface (saline)"),EXACT(metadata!D945,"aerosol (saline)"),EXACT(metadata!D945,"sediment (saline)")))</f>
        <v>0</v>
      </c>
      <c r="T945" t="b">
        <f>AND(IF(metadata!E945="",FALSE,TRUE),EXACT(metadata!E945,"built environment"))</f>
        <v>0</v>
      </c>
      <c r="U945" t="b">
        <f>OR(AND(IF(metadata!F945="",FALSE,TRUE),EXACT(metadata!F945,"not applicable")),AND(IF(metadata!F945="",FALSE,TRUE),EXACT(metadata!F945,"anaerobic digester content")))</f>
        <v>0</v>
      </c>
    </row>
    <row r="946" spans="1:21" x14ac:dyDescent="0.2">
      <c r="A946" s="4" t="str">
        <f ca="1">IF(B946=" "," ",HYPERLINK(CONCATENATE("#metadata!",ADDRESS(INDEX($L$2:$L$1001,MATCH(ROWS($J$2:J946),$J$2:$J$1001,0),0),1)),INDEX($O$2:$O$1001,MATCH(ROWS($J$2:J946),$J$2:$J$1001,0),0)))</f>
        <v xml:space="preserve"> </v>
      </c>
      <c r="B946" s="3" t="str">
        <f ca="1">IF(OR(INDEX($K$2:$K$1001,MATCH(ROWS($J$2:J946),$J$2:$J$1001,0),1)&gt;=100000,INDEX($Q$1005:$U$1005,1,MATCH(COLUMNS($Q$1006:Q1006),$Q$1006:$U$1006,0))&gt;=100000), " ",IF(INDEX($Q$2:$U$1001,MATCH(ROWS($J$2:J946),$J$2:$J$1001,0),MATCH(COLUMNS($Q$1006:Q1006),$Q$1006:$U$1006,0)), HYPERLINK("#",""), HYPERLINK(CONCATENATE("#metadata!", ADDRESS(INDEX($L$2:$L$1001,MATCH(ROWS($J$2:J946),$J$2:$J$1001,0),0), INDEX($Q$1004:$U$1004,1,MATCH(COLUMNS($Q$1006:Q1006),$Q$1006:$U$1006,0)))),"Fix")))</f>
        <v xml:space="preserve"> </v>
      </c>
      <c r="C946" s="3" t="str">
        <f ca="1">IF(OR(INDEX($K$2:$K$1001,MATCH(ROWS($J$2:J946),$J$2:$J$1001,0),1)&gt;=100000,INDEX($Q$1005:$U$1005,1,MATCH(COLUMNS($Q$1006:R1006),$Q$1006:$U$1006,0))&gt;=100000), " ",IF(INDEX($Q$2:$U$1001,MATCH(ROWS($J$2:J946),$J$2:$J$1001,0),MATCH(COLUMNS($Q$1006:R1006),$Q$1006:$U$1006,0)), HYPERLINK("#",""), HYPERLINK(CONCATENATE("#metadata!", ADDRESS(INDEX($L$2:$L$1001,MATCH(ROWS($J$2:J946),$J$2:$J$1001,0),0), INDEX($Q$1004:$U$1004,1,MATCH(COLUMNS($Q$1006:R1006),$Q$1006:$U$1006,0)))),"Fix")))</f>
        <v xml:space="preserve"> </v>
      </c>
      <c r="D946" s="3" t="str">
        <f ca="1">IF(OR(INDEX($K$2:$K$1001,MATCH(ROWS($J$2:J946),$J$2:$J$1001,0),1)&gt;=100000,INDEX($Q$1005:$U$1005,1,MATCH(COLUMNS($Q$1006:S1006),$Q$1006:$U$1006,0))&gt;=100000), " ",IF(INDEX($Q$2:$U$1001,MATCH(ROWS($J$2:J946),$J$2:$J$1001,0),MATCH(COLUMNS($Q$1006:S1006),$Q$1006:$U$1006,0)), HYPERLINK("#",""), HYPERLINK(CONCATENATE("#metadata!", ADDRESS(INDEX($L$2:$L$1001,MATCH(ROWS($J$2:J946),$J$2:$J$1001,0),0), INDEX($Q$1004:$U$1004,1,MATCH(COLUMNS($Q$1006:S1006),$Q$1006:$U$1006,0)))),"Fix")))</f>
        <v xml:space="preserve"> </v>
      </c>
      <c r="E946" s="3" t="str">
        <f ca="1">IF(OR(INDEX($K$2:$K$1001,MATCH(ROWS($J$2:J946),$J$2:$J$1001,0),1)&gt;=100000,INDEX($Q$1005:$U$1005,1,MATCH(COLUMNS($Q$1006:T1006),$Q$1006:$U$1006,0))&gt;=100000), " ",IF(INDEX($Q$2:$U$1001,MATCH(ROWS($J$2:J946),$J$2:$J$1001,0),MATCH(COLUMNS($Q$1006:T1006),$Q$1006:$U$1006,0)), HYPERLINK("#",""), HYPERLINK(CONCATENATE("#metadata!", ADDRESS(INDEX($L$2:$L$1001,MATCH(ROWS($J$2:J946),$J$2:$J$1001,0),0), INDEX($Q$1004:$U$1004,1,MATCH(COLUMNS($Q$1006:T1006),$Q$1006:$U$1006,0)))),"Fix")))</f>
        <v xml:space="preserve"> </v>
      </c>
      <c r="F946" s="3" t="str">
        <f ca="1">IF(OR(INDEX($K$2:$K$1001,MATCH(ROWS($J$2:J946),$J$2:$J$1001,0),1)&gt;=100000,INDEX($Q$1005:$U$1005,1,MATCH(COLUMNS($Q$1006:U1006),$Q$1006:$U$1006,0))&gt;=100000), " ",IF(INDEX($Q$2:$U$1001,MATCH(ROWS($J$2:J946),$J$2:$J$1001,0),MATCH(COLUMNS($Q$1006:U1006),$Q$1006:$U$1006,0)), HYPERLINK("#",""), HYPERLINK(CONCATENATE("#metadata!", ADDRESS(INDEX($L$2:$L$1001,MATCH(ROWS($J$2:J946),$J$2:$J$1001,0),0), INDEX($Q$1004:$U$1004,1,MATCH(COLUMNS($Q$1006:U1006),$Q$1006:$U$1006,0)))),"Fix")))</f>
        <v xml:space="preserve"> </v>
      </c>
      <c r="J946">
        <v>945</v>
      </c>
      <c r="K946">
        <v>100946</v>
      </c>
      <c r="L946">
        <v>946</v>
      </c>
      <c r="M946" t="b">
        <f t="shared" si="14"/>
        <v>1</v>
      </c>
      <c r="N946" t="b">
        <f>COUNTBLANK(metadata!B946:F946)=COLUMNS(metadata!B946:F946)</f>
        <v>1</v>
      </c>
      <c r="O946" t="str">
        <v/>
      </c>
      <c r="Q946" t="b">
        <f ca="1">AND(IF(metadata!B946="",FALSE,TRUE),COUNTIF(metadata!B:B, metadata!B946) = 1,NOT(ISERROR(SUMPRODUCT(SEARCH(MID(metadata!B946,ROW(INDIRECT("1:"&amp;LEN(metadata!B946))), 1),"0123456789abcdefghijklmnopqrstuvwxyzABCDEFGHIJKLMNOPQRSTUVWXYZ.")))))</f>
        <v>0</v>
      </c>
      <c r="R946" t="b">
        <f>AND(IF(metadata!C946="",FALSE,TRUE),OR(EXACT(metadata!C946,"saline"),EXACT(metadata!C946,"non-saline")))</f>
        <v>0</v>
      </c>
      <c r="S946" t="b">
        <f>AND(IF(metadata!D946="",FALSE,TRUE),OR(EXACT(metadata!D946,"surface (non-saline)"),EXACT(metadata!D946,"aerosol (non-saline)"),EXACT(metadata!D946,"sediment (non-saline)"),EXACT(metadata!D946,"surface (saline)"),EXACT(metadata!D946,"aerosol (saline)"),EXACT(metadata!D946,"sediment (saline)")))</f>
        <v>0</v>
      </c>
      <c r="T946" t="b">
        <f>AND(IF(metadata!E946="",FALSE,TRUE),EXACT(metadata!E946,"built environment"))</f>
        <v>0</v>
      </c>
      <c r="U946" t="b">
        <f>OR(AND(IF(metadata!F946="",FALSE,TRUE),EXACT(metadata!F946,"not applicable")),AND(IF(metadata!F946="",FALSE,TRUE),EXACT(metadata!F946,"anaerobic digester content")))</f>
        <v>0</v>
      </c>
    </row>
    <row r="947" spans="1:21" x14ac:dyDescent="0.2">
      <c r="A947" s="4" t="str">
        <f ca="1">IF(B947=" "," ",HYPERLINK(CONCATENATE("#metadata!",ADDRESS(INDEX($L$2:$L$1001,MATCH(ROWS($J$2:J947),$J$2:$J$1001,0),0),1)),INDEX($O$2:$O$1001,MATCH(ROWS($J$2:J947),$J$2:$J$1001,0),0)))</f>
        <v xml:space="preserve"> </v>
      </c>
      <c r="B947" s="3" t="str">
        <f ca="1">IF(OR(INDEX($K$2:$K$1001,MATCH(ROWS($J$2:J947),$J$2:$J$1001,0),1)&gt;=100000,INDEX($Q$1005:$U$1005,1,MATCH(COLUMNS($Q$1006:Q1006),$Q$1006:$U$1006,0))&gt;=100000), " ",IF(INDEX($Q$2:$U$1001,MATCH(ROWS($J$2:J947),$J$2:$J$1001,0),MATCH(COLUMNS($Q$1006:Q1006),$Q$1006:$U$1006,0)), HYPERLINK("#",""), HYPERLINK(CONCATENATE("#metadata!", ADDRESS(INDEX($L$2:$L$1001,MATCH(ROWS($J$2:J947),$J$2:$J$1001,0),0), INDEX($Q$1004:$U$1004,1,MATCH(COLUMNS($Q$1006:Q1006),$Q$1006:$U$1006,0)))),"Fix")))</f>
        <v xml:space="preserve"> </v>
      </c>
      <c r="C947" s="3" t="str">
        <f ca="1">IF(OR(INDEX($K$2:$K$1001,MATCH(ROWS($J$2:J947),$J$2:$J$1001,0),1)&gt;=100000,INDEX($Q$1005:$U$1005,1,MATCH(COLUMNS($Q$1006:R1006),$Q$1006:$U$1006,0))&gt;=100000), " ",IF(INDEX($Q$2:$U$1001,MATCH(ROWS($J$2:J947),$J$2:$J$1001,0),MATCH(COLUMNS($Q$1006:R1006),$Q$1006:$U$1006,0)), HYPERLINK("#",""), HYPERLINK(CONCATENATE("#metadata!", ADDRESS(INDEX($L$2:$L$1001,MATCH(ROWS($J$2:J947),$J$2:$J$1001,0),0), INDEX($Q$1004:$U$1004,1,MATCH(COLUMNS($Q$1006:R1006),$Q$1006:$U$1006,0)))),"Fix")))</f>
        <v xml:space="preserve"> </v>
      </c>
      <c r="D947" s="3" t="str">
        <f ca="1">IF(OR(INDEX($K$2:$K$1001,MATCH(ROWS($J$2:J947),$J$2:$J$1001,0),1)&gt;=100000,INDEX($Q$1005:$U$1005,1,MATCH(COLUMNS($Q$1006:S1006),$Q$1006:$U$1006,0))&gt;=100000), " ",IF(INDEX($Q$2:$U$1001,MATCH(ROWS($J$2:J947),$J$2:$J$1001,0),MATCH(COLUMNS($Q$1006:S1006),$Q$1006:$U$1006,0)), HYPERLINK("#",""), HYPERLINK(CONCATENATE("#metadata!", ADDRESS(INDEX($L$2:$L$1001,MATCH(ROWS($J$2:J947),$J$2:$J$1001,0),0), INDEX($Q$1004:$U$1004,1,MATCH(COLUMNS($Q$1006:S1006),$Q$1006:$U$1006,0)))),"Fix")))</f>
        <v xml:space="preserve"> </v>
      </c>
      <c r="E947" s="3" t="str">
        <f ca="1">IF(OR(INDEX($K$2:$K$1001,MATCH(ROWS($J$2:J947),$J$2:$J$1001,0),1)&gt;=100000,INDEX($Q$1005:$U$1005,1,MATCH(COLUMNS($Q$1006:T1006),$Q$1006:$U$1006,0))&gt;=100000), " ",IF(INDEX($Q$2:$U$1001,MATCH(ROWS($J$2:J947),$J$2:$J$1001,0),MATCH(COLUMNS($Q$1006:T1006),$Q$1006:$U$1006,0)), HYPERLINK("#",""), HYPERLINK(CONCATENATE("#metadata!", ADDRESS(INDEX($L$2:$L$1001,MATCH(ROWS($J$2:J947),$J$2:$J$1001,0),0), INDEX($Q$1004:$U$1004,1,MATCH(COLUMNS($Q$1006:T1006),$Q$1006:$U$1006,0)))),"Fix")))</f>
        <v xml:space="preserve"> </v>
      </c>
      <c r="F947" s="3" t="str">
        <f ca="1">IF(OR(INDEX($K$2:$K$1001,MATCH(ROWS($J$2:J947),$J$2:$J$1001,0),1)&gt;=100000,INDEX($Q$1005:$U$1005,1,MATCH(COLUMNS($Q$1006:U1006),$Q$1006:$U$1006,0))&gt;=100000), " ",IF(INDEX($Q$2:$U$1001,MATCH(ROWS($J$2:J947),$J$2:$J$1001,0),MATCH(COLUMNS($Q$1006:U1006),$Q$1006:$U$1006,0)), HYPERLINK("#",""), HYPERLINK(CONCATENATE("#metadata!", ADDRESS(INDEX($L$2:$L$1001,MATCH(ROWS($J$2:J947),$J$2:$J$1001,0),0), INDEX($Q$1004:$U$1004,1,MATCH(COLUMNS($Q$1006:U1006),$Q$1006:$U$1006,0)))),"Fix")))</f>
        <v xml:space="preserve"> </v>
      </c>
      <c r="J947">
        <v>946</v>
      </c>
      <c r="K947">
        <v>100947</v>
      </c>
      <c r="L947">
        <v>947</v>
      </c>
      <c r="M947" t="b">
        <f t="shared" si="14"/>
        <v>1</v>
      </c>
      <c r="N947" t="b">
        <f>COUNTBLANK(metadata!B947:F947)=COLUMNS(metadata!B947:F947)</f>
        <v>1</v>
      </c>
      <c r="O947" t="str">
        <v/>
      </c>
      <c r="Q947" t="b">
        <f ca="1">AND(IF(metadata!B947="",FALSE,TRUE),COUNTIF(metadata!B:B, metadata!B947) = 1,NOT(ISERROR(SUMPRODUCT(SEARCH(MID(metadata!B947,ROW(INDIRECT("1:"&amp;LEN(metadata!B947))), 1),"0123456789abcdefghijklmnopqrstuvwxyzABCDEFGHIJKLMNOPQRSTUVWXYZ.")))))</f>
        <v>0</v>
      </c>
      <c r="R947" t="b">
        <f>AND(IF(metadata!C947="",FALSE,TRUE),OR(EXACT(metadata!C947,"saline"),EXACT(metadata!C947,"non-saline")))</f>
        <v>0</v>
      </c>
      <c r="S947" t="b">
        <f>AND(IF(metadata!D947="",FALSE,TRUE),OR(EXACT(metadata!D947,"surface (non-saline)"),EXACT(metadata!D947,"aerosol (non-saline)"),EXACT(metadata!D947,"sediment (non-saline)"),EXACT(metadata!D947,"surface (saline)"),EXACT(metadata!D947,"aerosol (saline)"),EXACT(metadata!D947,"sediment (saline)")))</f>
        <v>0</v>
      </c>
      <c r="T947" t="b">
        <f>AND(IF(metadata!E947="",FALSE,TRUE),EXACT(metadata!E947,"built environment"))</f>
        <v>0</v>
      </c>
      <c r="U947" t="b">
        <f>OR(AND(IF(metadata!F947="",FALSE,TRUE),EXACT(metadata!F947,"not applicable")),AND(IF(metadata!F947="",FALSE,TRUE),EXACT(metadata!F947,"anaerobic digester content")))</f>
        <v>0</v>
      </c>
    </row>
    <row r="948" spans="1:21" x14ac:dyDescent="0.2">
      <c r="A948" s="4" t="str">
        <f ca="1">IF(B948=" "," ",HYPERLINK(CONCATENATE("#metadata!",ADDRESS(INDEX($L$2:$L$1001,MATCH(ROWS($J$2:J948),$J$2:$J$1001,0),0),1)),INDEX($O$2:$O$1001,MATCH(ROWS($J$2:J948),$J$2:$J$1001,0),0)))</f>
        <v xml:space="preserve"> </v>
      </c>
      <c r="B948" s="3" t="str">
        <f ca="1">IF(OR(INDEX($K$2:$K$1001,MATCH(ROWS($J$2:J948),$J$2:$J$1001,0),1)&gt;=100000,INDEX($Q$1005:$U$1005,1,MATCH(COLUMNS($Q$1006:Q1006),$Q$1006:$U$1006,0))&gt;=100000), " ",IF(INDEX($Q$2:$U$1001,MATCH(ROWS($J$2:J948),$J$2:$J$1001,0),MATCH(COLUMNS($Q$1006:Q1006),$Q$1006:$U$1006,0)), HYPERLINK("#",""), HYPERLINK(CONCATENATE("#metadata!", ADDRESS(INDEX($L$2:$L$1001,MATCH(ROWS($J$2:J948),$J$2:$J$1001,0),0), INDEX($Q$1004:$U$1004,1,MATCH(COLUMNS($Q$1006:Q1006),$Q$1006:$U$1006,0)))),"Fix")))</f>
        <v xml:space="preserve"> </v>
      </c>
      <c r="C948" s="3" t="str">
        <f ca="1">IF(OR(INDEX($K$2:$K$1001,MATCH(ROWS($J$2:J948),$J$2:$J$1001,0),1)&gt;=100000,INDEX($Q$1005:$U$1005,1,MATCH(COLUMNS($Q$1006:R1006),$Q$1006:$U$1006,0))&gt;=100000), " ",IF(INDEX($Q$2:$U$1001,MATCH(ROWS($J$2:J948),$J$2:$J$1001,0),MATCH(COLUMNS($Q$1006:R1006),$Q$1006:$U$1006,0)), HYPERLINK("#",""), HYPERLINK(CONCATENATE("#metadata!", ADDRESS(INDEX($L$2:$L$1001,MATCH(ROWS($J$2:J948),$J$2:$J$1001,0),0), INDEX($Q$1004:$U$1004,1,MATCH(COLUMNS($Q$1006:R1006),$Q$1006:$U$1006,0)))),"Fix")))</f>
        <v xml:space="preserve"> </v>
      </c>
      <c r="D948" s="3" t="str">
        <f ca="1">IF(OR(INDEX($K$2:$K$1001,MATCH(ROWS($J$2:J948),$J$2:$J$1001,0),1)&gt;=100000,INDEX($Q$1005:$U$1005,1,MATCH(COLUMNS($Q$1006:S1006),$Q$1006:$U$1006,0))&gt;=100000), " ",IF(INDEX($Q$2:$U$1001,MATCH(ROWS($J$2:J948),$J$2:$J$1001,0),MATCH(COLUMNS($Q$1006:S1006),$Q$1006:$U$1006,0)), HYPERLINK("#",""), HYPERLINK(CONCATENATE("#metadata!", ADDRESS(INDEX($L$2:$L$1001,MATCH(ROWS($J$2:J948),$J$2:$J$1001,0),0), INDEX($Q$1004:$U$1004,1,MATCH(COLUMNS($Q$1006:S1006),$Q$1006:$U$1006,0)))),"Fix")))</f>
        <v xml:space="preserve"> </v>
      </c>
      <c r="E948" s="3" t="str">
        <f ca="1">IF(OR(INDEX($K$2:$K$1001,MATCH(ROWS($J$2:J948),$J$2:$J$1001,0),1)&gt;=100000,INDEX($Q$1005:$U$1005,1,MATCH(COLUMNS($Q$1006:T1006),$Q$1006:$U$1006,0))&gt;=100000), " ",IF(INDEX($Q$2:$U$1001,MATCH(ROWS($J$2:J948),$J$2:$J$1001,0),MATCH(COLUMNS($Q$1006:T1006),$Q$1006:$U$1006,0)), HYPERLINK("#",""), HYPERLINK(CONCATENATE("#metadata!", ADDRESS(INDEX($L$2:$L$1001,MATCH(ROWS($J$2:J948),$J$2:$J$1001,0),0), INDEX($Q$1004:$U$1004,1,MATCH(COLUMNS($Q$1006:T1006),$Q$1006:$U$1006,0)))),"Fix")))</f>
        <v xml:space="preserve"> </v>
      </c>
      <c r="F948" s="3" t="str">
        <f ca="1">IF(OR(INDEX($K$2:$K$1001,MATCH(ROWS($J$2:J948),$J$2:$J$1001,0),1)&gt;=100000,INDEX($Q$1005:$U$1005,1,MATCH(COLUMNS($Q$1006:U1006),$Q$1006:$U$1006,0))&gt;=100000), " ",IF(INDEX($Q$2:$U$1001,MATCH(ROWS($J$2:J948),$J$2:$J$1001,0),MATCH(COLUMNS($Q$1006:U1006),$Q$1006:$U$1006,0)), HYPERLINK("#",""), HYPERLINK(CONCATENATE("#metadata!", ADDRESS(INDEX($L$2:$L$1001,MATCH(ROWS($J$2:J948),$J$2:$J$1001,0),0), INDEX($Q$1004:$U$1004,1,MATCH(COLUMNS($Q$1006:U1006),$Q$1006:$U$1006,0)))),"Fix")))</f>
        <v xml:space="preserve"> </v>
      </c>
      <c r="J948">
        <v>947</v>
      </c>
      <c r="K948">
        <v>100948</v>
      </c>
      <c r="L948">
        <v>948</v>
      </c>
      <c r="M948" t="b">
        <f t="shared" si="14"/>
        <v>1</v>
      </c>
      <c r="N948" t="b">
        <f>COUNTBLANK(metadata!B948:F948)=COLUMNS(metadata!B948:F948)</f>
        <v>1</v>
      </c>
      <c r="O948" t="str">
        <v/>
      </c>
      <c r="Q948" t="b">
        <f ca="1">AND(IF(metadata!B948="",FALSE,TRUE),COUNTIF(metadata!B:B, metadata!B948) = 1,NOT(ISERROR(SUMPRODUCT(SEARCH(MID(metadata!B948,ROW(INDIRECT("1:"&amp;LEN(metadata!B948))), 1),"0123456789abcdefghijklmnopqrstuvwxyzABCDEFGHIJKLMNOPQRSTUVWXYZ.")))))</f>
        <v>0</v>
      </c>
      <c r="R948" t="b">
        <f>AND(IF(metadata!C948="",FALSE,TRUE),OR(EXACT(metadata!C948,"saline"),EXACT(metadata!C948,"non-saline")))</f>
        <v>0</v>
      </c>
      <c r="S948" t="b">
        <f>AND(IF(metadata!D948="",FALSE,TRUE),OR(EXACT(metadata!D948,"surface (non-saline)"),EXACT(metadata!D948,"aerosol (non-saline)"),EXACT(metadata!D948,"sediment (non-saline)"),EXACT(metadata!D948,"surface (saline)"),EXACT(metadata!D948,"aerosol (saline)"),EXACT(metadata!D948,"sediment (saline)")))</f>
        <v>0</v>
      </c>
      <c r="T948" t="b">
        <f>AND(IF(metadata!E948="",FALSE,TRUE),EXACT(metadata!E948,"built environment"))</f>
        <v>0</v>
      </c>
      <c r="U948" t="b">
        <f>OR(AND(IF(metadata!F948="",FALSE,TRUE),EXACT(metadata!F948,"not applicable")),AND(IF(metadata!F948="",FALSE,TRUE),EXACT(metadata!F948,"anaerobic digester content")))</f>
        <v>0</v>
      </c>
    </row>
    <row r="949" spans="1:21" x14ac:dyDescent="0.2">
      <c r="A949" s="4" t="str">
        <f ca="1">IF(B949=" "," ",HYPERLINK(CONCATENATE("#metadata!",ADDRESS(INDEX($L$2:$L$1001,MATCH(ROWS($J$2:J949),$J$2:$J$1001,0),0),1)),INDEX($O$2:$O$1001,MATCH(ROWS($J$2:J949),$J$2:$J$1001,0),0)))</f>
        <v xml:space="preserve"> </v>
      </c>
      <c r="B949" s="3" t="str">
        <f ca="1">IF(OR(INDEX($K$2:$K$1001,MATCH(ROWS($J$2:J949),$J$2:$J$1001,0),1)&gt;=100000,INDEX($Q$1005:$U$1005,1,MATCH(COLUMNS($Q$1006:Q1006),$Q$1006:$U$1006,0))&gt;=100000), " ",IF(INDEX($Q$2:$U$1001,MATCH(ROWS($J$2:J949),$J$2:$J$1001,0),MATCH(COLUMNS($Q$1006:Q1006),$Q$1006:$U$1006,0)), HYPERLINK("#",""), HYPERLINK(CONCATENATE("#metadata!", ADDRESS(INDEX($L$2:$L$1001,MATCH(ROWS($J$2:J949),$J$2:$J$1001,0),0), INDEX($Q$1004:$U$1004,1,MATCH(COLUMNS($Q$1006:Q1006),$Q$1006:$U$1006,0)))),"Fix")))</f>
        <v xml:space="preserve"> </v>
      </c>
      <c r="C949" s="3" t="str">
        <f ca="1">IF(OR(INDEX($K$2:$K$1001,MATCH(ROWS($J$2:J949),$J$2:$J$1001,0),1)&gt;=100000,INDEX($Q$1005:$U$1005,1,MATCH(COLUMNS($Q$1006:R1006),$Q$1006:$U$1006,0))&gt;=100000), " ",IF(INDEX($Q$2:$U$1001,MATCH(ROWS($J$2:J949),$J$2:$J$1001,0),MATCH(COLUMNS($Q$1006:R1006),$Q$1006:$U$1006,0)), HYPERLINK("#",""), HYPERLINK(CONCATENATE("#metadata!", ADDRESS(INDEX($L$2:$L$1001,MATCH(ROWS($J$2:J949),$J$2:$J$1001,0),0), INDEX($Q$1004:$U$1004,1,MATCH(COLUMNS($Q$1006:R1006),$Q$1006:$U$1006,0)))),"Fix")))</f>
        <v xml:space="preserve"> </v>
      </c>
      <c r="D949" s="3" t="str">
        <f ca="1">IF(OR(INDEX($K$2:$K$1001,MATCH(ROWS($J$2:J949),$J$2:$J$1001,0),1)&gt;=100000,INDEX($Q$1005:$U$1005,1,MATCH(COLUMNS($Q$1006:S1006),$Q$1006:$U$1006,0))&gt;=100000), " ",IF(INDEX($Q$2:$U$1001,MATCH(ROWS($J$2:J949),$J$2:$J$1001,0),MATCH(COLUMNS($Q$1006:S1006),$Q$1006:$U$1006,0)), HYPERLINK("#",""), HYPERLINK(CONCATENATE("#metadata!", ADDRESS(INDEX($L$2:$L$1001,MATCH(ROWS($J$2:J949),$J$2:$J$1001,0),0), INDEX($Q$1004:$U$1004,1,MATCH(COLUMNS($Q$1006:S1006),$Q$1006:$U$1006,0)))),"Fix")))</f>
        <v xml:space="preserve"> </v>
      </c>
      <c r="E949" s="3" t="str">
        <f ca="1">IF(OR(INDEX($K$2:$K$1001,MATCH(ROWS($J$2:J949),$J$2:$J$1001,0),1)&gt;=100000,INDEX($Q$1005:$U$1005,1,MATCH(COLUMNS($Q$1006:T1006),$Q$1006:$U$1006,0))&gt;=100000), " ",IF(INDEX($Q$2:$U$1001,MATCH(ROWS($J$2:J949),$J$2:$J$1001,0),MATCH(COLUMNS($Q$1006:T1006),$Q$1006:$U$1006,0)), HYPERLINK("#",""), HYPERLINK(CONCATENATE("#metadata!", ADDRESS(INDEX($L$2:$L$1001,MATCH(ROWS($J$2:J949),$J$2:$J$1001,0),0), INDEX($Q$1004:$U$1004,1,MATCH(COLUMNS($Q$1006:T1006),$Q$1006:$U$1006,0)))),"Fix")))</f>
        <v xml:space="preserve"> </v>
      </c>
      <c r="F949" s="3" t="str">
        <f ca="1">IF(OR(INDEX($K$2:$K$1001,MATCH(ROWS($J$2:J949),$J$2:$J$1001,0),1)&gt;=100000,INDEX($Q$1005:$U$1005,1,MATCH(COLUMNS($Q$1006:U1006),$Q$1006:$U$1006,0))&gt;=100000), " ",IF(INDEX($Q$2:$U$1001,MATCH(ROWS($J$2:J949),$J$2:$J$1001,0),MATCH(COLUMNS($Q$1006:U1006),$Q$1006:$U$1006,0)), HYPERLINK("#",""), HYPERLINK(CONCATENATE("#metadata!", ADDRESS(INDEX($L$2:$L$1001,MATCH(ROWS($J$2:J949),$J$2:$J$1001,0),0), INDEX($Q$1004:$U$1004,1,MATCH(COLUMNS($Q$1006:U1006),$Q$1006:$U$1006,0)))),"Fix")))</f>
        <v xml:space="preserve"> </v>
      </c>
      <c r="J949">
        <v>948</v>
      </c>
      <c r="K949">
        <v>100949</v>
      </c>
      <c r="L949">
        <v>949</v>
      </c>
      <c r="M949" t="b">
        <f t="shared" si="14"/>
        <v>1</v>
      </c>
      <c r="N949" t="b">
        <f>COUNTBLANK(metadata!B949:F949)=COLUMNS(metadata!B949:F949)</f>
        <v>1</v>
      </c>
      <c r="O949" t="str">
        <v/>
      </c>
      <c r="Q949" t="b">
        <f ca="1">AND(IF(metadata!B949="",FALSE,TRUE),COUNTIF(metadata!B:B, metadata!B949) = 1,NOT(ISERROR(SUMPRODUCT(SEARCH(MID(metadata!B949,ROW(INDIRECT("1:"&amp;LEN(metadata!B949))), 1),"0123456789abcdefghijklmnopqrstuvwxyzABCDEFGHIJKLMNOPQRSTUVWXYZ.")))))</f>
        <v>0</v>
      </c>
      <c r="R949" t="b">
        <f>AND(IF(metadata!C949="",FALSE,TRUE),OR(EXACT(metadata!C949,"saline"),EXACT(metadata!C949,"non-saline")))</f>
        <v>0</v>
      </c>
      <c r="S949" t="b">
        <f>AND(IF(metadata!D949="",FALSE,TRUE),OR(EXACT(metadata!D949,"surface (non-saline)"),EXACT(metadata!D949,"aerosol (non-saline)"),EXACT(metadata!D949,"sediment (non-saline)"),EXACT(metadata!D949,"surface (saline)"),EXACT(metadata!D949,"aerosol (saline)"),EXACT(metadata!D949,"sediment (saline)")))</f>
        <v>0</v>
      </c>
      <c r="T949" t="b">
        <f>AND(IF(metadata!E949="",FALSE,TRUE),EXACT(metadata!E949,"built environment"))</f>
        <v>0</v>
      </c>
      <c r="U949" t="b">
        <f>OR(AND(IF(metadata!F949="",FALSE,TRUE),EXACT(metadata!F949,"not applicable")),AND(IF(metadata!F949="",FALSE,TRUE),EXACT(metadata!F949,"anaerobic digester content")))</f>
        <v>0</v>
      </c>
    </row>
    <row r="950" spans="1:21" x14ac:dyDescent="0.2">
      <c r="A950" s="4" t="str">
        <f ca="1">IF(B950=" "," ",HYPERLINK(CONCATENATE("#metadata!",ADDRESS(INDEX($L$2:$L$1001,MATCH(ROWS($J$2:J950),$J$2:$J$1001,0),0),1)),INDEX($O$2:$O$1001,MATCH(ROWS($J$2:J950),$J$2:$J$1001,0),0)))</f>
        <v xml:space="preserve"> </v>
      </c>
      <c r="B950" s="3" t="str">
        <f ca="1">IF(OR(INDEX($K$2:$K$1001,MATCH(ROWS($J$2:J950),$J$2:$J$1001,0),1)&gt;=100000,INDEX($Q$1005:$U$1005,1,MATCH(COLUMNS($Q$1006:Q1006),$Q$1006:$U$1006,0))&gt;=100000), " ",IF(INDEX($Q$2:$U$1001,MATCH(ROWS($J$2:J950),$J$2:$J$1001,0),MATCH(COLUMNS($Q$1006:Q1006),$Q$1006:$U$1006,0)), HYPERLINK("#",""), HYPERLINK(CONCATENATE("#metadata!", ADDRESS(INDEX($L$2:$L$1001,MATCH(ROWS($J$2:J950),$J$2:$J$1001,0),0), INDEX($Q$1004:$U$1004,1,MATCH(COLUMNS($Q$1006:Q1006),$Q$1006:$U$1006,0)))),"Fix")))</f>
        <v xml:space="preserve"> </v>
      </c>
      <c r="C950" s="3" t="str">
        <f ca="1">IF(OR(INDEX($K$2:$K$1001,MATCH(ROWS($J$2:J950),$J$2:$J$1001,0),1)&gt;=100000,INDEX($Q$1005:$U$1005,1,MATCH(COLUMNS($Q$1006:R1006),$Q$1006:$U$1006,0))&gt;=100000), " ",IF(INDEX($Q$2:$U$1001,MATCH(ROWS($J$2:J950),$J$2:$J$1001,0),MATCH(COLUMNS($Q$1006:R1006),$Q$1006:$U$1006,0)), HYPERLINK("#",""), HYPERLINK(CONCATENATE("#metadata!", ADDRESS(INDEX($L$2:$L$1001,MATCH(ROWS($J$2:J950),$J$2:$J$1001,0),0), INDEX($Q$1004:$U$1004,1,MATCH(COLUMNS($Q$1006:R1006),$Q$1006:$U$1006,0)))),"Fix")))</f>
        <v xml:space="preserve"> </v>
      </c>
      <c r="D950" s="3" t="str">
        <f ca="1">IF(OR(INDEX($K$2:$K$1001,MATCH(ROWS($J$2:J950),$J$2:$J$1001,0),1)&gt;=100000,INDEX($Q$1005:$U$1005,1,MATCH(COLUMNS($Q$1006:S1006),$Q$1006:$U$1006,0))&gt;=100000), " ",IF(INDEX($Q$2:$U$1001,MATCH(ROWS($J$2:J950),$J$2:$J$1001,0),MATCH(COLUMNS($Q$1006:S1006),$Q$1006:$U$1006,0)), HYPERLINK("#",""), HYPERLINK(CONCATENATE("#metadata!", ADDRESS(INDEX($L$2:$L$1001,MATCH(ROWS($J$2:J950),$J$2:$J$1001,0),0), INDEX($Q$1004:$U$1004,1,MATCH(COLUMNS($Q$1006:S1006),$Q$1006:$U$1006,0)))),"Fix")))</f>
        <v xml:space="preserve"> </v>
      </c>
      <c r="E950" s="3" t="str">
        <f ca="1">IF(OR(INDEX($K$2:$K$1001,MATCH(ROWS($J$2:J950),$J$2:$J$1001,0),1)&gt;=100000,INDEX($Q$1005:$U$1005,1,MATCH(COLUMNS($Q$1006:T1006),$Q$1006:$U$1006,0))&gt;=100000), " ",IF(INDEX($Q$2:$U$1001,MATCH(ROWS($J$2:J950),$J$2:$J$1001,0),MATCH(COLUMNS($Q$1006:T1006),$Q$1006:$U$1006,0)), HYPERLINK("#",""), HYPERLINK(CONCATENATE("#metadata!", ADDRESS(INDEX($L$2:$L$1001,MATCH(ROWS($J$2:J950),$J$2:$J$1001,0),0), INDEX($Q$1004:$U$1004,1,MATCH(COLUMNS($Q$1006:T1006),$Q$1006:$U$1006,0)))),"Fix")))</f>
        <v xml:space="preserve"> </v>
      </c>
      <c r="F950" s="3" t="str">
        <f ca="1">IF(OR(INDEX($K$2:$K$1001,MATCH(ROWS($J$2:J950),$J$2:$J$1001,0),1)&gt;=100000,INDEX($Q$1005:$U$1005,1,MATCH(COLUMNS($Q$1006:U1006),$Q$1006:$U$1006,0))&gt;=100000), " ",IF(INDEX($Q$2:$U$1001,MATCH(ROWS($J$2:J950),$J$2:$J$1001,0),MATCH(COLUMNS($Q$1006:U1006),$Q$1006:$U$1006,0)), HYPERLINK("#",""), HYPERLINK(CONCATENATE("#metadata!", ADDRESS(INDEX($L$2:$L$1001,MATCH(ROWS($J$2:J950),$J$2:$J$1001,0),0), INDEX($Q$1004:$U$1004,1,MATCH(COLUMNS($Q$1006:U1006),$Q$1006:$U$1006,0)))),"Fix")))</f>
        <v xml:space="preserve"> </v>
      </c>
      <c r="J950">
        <v>949</v>
      </c>
      <c r="K950">
        <v>100950</v>
      </c>
      <c r="L950">
        <v>950</v>
      </c>
      <c r="M950" t="b">
        <f t="shared" si="14"/>
        <v>1</v>
      </c>
      <c r="N950" t="b">
        <f>COUNTBLANK(metadata!B950:F950)=COLUMNS(metadata!B950:F950)</f>
        <v>1</v>
      </c>
      <c r="O950" t="str">
        <v/>
      </c>
      <c r="Q950" t="b">
        <f ca="1">AND(IF(metadata!B950="",FALSE,TRUE),COUNTIF(metadata!B:B, metadata!B950) = 1,NOT(ISERROR(SUMPRODUCT(SEARCH(MID(metadata!B950,ROW(INDIRECT("1:"&amp;LEN(metadata!B950))), 1),"0123456789abcdefghijklmnopqrstuvwxyzABCDEFGHIJKLMNOPQRSTUVWXYZ.")))))</f>
        <v>0</v>
      </c>
      <c r="R950" t="b">
        <f>AND(IF(metadata!C950="",FALSE,TRUE),OR(EXACT(metadata!C950,"saline"),EXACT(metadata!C950,"non-saline")))</f>
        <v>0</v>
      </c>
      <c r="S950" t="b">
        <f>AND(IF(metadata!D950="",FALSE,TRUE),OR(EXACT(metadata!D950,"surface (non-saline)"),EXACT(metadata!D950,"aerosol (non-saline)"),EXACT(metadata!D950,"sediment (non-saline)"),EXACT(metadata!D950,"surface (saline)"),EXACT(metadata!D950,"aerosol (saline)"),EXACT(metadata!D950,"sediment (saline)")))</f>
        <v>0</v>
      </c>
      <c r="T950" t="b">
        <f>AND(IF(metadata!E950="",FALSE,TRUE),EXACT(metadata!E950,"built environment"))</f>
        <v>0</v>
      </c>
      <c r="U950" t="b">
        <f>OR(AND(IF(metadata!F950="",FALSE,TRUE),EXACT(metadata!F950,"not applicable")),AND(IF(metadata!F950="",FALSE,TRUE),EXACT(metadata!F950,"anaerobic digester content")))</f>
        <v>0</v>
      </c>
    </row>
    <row r="951" spans="1:21" x14ac:dyDescent="0.2">
      <c r="A951" s="4" t="str">
        <f ca="1">IF(B951=" "," ",HYPERLINK(CONCATENATE("#metadata!",ADDRESS(INDEX($L$2:$L$1001,MATCH(ROWS($J$2:J951),$J$2:$J$1001,0),0),1)),INDEX($O$2:$O$1001,MATCH(ROWS($J$2:J951),$J$2:$J$1001,0),0)))</f>
        <v xml:space="preserve"> </v>
      </c>
      <c r="B951" s="3" t="str">
        <f ca="1">IF(OR(INDEX($K$2:$K$1001,MATCH(ROWS($J$2:J951),$J$2:$J$1001,0),1)&gt;=100000,INDEX($Q$1005:$U$1005,1,MATCH(COLUMNS($Q$1006:Q1006),$Q$1006:$U$1006,0))&gt;=100000), " ",IF(INDEX($Q$2:$U$1001,MATCH(ROWS($J$2:J951),$J$2:$J$1001,0),MATCH(COLUMNS($Q$1006:Q1006),$Q$1006:$U$1006,0)), HYPERLINK("#",""), HYPERLINK(CONCATENATE("#metadata!", ADDRESS(INDEX($L$2:$L$1001,MATCH(ROWS($J$2:J951),$J$2:$J$1001,0),0), INDEX($Q$1004:$U$1004,1,MATCH(COLUMNS($Q$1006:Q1006),$Q$1006:$U$1006,0)))),"Fix")))</f>
        <v xml:space="preserve"> </v>
      </c>
      <c r="C951" s="3" t="str">
        <f ca="1">IF(OR(INDEX($K$2:$K$1001,MATCH(ROWS($J$2:J951),$J$2:$J$1001,0),1)&gt;=100000,INDEX($Q$1005:$U$1005,1,MATCH(COLUMNS($Q$1006:R1006),$Q$1006:$U$1006,0))&gt;=100000), " ",IF(INDEX($Q$2:$U$1001,MATCH(ROWS($J$2:J951),$J$2:$J$1001,0),MATCH(COLUMNS($Q$1006:R1006),$Q$1006:$U$1006,0)), HYPERLINK("#",""), HYPERLINK(CONCATENATE("#metadata!", ADDRESS(INDEX($L$2:$L$1001,MATCH(ROWS($J$2:J951),$J$2:$J$1001,0),0), INDEX($Q$1004:$U$1004,1,MATCH(COLUMNS($Q$1006:R1006),$Q$1006:$U$1006,0)))),"Fix")))</f>
        <v xml:space="preserve"> </v>
      </c>
      <c r="D951" s="3" t="str">
        <f ca="1">IF(OR(INDEX($K$2:$K$1001,MATCH(ROWS($J$2:J951),$J$2:$J$1001,0),1)&gt;=100000,INDEX($Q$1005:$U$1005,1,MATCH(COLUMNS($Q$1006:S1006),$Q$1006:$U$1006,0))&gt;=100000), " ",IF(INDEX($Q$2:$U$1001,MATCH(ROWS($J$2:J951),$J$2:$J$1001,0),MATCH(COLUMNS($Q$1006:S1006),$Q$1006:$U$1006,0)), HYPERLINK("#",""), HYPERLINK(CONCATENATE("#metadata!", ADDRESS(INDEX($L$2:$L$1001,MATCH(ROWS($J$2:J951),$J$2:$J$1001,0),0), INDEX($Q$1004:$U$1004,1,MATCH(COLUMNS($Q$1006:S1006),$Q$1006:$U$1006,0)))),"Fix")))</f>
        <v xml:space="preserve"> </v>
      </c>
      <c r="E951" s="3" t="str">
        <f ca="1">IF(OR(INDEX($K$2:$K$1001,MATCH(ROWS($J$2:J951),$J$2:$J$1001,0),1)&gt;=100000,INDEX($Q$1005:$U$1005,1,MATCH(COLUMNS($Q$1006:T1006),$Q$1006:$U$1006,0))&gt;=100000), " ",IF(INDEX($Q$2:$U$1001,MATCH(ROWS($J$2:J951),$J$2:$J$1001,0),MATCH(COLUMNS($Q$1006:T1006),$Q$1006:$U$1006,0)), HYPERLINK("#",""), HYPERLINK(CONCATENATE("#metadata!", ADDRESS(INDEX($L$2:$L$1001,MATCH(ROWS($J$2:J951),$J$2:$J$1001,0),0), INDEX($Q$1004:$U$1004,1,MATCH(COLUMNS($Q$1006:T1006),$Q$1006:$U$1006,0)))),"Fix")))</f>
        <v xml:space="preserve"> </v>
      </c>
      <c r="F951" s="3" t="str">
        <f ca="1">IF(OR(INDEX($K$2:$K$1001,MATCH(ROWS($J$2:J951),$J$2:$J$1001,0),1)&gt;=100000,INDEX($Q$1005:$U$1005,1,MATCH(COLUMNS($Q$1006:U1006),$Q$1006:$U$1006,0))&gt;=100000), " ",IF(INDEX($Q$2:$U$1001,MATCH(ROWS($J$2:J951),$J$2:$J$1001,0),MATCH(COLUMNS($Q$1006:U1006),$Q$1006:$U$1006,0)), HYPERLINK("#",""), HYPERLINK(CONCATENATE("#metadata!", ADDRESS(INDEX($L$2:$L$1001,MATCH(ROWS($J$2:J951),$J$2:$J$1001,0),0), INDEX($Q$1004:$U$1004,1,MATCH(COLUMNS($Q$1006:U1006),$Q$1006:$U$1006,0)))),"Fix")))</f>
        <v xml:space="preserve"> </v>
      </c>
      <c r="J951">
        <v>950</v>
      </c>
      <c r="K951">
        <v>100951</v>
      </c>
      <c r="L951">
        <v>951</v>
      </c>
      <c r="M951" t="b">
        <f t="shared" si="14"/>
        <v>1</v>
      </c>
      <c r="N951" t="b">
        <f>COUNTBLANK(metadata!B951:F951)=COLUMNS(metadata!B951:F951)</f>
        <v>1</v>
      </c>
      <c r="O951" t="str">
        <v/>
      </c>
      <c r="Q951" t="b">
        <f ca="1">AND(IF(metadata!B951="",FALSE,TRUE),COUNTIF(metadata!B:B, metadata!B951) = 1,NOT(ISERROR(SUMPRODUCT(SEARCH(MID(metadata!B951,ROW(INDIRECT("1:"&amp;LEN(metadata!B951))), 1),"0123456789abcdefghijklmnopqrstuvwxyzABCDEFGHIJKLMNOPQRSTUVWXYZ.")))))</f>
        <v>0</v>
      </c>
      <c r="R951" t="b">
        <f>AND(IF(metadata!C951="",FALSE,TRUE),OR(EXACT(metadata!C951,"saline"),EXACT(metadata!C951,"non-saline")))</f>
        <v>0</v>
      </c>
      <c r="S951" t="b">
        <f>AND(IF(metadata!D951="",FALSE,TRUE),OR(EXACT(metadata!D951,"surface (non-saline)"),EXACT(metadata!D951,"aerosol (non-saline)"),EXACT(metadata!D951,"sediment (non-saline)"),EXACT(metadata!D951,"surface (saline)"),EXACT(metadata!D951,"aerosol (saline)"),EXACT(metadata!D951,"sediment (saline)")))</f>
        <v>0</v>
      </c>
      <c r="T951" t="b">
        <f>AND(IF(metadata!E951="",FALSE,TRUE),EXACT(metadata!E951,"built environment"))</f>
        <v>0</v>
      </c>
      <c r="U951" t="b">
        <f>OR(AND(IF(metadata!F951="",FALSE,TRUE),EXACT(metadata!F951,"not applicable")),AND(IF(metadata!F951="",FALSE,TRUE),EXACT(metadata!F951,"anaerobic digester content")))</f>
        <v>0</v>
      </c>
    </row>
    <row r="952" spans="1:21" x14ac:dyDescent="0.2">
      <c r="A952" s="4" t="str">
        <f ca="1">IF(B952=" "," ",HYPERLINK(CONCATENATE("#metadata!",ADDRESS(INDEX($L$2:$L$1001,MATCH(ROWS($J$2:J952),$J$2:$J$1001,0),0),1)),INDEX($O$2:$O$1001,MATCH(ROWS($J$2:J952),$J$2:$J$1001,0),0)))</f>
        <v xml:space="preserve"> </v>
      </c>
      <c r="B952" s="3" t="str">
        <f ca="1">IF(OR(INDEX($K$2:$K$1001,MATCH(ROWS($J$2:J952),$J$2:$J$1001,0),1)&gt;=100000,INDEX($Q$1005:$U$1005,1,MATCH(COLUMNS($Q$1006:Q1006),$Q$1006:$U$1006,0))&gt;=100000), " ",IF(INDEX($Q$2:$U$1001,MATCH(ROWS($J$2:J952),$J$2:$J$1001,0),MATCH(COLUMNS($Q$1006:Q1006),$Q$1006:$U$1006,0)), HYPERLINK("#",""), HYPERLINK(CONCATENATE("#metadata!", ADDRESS(INDEX($L$2:$L$1001,MATCH(ROWS($J$2:J952),$J$2:$J$1001,0),0), INDEX($Q$1004:$U$1004,1,MATCH(COLUMNS($Q$1006:Q1006),$Q$1006:$U$1006,0)))),"Fix")))</f>
        <v xml:space="preserve"> </v>
      </c>
      <c r="C952" s="3" t="str">
        <f ca="1">IF(OR(INDEX($K$2:$K$1001,MATCH(ROWS($J$2:J952),$J$2:$J$1001,0),1)&gt;=100000,INDEX($Q$1005:$U$1005,1,MATCH(COLUMNS($Q$1006:R1006),$Q$1006:$U$1006,0))&gt;=100000), " ",IF(INDEX($Q$2:$U$1001,MATCH(ROWS($J$2:J952),$J$2:$J$1001,0),MATCH(COLUMNS($Q$1006:R1006),$Q$1006:$U$1006,0)), HYPERLINK("#",""), HYPERLINK(CONCATENATE("#metadata!", ADDRESS(INDEX($L$2:$L$1001,MATCH(ROWS($J$2:J952),$J$2:$J$1001,0),0), INDEX($Q$1004:$U$1004,1,MATCH(COLUMNS($Q$1006:R1006),$Q$1006:$U$1006,0)))),"Fix")))</f>
        <v xml:space="preserve"> </v>
      </c>
      <c r="D952" s="3" t="str">
        <f ca="1">IF(OR(INDEX($K$2:$K$1001,MATCH(ROWS($J$2:J952),$J$2:$J$1001,0),1)&gt;=100000,INDEX($Q$1005:$U$1005,1,MATCH(COLUMNS($Q$1006:S1006),$Q$1006:$U$1006,0))&gt;=100000), " ",IF(INDEX($Q$2:$U$1001,MATCH(ROWS($J$2:J952),$J$2:$J$1001,0),MATCH(COLUMNS($Q$1006:S1006),$Q$1006:$U$1006,0)), HYPERLINK("#",""), HYPERLINK(CONCATENATE("#metadata!", ADDRESS(INDEX($L$2:$L$1001,MATCH(ROWS($J$2:J952),$J$2:$J$1001,0),0), INDEX($Q$1004:$U$1004,1,MATCH(COLUMNS($Q$1006:S1006),$Q$1006:$U$1006,0)))),"Fix")))</f>
        <v xml:space="preserve"> </v>
      </c>
      <c r="E952" s="3" t="str">
        <f ca="1">IF(OR(INDEX($K$2:$K$1001,MATCH(ROWS($J$2:J952),$J$2:$J$1001,0),1)&gt;=100000,INDEX($Q$1005:$U$1005,1,MATCH(COLUMNS($Q$1006:T1006),$Q$1006:$U$1006,0))&gt;=100000), " ",IF(INDEX($Q$2:$U$1001,MATCH(ROWS($J$2:J952),$J$2:$J$1001,0),MATCH(COLUMNS($Q$1006:T1006),$Q$1006:$U$1006,0)), HYPERLINK("#",""), HYPERLINK(CONCATENATE("#metadata!", ADDRESS(INDEX($L$2:$L$1001,MATCH(ROWS($J$2:J952),$J$2:$J$1001,0),0), INDEX($Q$1004:$U$1004,1,MATCH(COLUMNS($Q$1006:T1006),$Q$1006:$U$1006,0)))),"Fix")))</f>
        <v xml:space="preserve"> </v>
      </c>
      <c r="F952" s="3" t="str">
        <f ca="1">IF(OR(INDEX($K$2:$K$1001,MATCH(ROWS($J$2:J952),$J$2:$J$1001,0),1)&gt;=100000,INDEX($Q$1005:$U$1005,1,MATCH(COLUMNS($Q$1006:U1006),$Q$1006:$U$1006,0))&gt;=100000), " ",IF(INDEX($Q$2:$U$1001,MATCH(ROWS($J$2:J952),$J$2:$J$1001,0),MATCH(COLUMNS($Q$1006:U1006),$Q$1006:$U$1006,0)), HYPERLINK("#",""), HYPERLINK(CONCATENATE("#metadata!", ADDRESS(INDEX($L$2:$L$1001,MATCH(ROWS($J$2:J952),$J$2:$J$1001,0),0), INDEX($Q$1004:$U$1004,1,MATCH(COLUMNS($Q$1006:U1006),$Q$1006:$U$1006,0)))),"Fix")))</f>
        <v xml:space="preserve"> </v>
      </c>
      <c r="J952">
        <v>951</v>
      </c>
      <c r="K952">
        <v>100952</v>
      </c>
      <c r="L952">
        <v>952</v>
      </c>
      <c r="M952" t="b">
        <f t="shared" si="14"/>
        <v>1</v>
      </c>
      <c r="N952" t="b">
        <f>COUNTBLANK(metadata!B952:F952)=COLUMNS(metadata!B952:F952)</f>
        <v>1</v>
      </c>
      <c r="O952" t="str">
        <v/>
      </c>
      <c r="Q952" t="b">
        <f ca="1">AND(IF(metadata!B952="",FALSE,TRUE),COUNTIF(metadata!B:B, metadata!B952) = 1,NOT(ISERROR(SUMPRODUCT(SEARCH(MID(metadata!B952,ROW(INDIRECT("1:"&amp;LEN(metadata!B952))), 1),"0123456789abcdefghijklmnopqrstuvwxyzABCDEFGHIJKLMNOPQRSTUVWXYZ.")))))</f>
        <v>0</v>
      </c>
      <c r="R952" t="b">
        <f>AND(IF(metadata!C952="",FALSE,TRUE),OR(EXACT(metadata!C952,"saline"),EXACT(metadata!C952,"non-saline")))</f>
        <v>0</v>
      </c>
      <c r="S952" t="b">
        <f>AND(IF(metadata!D952="",FALSE,TRUE),OR(EXACT(metadata!D952,"surface (non-saline)"),EXACT(metadata!D952,"aerosol (non-saline)"),EXACT(metadata!D952,"sediment (non-saline)"),EXACT(metadata!D952,"surface (saline)"),EXACT(metadata!D952,"aerosol (saline)"),EXACT(metadata!D952,"sediment (saline)")))</f>
        <v>0</v>
      </c>
      <c r="T952" t="b">
        <f>AND(IF(metadata!E952="",FALSE,TRUE),EXACT(metadata!E952,"built environment"))</f>
        <v>0</v>
      </c>
      <c r="U952" t="b">
        <f>OR(AND(IF(metadata!F952="",FALSE,TRUE),EXACT(metadata!F952,"not applicable")),AND(IF(metadata!F952="",FALSE,TRUE),EXACT(metadata!F952,"anaerobic digester content")))</f>
        <v>0</v>
      </c>
    </row>
    <row r="953" spans="1:21" x14ac:dyDescent="0.2">
      <c r="A953" s="4" t="str">
        <f ca="1">IF(B953=" "," ",HYPERLINK(CONCATENATE("#metadata!",ADDRESS(INDEX($L$2:$L$1001,MATCH(ROWS($J$2:J953),$J$2:$J$1001,0),0),1)),INDEX($O$2:$O$1001,MATCH(ROWS($J$2:J953),$J$2:$J$1001,0),0)))</f>
        <v xml:space="preserve"> </v>
      </c>
      <c r="B953" s="3" t="str">
        <f ca="1">IF(OR(INDEX($K$2:$K$1001,MATCH(ROWS($J$2:J953),$J$2:$J$1001,0),1)&gt;=100000,INDEX($Q$1005:$U$1005,1,MATCH(COLUMNS($Q$1006:Q1006),$Q$1006:$U$1006,0))&gt;=100000), " ",IF(INDEX($Q$2:$U$1001,MATCH(ROWS($J$2:J953),$J$2:$J$1001,0),MATCH(COLUMNS($Q$1006:Q1006),$Q$1006:$U$1006,0)), HYPERLINK("#",""), HYPERLINK(CONCATENATE("#metadata!", ADDRESS(INDEX($L$2:$L$1001,MATCH(ROWS($J$2:J953),$J$2:$J$1001,0),0), INDEX($Q$1004:$U$1004,1,MATCH(COLUMNS($Q$1006:Q1006),$Q$1006:$U$1006,0)))),"Fix")))</f>
        <v xml:space="preserve"> </v>
      </c>
      <c r="C953" s="3" t="str">
        <f ca="1">IF(OR(INDEX($K$2:$K$1001,MATCH(ROWS($J$2:J953),$J$2:$J$1001,0),1)&gt;=100000,INDEX($Q$1005:$U$1005,1,MATCH(COLUMNS($Q$1006:R1006),$Q$1006:$U$1006,0))&gt;=100000), " ",IF(INDEX($Q$2:$U$1001,MATCH(ROWS($J$2:J953),$J$2:$J$1001,0),MATCH(COLUMNS($Q$1006:R1006),$Q$1006:$U$1006,0)), HYPERLINK("#",""), HYPERLINK(CONCATENATE("#metadata!", ADDRESS(INDEX($L$2:$L$1001,MATCH(ROWS($J$2:J953),$J$2:$J$1001,0),0), INDEX($Q$1004:$U$1004,1,MATCH(COLUMNS($Q$1006:R1006),$Q$1006:$U$1006,0)))),"Fix")))</f>
        <v xml:space="preserve"> </v>
      </c>
      <c r="D953" s="3" t="str">
        <f ca="1">IF(OR(INDEX($K$2:$K$1001,MATCH(ROWS($J$2:J953),$J$2:$J$1001,0),1)&gt;=100000,INDEX($Q$1005:$U$1005,1,MATCH(COLUMNS($Q$1006:S1006),$Q$1006:$U$1006,0))&gt;=100000), " ",IF(INDEX($Q$2:$U$1001,MATCH(ROWS($J$2:J953),$J$2:$J$1001,0),MATCH(COLUMNS($Q$1006:S1006),$Q$1006:$U$1006,0)), HYPERLINK("#",""), HYPERLINK(CONCATENATE("#metadata!", ADDRESS(INDEX($L$2:$L$1001,MATCH(ROWS($J$2:J953),$J$2:$J$1001,0),0), INDEX($Q$1004:$U$1004,1,MATCH(COLUMNS($Q$1006:S1006),$Q$1006:$U$1006,0)))),"Fix")))</f>
        <v xml:space="preserve"> </v>
      </c>
      <c r="E953" s="3" t="str">
        <f ca="1">IF(OR(INDEX($K$2:$K$1001,MATCH(ROWS($J$2:J953),$J$2:$J$1001,0),1)&gt;=100000,INDEX($Q$1005:$U$1005,1,MATCH(COLUMNS($Q$1006:T1006),$Q$1006:$U$1006,0))&gt;=100000), " ",IF(INDEX($Q$2:$U$1001,MATCH(ROWS($J$2:J953),$J$2:$J$1001,0),MATCH(COLUMNS($Q$1006:T1006),$Q$1006:$U$1006,0)), HYPERLINK("#",""), HYPERLINK(CONCATENATE("#metadata!", ADDRESS(INDEX($L$2:$L$1001,MATCH(ROWS($J$2:J953),$J$2:$J$1001,0),0), INDEX($Q$1004:$U$1004,1,MATCH(COLUMNS($Q$1006:T1006),$Q$1006:$U$1006,0)))),"Fix")))</f>
        <v xml:space="preserve"> </v>
      </c>
      <c r="F953" s="3" t="str">
        <f ca="1">IF(OR(INDEX($K$2:$K$1001,MATCH(ROWS($J$2:J953),$J$2:$J$1001,0),1)&gt;=100000,INDEX($Q$1005:$U$1005,1,MATCH(COLUMNS($Q$1006:U1006),$Q$1006:$U$1006,0))&gt;=100000), " ",IF(INDEX($Q$2:$U$1001,MATCH(ROWS($J$2:J953),$J$2:$J$1001,0),MATCH(COLUMNS($Q$1006:U1006),$Q$1006:$U$1006,0)), HYPERLINK("#",""), HYPERLINK(CONCATENATE("#metadata!", ADDRESS(INDEX($L$2:$L$1001,MATCH(ROWS($J$2:J953),$J$2:$J$1001,0),0), INDEX($Q$1004:$U$1004,1,MATCH(COLUMNS($Q$1006:U1006),$Q$1006:$U$1006,0)))),"Fix")))</f>
        <v xml:space="preserve"> </v>
      </c>
      <c r="J953">
        <v>952</v>
      </c>
      <c r="K953">
        <v>100953</v>
      </c>
      <c r="L953">
        <v>953</v>
      </c>
      <c r="M953" t="b">
        <f t="shared" si="14"/>
        <v>1</v>
      </c>
      <c r="N953" t="b">
        <f>COUNTBLANK(metadata!B953:F953)=COLUMNS(metadata!B953:F953)</f>
        <v>1</v>
      </c>
      <c r="O953" t="str">
        <v/>
      </c>
      <c r="Q953" t="b">
        <f ca="1">AND(IF(metadata!B953="",FALSE,TRUE),COUNTIF(metadata!B:B, metadata!B953) = 1,NOT(ISERROR(SUMPRODUCT(SEARCH(MID(metadata!B953,ROW(INDIRECT("1:"&amp;LEN(metadata!B953))), 1),"0123456789abcdefghijklmnopqrstuvwxyzABCDEFGHIJKLMNOPQRSTUVWXYZ.")))))</f>
        <v>0</v>
      </c>
      <c r="R953" t="b">
        <f>AND(IF(metadata!C953="",FALSE,TRUE),OR(EXACT(metadata!C953,"saline"),EXACT(metadata!C953,"non-saline")))</f>
        <v>0</v>
      </c>
      <c r="S953" t="b">
        <f>AND(IF(metadata!D953="",FALSE,TRUE),OR(EXACT(metadata!D953,"surface (non-saline)"),EXACT(metadata!D953,"aerosol (non-saline)"),EXACT(metadata!D953,"sediment (non-saline)"),EXACT(metadata!D953,"surface (saline)"),EXACT(metadata!D953,"aerosol (saline)"),EXACT(metadata!D953,"sediment (saline)")))</f>
        <v>0</v>
      </c>
      <c r="T953" t="b">
        <f>AND(IF(metadata!E953="",FALSE,TRUE),EXACT(metadata!E953,"built environment"))</f>
        <v>0</v>
      </c>
      <c r="U953" t="b">
        <f>OR(AND(IF(metadata!F953="",FALSE,TRUE),EXACT(metadata!F953,"not applicable")),AND(IF(metadata!F953="",FALSE,TRUE),EXACT(metadata!F953,"anaerobic digester content")))</f>
        <v>0</v>
      </c>
    </row>
    <row r="954" spans="1:21" x14ac:dyDescent="0.2">
      <c r="A954" s="4" t="str">
        <f ca="1">IF(B954=" "," ",HYPERLINK(CONCATENATE("#metadata!",ADDRESS(INDEX($L$2:$L$1001,MATCH(ROWS($J$2:J954),$J$2:$J$1001,0),0),1)),INDEX($O$2:$O$1001,MATCH(ROWS($J$2:J954),$J$2:$J$1001,0),0)))</f>
        <v xml:space="preserve"> </v>
      </c>
      <c r="B954" s="3" t="str">
        <f ca="1">IF(OR(INDEX($K$2:$K$1001,MATCH(ROWS($J$2:J954),$J$2:$J$1001,0),1)&gt;=100000,INDEX($Q$1005:$U$1005,1,MATCH(COLUMNS($Q$1006:Q1006),$Q$1006:$U$1006,0))&gt;=100000), " ",IF(INDEX($Q$2:$U$1001,MATCH(ROWS($J$2:J954),$J$2:$J$1001,0),MATCH(COLUMNS($Q$1006:Q1006),$Q$1006:$U$1006,0)), HYPERLINK("#",""), HYPERLINK(CONCATENATE("#metadata!", ADDRESS(INDEX($L$2:$L$1001,MATCH(ROWS($J$2:J954),$J$2:$J$1001,0),0), INDEX($Q$1004:$U$1004,1,MATCH(COLUMNS($Q$1006:Q1006),$Q$1006:$U$1006,0)))),"Fix")))</f>
        <v xml:space="preserve"> </v>
      </c>
      <c r="C954" s="3" t="str">
        <f ca="1">IF(OR(INDEX($K$2:$K$1001,MATCH(ROWS($J$2:J954),$J$2:$J$1001,0),1)&gt;=100000,INDEX($Q$1005:$U$1005,1,MATCH(COLUMNS($Q$1006:R1006),$Q$1006:$U$1006,0))&gt;=100000), " ",IF(INDEX($Q$2:$U$1001,MATCH(ROWS($J$2:J954),$J$2:$J$1001,0),MATCH(COLUMNS($Q$1006:R1006),$Q$1006:$U$1006,0)), HYPERLINK("#",""), HYPERLINK(CONCATENATE("#metadata!", ADDRESS(INDEX($L$2:$L$1001,MATCH(ROWS($J$2:J954),$J$2:$J$1001,0),0), INDEX($Q$1004:$U$1004,1,MATCH(COLUMNS($Q$1006:R1006),$Q$1006:$U$1006,0)))),"Fix")))</f>
        <v xml:space="preserve"> </v>
      </c>
      <c r="D954" s="3" t="str">
        <f ca="1">IF(OR(INDEX($K$2:$K$1001,MATCH(ROWS($J$2:J954),$J$2:$J$1001,0),1)&gt;=100000,INDEX($Q$1005:$U$1005,1,MATCH(COLUMNS($Q$1006:S1006),$Q$1006:$U$1006,0))&gt;=100000), " ",IF(INDEX($Q$2:$U$1001,MATCH(ROWS($J$2:J954),$J$2:$J$1001,0),MATCH(COLUMNS($Q$1006:S1006),$Q$1006:$U$1006,0)), HYPERLINK("#",""), HYPERLINK(CONCATENATE("#metadata!", ADDRESS(INDEX($L$2:$L$1001,MATCH(ROWS($J$2:J954),$J$2:$J$1001,0),0), INDEX($Q$1004:$U$1004,1,MATCH(COLUMNS($Q$1006:S1006),$Q$1006:$U$1006,0)))),"Fix")))</f>
        <v xml:space="preserve"> </v>
      </c>
      <c r="E954" s="3" t="str">
        <f ca="1">IF(OR(INDEX($K$2:$K$1001,MATCH(ROWS($J$2:J954),$J$2:$J$1001,0),1)&gt;=100000,INDEX($Q$1005:$U$1005,1,MATCH(COLUMNS($Q$1006:T1006),$Q$1006:$U$1006,0))&gt;=100000), " ",IF(INDEX($Q$2:$U$1001,MATCH(ROWS($J$2:J954),$J$2:$J$1001,0),MATCH(COLUMNS($Q$1006:T1006),$Q$1006:$U$1006,0)), HYPERLINK("#",""), HYPERLINK(CONCATENATE("#metadata!", ADDRESS(INDEX($L$2:$L$1001,MATCH(ROWS($J$2:J954),$J$2:$J$1001,0),0), INDEX($Q$1004:$U$1004,1,MATCH(COLUMNS($Q$1006:T1006),$Q$1006:$U$1006,0)))),"Fix")))</f>
        <v xml:space="preserve"> </v>
      </c>
      <c r="F954" s="3" t="str">
        <f ca="1">IF(OR(INDEX($K$2:$K$1001,MATCH(ROWS($J$2:J954),$J$2:$J$1001,0),1)&gt;=100000,INDEX($Q$1005:$U$1005,1,MATCH(COLUMNS($Q$1006:U1006),$Q$1006:$U$1006,0))&gt;=100000), " ",IF(INDEX($Q$2:$U$1001,MATCH(ROWS($J$2:J954),$J$2:$J$1001,0),MATCH(COLUMNS($Q$1006:U1006),$Q$1006:$U$1006,0)), HYPERLINK("#",""), HYPERLINK(CONCATENATE("#metadata!", ADDRESS(INDEX($L$2:$L$1001,MATCH(ROWS($J$2:J954),$J$2:$J$1001,0),0), INDEX($Q$1004:$U$1004,1,MATCH(COLUMNS($Q$1006:U1006),$Q$1006:$U$1006,0)))),"Fix")))</f>
        <v xml:space="preserve"> </v>
      </c>
      <c r="J954">
        <v>953</v>
      </c>
      <c r="K954">
        <v>100954</v>
      </c>
      <c r="L954">
        <v>954</v>
      </c>
      <c r="M954" t="b">
        <f t="shared" si="14"/>
        <v>1</v>
      </c>
      <c r="N954" t="b">
        <f>COUNTBLANK(metadata!B954:F954)=COLUMNS(metadata!B954:F954)</f>
        <v>1</v>
      </c>
      <c r="O954" t="str">
        <v/>
      </c>
      <c r="Q954" t="b">
        <f ca="1">AND(IF(metadata!B954="",FALSE,TRUE),COUNTIF(metadata!B:B, metadata!B954) = 1,NOT(ISERROR(SUMPRODUCT(SEARCH(MID(metadata!B954,ROW(INDIRECT("1:"&amp;LEN(metadata!B954))), 1),"0123456789abcdefghijklmnopqrstuvwxyzABCDEFGHIJKLMNOPQRSTUVWXYZ.")))))</f>
        <v>0</v>
      </c>
      <c r="R954" t="b">
        <f>AND(IF(metadata!C954="",FALSE,TRUE),OR(EXACT(metadata!C954,"saline"),EXACT(metadata!C954,"non-saline")))</f>
        <v>0</v>
      </c>
      <c r="S954" t="b">
        <f>AND(IF(metadata!D954="",FALSE,TRUE),OR(EXACT(metadata!D954,"surface (non-saline)"),EXACT(metadata!D954,"aerosol (non-saline)"),EXACT(metadata!D954,"sediment (non-saline)"),EXACT(metadata!D954,"surface (saline)"),EXACT(metadata!D954,"aerosol (saline)"),EXACT(metadata!D954,"sediment (saline)")))</f>
        <v>0</v>
      </c>
      <c r="T954" t="b">
        <f>AND(IF(metadata!E954="",FALSE,TRUE),EXACT(metadata!E954,"built environment"))</f>
        <v>0</v>
      </c>
      <c r="U954" t="b">
        <f>OR(AND(IF(metadata!F954="",FALSE,TRUE),EXACT(metadata!F954,"not applicable")),AND(IF(metadata!F954="",FALSE,TRUE),EXACT(metadata!F954,"anaerobic digester content")))</f>
        <v>0</v>
      </c>
    </row>
    <row r="955" spans="1:21" x14ac:dyDescent="0.2">
      <c r="A955" s="4" t="str">
        <f ca="1">IF(B955=" "," ",HYPERLINK(CONCATENATE("#metadata!",ADDRESS(INDEX($L$2:$L$1001,MATCH(ROWS($J$2:J955),$J$2:$J$1001,0),0),1)),INDEX($O$2:$O$1001,MATCH(ROWS($J$2:J955),$J$2:$J$1001,0),0)))</f>
        <v xml:space="preserve"> </v>
      </c>
      <c r="B955" s="3" t="str">
        <f ca="1">IF(OR(INDEX($K$2:$K$1001,MATCH(ROWS($J$2:J955),$J$2:$J$1001,0),1)&gt;=100000,INDEX($Q$1005:$U$1005,1,MATCH(COLUMNS($Q$1006:Q1006),$Q$1006:$U$1006,0))&gt;=100000), " ",IF(INDEX($Q$2:$U$1001,MATCH(ROWS($J$2:J955),$J$2:$J$1001,0),MATCH(COLUMNS($Q$1006:Q1006),$Q$1006:$U$1006,0)), HYPERLINK("#",""), HYPERLINK(CONCATENATE("#metadata!", ADDRESS(INDEX($L$2:$L$1001,MATCH(ROWS($J$2:J955),$J$2:$J$1001,0),0), INDEX($Q$1004:$U$1004,1,MATCH(COLUMNS($Q$1006:Q1006),$Q$1006:$U$1006,0)))),"Fix")))</f>
        <v xml:space="preserve"> </v>
      </c>
      <c r="C955" s="3" t="str">
        <f ca="1">IF(OR(INDEX($K$2:$K$1001,MATCH(ROWS($J$2:J955),$J$2:$J$1001,0),1)&gt;=100000,INDEX($Q$1005:$U$1005,1,MATCH(COLUMNS($Q$1006:R1006),$Q$1006:$U$1006,0))&gt;=100000), " ",IF(INDEX($Q$2:$U$1001,MATCH(ROWS($J$2:J955),$J$2:$J$1001,0),MATCH(COLUMNS($Q$1006:R1006),$Q$1006:$U$1006,0)), HYPERLINK("#",""), HYPERLINK(CONCATENATE("#metadata!", ADDRESS(INDEX($L$2:$L$1001,MATCH(ROWS($J$2:J955),$J$2:$J$1001,0),0), INDEX($Q$1004:$U$1004,1,MATCH(COLUMNS($Q$1006:R1006),$Q$1006:$U$1006,0)))),"Fix")))</f>
        <v xml:space="preserve"> </v>
      </c>
      <c r="D955" s="3" t="str">
        <f ca="1">IF(OR(INDEX($K$2:$K$1001,MATCH(ROWS($J$2:J955),$J$2:$J$1001,0),1)&gt;=100000,INDEX($Q$1005:$U$1005,1,MATCH(COLUMNS($Q$1006:S1006),$Q$1006:$U$1006,0))&gt;=100000), " ",IF(INDEX($Q$2:$U$1001,MATCH(ROWS($J$2:J955),$J$2:$J$1001,0),MATCH(COLUMNS($Q$1006:S1006),$Q$1006:$U$1006,0)), HYPERLINK("#",""), HYPERLINK(CONCATENATE("#metadata!", ADDRESS(INDEX($L$2:$L$1001,MATCH(ROWS($J$2:J955),$J$2:$J$1001,0),0), INDEX($Q$1004:$U$1004,1,MATCH(COLUMNS($Q$1006:S1006),$Q$1006:$U$1006,0)))),"Fix")))</f>
        <v xml:space="preserve"> </v>
      </c>
      <c r="E955" s="3" t="str">
        <f ca="1">IF(OR(INDEX($K$2:$K$1001,MATCH(ROWS($J$2:J955),$J$2:$J$1001,0),1)&gt;=100000,INDEX($Q$1005:$U$1005,1,MATCH(COLUMNS($Q$1006:T1006),$Q$1006:$U$1006,0))&gt;=100000), " ",IF(INDEX($Q$2:$U$1001,MATCH(ROWS($J$2:J955),$J$2:$J$1001,0),MATCH(COLUMNS($Q$1006:T1006),$Q$1006:$U$1006,0)), HYPERLINK("#",""), HYPERLINK(CONCATENATE("#metadata!", ADDRESS(INDEX($L$2:$L$1001,MATCH(ROWS($J$2:J955),$J$2:$J$1001,0),0), INDEX($Q$1004:$U$1004,1,MATCH(COLUMNS($Q$1006:T1006),$Q$1006:$U$1006,0)))),"Fix")))</f>
        <v xml:space="preserve"> </v>
      </c>
      <c r="F955" s="3" t="str">
        <f ca="1">IF(OR(INDEX($K$2:$K$1001,MATCH(ROWS($J$2:J955),$J$2:$J$1001,0),1)&gt;=100000,INDEX($Q$1005:$U$1005,1,MATCH(COLUMNS($Q$1006:U1006),$Q$1006:$U$1006,0))&gt;=100000), " ",IF(INDEX($Q$2:$U$1001,MATCH(ROWS($J$2:J955),$J$2:$J$1001,0),MATCH(COLUMNS($Q$1006:U1006),$Q$1006:$U$1006,0)), HYPERLINK("#",""), HYPERLINK(CONCATENATE("#metadata!", ADDRESS(INDEX($L$2:$L$1001,MATCH(ROWS($J$2:J955),$J$2:$J$1001,0),0), INDEX($Q$1004:$U$1004,1,MATCH(COLUMNS($Q$1006:U1006),$Q$1006:$U$1006,0)))),"Fix")))</f>
        <v xml:space="preserve"> </v>
      </c>
      <c r="J955">
        <v>954</v>
      </c>
      <c r="K955">
        <v>100955</v>
      </c>
      <c r="L955">
        <v>955</v>
      </c>
      <c r="M955" t="b">
        <f t="shared" si="14"/>
        <v>1</v>
      </c>
      <c r="N955" t="b">
        <f>COUNTBLANK(metadata!B955:F955)=COLUMNS(metadata!B955:F955)</f>
        <v>1</v>
      </c>
      <c r="O955" t="str">
        <v/>
      </c>
      <c r="Q955" t="b">
        <f ca="1">AND(IF(metadata!B955="",FALSE,TRUE),COUNTIF(metadata!B:B, metadata!B955) = 1,NOT(ISERROR(SUMPRODUCT(SEARCH(MID(metadata!B955,ROW(INDIRECT("1:"&amp;LEN(metadata!B955))), 1),"0123456789abcdefghijklmnopqrstuvwxyzABCDEFGHIJKLMNOPQRSTUVWXYZ.")))))</f>
        <v>0</v>
      </c>
      <c r="R955" t="b">
        <f>AND(IF(metadata!C955="",FALSE,TRUE),OR(EXACT(metadata!C955,"saline"),EXACT(metadata!C955,"non-saline")))</f>
        <v>0</v>
      </c>
      <c r="S955" t="b">
        <f>AND(IF(metadata!D955="",FALSE,TRUE),OR(EXACT(metadata!D955,"surface (non-saline)"),EXACT(metadata!D955,"aerosol (non-saline)"),EXACT(metadata!D955,"sediment (non-saline)"),EXACT(metadata!D955,"surface (saline)"),EXACT(metadata!D955,"aerosol (saline)"),EXACT(metadata!D955,"sediment (saline)")))</f>
        <v>0</v>
      </c>
      <c r="T955" t="b">
        <f>AND(IF(metadata!E955="",FALSE,TRUE),EXACT(metadata!E955,"built environment"))</f>
        <v>0</v>
      </c>
      <c r="U955" t="b">
        <f>OR(AND(IF(metadata!F955="",FALSE,TRUE),EXACT(metadata!F955,"not applicable")),AND(IF(metadata!F955="",FALSE,TRUE),EXACT(metadata!F955,"anaerobic digester content")))</f>
        <v>0</v>
      </c>
    </row>
    <row r="956" spans="1:21" x14ac:dyDescent="0.2">
      <c r="A956" s="4" t="str">
        <f ca="1">IF(B956=" "," ",HYPERLINK(CONCATENATE("#metadata!",ADDRESS(INDEX($L$2:$L$1001,MATCH(ROWS($J$2:J956),$J$2:$J$1001,0),0),1)),INDEX($O$2:$O$1001,MATCH(ROWS($J$2:J956),$J$2:$J$1001,0),0)))</f>
        <v xml:space="preserve"> </v>
      </c>
      <c r="B956" s="3" t="str">
        <f ca="1">IF(OR(INDEX($K$2:$K$1001,MATCH(ROWS($J$2:J956),$J$2:$J$1001,0),1)&gt;=100000,INDEX($Q$1005:$U$1005,1,MATCH(COLUMNS($Q$1006:Q1006),$Q$1006:$U$1006,0))&gt;=100000), " ",IF(INDEX($Q$2:$U$1001,MATCH(ROWS($J$2:J956),$J$2:$J$1001,0),MATCH(COLUMNS($Q$1006:Q1006),$Q$1006:$U$1006,0)), HYPERLINK("#",""), HYPERLINK(CONCATENATE("#metadata!", ADDRESS(INDEX($L$2:$L$1001,MATCH(ROWS($J$2:J956),$J$2:$J$1001,0),0), INDEX($Q$1004:$U$1004,1,MATCH(COLUMNS($Q$1006:Q1006),$Q$1006:$U$1006,0)))),"Fix")))</f>
        <v xml:space="preserve"> </v>
      </c>
      <c r="C956" s="3" t="str">
        <f ca="1">IF(OR(INDEX($K$2:$K$1001,MATCH(ROWS($J$2:J956),$J$2:$J$1001,0),1)&gt;=100000,INDEX($Q$1005:$U$1005,1,MATCH(COLUMNS($Q$1006:R1006),$Q$1006:$U$1006,0))&gt;=100000), " ",IF(INDEX($Q$2:$U$1001,MATCH(ROWS($J$2:J956),$J$2:$J$1001,0),MATCH(COLUMNS($Q$1006:R1006),$Q$1006:$U$1006,0)), HYPERLINK("#",""), HYPERLINK(CONCATENATE("#metadata!", ADDRESS(INDEX($L$2:$L$1001,MATCH(ROWS($J$2:J956),$J$2:$J$1001,0),0), INDEX($Q$1004:$U$1004,1,MATCH(COLUMNS($Q$1006:R1006),$Q$1006:$U$1006,0)))),"Fix")))</f>
        <v xml:space="preserve"> </v>
      </c>
      <c r="D956" s="3" t="str">
        <f ca="1">IF(OR(INDEX($K$2:$K$1001,MATCH(ROWS($J$2:J956),$J$2:$J$1001,0),1)&gt;=100000,INDEX($Q$1005:$U$1005,1,MATCH(COLUMNS($Q$1006:S1006),$Q$1006:$U$1006,0))&gt;=100000), " ",IF(INDEX($Q$2:$U$1001,MATCH(ROWS($J$2:J956),$J$2:$J$1001,0),MATCH(COLUMNS($Q$1006:S1006),$Q$1006:$U$1006,0)), HYPERLINK("#",""), HYPERLINK(CONCATENATE("#metadata!", ADDRESS(INDEX($L$2:$L$1001,MATCH(ROWS($J$2:J956),$J$2:$J$1001,0),0), INDEX($Q$1004:$U$1004,1,MATCH(COLUMNS($Q$1006:S1006),$Q$1006:$U$1006,0)))),"Fix")))</f>
        <v xml:space="preserve"> </v>
      </c>
      <c r="E956" s="3" t="str">
        <f ca="1">IF(OR(INDEX($K$2:$K$1001,MATCH(ROWS($J$2:J956),$J$2:$J$1001,0),1)&gt;=100000,INDEX($Q$1005:$U$1005,1,MATCH(COLUMNS($Q$1006:T1006),$Q$1006:$U$1006,0))&gt;=100000), " ",IF(INDEX($Q$2:$U$1001,MATCH(ROWS($J$2:J956),$J$2:$J$1001,0),MATCH(COLUMNS($Q$1006:T1006),$Q$1006:$U$1006,0)), HYPERLINK("#",""), HYPERLINK(CONCATENATE("#metadata!", ADDRESS(INDEX($L$2:$L$1001,MATCH(ROWS($J$2:J956),$J$2:$J$1001,0),0), INDEX($Q$1004:$U$1004,1,MATCH(COLUMNS($Q$1006:T1006),$Q$1006:$U$1006,0)))),"Fix")))</f>
        <v xml:space="preserve"> </v>
      </c>
      <c r="F956" s="3" t="str">
        <f ca="1">IF(OR(INDEX($K$2:$K$1001,MATCH(ROWS($J$2:J956),$J$2:$J$1001,0),1)&gt;=100000,INDEX($Q$1005:$U$1005,1,MATCH(COLUMNS($Q$1006:U1006),$Q$1006:$U$1006,0))&gt;=100000), " ",IF(INDEX($Q$2:$U$1001,MATCH(ROWS($J$2:J956),$J$2:$J$1001,0),MATCH(COLUMNS($Q$1006:U1006),$Q$1006:$U$1006,0)), HYPERLINK("#",""), HYPERLINK(CONCATENATE("#metadata!", ADDRESS(INDEX($L$2:$L$1001,MATCH(ROWS($J$2:J956),$J$2:$J$1001,0),0), INDEX($Q$1004:$U$1004,1,MATCH(COLUMNS($Q$1006:U1006),$Q$1006:$U$1006,0)))),"Fix")))</f>
        <v xml:space="preserve"> </v>
      </c>
      <c r="J956">
        <v>955</v>
      </c>
      <c r="K956">
        <v>100956</v>
      </c>
      <c r="L956">
        <v>956</v>
      </c>
      <c r="M956" t="b">
        <f t="shared" si="14"/>
        <v>1</v>
      </c>
      <c r="N956" t="b">
        <f>COUNTBLANK(metadata!B956:F956)=COLUMNS(metadata!B956:F956)</f>
        <v>1</v>
      </c>
      <c r="O956" t="str">
        <v/>
      </c>
      <c r="Q956" t="b">
        <f ca="1">AND(IF(metadata!B956="",FALSE,TRUE),COUNTIF(metadata!B:B, metadata!B956) = 1,NOT(ISERROR(SUMPRODUCT(SEARCH(MID(metadata!B956,ROW(INDIRECT("1:"&amp;LEN(metadata!B956))), 1),"0123456789abcdefghijklmnopqrstuvwxyzABCDEFGHIJKLMNOPQRSTUVWXYZ.")))))</f>
        <v>0</v>
      </c>
      <c r="R956" t="b">
        <f>AND(IF(metadata!C956="",FALSE,TRUE),OR(EXACT(metadata!C956,"saline"),EXACT(metadata!C956,"non-saline")))</f>
        <v>0</v>
      </c>
      <c r="S956" t="b">
        <f>AND(IF(metadata!D956="",FALSE,TRUE),OR(EXACT(metadata!D956,"surface (non-saline)"),EXACT(metadata!D956,"aerosol (non-saline)"),EXACT(metadata!D956,"sediment (non-saline)"),EXACT(metadata!D956,"surface (saline)"),EXACT(metadata!D956,"aerosol (saline)"),EXACT(metadata!D956,"sediment (saline)")))</f>
        <v>0</v>
      </c>
      <c r="T956" t="b">
        <f>AND(IF(metadata!E956="",FALSE,TRUE),EXACT(metadata!E956,"built environment"))</f>
        <v>0</v>
      </c>
      <c r="U956" t="b">
        <f>OR(AND(IF(metadata!F956="",FALSE,TRUE),EXACT(metadata!F956,"not applicable")),AND(IF(metadata!F956="",FALSE,TRUE),EXACT(metadata!F956,"anaerobic digester content")))</f>
        <v>0</v>
      </c>
    </row>
    <row r="957" spans="1:21" x14ac:dyDescent="0.2">
      <c r="A957" s="4" t="str">
        <f ca="1">IF(B957=" "," ",HYPERLINK(CONCATENATE("#metadata!",ADDRESS(INDEX($L$2:$L$1001,MATCH(ROWS($J$2:J957),$J$2:$J$1001,0),0),1)),INDEX($O$2:$O$1001,MATCH(ROWS($J$2:J957),$J$2:$J$1001,0),0)))</f>
        <v xml:space="preserve"> </v>
      </c>
      <c r="B957" s="3" t="str">
        <f ca="1">IF(OR(INDEX($K$2:$K$1001,MATCH(ROWS($J$2:J957),$J$2:$J$1001,0),1)&gt;=100000,INDEX($Q$1005:$U$1005,1,MATCH(COLUMNS($Q$1006:Q1006),$Q$1006:$U$1006,0))&gt;=100000), " ",IF(INDEX($Q$2:$U$1001,MATCH(ROWS($J$2:J957),$J$2:$J$1001,0),MATCH(COLUMNS($Q$1006:Q1006),$Q$1006:$U$1006,0)), HYPERLINK("#",""), HYPERLINK(CONCATENATE("#metadata!", ADDRESS(INDEX($L$2:$L$1001,MATCH(ROWS($J$2:J957),$J$2:$J$1001,0),0), INDEX($Q$1004:$U$1004,1,MATCH(COLUMNS($Q$1006:Q1006),$Q$1006:$U$1006,0)))),"Fix")))</f>
        <v xml:space="preserve"> </v>
      </c>
      <c r="C957" s="3" t="str">
        <f ca="1">IF(OR(INDEX($K$2:$K$1001,MATCH(ROWS($J$2:J957),$J$2:$J$1001,0),1)&gt;=100000,INDEX($Q$1005:$U$1005,1,MATCH(COLUMNS($Q$1006:R1006),$Q$1006:$U$1006,0))&gt;=100000), " ",IF(INDEX($Q$2:$U$1001,MATCH(ROWS($J$2:J957),$J$2:$J$1001,0),MATCH(COLUMNS($Q$1006:R1006),$Q$1006:$U$1006,0)), HYPERLINK("#",""), HYPERLINK(CONCATENATE("#metadata!", ADDRESS(INDEX($L$2:$L$1001,MATCH(ROWS($J$2:J957),$J$2:$J$1001,0),0), INDEX($Q$1004:$U$1004,1,MATCH(COLUMNS($Q$1006:R1006),$Q$1006:$U$1006,0)))),"Fix")))</f>
        <v xml:space="preserve"> </v>
      </c>
      <c r="D957" s="3" t="str">
        <f ca="1">IF(OR(INDEX($K$2:$K$1001,MATCH(ROWS($J$2:J957),$J$2:$J$1001,0),1)&gt;=100000,INDEX($Q$1005:$U$1005,1,MATCH(COLUMNS($Q$1006:S1006),$Q$1006:$U$1006,0))&gt;=100000), " ",IF(INDEX($Q$2:$U$1001,MATCH(ROWS($J$2:J957),$J$2:$J$1001,0),MATCH(COLUMNS($Q$1006:S1006),$Q$1006:$U$1006,0)), HYPERLINK("#",""), HYPERLINK(CONCATENATE("#metadata!", ADDRESS(INDEX($L$2:$L$1001,MATCH(ROWS($J$2:J957),$J$2:$J$1001,0),0), INDEX($Q$1004:$U$1004,1,MATCH(COLUMNS($Q$1006:S1006),$Q$1006:$U$1006,0)))),"Fix")))</f>
        <v xml:space="preserve"> </v>
      </c>
      <c r="E957" s="3" t="str">
        <f ca="1">IF(OR(INDEX($K$2:$K$1001,MATCH(ROWS($J$2:J957),$J$2:$J$1001,0),1)&gt;=100000,INDEX($Q$1005:$U$1005,1,MATCH(COLUMNS($Q$1006:T1006),$Q$1006:$U$1006,0))&gt;=100000), " ",IF(INDEX($Q$2:$U$1001,MATCH(ROWS($J$2:J957),$J$2:$J$1001,0),MATCH(COLUMNS($Q$1006:T1006),$Q$1006:$U$1006,0)), HYPERLINK("#",""), HYPERLINK(CONCATENATE("#metadata!", ADDRESS(INDEX($L$2:$L$1001,MATCH(ROWS($J$2:J957),$J$2:$J$1001,0),0), INDEX($Q$1004:$U$1004,1,MATCH(COLUMNS($Q$1006:T1006),$Q$1006:$U$1006,0)))),"Fix")))</f>
        <v xml:space="preserve"> </v>
      </c>
      <c r="F957" s="3" t="str">
        <f ca="1">IF(OR(INDEX($K$2:$K$1001,MATCH(ROWS($J$2:J957),$J$2:$J$1001,0),1)&gt;=100000,INDEX($Q$1005:$U$1005,1,MATCH(COLUMNS($Q$1006:U1006),$Q$1006:$U$1006,0))&gt;=100000), " ",IF(INDEX($Q$2:$U$1001,MATCH(ROWS($J$2:J957),$J$2:$J$1001,0),MATCH(COLUMNS($Q$1006:U1006),$Q$1006:$U$1006,0)), HYPERLINK("#",""), HYPERLINK(CONCATENATE("#metadata!", ADDRESS(INDEX($L$2:$L$1001,MATCH(ROWS($J$2:J957),$J$2:$J$1001,0),0), INDEX($Q$1004:$U$1004,1,MATCH(COLUMNS($Q$1006:U1006),$Q$1006:$U$1006,0)))),"Fix")))</f>
        <v xml:space="preserve"> </v>
      </c>
      <c r="J957">
        <v>956</v>
      </c>
      <c r="K957">
        <v>100957</v>
      </c>
      <c r="L957">
        <v>957</v>
      </c>
      <c r="M957" t="b">
        <f t="shared" si="14"/>
        <v>1</v>
      </c>
      <c r="N957" t="b">
        <f>COUNTBLANK(metadata!B957:F957)=COLUMNS(metadata!B957:F957)</f>
        <v>1</v>
      </c>
      <c r="O957" t="str">
        <v/>
      </c>
      <c r="Q957" t="b">
        <f ca="1">AND(IF(metadata!B957="",FALSE,TRUE),COUNTIF(metadata!B:B, metadata!B957) = 1,NOT(ISERROR(SUMPRODUCT(SEARCH(MID(metadata!B957,ROW(INDIRECT("1:"&amp;LEN(metadata!B957))), 1),"0123456789abcdefghijklmnopqrstuvwxyzABCDEFGHIJKLMNOPQRSTUVWXYZ.")))))</f>
        <v>0</v>
      </c>
      <c r="R957" t="b">
        <f>AND(IF(metadata!C957="",FALSE,TRUE),OR(EXACT(metadata!C957,"saline"),EXACT(metadata!C957,"non-saline")))</f>
        <v>0</v>
      </c>
      <c r="S957" t="b">
        <f>AND(IF(metadata!D957="",FALSE,TRUE),OR(EXACT(metadata!D957,"surface (non-saline)"),EXACT(metadata!D957,"aerosol (non-saline)"),EXACT(metadata!D957,"sediment (non-saline)"),EXACT(metadata!D957,"surface (saline)"),EXACT(metadata!D957,"aerosol (saline)"),EXACT(metadata!D957,"sediment (saline)")))</f>
        <v>0</v>
      </c>
      <c r="T957" t="b">
        <f>AND(IF(metadata!E957="",FALSE,TRUE),EXACT(metadata!E957,"built environment"))</f>
        <v>0</v>
      </c>
      <c r="U957" t="b">
        <f>OR(AND(IF(metadata!F957="",FALSE,TRUE),EXACT(metadata!F957,"not applicable")),AND(IF(metadata!F957="",FALSE,TRUE),EXACT(metadata!F957,"anaerobic digester content")))</f>
        <v>0</v>
      </c>
    </row>
    <row r="958" spans="1:21" x14ac:dyDescent="0.2">
      <c r="A958" s="4" t="str">
        <f ca="1">IF(B958=" "," ",HYPERLINK(CONCATENATE("#metadata!",ADDRESS(INDEX($L$2:$L$1001,MATCH(ROWS($J$2:J958),$J$2:$J$1001,0),0),1)),INDEX($O$2:$O$1001,MATCH(ROWS($J$2:J958),$J$2:$J$1001,0),0)))</f>
        <v xml:space="preserve"> </v>
      </c>
      <c r="B958" s="3" t="str">
        <f ca="1">IF(OR(INDEX($K$2:$K$1001,MATCH(ROWS($J$2:J958),$J$2:$J$1001,0),1)&gt;=100000,INDEX($Q$1005:$U$1005,1,MATCH(COLUMNS($Q$1006:Q1006),$Q$1006:$U$1006,0))&gt;=100000), " ",IF(INDEX($Q$2:$U$1001,MATCH(ROWS($J$2:J958),$J$2:$J$1001,0),MATCH(COLUMNS($Q$1006:Q1006),$Q$1006:$U$1006,0)), HYPERLINK("#",""), HYPERLINK(CONCATENATE("#metadata!", ADDRESS(INDEX($L$2:$L$1001,MATCH(ROWS($J$2:J958),$J$2:$J$1001,0),0), INDEX($Q$1004:$U$1004,1,MATCH(COLUMNS($Q$1006:Q1006),$Q$1006:$U$1006,0)))),"Fix")))</f>
        <v xml:space="preserve"> </v>
      </c>
      <c r="C958" s="3" t="str">
        <f ca="1">IF(OR(INDEX($K$2:$K$1001,MATCH(ROWS($J$2:J958),$J$2:$J$1001,0),1)&gt;=100000,INDEX($Q$1005:$U$1005,1,MATCH(COLUMNS($Q$1006:R1006),$Q$1006:$U$1006,0))&gt;=100000), " ",IF(INDEX($Q$2:$U$1001,MATCH(ROWS($J$2:J958),$J$2:$J$1001,0),MATCH(COLUMNS($Q$1006:R1006),$Q$1006:$U$1006,0)), HYPERLINK("#",""), HYPERLINK(CONCATENATE("#metadata!", ADDRESS(INDEX($L$2:$L$1001,MATCH(ROWS($J$2:J958),$J$2:$J$1001,0),0), INDEX($Q$1004:$U$1004,1,MATCH(COLUMNS($Q$1006:R1006),$Q$1006:$U$1006,0)))),"Fix")))</f>
        <v xml:space="preserve"> </v>
      </c>
      <c r="D958" s="3" t="str">
        <f ca="1">IF(OR(INDEX($K$2:$K$1001,MATCH(ROWS($J$2:J958),$J$2:$J$1001,0),1)&gt;=100000,INDEX($Q$1005:$U$1005,1,MATCH(COLUMNS($Q$1006:S1006),$Q$1006:$U$1006,0))&gt;=100000), " ",IF(INDEX($Q$2:$U$1001,MATCH(ROWS($J$2:J958),$J$2:$J$1001,0),MATCH(COLUMNS($Q$1006:S1006),$Q$1006:$U$1006,0)), HYPERLINK("#",""), HYPERLINK(CONCATENATE("#metadata!", ADDRESS(INDEX($L$2:$L$1001,MATCH(ROWS($J$2:J958),$J$2:$J$1001,0),0), INDEX($Q$1004:$U$1004,1,MATCH(COLUMNS($Q$1006:S1006),$Q$1006:$U$1006,0)))),"Fix")))</f>
        <v xml:space="preserve"> </v>
      </c>
      <c r="E958" s="3" t="str">
        <f ca="1">IF(OR(INDEX($K$2:$K$1001,MATCH(ROWS($J$2:J958),$J$2:$J$1001,0),1)&gt;=100000,INDEX($Q$1005:$U$1005,1,MATCH(COLUMNS($Q$1006:T1006),$Q$1006:$U$1006,0))&gt;=100000), " ",IF(INDEX($Q$2:$U$1001,MATCH(ROWS($J$2:J958),$J$2:$J$1001,0),MATCH(COLUMNS($Q$1006:T1006),$Q$1006:$U$1006,0)), HYPERLINK("#",""), HYPERLINK(CONCATENATE("#metadata!", ADDRESS(INDEX($L$2:$L$1001,MATCH(ROWS($J$2:J958),$J$2:$J$1001,0),0), INDEX($Q$1004:$U$1004,1,MATCH(COLUMNS($Q$1006:T1006),$Q$1006:$U$1006,0)))),"Fix")))</f>
        <v xml:space="preserve"> </v>
      </c>
      <c r="F958" s="3" t="str">
        <f ca="1">IF(OR(INDEX($K$2:$K$1001,MATCH(ROWS($J$2:J958),$J$2:$J$1001,0),1)&gt;=100000,INDEX($Q$1005:$U$1005,1,MATCH(COLUMNS($Q$1006:U1006),$Q$1006:$U$1006,0))&gt;=100000), " ",IF(INDEX($Q$2:$U$1001,MATCH(ROWS($J$2:J958),$J$2:$J$1001,0),MATCH(COLUMNS($Q$1006:U1006),$Q$1006:$U$1006,0)), HYPERLINK("#",""), HYPERLINK(CONCATENATE("#metadata!", ADDRESS(INDEX($L$2:$L$1001,MATCH(ROWS($J$2:J958),$J$2:$J$1001,0),0), INDEX($Q$1004:$U$1004,1,MATCH(COLUMNS($Q$1006:U1006),$Q$1006:$U$1006,0)))),"Fix")))</f>
        <v xml:space="preserve"> </v>
      </c>
      <c r="J958">
        <v>957</v>
      </c>
      <c r="K958">
        <v>100958</v>
      </c>
      <c r="L958">
        <v>958</v>
      </c>
      <c r="M958" t="b">
        <f t="shared" si="14"/>
        <v>1</v>
      </c>
      <c r="N958" t="b">
        <f>COUNTBLANK(metadata!B958:F958)=COLUMNS(metadata!B958:F958)</f>
        <v>1</v>
      </c>
      <c r="O958" t="str">
        <v/>
      </c>
      <c r="Q958" t="b">
        <f ca="1">AND(IF(metadata!B958="",FALSE,TRUE),COUNTIF(metadata!B:B, metadata!B958) = 1,NOT(ISERROR(SUMPRODUCT(SEARCH(MID(metadata!B958,ROW(INDIRECT("1:"&amp;LEN(metadata!B958))), 1),"0123456789abcdefghijklmnopqrstuvwxyzABCDEFGHIJKLMNOPQRSTUVWXYZ.")))))</f>
        <v>0</v>
      </c>
      <c r="R958" t="b">
        <f>AND(IF(metadata!C958="",FALSE,TRUE),OR(EXACT(metadata!C958,"saline"),EXACT(metadata!C958,"non-saline")))</f>
        <v>0</v>
      </c>
      <c r="S958" t="b">
        <f>AND(IF(metadata!D958="",FALSE,TRUE),OR(EXACT(metadata!D958,"surface (non-saline)"),EXACT(metadata!D958,"aerosol (non-saline)"),EXACT(metadata!D958,"sediment (non-saline)"),EXACT(metadata!D958,"surface (saline)"),EXACT(metadata!D958,"aerosol (saline)"),EXACT(metadata!D958,"sediment (saline)")))</f>
        <v>0</v>
      </c>
      <c r="T958" t="b">
        <f>AND(IF(metadata!E958="",FALSE,TRUE),EXACT(metadata!E958,"built environment"))</f>
        <v>0</v>
      </c>
      <c r="U958" t="b">
        <f>OR(AND(IF(metadata!F958="",FALSE,TRUE),EXACT(metadata!F958,"not applicable")),AND(IF(metadata!F958="",FALSE,TRUE),EXACT(metadata!F958,"anaerobic digester content")))</f>
        <v>0</v>
      </c>
    </row>
    <row r="959" spans="1:21" x14ac:dyDescent="0.2">
      <c r="A959" s="4" t="str">
        <f ca="1">IF(B959=" "," ",HYPERLINK(CONCATENATE("#metadata!",ADDRESS(INDEX($L$2:$L$1001,MATCH(ROWS($J$2:J959),$J$2:$J$1001,0),0),1)),INDEX($O$2:$O$1001,MATCH(ROWS($J$2:J959),$J$2:$J$1001,0),0)))</f>
        <v xml:space="preserve"> </v>
      </c>
      <c r="B959" s="3" t="str">
        <f ca="1">IF(OR(INDEX($K$2:$K$1001,MATCH(ROWS($J$2:J959),$J$2:$J$1001,0),1)&gt;=100000,INDEX($Q$1005:$U$1005,1,MATCH(COLUMNS($Q$1006:Q1006),$Q$1006:$U$1006,0))&gt;=100000), " ",IF(INDEX($Q$2:$U$1001,MATCH(ROWS($J$2:J959),$J$2:$J$1001,0),MATCH(COLUMNS($Q$1006:Q1006),$Q$1006:$U$1006,0)), HYPERLINK("#",""), HYPERLINK(CONCATENATE("#metadata!", ADDRESS(INDEX($L$2:$L$1001,MATCH(ROWS($J$2:J959),$J$2:$J$1001,0),0), INDEX($Q$1004:$U$1004,1,MATCH(COLUMNS($Q$1006:Q1006),$Q$1006:$U$1006,0)))),"Fix")))</f>
        <v xml:space="preserve"> </v>
      </c>
      <c r="C959" s="3" t="str">
        <f ca="1">IF(OR(INDEX($K$2:$K$1001,MATCH(ROWS($J$2:J959),$J$2:$J$1001,0),1)&gt;=100000,INDEX($Q$1005:$U$1005,1,MATCH(COLUMNS($Q$1006:R1006),$Q$1006:$U$1006,0))&gt;=100000), " ",IF(INDEX($Q$2:$U$1001,MATCH(ROWS($J$2:J959),$J$2:$J$1001,0),MATCH(COLUMNS($Q$1006:R1006),$Q$1006:$U$1006,0)), HYPERLINK("#",""), HYPERLINK(CONCATENATE("#metadata!", ADDRESS(INDEX($L$2:$L$1001,MATCH(ROWS($J$2:J959),$J$2:$J$1001,0),0), INDEX($Q$1004:$U$1004,1,MATCH(COLUMNS($Q$1006:R1006),$Q$1006:$U$1006,0)))),"Fix")))</f>
        <v xml:space="preserve"> </v>
      </c>
      <c r="D959" s="3" t="str">
        <f ca="1">IF(OR(INDEX($K$2:$K$1001,MATCH(ROWS($J$2:J959),$J$2:$J$1001,0),1)&gt;=100000,INDEX($Q$1005:$U$1005,1,MATCH(COLUMNS($Q$1006:S1006),$Q$1006:$U$1006,0))&gt;=100000), " ",IF(INDEX($Q$2:$U$1001,MATCH(ROWS($J$2:J959),$J$2:$J$1001,0),MATCH(COLUMNS($Q$1006:S1006),$Q$1006:$U$1006,0)), HYPERLINK("#",""), HYPERLINK(CONCATENATE("#metadata!", ADDRESS(INDEX($L$2:$L$1001,MATCH(ROWS($J$2:J959),$J$2:$J$1001,0),0), INDEX($Q$1004:$U$1004,1,MATCH(COLUMNS($Q$1006:S1006),$Q$1006:$U$1006,0)))),"Fix")))</f>
        <v xml:space="preserve"> </v>
      </c>
      <c r="E959" s="3" t="str">
        <f ca="1">IF(OR(INDEX($K$2:$K$1001,MATCH(ROWS($J$2:J959),$J$2:$J$1001,0),1)&gt;=100000,INDEX($Q$1005:$U$1005,1,MATCH(COLUMNS($Q$1006:T1006),$Q$1006:$U$1006,0))&gt;=100000), " ",IF(INDEX($Q$2:$U$1001,MATCH(ROWS($J$2:J959),$J$2:$J$1001,0),MATCH(COLUMNS($Q$1006:T1006),$Q$1006:$U$1006,0)), HYPERLINK("#",""), HYPERLINK(CONCATENATE("#metadata!", ADDRESS(INDEX($L$2:$L$1001,MATCH(ROWS($J$2:J959),$J$2:$J$1001,0),0), INDEX($Q$1004:$U$1004,1,MATCH(COLUMNS($Q$1006:T1006),$Q$1006:$U$1006,0)))),"Fix")))</f>
        <v xml:space="preserve"> </v>
      </c>
      <c r="F959" s="3" t="str">
        <f ca="1">IF(OR(INDEX($K$2:$K$1001,MATCH(ROWS($J$2:J959),$J$2:$J$1001,0),1)&gt;=100000,INDEX($Q$1005:$U$1005,1,MATCH(COLUMNS($Q$1006:U1006),$Q$1006:$U$1006,0))&gt;=100000), " ",IF(INDEX($Q$2:$U$1001,MATCH(ROWS($J$2:J959),$J$2:$J$1001,0),MATCH(COLUMNS($Q$1006:U1006),$Q$1006:$U$1006,0)), HYPERLINK("#",""), HYPERLINK(CONCATENATE("#metadata!", ADDRESS(INDEX($L$2:$L$1001,MATCH(ROWS($J$2:J959),$J$2:$J$1001,0),0), INDEX($Q$1004:$U$1004,1,MATCH(COLUMNS($Q$1006:U1006),$Q$1006:$U$1006,0)))),"Fix")))</f>
        <v xml:space="preserve"> </v>
      </c>
      <c r="J959">
        <v>958</v>
      </c>
      <c r="K959">
        <v>100959</v>
      </c>
      <c r="L959">
        <v>959</v>
      </c>
      <c r="M959" t="b">
        <f t="shared" si="14"/>
        <v>1</v>
      </c>
      <c r="N959" t="b">
        <f>COUNTBLANK(metadata!B959:F959)=COLUMNS(metadata!B959:F959)</f>
        <v>1</v>
      </c>
      <c r="O959" t="str">
        <v/>
      </c>
      <c r="Q959" t="b">
        <f ca="1">AND(IF(metadata!B959="",FALSE,TRUE),COUNTIF(metadata!B:B, metadata!B959) = 1,NOT(ISERROR(SUMPRODUCT(SEARCH(MID(metadata!B959,ROW(INDIRECT("1:"&amp;LEN(metadata!B959))), 1),"0123456789abcdefghijklmnopqrstuvwxyzABCDEFGHIJKLMNOPQRSTUVWXYZ.")))))</f>
        <v>0</v>
      </c>
      <c r="R959" t="b">
        <f>AND(IF(metadata!C959="",FALSE,TRUE),OR(EXACT(metadata!C959,"saline"),EXACT(metadata!C959,"non-saline")))</f>
        <v>0</v>
      </c>
      <c r="S959" t="b">
        <f>AND(IF(metadata!D959="",FALSE,TRUE),OR(EXACT(metadata!D959,"surface (non-saline)"),EXACT(metadata!D959,"aerosol (non-saline)"),EXACT(metadata!D959,"sediment (non-saline)"),EXACT(metadata!D959,"surface (saline)"),EXACT(metadata!D959,"aerosol (saline)"),EXACT(metadata!D959,"sediment (saline)")))</f>
        <v>0</v>
      </c>
      <c r="T959" t="b">
        <f>AND(IF(metadata!E959="",FALSE,TRUE),EXACT(metadata!E959,"built environment"))</f>
        <v>0</v>
      </c>
      <c r="U959" t="b">
        <f>OR(AND(IF(metadata!F959="",FALSE,TRUE),EXACT(metadata!F959,"not applicable")),AND(IF(metadata!F959="",FALSE,TRUE),EXACT(metadata!F959,"anaerobic digester content")))</f>
        <v>0</v>
      </c>
    </row>
    <row r="960" spans="1:21" x14ac:dyDescent="0.2">
      <c r="A960" s="4" t="str">
        <f ca="1">IF(B960=" "," ",HYPERLINK(CONCATENATE("#metadata!",ADDRESS(INDEX($L$2:$L$1001,MATCH(ROWS($J$2:J960),$J$2:$J$1001,0),0),1)),INDEX($O$2:$O$1001,MATCH(ROWS($J$2:J960),$J$2:$J$1001,0),0)))</f>
        <v xml:space="preserve"> </v>
      </c>
      <c r="B960" s="3" t="str">
        <f ca="1">IF(OR(INDEX($K$2:$K$1001,MATCH(ROWS($J$2:J960),$J$2:$J$1001,0),1)&gt;=100000,INDEX($Q$1005:$U$1005,1,MATCH(COLUMNS($Q$1006:Q1006),$Q$1006:$U$1006,0))&gt;=100000), " ",IF(INDEX($Q$2:$U$1001,MATCH(ROWS($J$2:J960),$J$2:$J$1001,0),MATCH(COLUMNS($Q$1006:Q1006),$Q$1006:$U$1006,0)), HYPERLINK("#",""), HYPERLINK(CONCATENATE("#metadata!", ADDRESS(INDEX($L$2:$L$1001,MATCH(ROWS($J$2:J960),$J$2:$J$1001,0),0), INDEX($Q$1004:$U$1004,1,MATCH(COLUMNS($Q$1006:Q1006),$Q$1006:$U$1006,0)))),"Fix")))</f>
        <v xml:space="preserve"> </v>
      </c>
      <c r="C960" s="3" t="str">
        <f ca="1">IF(OR(INDEX($K$2:$K$1001,MATCH(ROWS($J$2:J960),$J$2:$J$1001,0),1)&gt;=100000,INDEX($Q$1005:$U$1005,1,MATCH(COLUMNS($Q$1006:R1006),$Q$1006:$U$1006,0))&gt;=100000), " ",IF(INDEX($Q$2:$U$1001,MATCH(ROWS($J$2:J960),$J$2:$J$1001,0),MATCH(COLUMNS($Q$1006:R1006),$Q$1006:$U$1006,0)), HYPERLINK("#",""), HYPERLINK(CONCATENATE("#metadata!", ADDRESS(INDEX($L$2:$L$1001,MATCH(ROWS($J$2:J960),$J$2:$J$1001,0),0), INDEX($Q$1004:$U$1004,1,MATCH(COLUMNS($Q$1006:R1006),$Q$1006:$U$1006,0)))),"Fix")))</f>
        <v xml:space="preserve"> </v>
      </c>
      <c r="D960" s="3" t="str">
        <f ca="1">IF(OR(INDEX($K$2:$K$1001,MATCH(ROWS($J$2:J960),$J$2:$J$1001,0),1)&gt;=100000,INDEX($Q$1005:$U$1005,1,MATCH(COLUMNS($Q$1006:S1006),$Q$1006:$U$1006,0))&gt;=100000), " ",IF(INDEX($Q$2:$U$1001,MATCH(ROWS($J$2:J960),$J$2:$J$1001,0),MATCH(COLUMNS($Q$1006:S1006),$Q$1006:$U$1006,0)), HYPERLINK("#",""), HYPERLINK(CONCATENATE("#metadata!", ADDRESS(INDEX($L$2:$L$1001,MATCH(ROWS($J$2:J960),$J$2:$J$1001,0),0), INDEX($Q$1004:$U$1004,1,MATCH(COLUMNS($Q$1006:S1006),$Q$1006:$U$1006,0)))),"Fix")))</f>
        <v xml:space="preserve"> </v>
      </c>
      <c r="E960" s="3" t="str">
        <f ca="1">IF(OR(INDEX($K$2:$K$1001,MATCH(ROWS($J$2:J960),$J$2:$J$1001,0),1)&gt;=100000,INDEX($Q$1005:$U$1005,1,MATCH(COLUMNS($Q$1006:T1006),$Q$1006:$U$1006,0))&gt;=100000), " ",IF(INDEX($Q$2:$U$1001,MATCH(ROWS($J$2:J960),$J$2:$J$1001,0),MATCH(COLUMNS($Q$1006:T1006),$Q$1006:$U$1006,0)), HYPERLINK("#",""), HYPERLINK(CONCATENATE("#metadata!", ADDRESS(INDEX($L$2:$L$1001,MATCH(ROWS($J$2:J960),$J$2:$J$1001,0),0), INDEX($Q$1004:$U$1004,1,MATCH(COLUMNS($Q$1006:T1006),$Q$1006:$U$1006,0)))),"Fix")))</f>
        <v xml:space="preserve"> </v>
      </c>
      <c r="F960" s="3" t="str">
        <f ca="1">IF(OR(INDEX($K$2:$K$1001,MATCH(ROWS($J$2:J960),$J$2:$J$1001,0),1)&gt;=100000,INDEX($Q$1005:$U$1005,1,MATCH(COLUMNS($Q$1006:U1006),$Q$1006:$U$1006,0))&gt;=100000), " ",IF(INDEX($Q$2:$U$1001,MATCH(ROWS($J$2:J960),$J$2:$J$1001,0),MATCH(COLUMNS($Q$1006:U1006),$Q$1006:$U$1006,0)), HYPERLINK("#",""), HYPERLINK(CONCATENATE("#metadata!", ADDRESS(INDEX($L$2:$L$1001,MATCH(ROWS($J$2:J960),$J$2:$J$1001,0),0), INDEX($Q$1004:$U$1004,1,MATCH(COLUMNS($Q$1006:U1006),$Q$1006:$U$1006,0)))),"Fix")))</f>
        <v xml:space="preserve"> </v>
      </c>
      <c r="J960">
        <v>959</v>
      </c>
      <c r="K960">
        <v>100960</v>
      </c>
      <c r="L960">
        <v>960</v>
      </c>
      <c r="M960" t="b">
        <f t="shared" si="14"/>
        <v>1</v>
      </c>
      <c r="N960" t="b">
        <f>COUNTBLANK(metadata!B960:F960)=COLUMNS(metadata!B960:F960)</f>
        <v>1</v>
      </c>
      <c r="O960" t="str">
        <v/>
      </c>
      <c r="Q960" t="b">
        <f ca="1">AND(IF(metadata!B960="",FALSE,TRUE),COUNTIF(metadata!B:B, metadata!B960) = 1,NOT(ISERROR(SUMPRODUCT(SEARCH(MID(metadata!B960,ROW(INDIRECT("1:"&amp;LEN(metadata!B960))), 1),"0123456789abcdefghijklmnopqrstuvwxyzABCDEFGHIJKLMNOPQRSTUVWXYZ.")))))</f>
        <v>0</v>
      </c>
      <c r="R960" t="b">
        <f>AND(IF(metadata!C960="",FALSE,TRUE),OR(EXACT(metadata!C960,"saline"),EXACT(metadata!C960,"non-saline")))</f>
        <v>0</v>
      </c>
      <c r="S960" t="b">
        <f>AND(IF(metadata!D960="",FALSE,TRUE),OR(EXACT(metadata!D960,"surface (non-saline)"),EXACT(metadata!D960,"aerosol (non-saline)"),EXACT(metadata!D960,"sediment (non-saline)"),EXACT(metadata!D960,"surface (saline)"),EXACT(metadata!D960,"aerosol (saline)"),EXACT(metadata!D960,"sediment (saline)")))</f>
        <v>0</v>
      </c>
      <c r="T960" t="b">
        <f>AND(IF(metadata!E960="",FALSE,TRUE),EXACT(metadata!E960,"built environment"))</f>
        <v>0</v>
      </c>
      <c r="U960" t="b">
        <f>OR(AND(IF(metadata!F960="",FALSE,TRUE),EXACT(metadata!F960,"not applicable")),AND(IF(metadata!F960="",FALSE,TRUE),EXACT(metadata!F960,"anaerobic digester content")))</f>
        <v>0</v>
      </c>
    </row>
    <row r="961" spans="1:21" x14ac:dyDescent="0.2">
      <c r="A961" s="4" t="str">
        <f ca="1">IF(B961=" "," ",HYPERLINK(CONCATENATE("#metadata!",ADDRESS(INDEX($L$2:$L$1001,MATCH(ROWS($J$2:J961),$J$2:$J$1001,0),0),1)),INDEX($O$2:$O$1001,MATCH(ROWS($J$2:J961),$J$2:$J$1001,0),0)))</f>
        <v xml:space="preserve"> </v>
      </c>
      <c r="B961" s="3" t="str">
        <f ca="1">IF(OR(INDEX($K$2:$K$1001,MATCH(ROWS($J$2:J961),$J$2:$J$1001,0),1)&gt;=100000,INDEX($Q$1005:$U$1005,1,MATCH(COLUMNS($Q$1006:Q1006),$Q$1006:$U$1006,0))&gt;=100000), " ",IF(INDEX($Q$2:$U$1001,MATCH(ROWS($J$2:J961),$J$2:$J$1001,0),MATCH(COLUMNS($Q$1006:Q1006),$Q$1006:$U$1006,0)), HYPERLINK("#",""), HYPERLINK(CONCATENATE("#metadata!", ADDRESS(INDEX($L$2:$L$1001,MATCH(ROWS($J$2:J961),$J$2:$J$1001,0),0), INDEX($Q$1004:$U$1004,1,MATCH(COLUMNS($Q$1006:Q1006),$Q$1006:$U$1006,0)))),"Fix")))</f>
        <v xml:space="preserve"> </v>
      </c>
      <c r="C961" s="3" t="str">
        <f ca="1">IF(OR(INDEX($K$2:$K$1001,MATCH(ROWS($J$2:J961),$J$2:$J$1001,0),1)&gt;=100000,INDEX($Q$1005:$U$1005,1,MATCH(COLUMNS($Q$1006:R1006),$Q$1006:$U$1006,0))&gt;=100000), " ",IF(INDEX($Q$2:$U$1001,MATCH(ROWS($J$2:J961),$J$2:$J$1001,0),MATCH(COLUMNS($Q$1006:R1006),$Q$1006:$U$1006,0)), HYPERLINK("#",""), HYPERLINK(CONCATENATE("#metadata!", ADDRESS(INDEX($L$2:$L$1001,MATCH(ROWS($J$2:J961),$J$2:$J$1001,0),0), INDEX($Q$1004:$U$1004,1,MATCH(COLUMNS($Q$1006:R1006),$Q$1006:$U$1006,0)))),"Fix")))</f>
        <v xml:space="preserve"> </v>
      </c>
      <c r="D961" s="3" t="str">
        <f ca="1">IF(OR(INDEX($K$2:$K$1001,MATCH(ROWS($J$2:J961),$J$2:$J$1001,0),1)&gt;=100000,INDEX($Q$1005:$U$1005,1,MATCH(COLUMNS($Q$1006:S1006),$Q$1006:$U$1006,0))&gt;=100000), " ",IF(INDEX($Q$2:$U$1001,MATCH(ROWS($J$2:J961),$J$2:$J$1001,0),MATCH(COLUMNS($Q$1006:S1006),$Q$1006:$U$1006,0)), HYPERLINK("#",""), HYPERLINK(CONCATENATE("#metadata!", ADDRESS(INDEX($L$2:$L$1001,MATCH(ROWS($J$2:J961),$J$2:$J$1001,0),0), INDEX($Q$1004:$U$1004,1,MATCH(COLUMNS($Q$1006:S1006),$Q$1006:$U$1006,0)))),"Fix")))</f>
        <v xml:space="preserve"> </v>
      </c>
      <c r="E961" s="3" t="str">
        <f ca="1">IF(OR(INDEX($K$2:$K$1001,MATCH(ROWS($J$2:J961),$J$2:$J$1001,0),1)&gt;=100000,INDEX($Q$1005:$U$1005,1,MATCH(COLUMNS($Q$1006:T1006),$Q$1006:$U$1006,0))&gt;=100000), " ",IF(INDEX($Q$2:$U$1001,MATCH(ROWS($J$2:J961),$J$2:$J$1001,0),MATCH(COLUMNS($Q$1006:T1006),$Q$1006:$U$1006,0)), HYPERLINK("#",""), HYPERLINK(CONCATENATE("#metadata!", ADDRESS(INDEX($L$2:$L$1001,MATCH(ROWS($J$2:J961),$J$2:$J$1001,0),0), INDEX($Q$1004:$U$1004,1,MATCH(COLUMNS($Q$1006:T1006),$Q$1006:$U$1006,0)))),"Fix")))</f>
        <v xml:space="preserve"> </v>
      </c>
      <c r="F961" s="3" t="str">
        <f ca="1">IF(OR(INDEX($K$2:$K$1001,MATCH(ROWS($J$2:J961),$J$2:$J$1001,0),1)&gt;=100000,INDEX($Q$1005:$U$1005,1,MATCH(COLUMNS($Q$1006:U1006),$Q$1006:$U$1006,0))&gt;=100000), " ",IF(INDEX($Q$2:$U$1001,MATCH(ROWS($J$2:J961),$J$2:$J$1001,0),MATCH(COLUMNS($Q$1006:U1006),$Q$1006:$U$1006,0)), HYPERLINK("#",""), HYPERLINK(CONCATENATE("#metadata!", ADDRESS(INDEX($L$2:$L$1001,MATCH(ROWS($J$2:J961),$J$2:$J$1001,0),0), INDEX($Q$1004:$U$1004,1,MATCH(COLUMNS($Q$1006:U1006),$Q$1006:$U$1006,0)))),"Fix")))</f>
        <v xml:space="preserve"> </v>
      </c>
      <c r="J961">
        <v>960</v>
      </c>
      <c r="K961">
        <v>100961</v>
      </c>
      <c r="L961">
        <v>961</v>
      </c>
      <c r="M961" t="b">
        <f t="shared" si="14"/>
        <v>1</v>
      </c>
      <c r="N961" t="b">
        <f>COUNTBLANK(metadata!B961:F961)=COLUMNS(metadata!B961:F961)</f>
        <v>1</v>
      </c>
      <c r="O961" t="str">
        <v/>
      </c>
      <c r="Q961" t="b">
        <f ca="1">AND(IF(metadata!B961="",FALSE,TRUE),COUNTIF(metadata!B:B, metadata!B961) = 1,NOT(ISERROR(SUMPRODUCT(SEARCH(MID(metadata!B961,ROW(INDIRECT("1:"&amp;LEN(metadata!B961))), 1),"0123456789abcdefghijklmnopqrstuvwxyzABCDEFGHIJKLMNOPQRSTUVWXYZ.")))))</f>
        <v>0</v>
      </c>
      <c r="R961" t="b">
        <f>AND(IF(metadata!C961="",FALSE,TRUE),OR(EXACT(metadata!C961,"saline"),EXACT(metadata!C961,"non-saline")))</f>
        <v>0</v>
      </c>
      <c r="S961" t="b">
        <f>AND(IF(metadata!D961="",FALSE,TRUE),OR(EXACT(metadata!D961,"surface (non-saline)"),EXACT(metadata!D961,"aerosol (non-saline)"),EXACT(metadata!D961,"sediment (non-saline)"),EXACT(metadata!D961,"surface (saline)"),EXACT(metadata!D961,"aerosol (saline)"),EXACT(metadata!D961,"sediment (saline)")))</f>
        <v>0</v>
      </c>
      <c r="T961" t="b">
        <f>AND(IF(metadata!E961="",FALSE,TRUE),EXACT(metadata!E961,"built environment"))</f>
        <v>0</v>
      </c>
      <c r="U961" t="b">
        <f>OR(AND(IF(metadata!F961="",FALSE,TRUE),EXACT(metadata!F961,"not applicable")),AND(IF(metadata!F961="",FALSE,TRUE),EXACT(metadata!F961,"anaerobic digester content")))</f>
        <v>0</v>
      </c>
    </row>
    <row r="962" spans="1:21" x14ac:dyDescent="0.2">
      <c r="A962" s="4" t="str">
        <f ca="1">IF(B962=" "," ",HYPERLINK(CONCATENATE("#metadata!",ADDRESS(INDEX($L$2:$L$1001,MATCH(ROWS($J$2:J962),$J$2:$J$1001,0),0),1)),INDEX($O$2:$O$1001,MATCH(ROWS($J$2:J962),$J$2:$J$1001,0),0)))</f>
        <v xml:space="preserve"> </v>
      </c>
      <c r="B962" s="3" t="str">
        <f ca="1">IF(OR(INDEX($K$2:$K$1001,MATCH(ROWS($J$2:J962),$J$2:$J$1001,0),1)&gt;=100000,INDEX($Q$1005:$U$1005,1,MATCH(COLUMNS($Q$1006:Q1006),$Q$1006:$U$1006,0))&gt;=100000), " ",IF(INDEX($Q$2:$U$1001,MATCH(ROWS($J$2:J962),$J$2:$J$1001,0),MATCH(COLUMNS($Q$1006:Q1006),$Q$1006:$U$1006,0)), HYPERLINK("#",""), HYPERLINK(CONCATENATE("#metadata!", ADDRESS(INDEX($L$2:$L$1001,MATCH(ROWS($J$2:J962),$J$2:$J$1001,0),0), INDEX($Q$1004:$U$1004,1,MATCH(COLUMNS($Q$1006:Q1006),$Q$1006:$U$1006,0)))),"Fix")))</f>
        <v xml:space="preserve"> </v>
      </c>
      <c r="C962" s="3" t="str">
        <f ca="1">IF(OR(INDEX($K$2:$K$1001,MATCH(ROWS($J$2:J962),$J$2:$J$1001,0),1)&gt;=100000,INDEX($Q$1005:$U$1005,1,MATCH(COLUMNS($Q$1006:R1006),$Q$1006:$U$1006,0))&gt;=100000), " ",IF(INDEX($Q$2:$U$1001,MATCH(ROWS($J$2:J962),$J$2:$J$1001,0),MATCH(COLUMNS($Q$1006:R1006),$Q$1006:$U$1006,0)), HYPERLINK("#",""), HYPERLINK(CONCATENATE("#metadata!", ADDRESS(INDEX($L$2:$L$1001,MATCH(ROWS($J$2:J962),$J$2:$J$1001,0),0), INDEX($Q$1004:$U$1004,1,MATCH(COLUMNS($Q$1006:R1006),$Q$1006:$U$1006,0)))),"Fix")))</f>
        <v xml:space="preserve"> </v>
      </c>
      <c r="D962" s="3" t="str">
        <f ca="1">IF(OR(INDEX($K$2:$K$1001,MATCH(ROWS($J$2:J962),$J$2:$J$1001,0),1)&gt;=100000,INDEX($Q$1005:$U$1005,1,MATCH(COLUMNS($Q$1006:S1006),$Q$1006:$U$1006,0))&gt;=100000), " ",IF(INDEX($Q$2:$U$1001,MATCH(ROWS($J$2:J962),$J$2:$J$1001,0),MATCH(COLUMNS($Q$1006:S1006),$Q$1006:$U$1006,0)), HYPERLINK("#",""), HYPERLINK(CONCATENATE("#metadata!", ADDRESS(INDEX($L$2:$L$1001,MATCH(ROWS($J$2:J962),$J$2:$J$1001,0),0), INDEX($Q$1004:$U$1004,1,MATCH(COLUMNS($Q$1006:S1006),$Q$1006:$U$1006,0)))),"Fix")))</f>
        <v xml:space="preserve"> </v>
      </c>
      <c r="E962" s="3" t="str">
        <f ca="1">IF(OR(INDEX($K$2:$K$1001,MATCH(ROWS($J$2:J962),$J$2:$J$1001,0),1)&gt;=100000,INDEX($Q$1005:$U$1005,1,MATCH(COLUMNS($Q$1006:T1006),$Q$1006:$U$1006,0))&gt;=100000), " ",IF(INDEX($Q$2:$U$1001,MATCH(ROWS($J$2:J962),$J$2:$J$1001,0),MATCH(COLUMNS($Q$1006:T1006),$Q$1006:$U$1006,0)), HYPERLINK("#",""), HYPERLINK(CONCATENATE("#metadata!", ADDRESS(INDEX($L$2:$L$1001,MATCH(ROWS($J$2:J962),$J$2:$J$1001,0),0), INDEX($Q$1004:$U$1004,1,MATCH(COLUMNS($Q$1006:T1006),$Q$1006:$U$1006,0)))),"Fix")))</f>
        <v xml:space="preserve"> </v>
      </c>
      <c r="F962" s="3" t="str">
        <f ca="1">IF(OR(INDEX($K$2:$K$1001,MATCH(ROWS($J$2:J962),$J$2:$J$1001,0),1)&gt;=100000,INDEX($Q$1005:$U$1005,1,MATCH(COLUMNS($Q$1006:U1006),$Q$1006:$U$1006,0))&gt;=100000), " ",IF(INDEX($Q$2:$U$1001,MATCH(ROWS($J$2:J962),$J$2:$J$1001,0),MATCH(COLUMNS($Q$1006:U1006),$Q$1006:$U$1006,0)), HYPERLINK("#",""), HYPERLINK(CONCATENATE("#metadata!", ADDRESS(INDEX($L$2:$L$1001,MATCH(ROWS($J$2:J962),$J$2:$J$1001,0),0), INDEX($Q$1004:$U$1004,1,MATCH(COLUMNS($Q$1006:U1006),$Q$1006:$U$1006,0)))),"Fix")))</f>
        <v xml:space="preserve"> </v>
      </c>
      <c r="J962">
        <v>961</v>
      </c>
      <c r="K962">
        <v>100962</v>
      </c>
      <c r="L962">
        <v>962</v>
      </c>
      <c r="M962" t="b">
        <f t="shared" ref="M962:M1025" si="15">IF(N962,TRUE,AND(Q962:U962))</f>
        <v>1</v>
      </c>
      <c r="N962" t="b">
        <f>COUNTBLANK(metadata!B962:F962)=COLUMNS(metadata!B962:F962)</f>
        <v>1</v>
      </c>
      <c r="O962" t="str">
        <v/>
      </c>
      <c r="Q962" t="b">
        <f ca="1">AND(IF(metadata!B962="",FALSE,TRUE),COUNTIF(metadata!B:B, metadata!B962) = 1,NOT(ISERROR(SUMPRODUCT(SEARCH(MID(metadata!B962,ROW(INDIRECT("1:"&amp;LEN(metadata!B962))), 1),"0123456789abcdefghijklmnopqrstuvwxyzABCDEFGHIJKLMNOPQRSTUVWXYZ.")))))</f>
        <v>0</v>
      </c>
      <c r="R962" t="b">
        <f>AND(IF(metadata!C962="",FALSE,TRUE),OR(EXACT(metadata!C962,"saline"),EXACT(metadata!C962,"non-saline")))</f>
        <v>0</v>
      </c>
      <c r="S962" t="b">
        <f>AND(IF(metadata!D962="",FALSE,TRUE),OR(EXACT(metadata!D962,"surface (non-saline)"),EXACT(metadata!D962,"aerosol (non-saline)"),EXACT(metadata!D962,"sediment (non-saline)"),EXACT(metadata!D962,"surface (saline)"),EXACT(metadata!D962,"aerosol (saline)"),EXACT(metadata!D962,"sediment (saline)")))</f>
        <v>0</v>
      </c>
      <c r="T962" t="b">
        <f>AND(IF(metadata!E962="",FALSE,TRUE),EXACT(metadata!E962,"built environment"))</f>
        <v>0</v>
      </c>
      <c r="U962" t="b">
        <f>OR(AND(IF(metadata!F962="",FALSE,TRUE),EXACT(metadata!F962,"not applicable")),AND(IF(metadata!F962="",FALSE,TRUE),EXACT(metadata!F962,"anaerobic digester content")))</f>
        <v>0</v>
      </c>
    </row>
    <row r="963" spans="1:21" x14ac:dyDescent="0.2">
      <c r="A963" s="4" t="str">
        <f ca="1">IF(B963=" "," ",HYPERLINK(CONCATENATE("#metadata!",ADDRESS(INDEX($L$2:$L$1001,MATCH(ROWS($J$2:J963),$J$2:$J$1001,0),0),1)),INDEX($O$2:$O$1001,MATCH(ROWS($J$2:J963),$J$2:$J$1001,0),0)))</f>
        <v xml:space="preserve"> </v>
      </c>
      <c r="B963" s="3" t="str">
        <f ca="1">IF(OR(INDEX($K$2:$K$1001,MATCH(ROWS($J$2:J963),$J$2:$J$1001,0),1)&gt;=100000,INDEX($Q$1005:$U$1005,1,MATCH(COLUMNS($Q$1006:Q1006),$Q$1006:$U$1006,0))&gt;=100000), " ",IF(INDEX($Q$2:$U$1001,MATCH(ROWS($J$2:J963),$J$2:$J$1001,0),MATCH(COLUMNS($Q$1006:Q1006),$Q$1006:$U$1006,0)), HYPERLINK("#",""), HYPERLINK(CONCATENATE("#metadata!", ADDRESS(INDEX($L$2:$L$1001,MATCH(ROWS($J$2:J963),$J$2:$J$1001,0),0), INDEX($Q$1004:$U$1004,1,MATCH(COLUMNS($Q$1006:Q1006),$Q$1006:$U$1006,0)))),"Fix")))</f>
        <v xml:space="preserve"> </v>
      </c>
      <c r="C963" s="3" t="str">
        <f ca="1">IF(OR(INDEX($K$2:$K$1001,MATCH(ROWS($J$2:J963),$J$2:$J$1001,0),1)&gt;=100000,INDEX($Q$1005:$U$1005,1,MATCH(COLUMNS($Q$1006:R1006),$Q$1006:$U$1006,0))&gt;=100000), " ",IF(INDEX($Q$2:$U$1001,MATCH(ROWS($J$2:J963),$J$2:$J$1001,0),MATCH(COLUMNS($Q$1006:R1006),$Q$1006:$U$1006,0)), HYPERLINK("#",""), HYPERLINK(CONCATENATE("#metadata!", ADDRESS(INDEX($L$2:$L$1001,MATCH(ROWS($J$2:J963),$J$2:$J$1001,0),0), INDEX($Q$1004:$U$1004,1,MATCH(COLUMNS($Q$1006:R1006),$Q$1006:$U$1006,0)))),"Fix")))</f>
        <v xml:space="preserve"> </v>
      </c>
      <c r="D963" s="3" t="str">
        <f ca="1">IF(OR(INDEX($K$2:$K$1001,MATCH(ROWS($J$2:J963),$J$2:$J$1001,0),1)&gt;=100000,INDEX($Q$1005:$U$1005,1,MATCH(COLUMNS($Q$1006:S1006),$Q$1006:$U$1006,0))&gt;=100000), " ",IF(INDEX($Q$2:$U$1001,MATCH(ROWS($J$2:J963),$J$2:$J$1001,0),MATCH(COLUMNS($Q$1006:S1006),$Q$1006:$U$1006,0)), HYPERLINK("#",""), HYPERLINK(CONCATENATE("#metadata!", ADDRESS(INDEX($L$2:$L$1001,MATCH(ROWS($J$2:J963),$J$2:$J$1001,0),0), INDEX($Q$1004:$U$1004,1,MATCH(COLUMNS($Q$1006:S1006),$Q$1006:$U$1006,0)))),"Fix")))</f>
        <v xml:space="preserve"> </v>
      </c>
      <c r="E963" s="3" t="str">
        <f ca="1">IF(OR(INDEX($K$2:$K$1001,MATCH(ROWS($J$2:J963),$J$2:$J$1001,0),1)&gt;=100000,INDEX($Q$1005:$U$1005,1,MATCH(COLUMNS($Q$1006:T1006),$Q$1006:$U$1006,0))&gt;=100000), " ",IF(INDEX($Q$2:$U$1001,MATCH(ROWS($J$2:J963),$J$2:$J$1001,0),MATCH(COLUMNS($Q$1006:T1006),$Q$1006:$U$1006,0)), HYPERLINK("#",""), HYPERLINK(CONCATENATE("#metadata!", ADDRESS(INDEX($L$2:$L$1001,MATCH(ROWS($J$2:J963),$J$2:$J$1001,0),0), INDEX($Q$1004:$U$1004,1,MATCH(COLUMNS($Q$1006:T1006),$Q$1006:$U$1006,0)))),"Fix")))</f>
        <v xml:space="preserve"> </v>
      </c>
      <c r="F963" s="3" t="str">
        <f ca="1">IF(OR(INDEX($K$2:$K$1001,MATCH(ROWS($J$2:J963),$J$2:$J$1001,0),1)&gt;=100000,INDEX($Q$1005:$U$1005,1,MATCH(COLUMNS($Q$1006:U1006),$Q$1006:$U$1006,0))&gt;=100000), " ",IF(INDEX($Q$2:$U$1001,MATCH(ROWS($J$2:J963),$J$2:$J$1001,0),MATCH(COLUMNS($Q$1006:U1006),$Q$1006:$U$1006,0)), HYPERLINK("#",""), HYPERLINK(CONCATENATE("#metadata!", ADDRESS(INDEX($L$2:$L$1001,MATCH(ROWS($J$2:J963),$J$2:$J$1001,0),0), INDEX($Q$1004:$U$1004,1,MATCH(COLUMNS($Q$1006:U1006),$Q$1006:$U$1006,0)))),"Fix")))</f>
        <v xml:space="preserve"> </v>
      </c>
      <c r="J963">
        <v>962</v>
      </c>
      <c r="K963">
        <v>100963</v>
      </c>
      <c r="L963">
        <v>963</v>
      </c>
      <c r="M963" t="b">
        <f t="shared" si="15"/>
        <v>1</v>
      </c>
      <c r="N963" t="b">
        <f>COUNTBLANK(metadata!B963:F963)=COLUMNS(metadata!B963:F963)</f>
        <v>1</v>
      </c>
      <c r="O963" t="str">
        <v/>
      </c>
      <c r="Q963" t="b">
        <f ca="1">AND(IF(metadata!B963="",FALSE,TRUE),COUNTIF(metadata!B:B, metadata!B963) = 1,NOT(ISERROR(SUMPRODUCT(SEARCH(MID(metadata!B963,ROW(INDIRECT("1:"&amp;LEN(metadata!B963))), 1),"0123456789abcdefghijklmnopqrstuvwxyzABCDEFGHIJKLMNOPQRSTUVWXYZ.")))))</f>
        <v>0</v>
      </c>
      <c r="R963" t="b">
        <f>AND(IF(metadata!C963="",FALSE,TRUE),OR(EXACT(metadata!C963,"saline"),EXACT(metadata!C963,"non-saline")))</f>
        <v>0</v>
      </c>
      <c r="S963" t="b">
        <f>AND(IF(metadata!D963="",FALSE,TRUE),OR(EXACT(metadata!D963,"surface (non-saline)"),EXACT(metadata!D963,"aerosol (non-saline)"),EXACT(metadata!D963,"sediment (non-saline)"),EXACT(metadata!D963,"surface (saline)"),EXACT(metadata!D963,"aerosol (saline)"),EXACT(metadata!D963,"sediment (saline)")))</f>
        <v>0</v>
      </c>
      <c r="T963" t="b">
        <f>AND(IF(metadata!E963="",FALSE,TRUE),EXACT(metadata!E963,"built environment"))</f>
        <v>0</v>
      </c>
      <c r="U963" t="b">
        <f>OR(AND(IF(metadata!F963="",FALSE,TRUE),EXACT(metadata!F963,"not applicable")),AND(IF(metadata!F963="",FALSE,TRUE),EXACT(metadata!F963,"anaerobic digester content")))</f>
        <v>0</v>
      </c>
    </row>
    <row r="964" spans="1:21" x14ac:dyDescent="0.2">
      <c r="A964" s="4" t="str">
        <f ca="1">IF(B964=" "," ",HYPERLINK(CONCATENATE("#metadata!",ADDRESS(INDEX($L$2:$L$1001,MATCH(ROWS($J$2:J964),$J$2:$J$1001,0),0),1)),INDEX($O$2:$O$1001,MATCH(ROWS($J$2:J964),$J$2:$J$1001,0),0)))</f>
        <v xml:space="preserve"> </v>
      </c>
      <c r="B964" s="3" t="str">
        <f ca="1">IF(OR(INDEX($K$2:$K$1001,MATCH(ROWS($J$2:J964),$J$2:$J$1001,0),1)&gt;=100000,INDEX($Q$1005:$U$1005,1,MATCH(COLUMNS($Q$1006:Q1006),$Q$1006:$U$1006,0))&gt;=100000), " ",IF(INDEX($Q$2:$U$1001,MATCH(ROWS($J$2:J964),$J$2:$J$1001,0),MATCH(COLUMNS($Q$1006:Q1006),$Q$1006:$U$1006,0)), HYPERLINK("#",""), HYPERLINK(CONCATENATE("#metadata!", ADDRESS(INDEX($L$2:$L$1001,MATCH(ROWS($J$2:J964),$J$2:$J$1001,0),0), INDEX($Q$1004:$U$1004,1,MATCH(COLUMNS($Q$1006:Q1006),$Q$1006:$U$1006,0)))),"Fix")))</f>
        <v xml:space="preserve"> </v>
      </c>
      <c r="C964" s="3" t="str">
        <f ca="1">IF(OR(INDEX($K$2:$K$1001,MATCH(ROWS($J$2:J964),$J$2:$J$1001,0),1)&gt;=100000,INDEX($Q$1005:$U$1005,1,MATCH(COLUMNS($Q$1006:R1006),$Q$1006:$U$1006,0))&gt;=100000), " ",IF(INDEX($Q$2:$U$1001,MATCH(ROWS($J$2:J964),$J$2:$J$1001,0),MATCH(COLUMNS($Q$1006:R1006),$Q$1006:$U$1006,0)), HYPERLINK("#",""), HYPERLINK(CONCATENATE("#metadata!", ADDRESS(INDEX($L$2:$L$1001,MATCH(ROWS($J$2:J964),$J$2:$J$1001,0),0), INDEX($Q$1004:$U$1004,1,MATCH(COLUMNS($Q$1006:R1006),$Q$1006:$U$1006,0)))),"Fix")))</f>
        <v xml:space="preserve"> </v>
      </c>
      <c r="D964" s="3" t="str">
        <f ca="1">IF(OR(INDEX($K$2:$K$1001,MATCH(ROWS($J$2:J964),$J$2:$J$1001,0),1)&gt;=100000,INDEX($Q$1005:$U$1005,1,MATCH(COLUMNS($Q$1006:S1006),$Q$1006:$U$1006,0))&gt;=100000), " ",IF(INDEX($Q$2:$U$1001,MATCH(ROWS($J$2:J964),$J$2:$J$1001,0),MATCH(COLUMNS($Q$1006:S1006),$Q$1006:$U$1006,0)), HYPERLINK("#",""), HYPERLINK(CONCATENATE("#metadata!", ADDRESS(INDEX($L$2:$L$1001,MATCH(ROWS($J$2:J964),$J$2:$J$1001,0),0), INDEX($Q$1004:$U$1004,1,MATCH(COLUMNS($Q$1006:S1006),$Q$1006:$U$1006,0)))),"Fix")))</f>
        <v xml:space="preserve"> </v>
      </c>
      <c r="E964" s="3" t="str">
        <f ca="1">IF(OR(INDEX($K$2:$K$1001,MATCH(ROWS($J$2:J964),$J$2:$J$1001,0),1)&gt;=100000,INDEX($Q$1005:$U$1005,1,MATCH(COLUMNS($Q$1006:T1006),$Q$1006:$U$1006,0))&gt;=100000), " ",IF(INDEX($Q$2:$U$1001,MATCH(ROWS($J$2:J964),$J$2:$J$1001,0),MATCH(COLUMNS($Q$1006:T1006),$Q$1006:$U$1006,0)), HYPERLINK("#",""), HYPERLINK(CONCATENATE("#metadata!", ADDRESS(INDEX($L$2:$L$1001,MATCH(ROWS($J$2:J964),$J$2:$J$1001,0),0), INDEX($Q$1004:$U$1004,1,MATCH(COLUMNS($Q$1006:T1006),$Q$1006:$U$1006,0)))),"Fix")))</f>
        <v xml:space="preserve"> </v>
      </c>
      <c r="F964" s="3" t="str">
        <f ca="1">IF(OR(INDEX($K$2:$K$1001,MATCH(ROWS($J$2:J964),$J$2:$J$1001,0),1)&gt;=100000,INDEX($Q$1005:$U$1005,1,MATCH(COLUMNS($Q$1006:U1006),$Q$1006:$U$1006,0))&gt;=100000), " ",IF(INDEX($Q$2:$U$1001,MATCH(ROWS($J$2:J964),$J$2:$J$1001,0),MATCH(COLUMNS($Q$1006:U1006),$Q$1006:$U$1006,0)), HYPERLINK("#",""), HYPERLINK(CONCATENATE("#metadata!", ADDRESS(INDEX($L$2:$L$1001,MATCH(ROWS($J$2:J964),$J$2:$J$1001,0),0), INDEX($Q$1004:$U$1004,1,MATCH(COLUMNS($Q$1006:U1006),$Q$1006:$U$1006,0)))),"Fix")))</f>
        <v xml:space="preserve"> </v>
      </c>
      <c r="J964">
        <v>963</v>
      </c>
      <c r="K964">
        <v>100964</v>
      </c>
      <c r="L964">
        <v>964</v>
      </c>
      <c r="M964" t="b">
        <f t="shared" si="15"/>
        <v>1</v>
      </c>
      <c r="N964" t="b">
        <f>COUNTBLANK(metadata!B964:F964)=COLUMNS(metadata!B964:F964)</f>
        <v>1</v>
      </c>
      <c r="O964" t="str">
        <v/>
      </c>
      <c r="Q964" t="b">
        <f ca="1">AND(IF(metadata!B964="",FALSE,TRUE),COUNTIF(metadata!B:B, metadata!B964) = 1,NOT(ISERROR(SUMPRODUCT(SEARCH(MID(metadata!B964,ROW(INDIRECT("1:"&amp;LEN(metadata!B964))), 1),"0123456789abcdefghijklmnopqrstuvwxyzABCDEFGHIJKLMNOPQRSTUVWXYZ.")))))</f>
        <v>0</v>
      </c>
      <c r="R964" t="b">
        <f>AND(IF(metadata!C964="",FALSE,TRUE),OR(EXACT(metadata!C964,"saline"),EXACT(metadata!C964,"non-saline")))</f>
        <v>0</v>
      </c>
      <c r="S964" t="b">
        <f>AND(IF(metadata!D964="",FALSE,TRUE),OR(EXACT(metadata!D964,"surface (non-saline)"),EXACT(metadata!D964,"aerosol (non-saline)"),EXACT(metadata!D964,"sediment (non-saline)"),EXACT(metadata!D964,"surface (saline)"),EXACT(metadata!D964,"aerosol (saline)"),EXACT(metadata!D964,"sediment (saline)")))</f>
        <v>0</v>
      </c>
      <c r="T964" t="b">
        <f>AND(IF(metadata!E964="",FALSE,TRUE),EXACT(metadata!E964,"built environment"))</f>
        <v>0</v>
      </c>
      <c r="U964" t="b">
        <f>OR(AND(IF(metadata!F964="",FALSE,TRUE),EXACT(metadata!F964,"not applicable")),AND(IF(metadata!F964="",FALSE,TRUE),EXACT(metadata!F964,"anaerobic digester content")))</f>
        <v>0</v>
      </c>
    </row>
    <row r="965" spans="1:21" x14ac:dyDescent="0.2">
      <c r="A965" s="4" t="str">
        <f ca="1">IF(B965=" "," ",HYPERLINK(CONCATENATE("#metadata!",ADDRESS(INDEX($L$2:$L$1001,MATCH(ROWS($J$2:J965),$J$2:$J$1001,0),0),1)),INDEX($O$2:$O$1001,MATCH(ROWS($J$2:J965),$J$2:$J$1001,0),0)))</f>
        <v xml:space="preserve"> </v>
      </c>
      <c r="B965" s="3" t="str">
        <f ca="1">IF(OR(INDEX($K$2:$K$1001,MATCH(ROWS($J$2:J965),$J$2:$J$1001,0),1)&gt;=100000,INDEX($Q$1005:$U$1005,1,MATCH(COLUMNS($Q$1006:Q1006),$Q$1006:$U$1006,0))&gt;=100000), " ",IF(INDEX($Q$2:$U$1001,MATCH(ROWS($J$2:J965),$J$2:$J$1001,0),MATCH(COLUMNS($Q$1006:Q1006),$Q$1006:$U$1006,0)), HYPERLINK("#",""), HYPERLINK(CONCATENATE("#metadata!", ADDRESS(INDEX($L$2:$L$1001,MATCH(ROWS($J$2:J965),$J$2:$J$1001,0),0), INDEX($Q$1004:$U$1004,1,MATCH(COLUMNS($Q$1006:Q1006),$Q$1006:$U$1006,0)))),"Fix")))</f>
        <v xml:space="preserve"> </v>
      </c>
      <c r="C965" s="3" t="str">
        <f ca="1">IF(OR(INDEX($K$2:$K$1001,MATCH(ROWS($J$2:J965),$J$2:$J$1001,0),1)&gt;=100000,INDEX($Q$1005:$U$1005,1,MATCH(COLUMNS($Q$1006:R1006),$Q$1006:$U$1006,0))&gt;=100000), " ",IF(INDEX($Q$2:$U$1001,MATCH(ROWS($J$2:J965),$J$2:$J$1001,0),MATCH(COLUMNS($Q$1006:R1006),$Q$1006:$U$1006,0)), HYPERLINK("#",""), HYPERLINK(CONCATENATE("#metadata!", ADDRESS(INDEX($L$2:$L$1001,MATCH(ROWS($J$2:J965),$J$2:$J$1001,0),0), INDEX($Q$1004:$U$1004,1,MATCH(COLUMNS($Q$1006:R1006),$Q$1006:$U$1006,0)))),"Fix")))</f>
        <v xml:space="preserve"> </v>
      </c>
      <c r="D965" s="3" t="str">
        <f ca="1">IF(OR(INDEX($K$2:$K$1001,MATCH(ROWS($J$2:J965),$J$2:$J$1001,0),1)&gt;=100000,INDEX($Q$1005:$U$1005,1,MATCH(COLUMNS($Q$1006:S1006),$Q$1006:$U$1006,0))&gt;=100000), " ",IF(INDEX($Q$2:$U$1001,MATCH(ROWS($J$2:J965),$J$2:$J$1001,0),MATCH(COLUMNS($Q$1006:S1006),$Q$1006:$U$1006,0)), HYPERLINK("#",""), HYPERLINK(CONCATENATE("#metadata!", ADDRESS(INDEX($L$2:$L$1001,MATCH(ROWS($J$2:J965),$J$2:$J$1001,0),0), INDEX($Q$1004:$U$1004,1,MATCH(COLUMNS($Q$1006:S1006),$Q$1006:$U$1006,0)))),"Fix")))</f>
        <v xml:space="preserve"> </v>
      </c>
      <c r="E965" s="3" t="str">
        <f ca="1">IF(OR(INDEX($K$2:$K$1001,MATCH(ROWS($J$2:J965),$J$2:$J$1001,0),1)&gt;=100000,INDEX($Q$1005:$U$1005,1,MATCH(COLUMNS($Q$1006:T1006),$Q$1006:$U$1006,0))&gt;=100000), " ",IF(INDEX($Q$2:$U$1001,MATCH(ROWS($J$2:J965),$J$2:$J$1001,0),MATCH(COLUMNS($Q$1006:T1006),$Q$1006:$U$1006,0)), HYPERLINK("#",""), HYPERLINK(CONCATENATE("#metadata!", ADDRESS(INDEX($L$2:$L$1001,MATCH(ROWS($J$2:J965),$J$2:$J$1001,0),0), INDEX($Q$1004:$U$1004,1,MATCH(COLUMNS($Q$1006:T1006),$Q$1006:$U$1006,0)))),"Fix")))</f>
        <v xml:space="preserve"> </v>
      </c>
      <c r="F965" s="3" t="str">
        <f ca="1">IF(OR(INDEX($K$2:$K$1001,MATCH(ROWS($J$2:J965),$J$2:$J$1001,0),1)&gt;=100000,INDEX($Q$1005:$U$1005,1,MATCH(COLUMNS($Q$1006:U1006),$Q$1006:$U$1006,0))&gt;=100000), " ",IF(INDEX($Q$2:$U$1001,MATCH(ROWS($J$2:J965),$J$2:$J$1001,0),MATCH(COLUMNS($Q$1006:U1006),$Q$1006:$U$1006,0)), HYPERLINK("#",""), HYPERLINK(CONCATENATE("#metadata!", ADDRESS(INDEX($L$2:$L$1001,MATCH(ROWS($J$2:J965),$J$2:$J$1001,0),0), INDEX($Q$1004:$U$1004,1,MATCH(COLUMNS($Q$1006:U1006),$Q$1006:$U$1006,0)))),"Fix")))</f>
        <v xml:space="preserve"> </v>
      </c>
      <c r="J965">
        <v>964</v>
      </c>
      <c r="K965">
        <v>100965</v>
      </c>
      <c r="L965">
        <v>965</v>
      </c>
      <c r="M965" t="b">
        <f t="shared" si="15"/>
        <v>1</v>
      </c>
      <c r="N965" t="b">
        <f>COUNTBLANK(metadata!B965:F965)=COLUMNS(metadata!B965:F965)</f>
        <v>1</v>
      </c>
      <c r="O965" t="str">
        <v/>
      </c>
      <c r="Q965" t="b">
        <f ca="1">AND(IF(metadata!B965="",FALSE,TRUE),COUNTIF(metadata!B:B, metadata!B965) = 1,NOT(ISERROR(SUMPRODUCT(SEARCH(MID(metadata!B965,ROW(INDIRECT("1:"&amp;LEN(metadata!B965))), 1),"0123456789abcdefghijklmnopqrstuvwxyzABCDEFGHIJKLMNOPQRSTUVWXYZ.")))))</f>
        <v>0</v>
      </c>
      <c r="R965" t="b">
        <f>AND(IF(metadata!C965="",FALSE,TRUE),OR(EXACT(metadata!C965,"saline"),EXACT(metadata!C965,"non-saline")))</f>
        <v>0</v>
      </c>
      <c r="S965" t="b">
        <f>AND(IF(metadata!D965="",FALSE,TRUE),OR(EXACT(metadata!D965,"surface (non-saline)"),EXACT(metadata!D965,"aerosol (non-saline)"),EXACT(metadata!D965,"sediment (non-saline)"),EXACT(metadata!D965,"surface (saline)"),EXACT(metadata!D965,"aerosol (saline)"),EXACT(metadata!D965,"sediment (saline)")))</f>
        <v>0</v>
      </c>
      <c r="T965" t="b">
        <f>AND(IF(metadata!E965="",FALSE,TRUE),EXACT(metadata!E965,"built environment"))</f>
        <v>0</v>
      </c>
      <c r="U965" t="b">
        <f>OR(AND(IF(metadata!F965="",FALSE,TRUE),EXACT(metadata!F965,"not applicable")),AND(IF(metadata!F965="",FALSE,TRUE),EXACT(metadata!F965,"anaerobic digester content")))</f>
        <v>0</v>
      </c>
    </row>
    <row r="966" spans="1:21" x14ac:dyDescent="0.2">
      <c r="A966" s="4" t="str">
        <f ca="1">IF(B966=" "," ",HYPERLINK(CONCATENATE("#metadata!",ADDRESS(INDEX($L$2:$L$1001,MATCH(ROWS($J$2:J966),$J$2:$J$1001,0),0),1)),INDEX($O$2:$O$1001,MATCH(ROWS($J$2:J966),$J$2:$J$1001,0),0)))</f>
        <v xml:space="preserve"> </v>
      </c>
      <c r="B966" s="3" t="str">
        <f ca="1">IF(OR(INDEX($K$2:$K$1001,MATCH(ROWS($J$2:J966),$J$2:$J$1001,0),1)&gt;=100000,INDEX($Q$1005:$U$1005,1,MATCH(COLUMNS($Q$1006:Q1006),$Q$1006:$U$1006,0))&gt;=100000), " ",IF(INDEX($Q$2:$U$1001,MATCH(ROWS($J$2:J966),$J$2:$J$1001,0),MATCH(COLUMNS($Q$1006:Q1006),$Q$1006:$U$1006,0)), HYPERLINK("#",""), HYPERLINK(CONCATENATE("#metadata!", ADDRESS(INDEX($L$2:$L$1001,MATCH(ROWS($J$2:J966),$J$2:$J$1001,0),0), INDEX($Q$1004:$U$1004,1,MATCH(COLUMNS($Q$1006:Q1006),$Q$1006:$U$1006,0)))),"Fix")))</f>
        <v xml:space="preserve"> </v>
      </c>
      <c r="C966" s="3" t="str">
        <f ca="1">IF(OR(INDEX($K$2:$K$1001,MATCH(ROWS($J$2:J966),$J$2:$J$1001,0),1)&gt;=100000,INDEX($Q$1005:$U$1005,1,MATCH(COLUMNS($Q$1006:R1006),$Q$1006:$U$1006,0))&gt;=100000), " ",IF(INDEX($Q$2:$U$1001,MATCH(ROWS($J$2:J966),$J$2:$J$1001,0),MATCH(COLUMNS($Q$1006:R1006),$Q$1006:$U$1006,0)), HYPERLINK("#",""), HYPERLINK(CONCATENATE("#metadata!", ADDRESS(INDEX($L$2:$L$1001,MATCH(ROWS($J$2:J966),$J$2:$J$1001,0),0), INDEX($Q$1004:$U$1004,1,MATCH(COLUMNS($Q$1006:R1006),$Q$1006:$U$1006,0)))),"Fix")))</f>
        <v xml:space="preserve"> </v>
      </c>
      <c r="D966" s="3" t="str">
        <f ca="1">IF(OR(INDEX($K$2:$K$1001,MATCH(ROWS($J$2:J966),$J$2:$J$1001,0),1)&gt;=100000,INDEX($Q$1005:$U$1005,1,MATCH(COLUMNS($Q$1006:S1006),$Q$1006:$U$1006,0))&gt;=100000), " ",IF(INDEX($Q$2:$U$1001,MATCH(ROWS($J$2:J966),$J$2:$J$1001,0),MATCH(COLUMNS($Q$1006:S1006),$Q$1006:$U$1006,0)), HYPERLINK("#",""), HYPERLINK(CONCATENATE("#metadata!", ADDRESS(INDEX($L$2:$L$1001,MATCH(ROWS($J$2:J966),$J$2:$J$1001,0),0), INDEX($Q$1004:$U$1004,1,MATCH(COLUMNS($Q$1006:S1006),$Q$1006:$U$1006,0)))),"Fix")))</f>
        <v xml:space="preserve"> </v>
      </c>
      <c r="E966" s="3" t="str">
        <f ca="1">IF(OR(INDEX($K$2:$K$1001,MATCH(ROWS($J$2:J966),$J$2:$J$1001,0),1)&gt;=100000,INDEX($Q$1005:$U$1005,1,MATCH(COLUMNS($Q$1006:T1006),$Q$1006:$U$1006,0))&gt;=100000), " ",IF(INDEX($Q$2:$U$1001,MATCH(ROWS($J$2:J966),$J$2:$J$1001,0),MATCH(COLUMNS($Q$1006:T1006),$Q$1006:$U$1006,0)), HYPERLINK("#",""), HYPERLINK(CONCATENATE("#metadata!", ADDRESS(INDEX($L$2:$L$1001,MATCH(ROWS($J$2:J966),$J$2:$J$1001,0),0), INDEX($Q$1004:$U$1004,1,MATCH(COLUMNS($Q$1006:T1006),$Q$1006:$U$1006,0)))),"Fix")))</f>
        <v xml:space="preserve"> </v>
      </c>
      <c r="F966" s="3" t="str">
        <f ca="1">IF(OR(INDEX($K$2:$K$1001,MATCH(ROWS($J$2:J966),$J$2:$J$1001,0),1)&gt;=100000,INDEX($Q$1005:$U$1005,1,MATCH(COLUMNS($Q$1006:U1006),$Q$1006:$U$1006,0))&gt;=100000), " ",IF(INDEX($Q$2:$U$1001,MATCH(ROWS($J$2:J966),$J$2:$J$1001,0),MATCH(COLUMNS($Q$1006:U1006),$Q$1006:$U$1006,0)), HYPERLINK("#",""), HYPERLINK(CONCATENATE("#metadata!", ADDRESS(INDEX($L$2:$L$1001,MATCH(ROWS($J$2:J966),$J$2:$J$1001,0),0), INDEX($Q$1004:$U$1004,1,MATCH(COLUMNS($Q$1006:U1006),$Q$1006:$U$1006,0)))),"Fix")))</f>
        <v xml:space="preserve"> </v>
      </c>
      <c r="J966">
        <v>965</v>
      </c>
      <c r="K966">
        <v>100966</v>
      </c>
      <c r="L966">
        <v>966</v>
      </c>
      <c r="M966" t="b">
        <f t="shared" si="15"/>
        <v>1</v>
      </c>
      <c r="N966" t="b">
        <f>COUNTBLANK(metadata!B966:F966)=COLUMNS(metadata!B966:F966)</f>
        <v>1</v>
      </c>
      <c r="O966" t="str">
        <v/>
      </c>
      <c r="Q966" t="b">
        <f ca="1">AND(IF(metadata!B966="",FALSE,TRUE),COUNTIF(metadata!B:B, metadata!B966) = 1,NOT(ISERROR(SUMPRODUCT(SEARCH(MID(metadata!B966,ROW(INDIRECT("1:"&amp;LEN(metadata!B966))), 1),"0123456789abcdefghijklmnopqrstuvwxyzABCDEFGHIJKLMNOPQRSTUVWXYZ.")))))</f>
        <v>0</v>
      </c>
      <c r="R966" t="b">
        <f>AND(IF(metadata!C966="",FALSE,TRUE),OR(EXACT(metadata!C966,"saline"),EXACT(metadata!C966,"non-saline")))</f>
        <v>0</v>
      </c>
      <c r="S966" t="b">
        <f>AND(IF(metadata!D966="",FALSE,TRUE),OR(EXACT(metadata!D966,"surface (non-saline)"),EXACT(metadata!D966,"aerosol (non-saline)"),EXACT(metadata!D966,"sediment (non-saline)"),EXACT(metadata!D966,"surface (saline)"),EXACT(metadata!D966,"aerosol (saline)"),EXACT(metadata!D966,"sediment (saline)")))</f>
        <v>0</v>
      </c>
      <c r="T966" t="b">
        <f>AND(IF(metadata!E966="",FALSE,TRUE),EXACT(metadata!E966,"built environment"))</f>
        <v>0</v>
      </c>
      <c r="U966" t="b">
        <f>OR(AND(IF(metadata!F966="",FALSE,TRUE),EXACT(metadata!F966,"not applicable")),AND(IF(metadata!F966="",FALSE,TRUE),EXACT(metadata!F966,"anaerobic digester content")))</f>
        <v>0</v>
      </c>
    </row>
    <row r="967" spans="1:21" x14ac:dyDescent="0.2">
      <c r="A967" s="4" t="str">
        <f ca="1">IF(B967=" "," ",HYPERLINK(CONCATENATE("#metadata!",ADDRESS(INDEX($L$2:$L$1001,MATCH(ROWS($J$2:J967),$J$2:$J$1001,0),0),1)),INDEX($O$2:$O$1001,MATCH(ROWS($J$2:J967),$J$2:$J$1001,0),0)))</f>
        <v xml:space="preserve"> </v>
      </c>
      <c r="B967" s="3" t="str">
        <f ca="1">IF(OR(INDEX($K$2:$K$1001,MATCH(ROWS($J$2:J967),$J$2:$J$1001,0),1)&gt;=100000,INDEX($Q$1005:$U$1005,1,MATCH(COLUMNS($Q$1006:Q1006),$Q$1006:$U$1006,0))&gt;=100000), " ",IF(INDEX($Q$2:$U$1001,MATCH(ROWS($J$2:J967),$J$2:$J$1001,0),MATCH(COLUMNS($Q$1006:Q1006),$Q$1006:$U$1006,0)), HYPERLINK("#",""), HYPERLINK(CONCATENATE("#metadata!", ADDRESS(INDEX($L$2:$L$1001,MATCH(ROWS($J$2:J967),$J$2:$J$1001,0),0), INDEX($Q$1004:$U$1004,1,MATCH(COLUMNS($Q$1006:Q1006),$Q$1006:$U$1006,0)))),"Fix")))</f>
        <v xml:space="preserve"> </v>
      </c>
      <c r="C967" s="3" t="str">
        <f ca="1">IF(OR(INDEX($K$2:$K$1001,MATCH(ROWS($J$2:J967),$J$2:$J$1001,0),1)&gt;=100000,INDEX($Q$1005:$U$1005,1,MATCH(COLUMNS($Q$1006:R1006),$Q$1006:$U$1006,0))&gt;=100000), " ",IF(INDEX($Q$2:$U$1001,MATCH(ROWS($J$2:J967),$J$2:$J$1001,0),MATCH(COLUMNS($Q$1006:R1006),$Q$1006:$U$1006,0)), HYPERLINK("#",""), HYPERLINK(CONCATENATE("#metadata!", ADDRESS(INDEX($L$2:$L$1001,MATCH(ROWS($J$2:J967),$J$2:$J$1001,0),0), INDEX($Q$1004:$U$1004,1,MATCH(COLUMNS($Q$1006:R1006),$Q$1006:$U$1006,0)))),"Fix")))</f>
        <v xml:space="preserve"> </v>
      </c>
      <c r="D967" s="3" t="str">
        <f ca="1">IF(OR(INDEX($K$2:$K$1001,MATCH(ROWS($J$2:J967),$J$2:$J$1001,0),1)&gt;=100000,INDEX($Q$1005:$U$1005,1,MATCH(COLUMNS($Q$1006:S1006),$Q$1006:$U$1006,0))&gt;=100000), " ",IF(INDEX($Q$2:$U$1001,MATCH(ROWS($J$2:J967),$J$2:$J$1001,0),MATCH(COLUMNS($Q$1006:S1006),$Q$1006:$U$1006,0)), HYPERLINK("#",""), HYPERLINK(CONCATENATE("#metadata!", ADDRESS(INDEX($L$2:$L$1001,MATCH(ROWS($J$2:J967),$J$2:$J$1001,0),0), INDEX($Q$1004:$U$1004,1,MATCH(COLUMNS($Q$1006:S1006),$Q$1006:$U$1006,0)))),"Fix")))</f>
        <v xml:space="preserve"> </v>
      </c>
      <c r="E967" s="3" t="str">
        <f ca="1">IF(OR(INDEX($K$2:$K$1001,MATCH(ROWS($J$2:J967),$J$2:$J$1001,0),1)&gt;=100000,INDEX($Q$1005:$U$1005,1,MATCH(COLUMNS($Q$1006:T1006),$Q$1006:$U$1006,0))&gt;=100000), " ",IF(INDEX($Q$2:$U$1001,MATCH(ROWS($J$2:J967),$J$2:$J$1001,0),MATCH(COLUMNS($Q$1006:T1006),$Q$1006:$U$1006,0)), HYPERLINK("#",""), HYPERLINK(CONCATENATE("#metadata!", ADDRESS(INDEX($L$2:$L$1001,MATCH(ROWS($J$2:J967),$J$2:$J$1001,0),0), INDEX($Q$1004:$U$1004,1,MATCH(COLUMNS($Q$1006:T1006),$Q$1006:$U$1006,0)))),"Fix")))</f>
        <v xml:space="preserve"> </v>
      </c>
      <c r="F967" s="3" t="str">
        <f ca="1">IF(OR(INDEX($K$2:$K$1001,MATCH(ROWS($J$2:J967),$J$2:$J$1001,0),1)&gt;=100000,INDEX($Q$1005:$U$1005,1,MATCH(COLUMNS($Q$1006:U1006),$Q$1006:$U$1006,0))&gt;=100000), " ",IF(INDEX($Q$2:$U$1001,MATCH(ROWS($J$2:J967),$J$2:$J$1001,0),MATCH(COLUMNS($Q$1006:U1006),$Q$1006:$U$1006,0)), HYPERLINK("#",""), HYPERLINK(CONCATENATE("#metadata!", ADDRESS(INDEX($L$2:$L$1001,MATCH(ROWS($J$2:J967),$J$2:$J$1001,0),0), INDEX($Q$1004:$U$1004,1,MATCH(COLUMNS($Q$1006:U1006),$Q$1006:$U$1006,0)))),"Fix")))</f>
        <v xml:space="preserve"> </v>
      </c>
      <c r="J967">
        <v>966</v>
      </c>
      <c r="K967">
        <v>100967</v>
      </c>
      <c r="L967">
        <v>967</v>
      </c>
      <c r="M967" t="b">
        <f t="shared" si="15"/>
        <v>1</v>
      </c>
      <c r="N967" t="b">
        <f>COUNTBLANK(metadata!B967:F967)=COLUMNS(metadata!B967:F967)</f>
        <v>1</v>
      </c>
      <c r="O967" t="str">
        <v/>
      </c>
      <c r="Q967" t="b">
        <f ca="1">AND(IF(metadata!B967="",FALSE,TRUE),COUNTIF(metadata!B:B, metadata!B967) = 1,NOT(ISERROR(SUMPRODUCT(SEARCH(MID(metadata!B967,ROW(INDIRECT("1:"&amp;LEN(metadata!B967))), 1),"0123456789abcdefghijklmnopqrstuvwxyzABCDEFGHIJKLMNOPQRSTUVWXYZ.")))))</f>
        <v>0</v>
      </c>
      <c r="R967" t="b">
        <f>AND(IF(metadata!C967="",FALSE,TRUE),OR(EXACT(metadata!C967,"saline"),EXACT(metadata!C967,"non-saline")))</f>
        <v>0</v>
      </c>
      <c r="S967" t="b">
        <f>AND(IF(metadata!D967="",FALSE,TRUE),OR(EXACT(metadata!D967,"surface (non-saline)"),EXACT(metadata!D967,"aerosol (non-saline)"),EXACT(metadata!D967,"sediment (non-saline)"),EXACT(metadata!D967,"surface (saline)"),EXACT(metadata!D967,"aerosol (saline)"),EXACT(metadata!D967,"sediment (saline)")))</f>
        <v>0</v>
      </c>
      <c r="T967" t="b">
        <f>AND(IF(metadata!E967="",FALSE,TRUE),EXACT(metadata!E967,"built environment"))</f>
        <v>0</v>
      </c>
      <c r="U967" t="b">
        <f>OR(AND(IF(metadata!F967="",FALSE,TRUE),EXACT(metadata!F967,"not applicable")),AND(IF(metadata!F967="",FALSE,TRUE),EXACT(metadata!F967,"anaerobic digester content")))</f>
        <v>0</v>
      </c>
    </row>
    <row r="968" spans="1:21" x14ac:dyDescent="0.2">
      <c r="A968" s="4" t="str">
        <f ca="1">IF(B968=" "," ",HYPERLINK(CONCATENATE("#metadata!",ADDRESS(INDEX($L$2:$L$1001,MATCH(ROWS($J$2:J968),$J$2:$J$1001,0),0),1)),INDEX($O$2:$O$1001,MATCH(ROWS($J$2:J968),$J$2:$J$1001,0),0)))</f>
        <v xml:space="preserve"> </v>
      </c>
      <c r="B968" s="3" t="str">
        <f ca="1">IF(OR(INDEX($K$2:$K$1001,MATCH(ROWS($J$2:J968),$J$2:$J$1001,0),1)&gt;=100000,INDEX($Q$1005:$U$1005,1,MATCH(COLUMNS($Q$1006:Q1006),$Q$1006:$U$1006,0))&gt;=100000), " ",IF(INDEX($Q$2:$U$1001,MATCH(ROWS($J$2:J968),$J$2:$J$1001,0),MATCH(COLUMNS($Q$1006:Q1006),$Q$1006:$U$1006,0)), HYPERLINK("#",""), HYPERLINK(CONCATENATE("#metadata!", ADDRESS(INDEX($L$2:$L$1001,MATCH(ROWS($J$2:J968),$J$2:$J$1001,0),0), INDEX($Q$1004:$U$1004,1,MATCH(COLUMNS($Q$1006:Q1006),$Q$1006:$U$1006,0)))),"Fix")))</f>
        <v xml:space="preserve"> </v>
      </c>
      <c r="C968" s="3" t="str">
        <f ca="1">IF(OR(INDEX($K$2:$K$1001,MATCH(ROWS($J$2:J968),$J$2:$J$1001,0),1)&gt;=100000,INDEX($Q$1005:$U$1005,1,MATCH(COLUMNS($Q$1006:R1006),$Q$1006:$U$1006,0))&gt;=100000), " ",IF(INDEX($Q$2:$U$1001,MATCH(ROWS($J$2:J968),$J$2:$J$1001,0),MATCH(COLUMNS($Q$1006:R1006),$Q$1006:$U$1006,0)), HYPERLINK("#",""), HYPERLINK(CONCATENATE("#metadata!", ADDRESS(INDEX($L$2:$L$1001,MATCH(ROWS($J$2:J968),$J$2:$J$1001,0),0), INDEX($Q$1004:$U$1004,1,MATCH(COLUMNS($Q$1006:R1006),$Q$1006:$U$1006,0)))),"Fix")))</f>
        <v xml:space="preserve"> </v>
      </c>
      <c r="D968" s="3" t="str">
        <f ca="1">IF(OR(INDEX($K$2:$K$1001,MATCH(ROWS($J$2:J968),$J$2:$J$1001,0),1)&gt;=100000,INDEX($Q$1005:$U$1005,1,MATCH(COLUMNS($Q$1006:S1006),$Q$1006:$U$1006,0))&gt;=100000), " ",IF(INDEX($Q$2:$U$1001,MATCH(ROWS($J$2:J968),$J$2:$J$1001,0),MATCH(COLUMNS($Q$1006:S1006),$Q$1006:$U$1006,0)), HYPERLINK("#",""), HYPERLINK(CONCATENATE("#metadata!", ADDRESS(INDEX($L$2:$L$1001,MATCH(ROWS($J$2:J968),$J$2:$J$1001,0),0), INDEX($Q$1004:$U$1004,1,MATCH(COLUMNS($Q$1006:S1006),$Q$1006:$U$1006,0)))),"Fix")))</f>
        <v xml:space="preserve"> </v>
      </c>
      <c r="E968" s="3" t="str">
        <f ca="1">IF(OR(INDEX($K$2:$K$1001,MATCH(ROWS($J$2:J968),$J$2:$J$1001,0),1)&gt;=100000,INDEX($Q$1005:$U$1005,1,MATCH(COLUMNS($Q$1006:T1006),$Q$1006:$U$1006,0))&gt;=100000), " ",IF(INDEX($Q$2:$U$1001,MATCH(ROWS($J$2:J968),$J$2:$J$1001,0),MATCH(COLUMNS($Q$1006:T1006),$Q$1006:$U$1006,0)), HYPERLINK("#",""), HYPERLINK(CONCATENATE("#metadata!", ADDRESS(INDEX($L$2:$L$1001,MATCH(ROWS($J$2:J968),$J$2:$J$1001,0),0), INDEX($Q$1004:$U$1004,1,MATCH(COLUMNS($Q$1006:T1006),$Q$1006:$U$1006,0)))),"Fix")))</f>
        <v xml:space="preserve"> </v>
      </c>
      <c r="F968" s="3" t="str">
        <f ca="1">IF(OR(INDEX($K$2:$K$1001,MATCH(ROWS($J$2:J968),$J$2:$J$1001,0),1)&gt;=100000,INDEX($Q$1005:$U$1005,1,MATCH(COLUMNS($Q$1006:U1006),$Q$1006:$U$1006,0))&gt;=100000), " ",IF(INDEX($Q$2:$U$1001,MATCH(ROWS($J$2:J968),$J$2:$J$1001,0),MATCH(COLUMNS($Q$1006:U1006),$Q$1006:$U$1006,0)), HYPERLINK("#",""), HYPERLINK(CONCATENATE("#metadata!", ADDRESS(INDEX($L$2:$L$1001,MATCH(ROWS($J$2:J968),$J$2:$J$1001,0),0), INDEX($Q$1004:$U$1004,1,MATCH(COLUMNS($Q$1006:U1006),$Q$1006:$U$1006,0)))),"Fix")))</f>
        <v xml:space="preserve"> </v>
      </c>
      <c r="J968">
        <v>967</v>
      </c>
      <c r="K968">
        <v>100968</v>
      </c>
      <c r="L968">
        <v>968</v>
      </c>
      <c r="M968" t="b">
        <f t="shared" si="15"/>
        <v>1</v>
      </c>
      <c r="N968" t="b">
        <f>COUNTBLANK(metadata!B968:F968)=COLUMNS(metadata!B968:F968)</f>
        <v>1</v>
      </c>
      <c r="O968" t="str">
        <v/>
      </c>
      <c r="Q968" t="b">
        <f ca="1">AND(IF(metadata!B968="",FALSE,TRUE),COUNTIF(metadata!B:B, metadata!B968) = 1,NOT(ISERROR(SUMPRODUCT(SEARCH(MID(metadata!B968,ROW(INDIRECT("1:"&amp;LEN(metadata!B968))), 1),"0123456789abcdefghijklmnopqrstuvwxyzABCDEFGHIJKLMNOPQRSTUVWXYZ.")))))</f>
        <v>0</v>
      </c>
      <c r="R968" t="b">
        <f>AND(IF(metadata!C968="",FALSE,TRUE),OR(EXACT(metadata!C968,"saline"),EXACT(metadata!C968,"non-saline")))</f>
        <v>0</v>
      </c>
      <c r="S968" t="b">
        <f>AND(IF(metadata!D968="",FALSE,TRUE),OR(EXACT(metadata!D968,"surface (non-saline)"),EXACT(metadata!D968,"aerosol (non-saline)"),EXACT(metadata!D968,"sediment (non-saline)"),EXACT(metadata!D968,"surface (saline)"),EXACT(metadata!D968,"aerosol (saline)"),EXACT(metadata!D968,"sediment (saline)")))</f>
        <v>0</v>
      </c>
      <c r="T968" t="b">
        <f>AND(IF(metadata!E968="",FALSE,TRUE),EXACT(metadata!E968,"built environment"))</f>
        <v>0</v>
      </c>
      <c r="U968" t="b">
        <f>OR(AND(IF(metadata!F968="",FALSE,TRUE),EXACT(metadata!F968,"not applicable")),AND(IF(metadata!F968="",FALSE,TRUE),EXACT(metadata!F968,"anaerobic digester content")))</f>
        <v>0</v>
      </c>
    </row>
    <row r="969" spans="1:21" x14ac:dyDescent="0.2">
      <c r="A969" s="4" t="str">
        <f ca="1">IF(B969=" "," ",HYPERLINK(CONCATENATE("#metadata!",ADDRESS(INDEX($L$2:$L$1001,MATCH(ROWS($J$2:J969),$J$2:$J$1001,0),0),1)),INDEX($O$2:$O$1001,MATCH(ROWS($J$2:J969),$J$2:$J$1001,0),0)))</f>
        <v xml:space="preserve"> </v>
      </c>
      <c r="B969" s="3" t="str">
        <f ca="1">IF(OR(INDEX($K$2:$K$1001,MATCH(ROWS($J$2:J969),$J$2:$J$1001,0),1)&gt;=100000,INDEX($Q$1005:$U$1005,1,MATCH(COLUMNS($Q$1006:Q1006),$Q$1006:$U$1006,0))&gt;=100000), " ",IF(INDEX($Q$2:$U$1001,MATCH(ROWS($J$2:J969),$J$2:$J$1001,0),MATCH(COLUMNS($Q$1006:Q1006),$Q$1006:$U$1006,0)), HYPERLINK("#",""), HYPERLINK(CONCATENATE("#metadata!", ADDRESS(INDEX($L$2:$L$1001,MATCH(ROWS($J$2:J969),$J$2:$J$1001,0),0), INDEX($Q$1004:$U$1004,1,MATCH(COLUMNS($Q$1006:Q1006),$Q$1006:$U$1006,0)))),"Fix")))</f>
        <v xml:space="preserve"> </v>
      </c>
      <c r="C969" s="3" t="str">
        <f ca="1">IF(OR(INDEX($K$2:$K$1001,MATCH(ROWS($J$2:J969),$J$2:$J$1001,0),1)&gt;=100000,INDEX($Q$1005:$U$1005,1,MATCH(COLUMNS($Q$1006:R1006),$Q$1006:$U$1006,0))&gt;=100000), " ",IF(INDEX($Q$2:$U$1001,MATCH(ROWS($J$2:J969),$J$2:$J$1001,0),MATCH(COLUMNS($Q$1006:R1006),$Q$1006:$U$1006,0)), HYPERLINK("#",""), HYPERLINK(CONCATENATE("#metadata!", ADDRESS(INDEX($L$2:$L$1001,MATCH(ROWS($J$2:J969),$J$2:$J$1001,0),0), INDEX($Q$1004:$U$1004,1,MATCH(COLUMNS($Q$1006:R1006),$Q$1006:$U$1006,0)))),"Fix")))</f>
        <v xml:space="preserve"> </v>
      </c>
      <c r="D969" s="3" t="str">
        <f ca="1">IF(OR(INDEX($K$2:$K$1001,MATCH(ROWS($J$2:J969),$J$2:$J$1001,0),1)&gt;=100000,INDEX($Q$1005:$U$1005,1,MATCH(COLUMNS($Q$1006:S1006),$Q$1006:$U$1006,0))&gt;=100000), " ",IF(INDEX($Q$2:$U$1001,MATCH(ROWS($J$2:J969),$J$2:$J$1001,0),MATCH(COLUMNS($Q$1006:S1006),$Q$1006:$U$1006,0)), HYPERLINK("#",""), HYPERLINK(CONCATENATE("#metadata!", ADDRESS(INDEX($L$2:$L$1001,MATCH(ROWS($J$2:J969),$J$2:$J$1001,0),0), INDEX($Q$1004:$U$1004,1,MATCH(COLUMNS($Q$1006:S1006),$Q$1006:$U$1006,0)))),"Fix")))</f>
        <v xml:space="preserve"> </v>
      </c>
      <c r="E969" s="3" t="str">
        <f ca="1">IF(OR(INDEX($K$2:$K$1001,MATCH(ROWS($J$2:J969),$J$2:$J$1001,0),1)&gt;=100000,INDEX($Q$1005:$U$1005,1,MATCH(COLUMNS($Q$1006:T1006),$Q$1006:$U$1006,0))&gt;=100000), " ",IF(INDEX($Q$2:$U$1001,MATCH(ROWS($J$2:J969),$J$2:$J$1001,0),MATCH(COLUMNS($Q$1006:T1006),$Q$1006:$U$1006,0)), HYPERLINK("#",""), HYPERLINK(CONCATENATE("#metadata!", ADDRESS(INDEX($L$2:$L$1001,MATCH(ROWS($J$2:J969),$J$2:$J$1001,0),0), INDEX($Q$1004:$U$1004,1,MATCH(COLUMNS($Q$1006:T1006),$Q$1006:$U$1006,0)))),"Fix")))</f>
        <v xml:space="preserve"> </v>
      </c>
      <c r="F969" s="3" t="str">
        <f ca="1">IF(OR(INDEX($K$2:$K$1001,MATCH(ROWS($J$2:J969),$J$2:$J$1001,0),1)&gt;=100000,INDEX($Q$1005:$U$1005,1,MATCH(COLUMNS($Q$1006:U1006),$Q$1006:$U$1006,0))&gt;=100000), " ",IF(INDEX($Q$2:$U$1001,MATCH(ROWS($J$2:J969),$J$2:$J$1001,0),MATCH(COLUMNS($Q$1006:U1006),$Q$1006:$U$1006,0)), HYPERLINK("#",""), HYPERLINK(CONCATENATE("#metadata!", ADDRESS(INDEX($L$2:$L$1001,MATCH(ROWS($J$2:J969),$J$2:$J$1001,0),0), INDEX($Q$1004:$U$1004,1,MATCH(COLUMNS($Q$1006:U1006),$Q$1006:$U$1006,0)))),"Fix")))</f>
        <v xml:space="preserve"> </v>
      </c>
      <c r="J969">
        <v>968</v>
      </c>
      <c r="K969">
        <v>100969</v>
      </c>
      <c r="L969">
        <v>969</v>
      </c>
      <c r="M969" t="b">
        <f t="shared" si="15"/>
        <v>1</v>
      </c>
      <c r="N969" t="b">
        <f>COUNTBLANK(metadata!B969:F969)=COLUMNS(metadata!B969:F969)</f>
        <v>1</v>
      </c>
      <c r="O969" t="str">
        <v/>
      </c>
      <c r="Q969" t="b">
        <f ca="1">AND(IF(metadata!B969="",FALSE,TRUE),COUNTIF(metadata!B:B, metadata!B969) = 1,NOT(ISERROR(SUMPRODUCT(SEARCH(MID(metadata!B969,ROW(INDIRECT("1:"&amp;LEN(metadata!B969))), 1),"0123456789abcdefghijklmnopqrstuvwxyzABCDEFGHIJKLMNOPQRSTUVWXYZ.")))))</f>
        <v>0</v>
      </c>
      <c r="R969" t="b">
        <f>AND(IF(metadata!C969="",FALSE,TRUE),OR(EXACT(metadata!C969,"saline"),EXACT(metadata!C969,"non-saline")))</f>
        <v>0</v>
      </c>
      <c r="S969" t="b">
        <f>AND(IF(metadata!D969="",FALSE,TRUE),OR(EXACT(metadata!D969,"surface (non-saline)"),EXACT(metadata!D969,"aerosol (non-saline)"),EXACT(metadata!D969,"sediment (non-saline)"),EXACT(metadata!D969,"surface (saline)"),EXACT(metadata!D969,"aerosol (saline)"),EXACT(metadata!D969,"sediment (saline)")))</f>
        <v>0</v>
      </c>
      <c r="T969" t="b">
        <f>AND(IF(metadata!E969="",FALSE,TRUE),EXACT(metadata!E969,"built environment"))</f>
        <v>0</v>
      </c>
      <c r="U969" t="b">
        <f>OR(AND(IF(metadata!F969="",FALSE,TRUE),EXACT(metadata!F969,"not applicable")),AND(IF(metadata!F969="",FALSE,TRUE),EXACT(metadata!F969,"anaerobic digester content")))</f>
        <v>0</v>
      </c>
    </row>
    <row r="970" spans="1:21" x14ac:dyDescent="0.2">
      <c r="A970" s="4" t="str">
        <f ca="1">IF(B970=" "," ",HYPERLINK(CONCATENATE("#metadata!",ADDRESS(INDEX($L$2:$L$1001,MATCH(ROWS($J$2:J970),$J$2:$J$1001,0),0),1)),INDEX($O$2:$O$1001,MATCH(ROWS($J$2:J970),$J$2:$J$1001,0),0)))</f>
        <v xml:space="preserve"> </v>
      </c>
      <c r="B970" s="3" t="str">
        <f ca="1">IF(OR(INDEX($K$2:$K$1001,MATCH(ROWS($J$2:J970),$J$2:$J$1001,0),1)&gt;=100000,INDEX($Q$1005:$U$1005,1,MATCH(COLUMNS($Q$1006:Q1006),$Q$1006:$U$1006,0))&gt;=100000), " ",IF(INDEX($Q$2:$U$1001,MATCH(ROWS($J$2:J970),$J$2:$J$1001,0),MATCH(COLUMNS($Q$1006:Q1006),$Q$1006:$U$1006,0)), HYPERLINK("#",""), HYPERLINK(CONCATENATE("#metadata!", ADDRESS(INDEX($L$2:$L$1001,MATCH(ROWS($J$2:J970),$J$2:$J$1001,0),0), INDEX($Q$1004:$U$1004,1,MATCH(COLUMNS($Q$1006:Q1006),$Q$1006:$U$1006,0)))),"Fix")))</f>
        <v xml:space="preserve"> </v>
      </c>
      <c r="C970" s="3" t="str">
        <f ca="1">IF(OR(INDEX($K$2:$K$1001,MATCH(ROWS($J$2:J970),$J$2:$J$1001,0),1)&gt;=100000,INDEX($Q$1005:$U$1005,1,MATCH(COLUMNS($Q$1006:R1006),$Q$1006:$U$1006,0))&gt;=100000), " ",IF(INDEX($Q$2:$U$1001,MATCH(ROWS($J$2:J970),$J$2:$J$1001,0),MATCH(COLUMNS($Q$1006:R1006),$Q$1006:$U$1006,0)), HYPERLINK("#",""), HYPERLINK(CONCATENATE("#metadata!", ADDRESS(INDEX($L$2:$L$1001,MATCH(ROWS($J$2:J970),$J$2:$J$1001,0),0), INDEX($Q$1004:$U$1004,1,MATCH(COLUMNS($Q$1006:R1006),$Q$1006:$U$1006,0)))),"Fix")))</f>
        <v xml:space="preserve"> </v>
      </c>
      <c r="D970" s="3" t="str">
        <f ca="1">IF(OR(INDEX($K$2:$K$1001,MATCH(ROWS($J$2:J970),$J$2:$J$1001,0),1)&gt;=100000,INDEX($Q$1005:$U$1005,1,MATCH(COLUMNS($Q$1006:S1006),$Q$1006:$U$1006,0))&gt;=100000), " ",IF(INDEX($Q$2:$U$1001,MATCH(ROWS($J$2:J970),$J$2:$J$1001,0),MATCH(COLUMNS($Q$1006:S1006),$Q$1006:$U$1006,0)), HYPERLINK("#",""), HYPERLINK(CONCATENATE("#metadata!", ADDRESS(INDEX($L$2:$L$1001,MATCH(ROWS($J$2:J970),$J$2:$J$1001,0),0), INDEX($Q$1004:$U$1004,1,MATCH(COLUMNS($Q$1006:S1006),$Q$1006:$U$1006,0)))),"Fix")))</f>
        <v xml:space="preserve"> </v>
      </c>
      <c r="E970" s="3" t="str">
        <f ca="1">IF(OR(INDEX($K$2:$K$1001,MATCH(ROWS($J$2:J970),$J$2:$J$1001,0),1)&gt;=100000,INDEX($Q$1005:$U$1005,1,MATCH(COLUMNS($Q$1006:T1006),$Q$1006:$U$1006,0))&gt;=100000), " ",IF(INDEX($Q$2:$U$1001,MATCH(ROWS($J$2:J970),$J$2:$J$1001,0),MATCH(COLUMNS($Q$1006:T1006),$Q$1006:$U$1006,0)), HYPERLINK("#",""), HYPERLINK(CONCATENATE("#metadata!", ADDRESS(INDEX($L$2:$L$1001,MATCH(ROWS($J$2:J970),$J$2:$J$1001,0),0), INDEX($Q$1004:$U$1004,1,MATCH(COLUMNS($Q$1006:T1006),$Q$1006:$U$1006,0)))),"Fix")))</f>
        <v xml:space="preserve"> </v>
      </c>
      <c r="F970" s="3" t="str">
        <f ca="1">IF(OR(INDEX($K$2:$K$1001,MATCH(ROWS($J$2:J970),$J$2:$J$1001,0),1)&gt;=100000,INDEX($Q$1005:$U$1005,1,MATCH(COLUMNS($Q$1006:U1006),$Q$1006:$U$1006,0))&gt;=100000), " ",IF(INDEX($Q$2:$U$1001,MATCH(ROWS($J$2:J970),$J$2:$J$1001,0),MATCH(COLUMNS($Q$1006:U1006),$Q$1006:$U$1006,0)), HYPERLINK("#",""), HYPERLINK(CONCATENATE("#metadata!", ADDRESS(INDEX($L$2:$L$1001,MATCH(ROWS($J$2:J970),$J$2:$J$1001,0),0), INDEX($Q$1004:$U$1004,1,MATCH(COLUMNS($Q$1006:U1006),$Q$1006:$U$1006,0)))),"Fix")))</f>
        <v xml:space="preserve"> </v>
      </c>
      <c r="J970">
        <v>969</v>
      </c>
      <c r="K970">
        <v>100970</v>
      </c>
      <c r="L970">
        <v>970</v>
      </c>
      <c r="M970" t="b">
        <f t="shared" si="15"/>
        <v>1</v>
      </c>
      <c r="N970" t="b">
        <f>COUNTBLANK(metadata!B970:F970)=COLUMNS(metadata!B970:F970)</f>
        <v>1</v>
      </c>
      <c r="O970" t="str">
        <v/>
      </c>
      <c r="Q970" t="b">
        <f ca="1">AND(IF(metadata!B970="",FALSE,TRUE),COUNTIF(metadata!B:B, metadata!B970) = 1,NOT(ISERROR(SUMPRODUCT(SEARCH(MID(metadata!B970,ROW(INDIRECT("1:"&amp;LEN(metadata!B970))), 1),"0123456789abcdefghijklmnopqrstuvwxyzABCDEFGHIJKLMNOPQRSTUVWXYZ.")))))</f>
        <v>0</v>
      </c>
      <c r="R970" t="b">
        <f>AND(IF(metadata!C970="",FALSE,TRUE),OR(EXACT(metadata!C970,"saline"),EXACT(metadata!C970,"non-saline")))</f>
        <v>0</v>
      </c>
      <c r="S970" t="b">
        <f>AND(IF(metadata!D970="",FALSE,TRUE),OR(EXACT(metadata!D970,"surface (non-saline)"),EXACT(metadata!D970,"aerosol (non-saline)"),EXACT(metadata!D970,"sediment (non-saline)"),EXACT(metadata!D970,"surface (saline)"),EXACT(metadata!D970,"aerosol (saline)"),EXACT(metadata!D970,"sediment (saline)")))</f>
        <v>0</v>
      </c>
      <c r="T970" t="b">
        <f>AND(IF(metadata!E970="",FALSE,TRUE),EXACT(metadata!E970,"built environment"))</f>
        <v>0</v>
      </c>
      <c r="U970" t="b">
        <f>OR(AND(IF(metadata!F970="",FALSE,TRUE),EXACT(metadata!F970,"not applicable")),AND(IF(metadata!F970="",FALSE,TRUE),EXACT(metadata!F970,"anaerobic digester content")))</f>
        <v>0</v>
      </c>
    </row>
    <row r="971" spans="1:21" x14ac:dyDescent="0.2">
      <c r="A971" s="4" t="str">
        <f ca="1">IF(B971=" "," ",HYPERLINK(CONCATENATE("#metadata!",ADDRESS(INDEX($L$2:$L$1001,MATCH(ROWS($J$2:J971),$J$2:$J$1001,0),0),1)),INDEX($O$2:$O$1001,MATCH(ROWS($J$2:J971),$J$2:$J$1001,0),0)))</f>
        <v xml:space="preserve"> </v>
      </c>
      <c r="B971" s="3" t="str">
        <f ca="1">IF(OR(INDEX($K$2:$K$1001,MATCH(ROWS($J$2:J971),$J$2:$J$1001,0),1)&gt;=100000,INDEX($Q$1005:$U$1005,1,MATCH(COLUMNS($Q$1006:Q1006),$Q$1006:$U$1006,0))&gt;=100000), " ",IF(INDEX($Q$2:$U$1001,MATCH(ROWS($J$2:J971),$J$2:$J$1001,0),MATCH(COLUMNS($Q$1006:Q1006),$Q$1006:$U$1006,0)), HYPERLINK("#",""), HYPERLINK(CONCATENATE("#metadata!", ADDRESS(INDEX($L$2:$L$1001,MATCH(ROWS($J$2:J971),$J$2:$J$1001,0),0), INDEX($Q$1004:$U$1004,1,MATCH(COLUMNS($Q$1006:Q1006),$Q$1006:$U$1006,0)))),"Fix")))</f>
        <v xml:space="preserve"> </v>
      </c>
      <c r="C971" s="3" t="str">
        <f ca="1">IF(OR(INDEX($K$2:$K$1001,MATCH(ROWS($J$2:J971),$J$2:$J$1001,0),1)&gt;=100000,INDEX($Q$1005:$U$1005,1,MATCH(COLUMNS($Q$1006:R1006),$Q$1006:$U$1006,0))&gt;=100000), " ",IF(INDEX($Q$2:$U$1001,MATCH(ROWS($J$2:J971),$J$2:$J$1001,0),MATCH(COLUMNS($Q$1006:R1006),$Q$1006:$U$1006,0)), HYPERLINK("#",""), HYPERLINK(CONCATENATE("#metadata!", ADDRESS(INDEX($L$2:$L$1001,MATCH(ROWS($J$2:J971),$J$2:$J$1001,0),0), INDEX($Q$1004:$U$1004,1,MATCH(COLUMNS($Q$1006:R1006),$Q$1006:$U$1006,0)))),"Fix")))</f>
        <v xml:space="preserve"> </v>
      </c>
      <c r="D971" s="3" t="str">
        <f ca="1">IF(OR(INDEX($K$2:$K$1001,MATCH(ROWS($J$2:J971),$J$2:$J$1001,0),1)&gt;=100000,INDEX($Q$1005:$U$1005,1,MATCH(COLUMNS($Q$1006:S1006),$Q$1006:$U$1006,0))&gt;=100000), " ",IF(INDEX($Q$2:$U$1001,MATCH(ROWS($J$2:J971),$J$2:$J$1001,0),MATCH(COLUMNS($Q$1006:S1006),$Q$1006:$U$1006,0)), HYPERLINK("#",""), HYPERLINK(CONCATENATE("#metadata!", ADDRESS(INDEX($L$2:$L$1001,MATCH(ROWS($J$2:J971),$J$2:$J$1001,0),0), INDEX($Q$1004:$U$1004,1,MATCH(COLUMNS($Q$1006:S1006),$Q$1006:$U$1006,0)))),"Fix")))</f>
        <v xml:space="preserve"> </v>
      </c>
      <c r="E971" s="3" t="str">
        <f ca="1">IF(OR(INDEX($K$2:$K$1001,MATCH(ROWS($J$2:J971),$J$2:$J$1001,0),1)&gt;=100000,INDEX($Q$1005:$U$1005,1,MATCH(COLUMNS($Q$1006:T1006),$Q$1006:$U$1006,0))&gt;=100000), " ",IF(INDEX($Q$2:$U$1001,MATCH(ROWS($J$2:J971),$J$2:$J$1001,0),MATCH(COLUMNS($Q$1006:T1006),$Q$1006:$U$1006,0)), HYPERLINK("#",""), HYPERLINK(CONCATENATE("#metadata!", ADDRESS(INDEX($L$2:$L$1001,MATCH(ROWS($J$2:J971),$J$2:$J$1001,0),0), INDEX($Q$1004:$U$1004,1,MATCH(COLUMNS($Q$1006:T1006),$Q$1006:$U$1006,0)))),"Fix")))</f>
        <v xml:space="preserve"> </v>
      </c>
      <c r="F971" s="3" t="str">
        <f ca="1">IF(OR(INDEX($K$2:$K$1001,MATCH(ROWS($J$2:J971),$J$2:$J$1001,0),1)&gt;=100000,INDEX($Q$1005:$U$1005,1,MATCH(COLUMNS($Q$1006:U1006),$Q$1006:$U$1006,0))&gt;=100000), " ",IF(INDEX($Q$2:$U$1001,MATCH(ROWS($J$2:J971),$J$2:$J$1001,0),MATCH(COLUMNS($Q$1006:U1006),$Q$1006:$U$1006,0)), HYPERLINK("#",""), HYPERLINK(CONCATENATE("#metadata!", ADDRESS(INDEX($L$2:$L$1001,MATCH(ROWS($J$2:J971),$J$2:$J$1001,0),0), INDEX($Q$1004:$U$1004,1,MATCH(COLUMNS($Q$1006:U1006),$Q$1006:$U$1006,0)))),"Fix")))</f>
        <v xml:space="preserve"> </v>
      </c>
      <c r="J971">
        <v>970</v>
      </c>
      <c r="K971">
        <v>100971</v>
      </c>
      <c r="L971">
        <v>971</v>
      </c>
      <c r="M971" t="b">
        <f t="shared" si="15"/>
        <v>1</v>
      </c>
      <c r="N971" t="b">
        <f>COUNTBLANK(metadata!B971:F971)=COLUMNS(metadata!B971:F971)</f>
        <v>1</v>
      </c>
      <c r="O971" t="str">
        <v/>
      </c>
      <c r="Q971" t="b">
        <f ca="1">AND(IF(metadata!B971="",FALSE,TRUE),COUNTIF(metadata!B:B, metadata!B971) = 1,NOT(ISERROR(SUMPRODUCT(SEARCH(MID(metadata!B971,ROW(INDIRECT("1:"&amp;LEN(metadata!B971))), 1),"0123456789abcdefghijklmnopqrstuvwxyzABCDEFGHIJKLMNOPQRSTUVWXYZ.")))))</f>
        <v>0</v>
      </c>
      <c r="R971" t="b">
        <f>AND(IF(metadata!C971="",FALSE,TRUE),OR(EXACT(metadata!C971,"saline"),EXACT(metadata!C971,"non-saline")))</f>
        <v>0</v>
      </c>
      <c r="S971" t="b">
        <f>AND(IF(metadata!D971="",FALSE,TRUE),OR(EXACT(metadata!D971,"surface (non-saline)"),EXACT(metadata!D971,"aerosol (non-saline)"),EXACT(metadata!D971,"sediment (non-saline)"),EXACT(metadata!D971,"surface (saline)"),EXACT(metadata!D971,"aerosol (saline)"),EXACT(metadata!D971,"sediment (saline)")))</f>
        <v>0</v>
      </c>
      <c r="T971" t="b">
        <f>AND(IF(metadata!E971="",FALSE,TRUE),EXACT(metadata!E971,"built environment"))</f>
        <v>0</v>
      </c>
      <c r="U971" t="b">
        <f>OR(AND(IF(metadata!F971="",FALSE,TRUE),EXACT(metadata!F971,"not applicable")),AND(IF(metadata!F971="",FALSE,TRUE),EXACT(metadata!F971,"anaerobic digester content")))</f>
        <v>0</v>
      </c>
    </row>
    <row r="972" spans="1:21" x14ac:dyDescent="0.2">
      <c r="A972" s="4" t="str">
        <f ca="1">IF(B972=" "," ",HYPERLINK(CONCATENATE("#metadata!",ADDRESS(INDEX($L$2:$L$1001,MATCH(ROWS($J$2:J972),$J$2:$J$1001,0),0),1)),INDEX($O$2:$O$1001,MATCH(ROWS($J$2:J972),$J$2:$J$1001,0),0)))</f>
        <v xml:space="preserve"> </v>
      </c>
      <c r="B972" s="3" t="str">
        <f ca="1">IF(OR(INDEX($K$2:$K$1001,MATCH(ROWS($J$2:J972),$J$2:$J$1001,0),1)&gt;=100000,INDEX($Q$1005:$U$1005,1,MATCH(COLUMNS($Q$1006:Q1006),$Q$1006:$U$1006,0))&gt;=100000), " ",IF(INDEX($Q$2:$U$1001,MATCH(ROWS($J$2:J972),$J$2:$J$1001,0),MATCH(COLUMNS($Q$1006:Q1006),$Q$1006:$U$1006,0)), HYPERLINK("#",""), HYPERLINK(CONCATENATE("#metadata!", ADDRESS(INDEX($L$2:$L$1001,MATCH(ROWS($J$2:J972),$J$2:$J$1001,0),0), INDEX($Q$1004:$U$1004,1,MATCH(COLUMNS($Q$1006:Q1006),$Q$1006:$U$1006,0)))),"Fix")))</f>
        <v xml:space="preserve"> </v>
      </c>
      <c r="C972" s="3" t="str">
        <f ca="1">IF(OR(INDEX($K$2:$K$1001,MATCH(ROWS($J$2:J972),$J$2:$J$1001,0),1)&gt;=100000,INDEX($Q$1005:$U$1005,1,MATCH(COLUMNS($Q$1006:R1006),$Q$1006:$U$1006,0))&gt;=100000), " ",IF(INDEX($Q$2:$U$1001,MATCH(ROWS($J$2:J972),$J$2:$J$1001,0),MATCH(COLUMNS($Q$1006:R1006),$Q$1006:$U$1006,0)), HYPERLINK("#",""), HYPERLINK(CONCATENATE("#metadata!", ADDRESS(INDEX($L$2:$L$1001,MATCH(ROWS($J$2:J972),$J$2:$J$1001,0),0), INDEX($Q$1004:$U$1004,1,MATCH(COLUMNS($Q$1006:R1006),$Q$1006:$U$1006,0)))),"Fix")))</f>
        <v xml:space="preserve"> </v>
      </c>
      <c r="D972" s="3" t="str">
        <f ca="1">IF(OR(INDEX($K$2:$K$1001,MATCH(ROWS($J$2:J972),$J$2:$J$1001,0),1)&gt;=100000,INDEX($Q$1005:$U$1005,1,MATCH(COLUMNS($Q$1006:S1006),$Q$1006:$U$1006,0))&gt;=100000), " ",IF(INDEX($Q$2:$U$1001,MATCH(ROWS($J$2:J972),$J$2:$J$1001,0),MATCH(COLUMNS($Q$1006:S1006),$Q$1006:$U$1006,0)), HYPERLINK("#",""), HYPERLINK(CONCATENATE("#metadata!", ADDRESS(INDEX($L$2:$L$1001,MATCH(ROWS($J$2:J972),$J$2:$J$1001,0),0), INDEX($Q$1004:$U$1004,1,MATCH(COLUMNS($Q$1006:S1006),$Q$1006:$U$1006,0)))),"Fix")))</f>
        <v xml:space="preserve"> </v>
      </c>
      <c r="E972" s="3" t="str">
        <f ca="1">IF(OR(INDEX($K$2:$K$1001,MATCH(ROWS($J$2:J972),$J$2:$J$1001,0),1)&gt;=100000,INDEX($Q$1005:$U$1005,1,MATCH(COLUMNS($Q$1006:T1006),$Q$1006:$U$1006,0))&gt;=100000), " ",IF(INDEX($Q$2:$U$1001,MATCH(ROWS($J$2:J972),$J$2:$J$1001,0),MATCH(COLUMNS($Q$1006:T1006),$Q$1006:$U$1006,0)), HYPERLINK("#",""), HYPERLINK(CONCATENATE("#metadata!", ADDRESS(INDEX($L$2:$L$1001,MATCH(ROWS($J$2:J972),$J$2:$J$1001,0),0), INDEX($Q$1004:$U$1004,1,MATCH(COLUMNS($Q$1006:T1006),$Q$1006:$U$1006,0)))),"Fix")))</f>
        <v xml:space="preserve"> </v>
      </c>
      <c r="F972" s="3" t="str">
        <f ca="1">IF(OR(INDEX($K$2:$K$1001,MATCH(ROWS($J$2:J972),$J$2:$J$1001,0),1)&gt;=100000,INDEX($Q$1005:$U$1005,1,MATCH(COLUMNS($Q$1006:U1006),$Q$1006:$U$1006,0))&gt;=100000), " ",IF(INDEX($Q$2:$U$1001,MATCH(ROWS($J$2:J972),$J$2:$J$1001,0),MATCH(COLUMNS($Q$1006:U1006),$Q$1006:$U$1006,0)), HYPERLINK("#",""), HYPERLINK(CONCATENATE("#metadata!", ADDRESS(INDEX($L$2:$L$1001,MATCH(ROWS($J$2:J972),$J$2:$J$1001,0),0), INDEX($Q$1004:$U$1004,1,MATCH(COLUMNS($Q$1006:U1006),$Q$1006:$U$1006,0)))),"Fix")))</f>
        <v xml:space="preserve"> </v>
      </c>
      <c r="J972">
        <v>971</v>
      </c>
      <c r="K972">
        <v>100972</v>
      </c>
      <c r="L972">
        <v>972</v>
      </c>
      <c r="M972" t="b">
        <f t="shared" si="15"/>
        <v>1</v>
      </c>
      <c r="N972" t="b">
        <f>COUNTBLANK(metadata!B972:F972)=COLUMNS(metadata!B972:F972)</f>
        <v>1</v>
      </c>
      <c r="O972" t="str">
        <v/>
      </c>
      <c r="Q972" t="b">
        <f ca="1">AND(IF(metadata!B972="",FALSE,TRUE),COUNTIF(metadata!B:B, metadata!B972) = 1,NOT(ISERROR(SUMPRODUCT(SEARCH(MID(metadata!B972,ROW(INDIRECT("1:"&amp;LEN(metadata!B972))), 1),"0123456789abcdefghijklmnopqrstuvwxyzABCDEFGHIJKLMNOPQRSTUVWXYZ.")))))</f>
        <v>0</v>
      </c>
      <c r="R972" t="b">
        <f>AND(IF(metadata!C972="",FALSE,TRUE),OR(EXACT(metadata!C972,"saline"),EXACT(metadata!C972,"non-saline")))</f>
        <v>0</v>
      </c>
      <c r="S972" t="b">
        <f>AND(IF(metadata!D972="",FALSE,TRUE),OR(EXACT(metadata!D972,"surface (non-saline)"),EXACT(metadata!D972,"aerosol (non-saline)"),EXACT(metadata!D972,"sediment (non-saline)"),EXACT(metadata!D972,"surface (saline)"),EXACT(metadata!D972,"aerosol (saline)"),EXACT(metadata!D972,"sediment (saline)")))</f>
        <v>0</v>
      </c>
      <c r="T972" t="b">
        <f>AND(IF(metadata!E972="",FALSE,TRUE),EXACT(metadata!E972,"built environment"))</f>
        <v>0</v>
      </c>
      <c r="U972" t="b">
        <f>OR(AND(IF(metadata!F972="",FALSE,TRUE),EXACT(metadata!F972,"not applicable")),AND(IF(metadata!F972="",FALSE,TRUE),EXACT(metadata!F972,"anaerobic digester content")))</f>
        <v>0</v>
      </c>
    </row>
    <row r="973" spans="1:21" x14ac:dyDescent="0.2">
      <c r="A973" s="4" t="str">
        <f ca="1">IF(B973=" "," ",HYPERLINK(CONCATENATE("#metadata!",ADDRESS(INDEX($L$2:$L$1001,MATCH(ROWS($J$2:J973),$J$2:$J$1001,0),0),1)),INDEX($O$2:$O$1001,MATCH(ROWS($J$2:J973),$J$2:$J$1001,0),0)))</f>
        <v xml:space="preserve"> </v>
      </c>
      <c r="B973" s="3" t="str">
        <f ca="1">IF(OR(INDEX($K$2:$K$1001,MATCH(ROWS($J$2:J973),$J$2:$J$1001,0),1)&gt;=100000,INDEX($Q$1005:$U$1005,1,MATCH(COLUMNS($Q$1006:Q1006),$Q$1006:$U$1006,0))&gt;=100000), " ",IF(INDEX($Q$2:$U$1001,MATCH(ROWS($J$2:J973),$J$2:$J$1001,0),MATCH(COLUMNS($Q$1006:Q1006),$Q$1006:$U$1006,0)), HYPERLINK("#",""), HYPERLINK(CONCATENATE("#metadata!", ADDRESS(INDEX($L$2:$L$1001,MATCH(ROWS($J$2:J973),$J$2:$J$1001,0),0), INDEX($Q$1004:$U$1004,1,MATCH(COLUMNS($Q$1006:Q1006),$Q$1006:$U$1006,0)))),"Fix")))</f>
        <v xml:space="preserve"> </v>
      </c>
      <c r="C973" s="3" t="str">
        <f ca="1">IF(OR(INDEX($K$2:$K$1001,MATCH(ROWS($J$2:J973),$J$2:$J$1001,0),1)&gt;=100000,INDEX($Q$1005:$U$1005,1,MATCH(COLUMNS($Q$1006:R1006),$Q$1006:$U$1006,0))&gt;=100000), " ",IF(INDEX($Q$2:$U$1001,MATCH(ROWS($J$2:J973),$J$2:$J$1001,0),MATCH(COLUMNS($Q$1006:R1006),$Q$1006:$U$1006,0)), HYPERLINK("#",""), HYPERLINK(CONCATENATE("#metadata!", ADDRESS(INDEX($L$2:$L$1001,MATCH(ROWS($J$2:J973),$J$2:$J$1001,0),0), INDEX($Q$1004:$U$1004,1,MATCH(COLUMNS($Q$1006:R1006),$Q$1006:$U$1006,0)))),"Fix")))</f>
        <v xml:space="preserve"> </v>
      </c>
      <c r="D973" s="3" t="str">
        <f ca="1">IF(OR(INDEX($K$2:$K$1001,MATCH(ROWS($J$2:J973),$J$2:$J$1001,0),1)&gt;=100000,INDEX($Q$1005:$U$1005,1,MATCH(COLUMNS($Q$1006:S1006),$Q$1006:$U$1006,0))&gt;=100000), " ",IF(INDEX($Q$2:$U$1001,MATCH(ROWS($J$2:J973),$J$2:$J$1001,0),MATCH(COLUMNS($Q$1006:S1006),$Q$1006:$U$1006,0)), HYPERLINK("#",""), HYPERLINK(CONCATENATE("#metadata!", ADDRESS(INDEX($L$2:$L$1001,MATCH(ROWS($J$2:J973),$J$2:$J$1001,0),0), INDEX($Q$1004:$U$1004,1,MATCH(COLUMNS($Q$1006:S1006),$Q$1006:$U$1006,0)))),"Fix")))</f>
        <v xml:space="preserve"> </v>
      </c>
      <c r="E973" s="3" t="str">
        <f ca="1">IF(OR(INDEX($K$2:$K$1001,MATCH(ROWS($J$2:J973),$J$2:$J$1001,0),1)&gt;=100000,INDEX($Q$1005:$U$1005,1,MATCH(COLUMNS($Q$1006:T1006),$Q$1006:$U$1006,0))&gt;=100000), " ",IF(INDEX($Q$2:$U$1001,MATCH(ROWS($J$2:J973),$J$2:$J$1001,0),MATCH(COLUMNS($Q$1006:T1006),$Q$1006:$U$1006,0)), HYPERLINK("#",""), HYPERLINK(CONCATENATE("#metadata!", ADDRESS(INDEX($L$2:$L$1001,MATCH(ROWS($J$2:J973),$J$2:$J$1001,0),0), INDEX($Q$1004:$U$1004,1,MATCH(COLUMNS($Q$1006:T1006),$Q$1006:$U$1006,0)))),"Fix")))</f>
        <v xml:space="preserve"> </v>
      </c>
      <c r="F973" s="3" t="str">
        <f ca="1">IF(OR(INDEX($K$2:$K$1001,MATCH(ROWS($J$2:J973),$J$2:$J$1001,0),1)&gt;=100000,INDEX($Q$1005:$U$1005,1,MATCH(COLUMNS($Q$1006:U1006),$Q$1006:$U$1006,0))&gt;=100000), " ",IF(INDEX($Q$2:$U$1001,MATCH(ROWS($J$2:J973),$J$2:$J$1001,0),MATCH(COLUMNS($Q$1006:U1006),$Q$1006:$U$1006,0)), HYPERLINK("#",""), HYPERLINK(CONCATENATE("#metadata!", ADDRESS(INDEX($L$2:$L$1001,MATCH(ROWS($J$2:J973),$J$2:$J$1001,0),0), INDEX($Q$1004:$U$1004,1,MATCH(COLUMNS($Q$1006:U1006),$Q$1006:$U$1006,0)))),"Fix")))</f>
        <v xml:space="preserve"> </v>
      </c>
      <c r="J973">
        <v>972</v>
      </c>
      <c r="K973">
        <v>100973</v>
      </c>
      <c r="L973">
        <v>973</v>
      </c>
      <c r="M973" t="b">
        <f t="shared" si="15"/>
        <v>1</v>
      </c>
      <c r="N973" t="b">
        <f>COUNTBLANK(metadata!B973:F973)=COLUMNS(metadata!B973:F973)</f>
        <v>1</v>
      </c>
      <c r="O973" t="str">
        <v/>
      </c>
      <c r="Q973" t="b">
        <f ca="1">AND(IF(metadata!B973="",FALSE,TRUE),COUNTIF(metadata!B:B, metadata!B973) = 1,NOT(ISERROR(SUMPRODUCT(SEARCH(MID(metadata!B973,ROW(INDIRECT("1:"&amp;LEN(metadata!B973))), 1),"0123456789abcdefghijklmnopqrstuvwxyzABCDEFGHIJKLMNOPQRSTUVWXYZ.")))))</f>
        <v>0</v>
      </c>
      <c r="R973" t="b">
        <f>AND(IF(metadata!C973="",FALSE,TRUE),OR(EXACT(metadata!C973,"saline"),EXACT(metadata!C973,"non-saline")))</f>
        <v>0</v>
      </c>
      <c r="S973" t="b">
        <f>AND(IF(metadata!D973="",FALSE,TRUE),OR(EXACT(metadata!D973,"surface (non-saline)"),EXACT(metadata!D973,"aerosol (non-saline)"),EXACT(metadata!D973,"sediment (non-saline)"),EXACT(metadata!D973,"surface (saline)"),EXACT(metadata!D973,"aerosol (saline)"),EXACT(metadata!D973,"sediment (saline)")))</f>
        <v>0</v>
      </c>
      <c r="T973" t="b">
        <f>AND(IF(metadata!E973="",FALSE,TRUE),EXACT(metadata!E973,"built environment"))</f>
        <v>0</v>
      </c>
      <c r="U973" t="b">
        <f>OR(AND(IF(metadata!F973="",FALSE,TRUE),EXACT(metadata!F973,"not applicable")),AND(IF(metadata!F973="",FALSE,TRUE),EXACT(metadata!F973,"anaerobic digester content")))</f>
        <v>0</v>
      </c>
    </row>
    <row r="974" spans="1:21" x14ac:dyDescent="0.2">
      <c r="A974" s="4" t="str">
        <f ca="1">IF(B974=" "," ",HYPERLINK(CONCATENATE("#metadata!",ADDRESS(INDEX($L$2:$L$1001,MATCH(ROWS($J$2:J974),$J$2:$J$1001,0),0),1)),INDEX($O$2:$O$1001,MATCH(ROWS($J$2:J974),$J$2:$J$1001,0),0)))</f>
        <v xml:space="preserve"> </v>
      </c>
      <c r="B974" s="3" t="str">
        <f ca="1">IF(OR(INDEX($K$2:$K$1001,MATCH(ROWS($J$2:J974),$J$2:$J$1001,0),1)&gt;=100000,INDEX($Q$1005:$U$1005,1,MATCH(COLUMNS($Q$1006:Q1006),$Q$1006:$U$1006,0))&gt;=100000), " ",IF(INDEX($Q$2:$U$1001,MATCH(ROWS($J$2:J974),$J$2:$J$1001,0),MATCH(COLUMNS($Q$1006:Q1006),$Q$1006:$U$1006,0)), HYPERLINK("#",""), HYPERLINK(CONCATENATE("#metadata!", ADDRESS(INDEX($L$2:$L$1001,MATCH(ROWS($J$2:J974),$J$2:$J$1001,0),0), INDEX($Q$1004:$U$1004,1,MATCH(COLUMNS($Q$1006:Q1006),$Q$1006:$U$1006,0)))),"Fix")))</f>
        <v xml:space="preserve"> </v>
      </c>
      <c r="C974" s="3" t="str">
        <f ca="1">IF(OR(INDEX($K$2:$K$1001,MATCH(ROWS($J$2:J974),$J$2:$J$1001,0),1)&gt;=100000,INDEX($Q$1005:$U$1005,1,MATCH(COLUMNS($Q$1006:R1006),$Q$1006:$U$1006,0))&gt;=100000), " ",IF(INDEX($Q$2:$U$1001,MATCH(ROWS($J$2:J974),$J$2:$J$1001,0),MATCH(COLUMNS($Q$1006:R1006),$Q$1006:$U$1006,0)), HYPERLINK("#",""), HYPERLINK(CONCATENATE("#metadata!", ADDRESS(INDEX($L$2:$L$1001,MATCH(ROWS($J$2:J974),$J$2:$J$1001,0),0), INDEX($Q$1004:$U$1004,1,MATCH(COLUMNS($Q$1006:R1006),$Q$1006:$U$1006,0)))),"Fix")))</f>
        <v xml:space="preserve"> </v>
      </c>
      <c r="D974" s="3" t="str">
        <f ca="1">IF(OR(INDEX($K$2:$K$1001,MATCH(ROWS($J$2:J974),$J$2:$J$1001,0),1)&gt;=100000,INDEX($Q$1005:$U$1005,1,MATCH(COLUMNS($Q$1006:S1006),$Q$1006:$U$1006,0))&gt;=100000), " ",IF(INDEX($Q$2:$U$1001,MATCH(ROWS($J$2:J974),$J$2:$J$1001,0),MATCH(COLUMNS($Q$1006:S1006),$Q$1006:$U$1006,0)), HYPERLINK("#",""), HYPERLINK(CONCATENATE("#metadata!", ADDRESS(INDEX($L$2:$L$1001,MATCH(ROWS($J$2:J974),$J$2:$J$1001,0),0), INDEX($Q$1004:$U$1004,1,MATCH(COLUMNS($Q$1006:S1006),$Q$1006:$U$1006,0)))),"Fix")))</f>
        <v xml:space="preserve"> </v>
      </c>
      <c r="E974" s="3" t="str">
        <f ca="1">IF(OR(INDEX($K$2:$K$1001,MATCH(ROWS($J$2:J974),$J$2:$J$1001,0),1)&gt;=100000,INDEX($Q$1005:$U$1005,1,MATCH(COLUMNS($Q$1006:T1006),$Q$1006:$U$1006,0))&gt;=100000), " ",IF(INDEX($Q$2:$U$1001,MATCH(ROWS($J$2:J974),$J$2:$J$1001,0),MATCH(COLUMNS($Q$1006:T1006),$Q$1006:$U$1006,0)), HYPERLINK("#",""), HYPERLINK(CONCATENATE("#metadata!", ADDRESS(INDEX($L$2:$L$1001,MATCH(ROWS($J$2:J974),$J$2:$J$1001,0),0), INDEX($Q$1004:$U$1004,1,MATCH(COLUMNS($Q$1006:T1006),$Q$1006:$U$1006,0)))),"Fix")))</f>
        <v xml:space="preserve"> </v>
      </c>
      <c r="F974" s="3" t="str">
        <f ca="1">IF(OR(INDEX($K$2:$K$1001,MATCH(ROWS($J$2:J974),$J$2:$J$1001,0),1)&gt;=100000,INDEX($Q$1005:$U$1005,1,MATCH(COLUMNS($Q$1006:U1006),$Q$1006:$U$1006,0))&gt;=100000), " ",IF(INDEX($Q$2:$U$1001,MATCH(ROWS($J$2:J974),$J$2:$J$1001,0),MATCH(COLUMNS($Q$1006:U1006),$Q$1006:$U$1006,0)), HYPERLINK("#",""), HYPERLINK(CONCATENATE("#metadata!", ADDRESS(INDEX($L$2:$L$1001,MATCH(ROWS($J$2:J974),$J$2:$J$1001,0),0), INDEX($Q$1004:$U$1004,1,MATCH(COLUMNS($Q$1006:U1006),$Q$1006:$U$1006,0)))),"Fix")))</f>
        <v xml:space="preserve"> </v>
      </c>
      <c r="J974">
        <v>973</v>
      </c>
      <c r="K974">
        <v>100974</v>
      </c>
      <c r="L974">
        <v>974</v>
      </c>
      <c r="M974" t="b">
        <f t="shared" si="15"/>
        <v>1</v>
      </c>
      <c r="N974" t="b">
        <f>COUNTBLANK(metadata!B974:F974)=COLUMNS(metadata!B974:F974)</f>
        <v>1</v>
      </c>
      <c r="O974" t="str">
        <v/>
      </c>
      <c r="Q974" t="b">
        <f ca="1">AND(IF(metadata!B974="",FALSE,TRUE),COUNTIF(metadata!B:B, metadata!B974) = 1,NOT(ISERROR(SUMPRODUCT(SEARCH(MID(metadata!B974,ROW(INDIRECT("1:"&amp;LEN(metadata!B974))), 1),"0123456789abcdefghijklmnopqrstuvwxyzABCDEFGHIJKLMNOPQRSTUVWXYZ.")))))</f>
        <v>0</v>
      </c>
      <c r="R974" t="b">
        <f>AND(IF(metadata!C974="",FALSE,TRUE),OR(EXACT(metadata!C974,"saline"),EXACT(metadata!C974,"non-saline")))</f>
        <v>0</v>
      </c>
      <c r="S974" t="b">
        <f>AND(IF(metadata!D974="",FALSE,TRUE),OR(EXACT(metadata!D974,"surface (non-saline)"),EXACT(metadata!D974,"aerosol (non-saline)"),EXACT(metadata!D974,"sediment (non-saline)"),EXACT(metadata!D974,"surface (saline)"),EXACT(metadata!D974,"aerosol (saline)"),EXACT(metadata!D974,"sediment (saline)")))</f>
        <v>0</v>
      </c>
      <c r="T974" t="b">
        <f>AND(IF(metadata!E974="",FALSE,TRUE),EXACT(metadata!E974,"built environment"))</f>
        <v>0</v>
      </c>
      <c r="U974" t="b">
        <f>OR(AND(IF(metadata!F974="",FALSE,TRUE),EXACT(metadata!F974,"not applicable")),AND(IF(metadata!F974="",FALSE,TRUE),EXACT(metadata!F974,"anaerobic digester content")))</f>
        <v>0</v>
      </c>
    </row>
    <row r="975" spans="1:21" x14ac:dyDescent="0.2">
      <c r="A975" s="4" t="str">
        <f ca="1">IF(B975=" "," ",HYPERLINK(CONCATENATE("#metadata!",ADDRESS(INDEX($L$2:$L$1001,MATCH(ROWS($J$2:J975),$J$2:$J$1001,0),0),1)),INDEX($O$2:$O$1001,MATCH(ROWS($J$2:J975),$J$2:$J$1001,0),0)))</f>
        <v xml:space="preserve"> </v>
      </c>
      <c r="B975" s="3" t="str">
        <f ca="1">IF(OR(INDEX($K$2:$K$1001,MATCH(ROWS($J$2:J975),$J$2:$J$1001,0),1)&gt;=100000,INDEX($Q$1005:$U$1005,1,MATCH(COLUMNS($Q$1006:Q1006),$Q$1006:$U$1006,0))&gt;=100000), " ",IF(INDEX($Q$2:$U$1001,MATCH(ROWS($J$2:J975),$J$2:$J$1001,0),MATCH(COLUMNS($Q$1006:Q1006),$Q$1006:$U$1006,0)), HYPERLINK("#",""), HYPERLINK(CONCATENATE("#metadata!", ADDRESS(INDEX($L$2:$L$1001,MATCH(ROWS($J$2:J975),$J$2:$J$1001,0),0), INDEX($Q$1004:$U$1004,1,MATCH(COLUMNS($Q$1006:Q1006),$Q$1006:$U$1006,0)))),"Fix")))</f>
        <v xml:space="preserve"> </v>
      </c>
      <c r="C975" s="3" t="str">
        <f ca="1">IF(OR(INDEX($K$2:$K$1001,MATCH(ROWS($J$2:J975),$J$2:$J$1001,0),1)&gt;=100000,INDEX($Q$1005:$U$1005,1,MATCH(COLUMNS($Q$1006:R1006),$Q$1006:$U$1006,0))&gt;=100000), " ",IF(INDEX($Q$2:$U$1001,MATCH(ROWS($J$2:J975),$J$2:$J$1001,0),MATCH(COLUMNS($Q$1006:R1006),$Q$1006:$U$1006,0)), HYPERLINK("#",""), HYPERLINK(CONCATENATE("#metadata!", ADDRESS(INDEX($L$2:$L$1001,MATCH(ROWS($J$2:J975),$J$2:$J$1001,0),0), INDEX($Q$1004:$U$1004,1,MATCH(COLUMNS($Q$1006:R1006),$Q$1006:$U$1006,0)))),"Fix")))</f>
        <v xml:space="preserve"> </v>
      </c>
      <c r="D975" s="3" t="str">
        <f ca="1">IF(OR(INDEX($K$2:$K$1001,MATCH(ROWS($J$2:J975),$J$2:$J$1001,0),1)&gt;=100000,INDEX($Q$1005:$U$1005,1,MATCH(COLUMNS($Q$1006:S1006),$Q$1006:$U$1006,0))&gt;=100000), " ",IF(INDEX($Q$2:$U$1001,MATCH(ROWS($J$2:J975),$J$2:$J$1001,0),MATCH(COLUMNS($Q$1006:S1006),$Q$1006:$U$1006,0)), HYPERLINK("#",""), HYPERLINK(CONCATENATE("#metadata!", ADDRESS(INDEX($L$2:$L$1001,MATCH(ROWS($J$2:J975),$J$2:$J$1001,0),0), INDEX($Q$1004:$U$1004,1,MATCH(COLUMNS($Q$1006:S1006),$Q$1006:$U$1006,0)))),"Fix")))</f>
        <v xml:space="preserve"> </v>
      </c>
      <c r="E975" s="3" t="str">
        <f ca="1">IF(OR(INDEX($K$2:$K$1001,MATCH(ROWS($J$2:J975),$J$2:$J$1001,0),1)&gt;=100000,INDEX($Q$1005:$U$1005,1,MATCH(COLUMNS($Q$1006:T1006),$Q$1006:$U$1006,0))&gt;=100000), " ",IF(INDEX($Q$2:$U$1001,MATCH(ROWS($J$2:J975),$J$2:$J$1001,0),MATCH(COLUMNS($Q$1006:T1006),$Q$1006:$U$1006,0)), HYPERLINK("#",""), HYPERLINK(CONCATENATE("#metadata!", ADDRESS(INDEX($L$2:$L$1001,MATCH(ROWS($J$2:J975),$J$2:$J$1001,0),0), INDEX($Q$1004:$U$1004,1,MATCH(COLUMNS($Q$1006:T1006),$Q$1006:$U$1006,0)))),"Fix")))</f>
        <v xml:space="preserve"> </v>
      </c>
      <c r="F975" s="3" t="str">
        <f ca="1">IF(OR(INDEX($K$2:$K$1001,MATCH(ROWS($J$2:J975),$J$2:$J$1001,0),1)&gt;=100000,INDEX($Q$1005:$U$1005,1,MATCH(COLUMNS($Q$1006:U1006),$Q$1006:$U$1006,0))&gt;=100000), " ",IF(INDEX($Q$2:$U$1001,MATCH(ROWS($J$2:J975),$J$2:$J$1001,0),MATCH(COLUMNS($Q$1006:U1006),$Q$1006:$U$1006,0)), HYPERLINK("#",""), HYPERLINK(CONCATENATE("#metadata!", ADDRESS(INDEX($L$2:$L$1001,MATCH(ROWS($J$2:J975),$J$2:$J$1001,0),0), INDEX($Q$1004:$U$1004,1,MATCH(COLUMNS($Q$1006:U1006),$Q$1006:$U$1006,0)))),"Fix")))</f>
        <v xml:space="preserve"> </v>
      </c>
      <c r="J975">
        <v>974</v>
      </c>
      <c r="K975">
        <v>100975</v>
      </c>
      <c r="L975">
        <v>975</v>
      </c>
      <c r="M975" t="b">
        <f t="shared" si="15"/>
        <v>1</v>
      </c>
      <c r="N975" t="b">
        <f>COUNTBLANK(metadata!B975:F975)=COLUMNS(metadata!B975:F975)</f>
        <v>1</v>
      </c>
      <c r="O975" t="str">
        <v/>
      </c>
      <c r="Q975" t="b">
        <f ca="1">AND(IF(metadata!B975="",FALSE,TRUE),COUNTIF(metadata!B:B, metadata!B975) = 1,NOT(ISERROR(SUMPRODUCT(SEARCH(MID(metadata!B975,ROW(INDIRECT("1:"&amp;LEN(metadata!B975))), 1),"0123456789abcdefghijklmnopqrstuvwxyzABCDEFGHIJKLMNOPQRSTUVWXYZ.")))))</f>
        <v>0</v>
      </c>
      <c r="R975" t="b">
        <f>AND(IF(metadata!C975="",FALSE,TRUE),OR(EXACT(metadata!C975,"saline"),EXACT(metadata!C975,"non-saline")))</f>
        <v>0</v>
      </c>
      <c r="S975" t="b">
        <f>AND(IF(metadata!D975="",FALSE,TRUE),OR(EXACT(metadata!D975,"surface (non-saline)"),EXACT(metadata!D975,"aerosol (non-saline)"),EXACT(metadata!D975,"sediment (non-saline)"),EXACT(metadata!D975,"surface (saline)"),EXACT(metadata!D975,"aerosol (saline)"),EXACT(metadata!D975,"sediment (saline)")))</f>
        <v>0</v>
      </c>
      <c r="T975" t="b">
        <f>AND(IF(metadata!E975="",FALSE,TRUE),EXACT(metadata!E975,"built environment"))</f>
        <v>0</v>
      </c>
      <c r="U975" t="b">
        <f>OR(AND(IF(metadata!F975="",FALSE,TRUE),EXACT(metadata!F975,"not applicable")),AND(IF(metadata!F975="",FALSE,TRUE),EXACT(metadata!F975,"anaerobic digester content")))</f>
        <v>0</v>
      </c>
    </row>
    <row r="976" spans="1:21" x14ac:dyDescent="0.2">
      <c r="A976" s="4" t="str">
        <f ca="1">IF(B976=" "," ",HYPERLINK(CONCATENATE("#metadata!",ADDRESS(INDEX($L$2:$L$1001,MATCH(ROWS($J$2:J976),$J$2:$J$1001,0),0),1)),INDEX($O$2:$O$1001,MATCH(ROWS($J$2:J976),$J$2:$J$1001,0),0)))</f>
        <v xml:space="preserve"> </v>
      </c>
      <c r="B976" s="3" t="str">
        <f ca="1">IF(OR(INDEX($K$2:$K$1001,MATCH(ROWS($J$2:J976),$J$2:$J$1001,0),1)&gt;=100000,INDEX($Q$1005:$U$1005,1,MATCH(COLUMNS($Q$1006:Q1006),$Q$1006:$U$1006,0))&gt;=100000), " ",IF(INDEX($Q$2:$U$1001,MATCH(ROWS($J$2:J976),$J$2:$J$1001,0),MATCH(COLUMNS($Q$1006:Q1006),$Q$1006:$U$1006,0)), HYPERLINK("#",""), HYPERLINK(CONCATENATE("#metadata!", ADDRESS(INDEX($L$2:$L$1001,MATCH(ROWS($J$2:J976),$J$2:$J$1001,0),0), INDEX($Q$1004:$U$1004,1,MATCH(COLUMNS($Q$1006:Q1006),$Q$1006:$U$1006,0)))),"Fix")))</f>
        <v xml:space="preserve"> </v>
      </c>
      <c r="C976" s="3" t="str">
        <f ca="1">IF(OR(INDEX($K$2:$K$1001,MATCH(ROWS($J$2:J976),$J$2:$J$1001,0),1)&gt;=100000,INDEX($Q$1005:$U$1005,1,MATCH(COLUMNS($Q$1006:R1006),$Q$1006:$U$1006,0))&gt;=100000), " ",IF(INDEX($Q$2:$U$1001,MATCH(ROWS($J$2:J976),$J$2:$J$1001,0),MATCH(COLUMNS($Q$1006:R1006),$Q$1006:$U$1006,0)), HYPERLINK("#",""), HYPERLINK(CONCATENATE("#metadata!", ADDRESS(INDEX($L$2:$L$1001,MATCH(ROWS($J$2:J976),$J$2:$J$1001,0),0), INDEX($Q$1004:$U$1004,1,MATCH(COLUMNS($Q$1006:R1006),$Q$1006:$U$1006,0)))),"Fix")))</f>
        <v xml:space="preserve"> </v>
      </c>
      <c r="D976" s="3" t="str">
        <f ca="1">IF(OR(INDEX($K$2:$K$1001,MATCH(ROWS($J$2:J976),$J$2:$J$1001,0),1)&gt;=100000,INDEX($Q$1005:$U$1005,1,MATCH(COLUMNS($Q$1006:S1006),$Q$1006:$U$1006,0))&gt;=100000), " ",IF(INDEX($Q$2:$U$1001,MATCH(ROWS($J$2:J976),$J$2:$J$1001,0),MATCH(COLUMNS($Q$1006:S1006),$Q$1006:$U$1006,0)), HYPERLINK("#",""), HYPERLINK(CONCATENATE("#metadata!", ADDRESS(INDEX($L$2:$L$1001,MATCH(ROWS($J$2:J976),$J$2:$J$1001,0),0), INDEX($Q$1004:$U$1004,1,MATCH(COLUMNS($Q$1006:S1006),$Q$1006:$U$1006,0)))),"Fix")))</f>
        <v xml:space="preserve"> </v>
      </c>
      <c r="E976" s="3" t="str">
        <f ca="1">IF(OR(INDEX($K$2:$K$1001,MATCH(ROWS($J$2:J976),$J$2:$J$1001,0),1)&gt;=100000,INDEX($Q$1005:$U$1005,1,MATCH(COLUMNS($Q$1006:T1006),$Q$1006:$U$1006,0))&gt;=100000), " ",IF(INDEX($Q$2:$U$1001,MATCH(ROWS($J$2:J976),$J$2:$J$1001,0),MATCH(COLUMNS($Q$1006:T1006),$Q$1006:$U$1006,0)), HYPERLINK("#",""), HYPERLINK(CONCATENATE("#metadata!", ADDRESS(INDEX($L$2:$L$1001,MATCH(ROWS($J$2:J976),$J$2:$J$1001,0),0), INDEX($Q$1004:$U$1004,1,MATCH(COLUMNS($Q$1006:T1006),$Q$1006:$U$1006,0)))),"Fix")))</f>
        <v xml:space="preserve"> </v>
      </c>
      <c r="F976" s="3" t="str">
        <f ca="1">IF(OR(INDEX($K$2:$K$1001,MATCH(ROWS($J$2:J976),$J$2:$J$1001,0),1)&gt;=100000,INDEX($Q$1005:$U$1005,1,MATCH(COLUMNS($Q$1006:U1006),$Q$1006:$U$1006,0))&gt;=100000), " ",IF(INDEX($Q$2:$U$1001,MATCH(ROWS($J$2:J976),$J$2:$J$1001,0),MATCH(COLUMNS($Q$1006:U1006),$Q$1006:$U$1006,0)), HYPERLINK("#",""), HYPERLINK(CONCATENATE("#metadata!", ADDRESS(INDEX($L$2:$L$1001,MATCH(ROWS($J$2:J976),$J$2:$J$1001,0),0), INDEX($Q$1004:$U$1004,1,MATCH(COLUMNS($Q$1006:U1006),$Q$1006:$U$1006,0)))),"Fix")))</f>
        <v xml:space="preserve"> </v>
      </c>
      <c r="J976">
        <v>975</v>
      </c>
      <c r="K976">
        <v>100976</v>
      </c>
      <c r="L976">
        <v>976</v>
      </c>
      <c r="M976" t="b">
        <f t="shared" si="15"/>
        <v>1</v>
      </c>
      <c r="N976" t="b">
        <f>COUNTBLANK(metadata!B976:F976)=COLUMNS(metadata!B976:F976)</f>
        <v>1</v>
      </c>
      <c r="O976" t="str">
        <v/>
      </c>
      <c r="Q976" t="b">
        <f ca="1">AND(IF(metadata!B976="",FALSE,TRUE),COUNTIF(metadata!B:B, metadata!B976) = 1,NOT(ISERROR(SUMPRODUCT(SEARCH(MID(metadata!B976,ROW(INDIRECT("1:"&amp;LEN(metadata!B976))), 1),"0123456789abcdefghijklmnopqrstuvwxyzABCDEFGHIJKLMNOPQRSTUVWXYZ.")))))</f>
        <v>0</v>
      </c>
      <c r="R976" t="b">
        <f>AND(IF(metadata!C976="",FALSE,TRUE),OR(EXACT(metadata!C976,"saline"),EXACT(metadata!C976,"non-saline")))</f>
        <v>0</v>
      </c>
      <c r="S976" t="b">
        <f>AND(IF(metadata!D976="",FALSE,TRUE),OR(EXACT(metadata!D976,"surface (non-saline)"),EXACT(metadata!D976,"aerosol (non-saline)"),EXACT(metadata!D976,"sediment (non-saline)"),EXACT(metadata!D976,"surface (saline)"),EXACT(metadata!D976,"aerosol (saline)"),EXACT(metadata!D976,"sediment (saline)")))</f>
        <v>0</v>
      </c>
      <c r="T976" t="b">
        <f>AND(IF(metadata!E976="",FALSE,TRUE),EXACT(metadata!E976,"built environment"))</f>
        <v>0</v>
      </c>
      <c r="U976" t="b">
        <f>OR(AND(IF(metadata!F976="",FALSE,TRUE),EXACT(metadata!F976,"not applicable")),AND(IF(metadata!F976="",FALSE,TRUE),EXACT(metadata!F976,"anaerobic digester content")))</f>
        <v>0</v>
      </c>
    </row>
    <row r="977" spans="1:21" x14ac:dyDescent="0.2">
      <c r="A977" s="4" t="str">
        <f ca="1">IF(B977=" "," ",HYPERLINK(CONCATENATE("#metadata!",ADDRESS(INDEX($L$2:$L$1001,MATCH(ROWS($J$2:J977),$J$2:$J$1001,0),0),1)),INDEX($O$2:$O$1001,MATCH(ROWS($J$2:J977),$J$2:$J$1001,0),0)))</f>
        <v xml:space="preserve"> </v>
      </c>
      <c r="B977" s="3" t="str">
        <f ca="1">IF(OR(INDEX($K$2:$K$1001,MATCH(ROWS($J$2:J977),$J$2:$J$1001,0),1)&gt;=100000,INDEX($Q$1005:$U$1005,1,MATCH(COLUMNS($Q$1006:Q1006),$Q$1006:$U$1006,0))&gt;=100000), " ",IF(INDEX($Q$2:$U$1001,MATCH(ROWS($J$2:J977),$J$2:$J$1001,0),MATCH(COLUMNS($Q$1006:Q1006),$Q$1006:$U$1006,0)), HYPERLINK("#",""), HYPERLINK(CONCATENATE("#metadata!", ADDRESS(INDEX($L$2:$L$1001,MATCH(ROWS($J$2:J977),$J$2:$J$1001,0),0), INDEX($Q$1004:$U$1004,1,MATCH(COLUMNS($Q$1006:Q1006),$Q$1006:$U$1006,0)))),"Fix")))</f>
        <v xml:space="preserve"> </v>
      </c>
      <c r="C977" s="3" t="str">
        <f ca="1">IF(OR(INDEX($K$2:$K$1001,MATCH(ROWS($J$2:J977),$J$2:$J$1001,0),1)&gt;=100000,INDEX($Q$1005:$U$1005,1,MATCH(COLUMNS($Q$1006:R1006),$Q$1006:$U$1006,0))&gt;=100000), " ",IF(INDEX($Q$2:$U$1001,MATCH(ROWS($J$2:J977),$J$2:$J$1001,0),MATCH(COLUMNS($Q$1006:R1006),$Q$1006:$U$1006,0)), HYPERLINK("#",""), HYPERLINK(CONCATENATE("#metadata!", ADDRESS(INDEX($L$2:$L$1001,MATCH(ROWS($J$2:J977),$J$2:$J$1001,0),0), INDEX($Q$1004:$U$1004,1,MATCH(COLUMNS($Q$1006:R1006),$Q$1006:$U$1006,0)))),"Fix")))</f>
        <v xml:space="preserve"> </v>
      </c>
      <c r="D977" s="3" t="str">
        <f ca="1">IF(OR(INDEX($K$2:$K$1001,MATCH(ROWS($J$2:J977),$J$2:$J$1001,0),1)&gt;=100000,INDEX($Q$1005:$U$1005,1,MATCH(COLUMNS($Q$1006:S1006),$Q$1006:$U$1006,0))&gt;=100000), " ",IF(INDEX($Q$2:$U$1001,MATCH(ROWS($J$2:J977),$J$2:$J$1001,0),MATCH(COLUMNS($Q$1006:S1006),$Q$1006:$U$1006,0)), HYPERLINK("#",""), HYPERLINK(CONCATENATE("#metadata!", ADDRESS(INDEX($L$2:$L$1001,MATCH(ROWS($J$2:J977),$J$2:$J$1001,0),0), INDEX($Q$1004:$U$1004,1,MATCH(COLUMNS($Q$1006:S1006),$Q$1006:$U$1006,0)))),"Fix")))</f>
        <v xml:space="preserve"> </v>
      </c>
      <c r="E977" s="3" t="str">
        <f ca="1">IF(OR(INDEX($K$2:$K$1001,MATCH(ROWS($J$2:J977),$J$2:$J$1001,0),1)&gt;=100000,INDEX($Q$1005:$U$1005,1,MATCH(COLUMNS($Q$1006:T1006),$Q$1006:$U$1006,0))&gt;=100000), " ",IF(INDEX($Q$2:$U$1001,MATCH(ROWS($J$2:J977),$J$2:$J$1001,0),MATCH(COLUMNS($Q$1006:T1006),$Q$1006:$U$1006,0)), HYPERLINK("#",""), HYPERLINK(CONCATENATE("#metadata!", ADDRESS(INDEX($L$2:$L$1001,MATCH(ROWS($J$2:J977),$J$2:$J$1001,0),0), INDEX($Q$1004:$U$1004,1,MATCH(COLUMNS($Q$1006:T1006),$Q$1006:$U$1006,0)))),"Fix")))</f>
        <v xml:space="preserve"> </v>
      </c>
      <c r="F977" s="3" t="str">
        <f ca="1">IF(OR(INDEX($K$2:$K$1001,MATCH(ROWS($J$2:J977),$J$2:$J$1001,0),1)&gt;=100000,INDEX($Q$1005:$U$1005,1,MATCH(COLUMNS($Q$1006:U1006),$Q$1006:$U$1006,0))&gt;=100000), " ",IF(INDEX($Q$2:$U$1001,MATCH(ROWS($J$2:J977),$J$2:$J$1001,0),MATCH(COLUMNS($Q$1006:U1006),$Q$1006:$U$1006,0)), HYPERLINK("#",""), HYPERLINK(CONCATENATE("#metadata!", ADDRESS(INDEX($L$2:$L$1001,MATCH(ROWS($J$2:J977),$J$2:$J$1001,0),0), INDEX($Q$1004:$U$1004,1,MATCH(COLUMNS($Q$1006:U1006),$Q$1006:$U$1006,0)))),"Fix")))</f>
        <v xml:space="preserve"> </v>
      </c>
      <c r="J977">
        <v>976</v>
      </c>
      <c r="K977">
        <v>100977</v>
      </c>
      <c r="L977">
        <v>977</v>
      </c>
      <c r="M977" t="b">
        <f t="shared" si="15"/>
        <v>1</v>
      </c>
      <c r="N977" t="b">
        <f>COUNTBLANK(metadata!B977:F977)=COLUMNS(metadata!B977:F977)</f>
        <v>1</v>
      </c>
      <c r="O977" t="str">
        <v/>
      </c>
      <c r="Q977" t="b">
        <f ca="1">AND(IF(metadata!B977="",FALSE,TRUE),COUNTIF(metadata!B:B, metadata!B977) = 1,NOT(ISERROR(SUMPRODUCT(SEARCH(MID(metadata!B977,ROW(INDIRECT("1:"&amp;LEN(metadata!B977))), 1),"0123456789abcdefghijklmnopqrstuvwxyzABCDEFGHIJKLMNOPQRSTUVWXYZ.")))))</f>
        <v>0</v>
      </c>
      <c r="R977" t="b">
        <f>AND(IF(metadata!C977="",FALSE,TRUE),OR(EXACT(metadata!C977,"saline"),EXACT(metadata!C977,"non-saline")))</f>
        <v>0</v>
      </c>
      <c r="S977" t="b">
        <f>AND(IF(metadata!D977="",FALSE,TRUE),OR(EXACT(metadata!D977,"surface (non-saline)"),EXACT(metadata!D977,"aerosol (non-saline)"),EXACT(metadata!D977,"sediment (non-saline)"),EXACT(metadata!D977,"surface (saline)"),EXACT(metadata!D977,"aerosol (saline)"),EXACT(metadata!D977,"sediment (saline)")))</f>
        <v>0</v>
      </c>
      <c r="T977" t="b">
        <f>AND(IF(metadata!E977="",FALSE,TRUE),EXACT(metadata!E977,"built environment"))</f>
        <v>0</v>
      </c>
      <c r="U977" t="b">
        <f>OR(AND(IF(metadata!F977="",FALSE,TRUE),EXACT(metadata!F977,"not applicable")),AND(IF(metadata!F977="",FALSE,TRUE),EXACT(metadata!F977,"anaerobic digester content")))</f>
        <v>0</v>
      </c>
    </row>
    <row r="978" spans="1:21" x14ac:dyDescent="0.2">
      <c r="A978" s="4" t="str">
        <f ca="1">IF(B978=" "," ",HYPERLINK(CONCATENATE("#metadata!",ADDRESS(INDEX($L$2:$L$1001,MATCH(ROWS($J$2:J978),$J$2:$J$1001,0),0),1)),INDEX($O$2:$O$1001,MATCH(ROWS($J$2:J978),$J$2:$J$1001,0),0)))</f>
        <v xml:space="preserve"> </v>
      </c>
      <c r="B978" s="3" t="str">
        <f ca="1">IF(OR(INDEX($K$2:$K$1001,MATCH(ROWS($J$2:J978),$J$2:$J$1001,0),1)&gt;=100000,INDEX($Q$1005:$U$1005,1,MATCH(COLUMNS($Q$1006:Q1006),$Q$1006:$U$1006,0))&gt;=100000), " ",IF(INDEX($Q$2:$U$1001,MATCH(ROWS($J$2:J978),$J$2:$J$1001,0),MATCH(COLUMNS($Q$1006:Q1006),$Q$1006:$U$1006,0)), HYPERLINK("#",""), HYPERLINK(CONCATENATE("#metadata!", ADDRESS(INDEX($L$2:$L$1001,MATCH(ROWS($J$2:J978),$J$2:$J$1001,0),0), INDEX($Q$1004:$U$1004,1,MATCH(COLUMNS($Q$1006:Q1006),$Q$1006:$U$1006,0)))),"Fix")))</f>
        <v xml:space="preserve"> </v>
      </c>
      <c r="C978" s="3" t="str">
        <f ca="1">IF(OR(INDEX($K$2:$K$1001,MATCH(ROWS($J$2:J978),$J$2:$J$1001,0),1)&gt;=100000,INDEX($Q$1005:$U$1005,1,MATCH(COLUMNS($Q$1006:R1006),$Q$1006:$U$1006,0))&gt;=100000), " ",IF(INDEX($Q$2:$U$1001,MATCH(ROWS($J$2:J978),$J$2:$J$1001,0),MATCH(COLUMNS($Q$1006:R1006),$Q$1006:$U$1006,0)), HYPERLINK("#",""), HYPERLINK(CONCATENATE("#metadata!", ADDRESS(INDEX($L$2:$L$1001,MATCH(ROWS($J$2:J978),$J$2:$J$1001,0),0), INDEX($Q$1004:$U$1004,1,MATCH(COLUMNS($Q$1006:R1006),$Q$1006:$U$1006,0)))),"Fix")))</f>
        <v xml:space="preserve"> </v>
      </c>
      <c r="D978" s="3" t="str">
        <f ca="1">IF(OR(INDEX($K$2:$K$1001,MATCH(ROWS($J$2:J978),$J$2:$J$1001,0),1)&gt;=100000,INDEX($Q$1005:$U$1005,1,MATCH(COLUMNS($Q$1006:S1006),$Q$1006:$U$1006,0))&gt;=100000), " ",IF(INDEX($Q$2:$U$1001,MATCH(ROWS($J$2:J978),$J$2:$J$1001,0),MATCH(COLUMNS($Q$1006:S1006),$Q$1006:$U$1006,0)), HYPERLINK("#",""), HYPERLINK(CONCATENATE("#metadata!", ADDRESS(INDEX($L$2:$L$1001,MATCH(ROWS($J$2:J978),$J$2:$J$1001,0),0), INDEX($Q$1004:$U$1004,1,MATCH(COLUMNS($Q$1006:S1006),$Q$1006:$U$1006,0)))),"Fix")))</f>
        <v xml:space="preserve"> </v>
      </c>
      <c r="E978" s="3" t="str">
        <f ca="1">IF(OR(INDEX($K$2:$K$1001,MATCH(ROWS($J$2:J978),$J$2:$J$1001,0),1)&gt;=100000,INDEX($Q$1005:$U$1005,1,MATCH(COLUMNS($Q$1006:T1006),$Q$1006:$U$1006,0))&gt;=100000), " ",IF(INDEX($Q$2:$U$1001,MATCH(ROWS($J$2:J978),$J$2:$J$1001,0),MATCH(COLUMNS($Q$1006:T1006),$Q$1006:$U$1006,0)), HYPERLINK("#",""), HYPERLINK(CONCATENATE("#metadata!", ADDRESS(INDEX($L$2:$L$1001,MATCH(ROWS($J$2:J978),$J$2:$J$1001,0),0), INDEX($Q$1004:$U$1004,1,MATCH(COLUMNS($Q$1006:T1006),$Q$1006:$U$1006,0)))),"Fix")))</f>
        <v xml:space="preserve"> </v>
      </c>
      <c r="F978" s="3" t="str">
        <f ca="1">IF(OR(INDEX($K$2:$K$1001,MATCH(ROWS($J$2:J978),$J$2:$J$1001,0),1)&gt;=100000,INDEX($Q$1005:$U$1005,1,MATCH(COLUMNS($Q$1006:U1006),$Q$1006:$U$1006,0))&gt;=100000), " ",IF(INDEX($Q$2:$U$1001,MATCH(ROWS($J$2:J978),$J$2:$J$1001,0),MATCH(COLUMNS($Q$1006:U1006),$Q$1006:$U$1006,0)), HYPERLINK("#",""), HYPERLINK(CONCATENATE("#metadata!", ADDRESS(INDEX($L$2:$L$1001,MATCH(ROWS($J$2:J978),$J$2:$J$1001,0),0), INDEX($Q$1004:$U$1004,1,MATCH(COLUMNS($Q$1006:U1006),$Q$1006:$U$1006,0)))),"Fix")))</f>
        <v xml:space="preserve"> </v>
      </c>
      <c r="J978">
        <v>977</v>
      </c>
      <c r="K978">
        <v>100978</v>
      </c>
      <c r="L978">
        <v>978</v>
      </c>
      <c r="M978" t="b">
        <f t="shared" si="15"/>
        <v>1</v>
      </c>
      <c r="N978" t="b">
        <f>COUNTBLANK(metadata!B978:F978)=COLUMNS(metadata!B978:F978)</f>
        <v>1</v>
      </c>
      <c r="O978" t="str">
        <v/>
      </c>
      <c r="Q978" t="b">
        <f ca="1">AND(IF(metadata!B978="",FALSE,TRUE),COUNTIF(metadata!B:B, metadata!B978) = 1,NOT(ISERROR(SUMPRODUCT(SEARCH(MID(metadata!B978,ROW(INDIRECT("1:"&amp;LEN(metadata!B978))), 1),"0123456789abcdefghijklmnopqrstuvwxyzABCDEFGHIJKLMNOPQRSTUVWXYZ.")))))</f>
        <v>0</v>
      </c>
      <c r="R978" t="b">
        <f>AND(IF(metadata!C978="",FALSE,TRUE),OR(EXACT(metadata!C978,"saline"),EXACT(metadata!C978,"non-saline")))</f>
        <v>0</v>
      </c>
      <c r="S978" t="b">
        <f>AND(IF(metadata!D978="",FALSE,TRUE),OR(EXACT(metadata!D978,"surface (non-saline)"),EXACT(metadata!D978,"aerosol (non-saline)"),EXACT(metadata!D978,"sediment (non-saline)"),EXACT(metadata!D978,"surface (saline)"),EXACT(metadata!D978,"aerosol (saline)"),EXACT(metadata!D978,"sediment (saline)")))</f>
        <v>0</v>
      </c>
      <c r="T978" t="b">
        <f>AND(IF(metadata!E978="",FALSE,TRUE),EXACT(metadata!E978,"built environment"))</f>
        <v>0</v>
      </c>
      <c r="U978" t="b">
        <f>OR(AND(IF(metadata!F978="",FALSE,TRUE),EXACT(metadata!F978,"not applicable")),AND(IF(metadata!F978="",FALSE,TRUE),EXACT(metadata!F978,"anaerobic digester content")))</f>
        <v>0</v>
      </c>
    </row>
    <row r="979" spans="1:21" x14ac:dyDescent="0.2">
      <c r="A979" s="4" t="str">
        <f ca="1">IF(B979=" "," ",HYPERLINK(CONCATENATE("#metadata!",ADDRESS(INDEX($L$2:$L$1001,MATCH(ROWS($J$2:J979),$J$2:$J$1001,0),0),1)),INDEX($O$2:$O$1001,MATCH(ROWS($J$2:J979),$J$2:$J$1001,0),0)))</f>
        <v xml:space="preserve"> </v>
      </c>
      <c r="B979" s="3" t="str">
        <f ca="1">IF(OR(INDEX($K$2:$K$1001,MATCH(ROWS($J$2:J979),$J$2:$J$1001,0),1)&gt;=100000,INDEX($Q$1005:$U$1005,1,MATCH(COLUMNS($Q$1006:Q1006),$Q$1006:$U$1006,0))&gt;=100000), " ",IF(INDEX($Q$2:$U$1001,MATCH(ROWS($J$2:J979),$J$2:$J$1001,0),MATCH(COLUMNS($Q$1006:Q1006),$Q$1006:$U$1006,0)), HYPERLINK("#",""), HYPERLINK(CONCATENATE("#metadata!", ADDRESS(INDEX($L$2:$L$1001,MATCH(ROWS($J$2:J979),$J$2:$J$1001,0),0), INDEX($Q$1004:$U$1004,1,MATCH(COLUMNS($Q$1006:Q1006),$Q$1006:$U$1006,0)))),"Fix")))</f>
        <v xml:space="preserve"> </v>
      </c>
      <c r="C979" s="3" t="str">
        <f ca="1">IF(OR(INDEX($K$2:$K$1001,MATCH(ROWS($J$2:J979),$J$2:$J$1001,0),1)&gt;=100000,INDEX($Q$1005:$U$1005,1,MATCH(COLUMNS($Q$1006:R1006),$Q$1006:$U$1006,0))&gt;=100000), " ",IF(INDEX($Q$2:$U$1001,MATCH(ROWS($J$2:J979),$J$2:$J$1001,0),MATCH(COLUMNS($Q$1006:R1006),$Q$1006:$U$1006,0)), HYPERLINK("#",""), HYPERLINK(CONCATENATE("#metadata!", ADDRESS(INDEX($L$2:$L$1001,MATCH(ROWS($J$2:J979),$J$2:$J$1001,0),0), INDEX($Q$1004:$U$1004,1,MATCH(COLUMNS($Q$1006:R1006),$Q$1006:$U$1006,0)))),"Fix")))</f>
        <v xml:space="preserve"> </v>
      </c>
      <c r="D979" s="3" t="str">
        <f ca="1">IF(OR(INDEX($K$2:$K$1001,MATCH(ROWS($J$2:J979),$J$2:$J$1001,0),1)&gt;=100000,INDEX($Q$1005:$U$1005,1,MATCH(COLUMNS($Q$1006:S1006),$Q$1006:$U$1006,0))&gt;=100000), " ",IF(INDEX($Q$2:$U$1001,MATCH(ROWS($J$2:J979),$J$2:$J$1001,0),MATCH(COLUMNS($Q$1006:S1006),$Q$1006:$U$1006,0)), HYPERLINK("#",""), HYPERLINK(CONCATENATE("#metadata!", ADDRESS(INDEX($L$2:$L$1001,MATCH(ROWS($J$2:J979),$J$2:$J$1001,0),0), INDEX($Q$1004:$U$1004,1,MATCH(COLUMNS($Q$1006:S1006),$Q$1006:$U$1006,0)))),"Fix")))</f>
        <v xml:space="preserve"> </v>
      </c>
      <c r="E979" s="3" t="str">
        <f ca="1">IF(OR(INDEX($K$2:$K$1001,MATCH(ROWS($J$2:J979),$J$2:$J$1001,0),1)&gt;=100000,INDEX($Q$1005:$U$1005,1,MATCH(COLUMNS($Q$1006:T1006),$Q$1006:$U$1006,0))&gt;=100000), " ",IF(INDEX($Q$2:$U$1001,MATCH(ROWS($J$2:J979),$J$2:$J$1001,0),MATCH(COLUMNS($Q$1006:T1006),$Q$1006:$U$1006,0)), HYPERLINK("#",""), HYPERLINK(CONCATENATE("#metadata!", ADDRESS(INDEX($L$2:$L$1001,MATCH(ROWS($J$2:J979),$J$2:$J$1001,0),0), INDEX($Q$1004:$U$1004,1,MATCH(COLUMNS($Q$1006:T1006),$Q$1006:$U$1006,0)))),"Fix")))</f>
        <v xml:space="preserve"> </v>
      </c>
      <c r="F979" s="3" t="str">
        <f ca="1">IF(OR(INDEX($K$2:$K$1001,MATCH(ROWS($J$2:J979),$J$2:$J$1001,0),1)&gt;=100000,INDEX($Q$1005:$U$1005,1,MATCH(COLUMNS($Q$1006:U1006),$Q$1006:$U$1006,0))&gt;=100000), " ",IF(INDEX($Q$2:$U$1001,MATCH(ROWS($J$2:J979),$J$2:$J$1001,0),MATCH(COLUMNS($Q$1006:U1006),$Q$1006:$U$1006,0)), HYPERLINK("#",""), HYPERLINK(CONCATENATE("#metadata!", ADDRESS(INDEX($L$2:$L$1001,MATCH(ROWS($J$2:J979),$J$2:$J$1001,0),0), INDEX($Q$1004:$U$1004,1,MATCH(COLUMNS($Q$1006:U1006),$Q$1006:$U$1006,0)))),"Fix")))</f>
        <v xml:space="preserve"> </v>
      </c>
      <c r="J979">
        <v>978</v>
      </c>
      <c r="K979">
        <v>100979</v>
      </c>
      <c r="L979">
        <v>979</v>
      </c>
      <c r="M979" t="b">
        <f t="shared" si="15"/>
        <v>1</v>
      </c>
      <c r="N979" t="b">
        <f>COUNTBLANK(metadata!B979:F979)=COLUMNS(metadata!B979:F979)</f>
        <v>1</v>
      </c>
      <c r="O979" t="str">
        <v/>
      </c>
      <c r="Q979" t="b">
        <f ca="1">AND(IF(metadata!B979="",FALSE,TRUE),COUNTIF(metadata!B:B, metadata!B979) = 1,NOT(ISERROR(SUMPRODUCT(SEARCH(MID(metadata!B979,ROW(INDIRECT("1:"&amp;LEN(metadata!B979))), 1),"0123456789abcdefghijklmnopqrstuvwxyzABCDEFGHIJKLMNOPQRSTUVWXYZ.")))))</f>
        <v>0</v>
      </c>
      <c r="R979" t="b">
        <f>AND(IF(metadata!C979="",FALSE,TRUE),OR(EXACT(metadata!C979,"saline"),EXACT(metadata!C979,"non-saline")))</f>
        <v>0</v>
      </c>
      <c r="S979" t="b">
        <f>AND(IF(metadata!D979="",FALSE,TRUE),OR(EXACT(metadata!D979,"surface (non-saline)"),EXACT(metadata!D979,"aerosol (non-saline)"),EXACT(metadata!D979,"sediment (non-saline)"),EXACT(metadata!D979,"surface (saline)"),EXACT(metadata!D979,"aerosol (saline)"),EXACT(metadata!D979,"sediment (saline)")))</f>
        <v>0</v>
      </c>
      <c r="T979" t="b">
        <f>AND(IF(metadata!E979="",FALSE,TRUE),EXACT(metadata!E979,"built environment"))</f>
        <v>0</v>
      </c>
      <c r="U979" t="b">
        <f>OR(AND(IF(metadata!F979="",FALSE,TRUE),EXACT(metadata!F979,"not applicable")),AND(IF(metadata!F979="",FALSE,TRUE),EXACT(metadata!F979,"anaerobic digester content")))</f>
        <v>0</v>
      </c>
    </row>
    <row r="980" spans="1:21" x14ac:dyDescent="0.2">
      <c r="A980" s="4" t="str">
        <f ca="1">IF(B980=" "," ",HYPERLINK(CONCATENATE("#metadata!",ADDRESS(INDEX($L$2:$L$1001,MATCH(ROWS($J$2:J980),$J$2:$J$1001,0),0),1)),INDEX($O$2:$O$1001,MATCH(ROWS($J$2:J980),$J$2:$J$1001,0),0)))</f>
        <v xml:space="preserve"> </v>
      </c>
      <c r="B980" s="3" t="str">
        <f ca="1">IF(OR(INDEX($K$2:$K$1001,MATCH(ROWS($J$2:J980),$J$2:$J$1001,0),1)&gt;=100000,INDEX($Q$1005:$U$1005,1,MATCH(COLUMNS($Q$1006:Q1006),$Q$1006:$U$1006,0))&gt;=100000), " ",IF(INDEX($Q$2:$U$1001,MATCH(ROWS($J$2:J980),$J$2:$J$1001,0),MATCH(COLUMNS($Q$1006:Q1006),$Q$1006:$U$1006,0)), HYPERLINK("#",""), HYPERLINK(CONCATENATE("#metadata!", ADDRESS(INDEX($L$2:$L$1001,MATCH(ROWS($J$2:J980),$J$2:$J$1001,0),0), INDEX($Q$1004:$U$1004,1,MATCH(COLUMNS($Q$1006:Q1006),$Q$1006:$U$1006,0)))),"Fix")))</f>
        <v xml:space="preserve"> </v>
      </c>
      <c r="C980" s="3" t="str">
        <f ca="1">IF(OR(INDEX($K$2:$K$1001,MATCH(ROWS($J$2:J980),$J$2:$J$1001,0),1)&gt;=100000,INDEX($Q$1005:$U$1005,1,MATCH(COLUMNS($Q$1006:R1006),$Q$1006:$U$1006,0))&gt;=100000), " ",IF(INDEX($Q$2:$U$1001,MATCH(ROWS($J$2:J980),$J$2:$J$1001,0),MATCH(COLUMNS($Q$1006:R1006),$Q$1006:$U$1006,0)), HYPERLINK("#",""), HYPERLINK(CONCATENATE("#metadata!", ADDRESS(INDEX($L$2:$L$1001,MATCH(ROWS($J$2:J980),$J$2:$J$1001,0),0), INDEX($Q$1004:$U$1004,1,MATCH(COLUMNS($Q$1006:R1006),$Q$1006:$U$1006,0)))),"Fix")))</f>
        <v xml:space="preserve"> </v>
      </c>
      <c r="D980" s="3" t="str">
        <f ca="1">IF(OR(INDEX($K$2:$K$1001,MATCH(ROWS($J$2:J980),$J$2:$J$1001,0),1)&gt;=100000,INDEX($Q$1005:$U$1005,1,MATCH(COLUMNS($Q$1006:S1006),$Q$1006:$U$1006,0))&gt;=100000), " ",IF(INDEX($Q$2:$U$1001,MATCH(ROWS($J$2:J980),$J$2:$J$1001,0),MATCH(COLUMNS($Q$1006:S1006),$Q$1006:$U$1006,0)), HYPERLINK("#",""), HYPERLINK(CONCATENATE("#metadata!", ADDRESS(INDEX($L$2:$L$1001,MATCH(ROWS($J$2:J980),$J$2:$J$1001,0),0), INDEX($Q$1004:$U$1004,1,MATCH(COLUMNS($Q$1006:S1006),$Q$1006:$U$1006,0)))),"Fix")))</f>
        <v xml:space="preserve"> </v>
      </c>
      <c r="E980" s="3" t="str">
        <f ca="1">IF(OR(INDEX($K$2:$K$1001,MATCH(ROWS($J$2:J980),$J$2:$J$1001,0),1)&gt;=100000,INDEX($Q$1005:$U$1005,1,MATCH(COLUMNS($Q$1006:T1006),$Q$1006:$U$1006,0))&gt;=100000), " ",IF(INDEX($Q$2:$U$1001,MATCH(ROWS($J$2:J980),$J$2:$J$1001,0),MATCH(COLUMNS($Q$1006:T1006),$Q$1006:$U$1006,0)), HYPERLINK("#",""), HYPERLINK(CONCATENATE("#metadata!", ADDRESS(INDEX($L$2:$L$1001,MATCH(ROWS($J$2:J980),$J$2:$J$1001,0),0), INDEX($Q$1004:$U$1004,1,MATCH(COLUMNS($Q$1006:T1006),$Q$1006:$U$1006,0)))),"Fix")))</f>
        <v xml:space="preserve"> </v>
      </c>
      <c r="F980" s="3" t="str">
        <f ca="1">IF(OR(INDEX($K$2:$K$1001,MATCH(ROWS($J$2:J980),$J$2:$J$1001,0),1)&gt;=100000,INDEX($Q$1005:$U$1005,1,MATCH(COLUMNS($Q$1006:U1006),$Q$1006:$U$1006,0))&gt;=100000), " ",IF(INDEX($Q$2:$U$1001,MATCH(ROWS($J$2:J980),$J$2:$J$1001,0),MATCH(COLUMNS($Q$1006:U1006),$Q$1006:$U$1006,0)), HYPERLINK("#",""), HYPERLINK(CONCATENATE("#metadata!", ADDRESS(INDEX($L$2:$L$1001,MATCH(ROWS($J$2:J980),$J$2:$J$1001,0),0), INDEX($Q$1004:$U$1004,1,MATCH(COLUMNS($Q$1006:U1006),$Q$1006:$U$1006,0)))),"Fix")))</f>
        <v xml:space="preserve"> </v>
      </c>
      <c r="J980">
        <v>979</v>
      </c>
      <c r="K980">
        <v>100980</v>
      </c>
      <c r="L980">
        <v>980</v>
      </c>
      <c r="M980" t="b">
        <f t="shared" si="15"/>
        <v>1</v>
      </c>
      <c r="N980" t="b">
        <f>COUNTBLANK(metadata!B980:F980)=COLUMNS(metadata!B980:F980)</f>
        <v>1</v>
      </c>
      <c r="O980" t="str">
        <v/>
      </c>
      <c r="Q980" t="b">
        <f ca="1">AND(IF(metadata!B980="",FALSE,TRUE),COUNTIF(metadata!B:B, metadata!B980) = 1,NOT(ISERROR(SUMPRODUCT(SEARCH(MID(metadata!B980,ROW(INDIRECT("1:"&amp;LEN(metadata!B980))), 1),"0123456789abcdefghijklmnopqrstuvwxyzABCDEFGHIJKLMNOPQRSTUVWXYZ.")))))</f>
        <v>0</v>
      </c>
      <c r="R980" t="b">
        <f>AND(IF(metadata!C980="",FALSE,TRUE),OR(EXACT(metadata!C980,"saline"),EXACT(metadata!C980,"non-saline")))</f>
        <v>0</v>
      </c>
      <c r="S980" t="b">
        <f>AND(IF(metadata!D980="",FALSE,TRUE),OR(EXACT(metadata!D980,"surface (non-saline)"),EXACT(metadata!D980,"aerosol (non-saline)"),EXACT(metadata!D980,"sediment (non-saline)"),EXACT(metadata!D980,"surface (saline)"),EXACT(metadata!D980,"aerosol (saline)"),EXACT(metadata!D980,"sediment (saline)")))</f>
        <v>0</v>
      </c>
      <c r="T980" t="b">
        <f>AND(IF(metadata!E980="",FALSE,TRUE),EXACT(metadata!E980,"built environment"))</f>
        <v>0</v>
      </c>
      <c r="U980" t="b">
        <f>OR(AND(IF(metadata!F980="",FALSE,TRUE),EXACT(metadata!F980,"not applicable")),AND(IF(metadata!F980="",FALSE,TRUE),EXACT(metadata!F980,"anaerobic digester content")))</f>
        <v>0</v>
      </c>
    </row>
    <row r="981" spans="1:21" x14ac:dyDescent="0.2">
      <c r="A981" s="4" t="str">
        <f ca="1">IF(B981=" "," ",HYPERLINK(CONCATENATE("#metadata!",ADDRESS(INDEX($L$2:$L$1001,MATCH(ROWS($J$2:J981),$J$2:$J$1001,0),0),1)),INDEX($O$2:$O$1001,MATCH(ROWS($J$2:J981),$J$2:$J$1001,0),0)))</f>
        <v xml:space="preserve"> </v>
      </c>
      <c r="B981" s="3" t="str">
        <f ca="1">IF(OR(INDEX($K$2:$K$1001,MATCH(ROWS($J$2:J981),$J$2:$J$1001,0),1)&gt;=100000,INDEX($Q$1005:$U$1005,1,MATCH(COLUMNS($Q$1006:Q1006),$Q$1006:$U$1006,0))&gt;=100000), " ",IF(INDEX($Q$2:$U$1001,MATCH(ROWS($J$2:J981),$J$2:$J$1001,0),MATCH(COLUMNS($Q$1006:Q1006),$Q$1006:$U$1006,0)), HYPERLINK("#",""), HYPERLINK(CONCATENATE("#metadata!", ADDRESS(INDEX($L$2:$L$1001,MATCH(ROWS($J$2:J981),$J$2:$J$1001,0),0), INDEX($Q$1004:$U$1004,1,MATCH(COLUMNS($Q$1006:Q1006),$Q$1006:$U$1006,0)))),"Fix")))</f>
        <v xml:space="preserve"> </v>
      </c>
      <c r="C981" s="3" t="str">
        <f ca="1">IF(OR(INDEX($K$2:$K$1001,MATCH(ROWS($J$2:J981),$J$2:$J$1001,0),1)&gt;=100000,INDEX($Q$1005:$U$1005,1,MATCH(COLUMNS($Q$1006:R1006),$Q$1006:$U$1006,0))&gt;=100000), " ",IF(INDEX($Q$2:$U$1001,MATCH(ROWS($J$2:J981),$J$2:$J$1001,0),MATCH(COLUMNS($Q$1006:R1006),$Q$1006:$U$1006,0)), HYPERLINK("#",""), HYPERLINK(CONCATENATE("#metadata!", ADDRESS(INDEX($L$2:$L$1001,MATCH(ROWS($J$2:J981),$J$2:$J$1001,0),0), INDEX($Q$1004:$U$1004,1,MATCH(COLUMNS($Q$1006:R1006),$Q$1006:$U$1006,0)))),"Fix")))</f>
        <v xml:space="preserve"> </v>
      </c>
      <c r="D981" s="3" t="str">
        <f ca="1">IF(OR(INDEX($K$2:$K$1001,MATCH(ROWS($J$2:J981),$J$2:$J$1001,0),1)&gt;=100000,INDEX($Q$1005:$U$1005,1,MATCH(COLUMNS($Q$1006:S1006),$Q$1006:$U$1006,0))&gt;=100000), " ",IF(INDEX($Q$2:$U$1001,MATCH(ROWS($J$2:J981),$J$2:$J$1001,0),MATCH(COLUMNS($Q$1006:S1006),$Q$1006:$U$1006,0)), HYPERLINK("#",""), HYPERLINK(CONCATENATE("#metadata!", ADDRESS(INDEX($L$2:$L$1001,MATCH(ROWS($J$2:J981),$J$2:$J$1001,0),0), INDEX($Q$1004:$U$1004,1,MATCH(COLUMNS($Q$1006:S1006),$Q$1006:$U$1006,0)))),"Fix")))</f>
        <v xml:space="preserve"> </v>
      </c>
      <c r="E981" s="3" t="str">
        <f ca="1">IF(OR(INDEX($K$2:$K$1001,MATCH(ROWS($J$2:J981),$J$2:$J$1001,0),1)&gt;=100000,INDEX($Q$1005:$U$1005,1,MATCH(COLUMNS($Q$1006:T1006),$Q$1006:$U$1006,0))&gt;=100000), " ",IF(INDEX($Q$2:$U$1001,MATCH(ROWS($J$2:J981),$J$2:$J$1001,0),MATCH(COLUMNS($Q$1006:T1006),$Q$1006:$U$1006,0)), HYPERLINK("#",""), HYPERLINK(CONCATENATE("#metadata!", ADDRESS(INDEX($L$2:$L$1001,MATCH(ROWS($J$2:J981),$J$2:$J$1001,0),0), INDEX($Q$1004:$U$1004,1,MATCH(COLUMNS($Q$1006:T1006),$Q$1006:$U$1006,0)))),"Fix")))</f>
        <v xml:space="preserve"> </v>
      </c>
      <c r="F981" s="3" t="str">
        <f ca="1">IF(OR(INDEX($K$2:$K$1001,MATCH(ROWS($J$2:J981),$J$2:$J$1001,0),1)&gt;=100000,INDEX($Q$1005:$U$1005,1,MATCH(COLUMNS($Q$1006:U1006),$Q$1006:$U$1006,0))&gt;=100000), " ",IF(INDEX($Q$2:$U$1001,MATCH(ROWS($J$2:J981),$J$2:$J$1001,0),MATCH(COLUMNS($Q$1006:U1006),$Q$1006:$U$1006,0)), HYPERLINK("#",""), HYPERLINK(CONCATENATE("#metadata!", ADDRESS(INDEX($L$2:$L$1001,MATCH(ROWS($J$2:J981),$J$2:$J$1001,0),0), INDEX($Q$1004:$U$1004,1,MATCH(COLUMNS($Q$1006:U1006),$Q$1006:$U$1006,0)))),"Fix")))</f>
        <v xml:space="preserve"> </v>
      </c>
      <c r="J981">
        <v>980</v>
      </c>
      <c r="K981">
        <v>100981</v>
      </c>
      <c r="L981">
        <v>981</v>
      </c>
      <c r="M981" t="b">
        <f t="shared" si="15"/>
        <v>1</v>
      </c>
      <c r="N981" t="b">
        <f>COUNTBLANK(metadata!B981:F981)=COLUMNS(metadata!B981:F981)</f>
        <v>1</v>
      </c>
      <c r="O981" t="str">
        <v/>
      </c>
      <c r="Q981" t="b">
        <f ca="1">AND(IF(metadata!B981="",FALSE,TRUE),COUNTIF(metadata!B:B, metadata!B981) = 1,NOT(ISERROR(SUMPRODUCT(SEARCH(MID(metadata!B981,ROW(INDIRECT("1:"&amp;LEN(metadata!B981))), 1),"0123456789abcdefghijklmnopqrstuvwxyzABCDEFGHIJKLMNOPQRSTUVWXYZ.")))))</f>
        <v>0</v>
      </c>
      <c r="R981" t="b">
        <f>AND(IF(metadata!C981="",FALSE,TRUE),OR(EXACT(metadata!C981,"saline"),EXACT(metadata!C981,"non-saline")))</f>
        <v>0</v>
      </c>
      <c r="S981" t="b">
        <f>AND(IF(metadata!D981="",FALSE,TRUE),OR(EXACT(metadata!D981,"surface (non-saline)"),EXACT(metadata!D981,"aerosol (non-saline)"),EXACT(metadata!D981,"sediment (non-saline)"),EXACT(metadata!D981,"surface (saline)"),EXACT(metadata!D981,"aerosol (saline)"),EXACT(metadata!D981,"sediment (saline)")))</f>
        <v>0</v>
      </c>
      <c r="T981" t="b">
        <f>AND(IF(metadata!E981="",FALSE,TRUE),EXACT(metadata!E981,"built environment"))</f>
        <v>0</v>
      </c>
      <c r="U981" t="b">
        <f>OR(AND(IF(metadata!F981="",FALSE,TRUE),EXACT(metadata!F981,"not applicable")),AND(IF(metadata!F981="",FALSE,TRUE),EXACT(metadata!F981,"anaerobic digester content")))</f>
        <v>0</v>
      </c>
    </row>
    <row r="982" spans="1:21" x14ac:dyDescent="0.2">
      <c r="A982" s="4" t="str">
        <f ca="1">IF(B982=" "," ",HYPERLINK(CONCATENATE("#metadata!",ADDRESS(INDEX($L$2:$L$1001,MATCH(ROWS($J$2:J982),$J$2:$J$1001,0),0),1)),INDEX($O$2:$O$1001,MATCH(ROWS($J$2:J982),$J$2:$J$1001,0),0)))</f>
        <v xml:space="preserve"> </v>
      </c>
      <c r="B982" s="3" t="str">
        <f ca="1">IF(OR(INDEX($K$2:$K$1001,MATCH(ROWS($J$2:J982),$J$2:$J$1001,0),1)&gt;=100000,INDEX($Q$1005:$U$1005,1,MATCH(COLUMNS($Q$1006:Q1006),$Q$1006:$U$1006,0))&gt;=100000), " ",IF(INDEX($Q$2:$U$1001,MATCH(ROWS($J$2:J982),$J$2:$J$1001,0),MATCH(COLUMNS($Q$1006:Q1006),$Q$1006:$U$1006,0)), HYPERLINK("#",""), HYPERLINK(CONCATENATE("#metadata!", ADDRESS(INDEX($L$2:$L$1001,MATCH(ROWS($J$2:J982),$J$2:$J$1001,0),0), INDEX($Q$1004:$U$1004,1,MATCH(COLUMNS($Q$1006:Q1006),$Q$1006:$U$1006,0)))),"Fix")))</f>
        <v xml:space="preserve"> </v>
      </c>
      <c r="C982" s="3" t="str">
        <f ca="1">IF(OR(INDEX($K$2:$K$1001,MATCH(ROWS($J$2:J982),$J$2:$J$1001,0),1)&gt;=100000,INDEX($Q$1005:$U$1005,1,MATCH(COLUMNS($Q$1006:R1006),$Q$1006:$U$1006,0))&gt;=100000), " ",IF(INDEX($Q$2:$U$1001,MATCH(ROWS($J$2:J982),$J$2:$J$1001,0),MATCH(COLUMNS($Q$1006:R1006),$Q$1006:$U$1006,0)), HYPERLINK("#",""), HYPERLINK(CONCATENATE("#metadata!", ADDRESS(INDEX($L$2:$L$1001,MATCH(ROWS($J$2:J982),$J$2:$J$1001,0),0), INDEX($Q$1004:$U$1004,1,MATCH(COLUMNS($Q$1006:R1006),$Q$1006:$U$1006,0)))),"Fix")))</f>
        <v xml:space="preserve"> </v>
      </c>
      <c r="D982" s="3" t="str">
        <f ca="1">IF(OR(INDEX($K$2:$K$1001,MATCH(ROWS($J$2:J982),$J$2:$J$1001,0),1)&gt;=100000,INDEX($Q$1005:$U$1005,1,MATCH(COLUMNS($Q$1006:S1006),$Q$1006:$U$1006,0))&gt;=100000), " ",IF(INDEX($Q$2:$U$1001,MATCH(ROWS($J$2:J982),$J$2:$J$1001,0),MATCH(COLUMNS($Q$1006:S1006),$Q$1006:$U$1006,0)), HYPERLINK("#",""), HYPERLINK(CONCATENATE("#metadata!", ADDRESS(INDEX($L$2:$L$1001,MATCH(ROWS($J$2:J982),$J$2:$J$1001,0),0), INDEX($Q$1004:$U$1004,1,MATCH(COLUMNS($Q$1006:S1006),$Q$1006:$U$1006,0)))),"Fix")))</f>
        <v xml:space="preserve"> </v>
      </c>
      <c r="E982" s="3" t="str">
        <f ca="1">IF(OR(INDEX($K$2:$K$1001,MATCH(ROWS($J$2:J982),$J$2:$J$1001,0),1)&gt;=100000,INDEX($Q$1005:$U$1005,1,MATCH(COLUMNS($Q$1006:T1006),$Q$1006:$U$1006,0))&gt;=100000), " ",IF(INDEX($Q$2:$U$1001,MATCH(ROWS($J$2:J982),$J$2:$J$1001,0),MATCH(COLUMNS($Q$1006:T1006),$Q$1006:$U$1006,0)), HYPERLINK("#",""), HYPERLINK(CONCATENATE("#metadata!", ADDRESS(INDEX($L$2:$L$1001,MATCH(ROWS($J$2:J982),$J$2:$J$1001,0),0), INDEX($Q$1004:$U$1004,1,MATCH(COLUMNS($Q$1006:T1006),$Q$1006:$U$1006,0)))),"Fix")))</f>
        <v xml:space="preserve"> </v>
      </c>
      <c r="F982" s="3" t="str">
        <f ca="1">IF(OR(INDEX($K$2:$K$1001,MATCH(ROWS($J$2:J982),$J$2:$J$1001,0),1)&gt;=100000,INDEX($Q$1005:$U$1005,1,MATCH(COLUMNS($Q$1006:U1006),$Q$1006:$U$1006,0))&gt;=100000), " ",IF(INDEX($Q$2:$U$1001,MATCH(ROWS($J$2:J982),$J$2:$J$1001,0),MATCH(COLUMNS($Q$1006:U1006),$Q$1006:$U$1006,0)), HYPERLINK("#",""), HYPERLINK(CONCATENATE("#metadata!", ADDRESS(INDEX($L$2:$L$1001,MATCH(ROWS($J$2:J982),$J$2:$J$1001,0),0), INDEX($Q$1004:$U$1004,1,MATCH(COLUMNS($Q$1006:U1006),$Q$1006:$U$1006,0)))),"Fix")))</f>
        <v xml:space="preserve"> </v>
      </c>
      <c r="J982">
        <v>981</v>
      </c>
      <c r="K982">
        <v>100982</v>
      </c>
      <c r="L982">
        <v>982</v>
      </c>
      <c r="M982" t="b">
        <f t="shared" si="15"/>
        <v>1</v>
      </c>
      <c r="N982" t="b">
        <f>COUNTBLANK(metadata!B982:F982)=COLUMNS(metadata!B982:F982)</f>
        <v>1</v>
      </c>
      <c r="O982" t="str">
        <v/>
      </c>
      <c r="Q982" t="b">
        <f ca="1">AND(IF(metadata!B982="",FALSE,TRUE),COUNTIF(metadata!B:B, metadata!B982) = 1,NOT(ISERROR(SUMPRODUCT(SEARCH(MID(metadata!B982,ROW(INDIRECT("1:"&amp;LEN(metadata!B982))), 1),"0123456789abcdefghijklmnopqrstuvwxyzABCDEFGHIJKLMNOPQRSTUVWXYZ.")))))</f>
        <v>0</v>
      </c>
      <c r="R982" t="b">
        <f>AND(IF(metadata!C982="",FALSE,TRUE),OR(EXACT(metadata!C982,"saline"),EXACT(metadata!C982,"non-saline")))</f>
        <v>0</v>
      </c>
      <c r="S982" t="b">
        <f>AND(IF(metadata!D982="",FALSE,TRUE),OR(EXACT(metadata!D982,"surface (non-saline)"),EXACT(metadata!D982,"aerosol (non-saline)"),EXACT(metadata!D982,"sediment (non-saline)"),EXACT(metadata!D982,"surface (saline)"),EXACT(metadata!D982,"aerosol (saline)"),EXACT(metadata!D982,"sediment (saline)")))</f>
        <v>0</v>
      </c>
      <c r="T982" t="b">
        <f>AND(IF(metadata!E982="",FALSE,TRUE),EXACT(metadata!E982,"built environment"))</f>
        <v>0</v>
      </c>
      <c r="U982" t="b">
        <f>OR(AND(IF(metadata!F982="",FALSE,TRUE),EXACT(metadata!F982,"not applicable")),AND(IF(metadata!F982="",FALSE,TRUE),EXACT(metadata!F982,"anaerobic digester content")))</f>
        <v>0</v>
      </c>
    </row>
    <row r="983" spans="1:21" x14ac:dyDescent="0.2">
      <c r="A983" s="4" t="str">
        <f ca="1">IF(B983=" "," ",HYPERLINK(CONCATENATE("#metadata!",ADDRESS(INDEX($L$2:$L$1001,MATCH(ROWS($J$2:J983),$J$2:$J$1001,0),0),1)),INDEX($O$2:$O$1001,MATCH(ROWS($J$2:J983),$J$2:$J$1001,0),0)))</f>
        <v xml:space="preserve"> </v>
      </c>
      <c r="B983" s="3" t="str">
        <f ca="1">IF(OR(INDEX($K$2:$K$1001,MATCH(ROWS($J$2:J983),$J$2:$J$1001,0),1)&gt;=100000,INDEX($Q$1005:$U$1005,1,MATCH(COLUMNS($Q$1006:Q1006),$Q$1006:$U$1006,0))&gt;=100000), " ",IF(INDEX($Q$2:$U$1001,MATCH(ROWS($J$2:J983),$J$2:$J$1001,0),MATCH(COLUMNS($Q$1006:Q1006),$Q$1006:$U$1006,0)), HYPERLINK("#",""), HYPERLINK(CONCATENATE("#metadata!", ADDRESS(INDEX($L$2:$L$1001,MATCH(ROWS($J$2:J983),$J$2:$J$1001,0),0), INDEX($Q$1004:$U$1004,1,MATCH(COLUMNS($Q$1006:Q1006),$Q$1006:$U$1006,0)))),"Fix")))</f>
        <v xml:space="preserve"> </v>
      </c>
      <c r="C983" s="3" t="str">
        <f ca="1">IF(OR(INDEX($K$2:$K$1001,MATCH(ROWS($J$2:J983),$J$2:$J$1001,0),1)&gt;=100000,INDEX($Q$1005:$U$1005,1,MATCH(COLUMNS($Q$1006:R1006),$Q$1006:$U$1006,0))&gt;=100000), " ",IF(INDEX($Q$2:$U$1001,MATCH(ROWS($J$2:J983),$J$2:$J$1001,0),MATCH(COLUMNS($Q$1006:R1006),$Q$1006:$U$1006,0)), HYPERLINK("#",""), HYPERLINK(CONCATENATE("#metadata!", ADDRESS(INDEX($L$2:$L$1001,MATCH(ROWS($J$2:J983),$J$2:$J$1001,0),0), INDEX($Q$1004:$U$1004,1,MATCH(COLUMNS($Q$1006:R1006),$Q$1006:$U$1006,0)))),"Fix")))</f>
        <v xml:space="preserve"> </v>
      </c>
      <c r="D983" s="3" t="str">
        <f ca="1">IF(OR(INDEX($K$2:$K$1001,MATCH(ROWS($J$2:J983),$J$2:$J$1001,0),1)&gt;=100000,INDEX($Q$1005:$U$1005,1,MATCH(COLUMNS($Q$1006:S1006),$Q$1006:$U$1006,0))&gt;=100000), " ",IF(INDEX($Q$2:$U$1001,MATCH(ROWS($J$2:J983),$J$2:$J$1001,0),MATCH(COLUMNS($Q$1006:S1006),$Q$1006:$U$1006,0)), HYPERLINK("#",""), HYPERLINK(CONCATENATE("#metadata!", ADDRESS(INDEX($L$2:$L$1001,MATCH(ROWS($J$2:J983),$J$2:$J$1001,0),0), INDEX($Q$1004:$U$1004,1,MATCH(COLUMNS($Q$1006:S1006),$Q$1006:$U$1006,0)))),"Fix")))</f>
        <v xml:space="preserve"> </v>
      </c>
      <c r="E983" s="3" t="str">
        <f ca="1">IF(OR(INDEX($K$2:$K$1001,MATCH(ROWS($J$2:J983),$J$2:$J$1001,0),1)&gt;=100000,INDEX($Q$1005:$U$1005,1,MATCH(COLUMNS($Q$1006:T1006),$Q$1006:$U$1006,0))&gt;=100000), " ",IF(INDEX($Q$2:$U$1001,MATCH(ROWS($J$2:J983),$J$2:$J$1001,0),MATCH(COLUMNS($Q$1006:T1006),$Q$1006:$U$1006,0)), HYPERLINK("#",""), HYPERLINK(CONCATENATE("#metadata!", ADDRESS(INDEX($L$2:$L$1001,MATCH(ROWS($J$2:J983),$J$2:$J$1001,0),0), INDEX($Q$1004:$U$1004,1,MATCH(COLUMNS($Q$1006:T1006),$Q$1006:$U$1006,0)))),"Fix")))</f>
        <v xml:space="preserve"> </v>
      </c>
      <c r="F983" s="3" t="str">
        <f ca="1">IF(OR(INDEX($K$2:$K$1001,MATCH(ROWS($J$2:J983),$J$2:$J$1001,0),1)&gt;=100000,INDEX($Q$1005:$U$1005,1,MATCH(COLUMNS($Q$1006:U1006),$Q$1006:$U$1006,0))&gt;=100000), " ",IF(INDEX($Q$2:$U$1001,MATCH(ROWS($J$2:J983),$J$2:$J$1001,0),MATCH(COLUMNS($Q$1006:U1006),$Q$1006:$U$1006,0)), HYPERLINK("#",""), HYPERLINK(CONCATENATE("#metadata!", ADDRESS(INDEX($L$2:$L$1001,MATCH(ROWS($J$2:J983),$J$2:$J$1001,0),0), INDEX($Q$1004:$U$1004,1,MATCH(COLUMNS($Q$1006:U1006),$Q$1006:$U$1006,0)))),"Fix")))</f>
        <v xml:space="preserve"> </v>
      </c>
      <c r="J983">
        <v>982</v>
      </c>
      <c r="K983">
        <v>100983</v>
      </c>
      <c r="L983">
        <v>983</v>
      </c>
      <c r="M983" t="b">
        <f t="shared" si="15"/>
        <v>1</v>
      </c>
      <c r="N983" t="b">
        <f>COUNTBLANK(metadata!B983:F983)=COLUMNS(metadata!B983:F983)</f>
        <v>1</v>
      </c>
      <c r="O983" t="str">
        <v/>
      </c>
      <c r="Q983" t="b">
        <f ca="1">AND(IF(metadata!B983="",FALSE,TRUE),COUNTIF(metadata!B:B, metadata!B983) = 1,NOT(ISERROR(SUMPRODUCT(SEARCH(MID(metadata!B983,ROW(INDIRECT("1:"&amp;LEN(metadata!B983))), 1),"0123456789abcdefghijklmnopqrstuvwxyzABCDEFGHIJKLMNOPQRSTUVWXYZ.")))))</f>
        <v>0</v>
      </c>
      <c r="R983" t="b">
        <f>AND(IF(metadata!C983="",FALSE,TRUE),OR(EXACT(metadata!C983,"saline"),EXACT(metadata!C983,"non-saline")))</f>
        <v>0</v>
      </c>
      <c r="S983" t="b">
        <f>AND(IF(metadata!D983="",FALSE,TRUE),OR(EXACT(metadata!D983,"surface (non-saline)"),EXACT(metadata!D983,"aerosol (non-saline)"),EXACT(metadata!D983,"sediment (non-saline)"),EXACT(metadata!D983,"surface (saline)"),EXACT(metadata!D983,"aerosol (saline)"),EXACT(metadata!D983,"sediment (saline)")))</f>
        <v>0</v>
      </c>
      <c r="T983" t="b">
        <f>AND(IF(metadata!E983="",FALSE,TRUE),EXACT(metadata!E983,"built environment"))</f>
        <v>0</v>
      </c>
      <c r="U983" t="b">
        <f>OR(AND(IF(metadata!F983="",FALSE,TRUE),EXACT(metadata!F983,"not applicable")),AND(IF(metadata!F983="",FALSE,TRUE),EXACT(metadata!F983,"anaerobic digester content")))</f>
        <v>0</v>
      </c>
    </row>
    <row r="984" spans="1:21" x14ac:dyDescent="0.2">
      <c r="A984" s="4" t="str">
        <f ca="1">IF(B984=" "," ",HYPERLINK(CONCATENATE("#metadata!",ADDRESS(INDEX($L$2:$L$1001,MATCH(ROWS($J$2:J984),$J$2:$J$1001,0),0),1)),INDEX($O$2:$O$1001,MATCH(ROWS($J$2:J984),$J$2:$J$1001,0),0)))</f>
        <v xml:space="preserve"> </v>
      </c>
      <c r="B984" s="3" t="str">
        <f ca="1">IF(OR(INDEX($K$2:$K$1001,MATCH(ROWS($J$2:J984),$J$2:$J$1001,0),1)&gt;=100000,INDEX($Q$1005:$U$1005,1,MATCH(COLUMNS($Q$1006:Q1006),$Q$1006:$U$1006,0))&gt;=100000), " ",IF(INDEX($Q$2:$U$1001,MATCH(ROWS($J$2:J984),$J$2:$J$1001,0),MATCH(COLUMNS($Q$1006:Q1006),$Q$1006:$U$1006,0)), HYPERLINK("#",""), HYPERLINK(CONCATENATE("#metadata!", ADDRESS(INDEX($L$2:$L$1001,MATCH(ROWS($J$2:J984),$J$2:$J$1001,0),0), INDEX($Q$1004:$U$1004,1,MATCH(COLUMNS($Q$1006:Q1006),$Q$1006:$U$1006,0)))),"Fix")))</f>
        <v xml:space="preserve"> </v>
      </c>
      <c r="C984" s="3" t="str">
        <f ca="1">IF(OR(INDEX($K$2:$K$1001,MATCH(ROWS($J$2:J984),$J$2:$J$1001,0),1)&gt;=100000,INDEX($Q$1005:$U$1005,1,MATCH(COLUMNS($Q$1006:R1006),$Q$1006:$U$1006,0))&gt;=100000), " ",IF(INDEX($Q$2:$U$1001,MATCH(ROWS($J$2:J984),$J$2:$J$1001,0),MATCH(COLUMNS($Q$1006:R1006),$Q$1006:$U$1006,0)), HYPERLINK("#",""), HYPERLINK(CONCATENATE("#metadata!", ADDRESS(INDEX($L$2:$L$1001,MATCH(ROWS($J$2:J984),$J$2:$J$1001,0),0), INDEX($Q$1004:$U$1004,1,MATCH(COLUMNS($Q$1006:R1006),$Q$1006:$U$1006,0)))),"Fix")))</f>
        <v xml:space="preserve"> </v>
      </c>
      <c r="D984" s="3" t="str">
        <f ca="1">IF(OR(INDEX($K$2:$K$1001,MATCH(ROWS($J$2:J984),$J$2:$J$1001,0),1)&gt;=100000,INDEX($Q$1005:$U$1005,1,MATCH(COLUMNS($Q$1006:S1006),$Q$1006:$U$1006,0))&gt;=100000), " ",IF(INDEX($Q$2:$U$1001,MATCH(ROWS($J$2:J984),$J$2:$J$1001,0),MATCH(COLUMNS($Q$1006:S1006),$Q$1006:$U$1006,0)), HYPERLINK("#",""), HYPERLINK(CONCATENATE("#metadata!", ADDRESS(INDEX($L$2:$L$1001,MATCH(ROWS($J$2:J984),$J$2:$J$1001,0),0), INDEX($Q$1004:$U$1004,1,MATCH(COLUMNS($Q$1006:S1006),$Q$1006:$U$1006,0)))),"Fix")))</f>
        <v xml:space="preserve"> </v>
      </c>
      <c r="E984" s="3" t="str">
        <f ca="1">IF(OR(INDEX($K$2:$K$1001,MATCH(ROWS($J$2:J984),$J$2:$J$1001,0),1)&gt;=100000,INDEX($Q$1005:$U$1005,1,MATCH(COLUMNS($Q$1006:T1006),$Q$1006:$U$1006,0))&gt;=100000), " ",IF(INDEX($Q$2:$U$1001,MATCH(ROWS($J$2:J984),$J$2:$J$1001,0),MATCH(COLUMNS($Q$1006:T1006),$Q$1006:$U$1006,0)), HYPERLINK("#",""), HYPERLINK(CONCATENATE("#metadata!", ADDRESS(INDEX($L$2:$L$1001,MATCH(ROWS($J$2:J984),$J$2:$J$1001,0),0), INDEX($Q$1004:$U$1004,1,MATCH(COLUMNS($Q$1006:T1006),$Q$1006:$U$1006,0)))),"Fix")))</f>
        <v xml:space="preserve"> </v>
      </c>
      <c r="F984" s="3" t="str">
        <f ca="1">IF(OR(INDEX($K$2:$K$1001,MATCH(ROWS($J$2:J984),$J$2:$J$1001,0),1)&gt;=100000,INDEX($Q$1005:$U$1005,1,MATCH(COLUMNS($Q$1006:U1006),$Q$1006:$U$1006,0))&gt;=100000), " ",IF(INDEX($Q$2:$U$1001,MATCH(ROWS($J$2:J984),$J$2:$J$1001,0),MATCH(COLUMNS($Q$1006:U1006),$Q$1006:$U$1006,0)), HYPERLINK("#",""), HYPERLINK(CONCATENATE("#metadata!", ADDRESS(INDEX($L$2:$L$1001,MATCH(ROWS($J$2:J984),$J$2:$J$1001,0),0), INDEX($Q$1004:$U$1004,1,MATCH(COLUMNS($Q$1006:U1006),$Q$1006:$U$1006,0)))),"Fix")))</f>
        <v xml:space="preserve"> </v>
      </c>
      <c r="J984">
        <v>983</v>
      </c>
      <c r="K984">
        <v>100984</v>
      </c>
      <c r="L984">
        <v>984</v>
      </c>
      <c r="M984" t="b">
        <f t="shared" si="15"/>
        <v>1</v>
      </c>
      <c r="N984" t="b">
        <f>COUNTBLANK(metadata!B984:F984)=COLUMNS(metadata!B984:F984)</f>
        <v>1</v>
      </c>
      <c r="O984" t="str">
        <v/>
      </c>
      <c r="Q984" t="b">
        <f ca="1">AND(IF(metadata!B984="",FALSE,TRUE),COUNTIF(metadata!B:B, metadata!B984) = 1,NOT(ISERROR(SUMPRODUCT(SEARCH(MID(metadata!B984,ROW(INDIRECT("1:"&amp;LEN(metadata!B984))), 1),"0123456789abcdefghijklmnopqrstuvwxyzABCDEFGHIJKLMNOPQRSTUVWXYZ.")))))</f>
        <v>0</v>
      </c>
      <c r="R984" t="b">
        <f>AND(IF(metadata!C984="",FALSE,TRUE),OR(EXACT(metadata!C984,"saline"),EXACT(metadata!C984,"non-saline")))</f>
        <v>0</v>
      </c>
      <c r="S984" t="b">
        <f>AND(IF(metadata!D984="",FALSE,TRUE),OR(EXACT(metadata!D984,"surface (non-saline)"),EXACT(metadata!D984,"aerosol (non-saline)"),EXACT(metadata!D984,"sediment (non-saline)"),EXACT(metadata!D984,"surface (saline)"),EXACT(metadata!D984,"aerosol (saline)"),EXACT(metadata!D984,"sediment (saline)")))</f>
        <v>0</v>
      </c>
      <c r="T984" t="b">
        <f>AND(IF(metadata!E984="",FALSE,TRUE),EXACT(metadata!E984,"built environment"))</f>
        <v>0</v>
      </c>
      <c r="U984" t="b">
        <f>OR(AND(IF(metadata!F984="",FALSE,TRUE),EXACT(metadata!F984,"not applicable")),AND(IF(metadata!F984="",FALSE,TRUE),EXACT(metadata!F984,"anaerobic digester content")))</f>
        <v>0</v>
      </c>
    </row>
    <row r="985" spans="1:21" x14ac:dyDescent="0.2">
      <c r="A985" s="4" t="str">
        <f ca="1">IF(B985=" "," ",HYPERLINK(CONCATENATE("#metadata!",ADDRESS(INDEX($L$2:$L$1001,MATCH(ROWS($J$2:J985),$J$2:$J$1001,0),0),1)),INDEX($O$2:$O$1001,MATCH(ROWS($J$2:J985),$J$2:$J$1001,0),0)))</f>
        <v xml:space="preserve"> </v>
      </c>
      <c r="B985" s="3" t="str">
        <f ca="1">IF(OR(INDEX($K$2:$K$1001,MATCH(ROWS($J$2:J985),$J$2:$J$1001,0),1)&gt;=100000,INDEX($Q$1005:$U$1005,1,MATCH(COLUMNS($Q$1006:Q1006),$Q$1006:$U$1006,0))&gt;=100000), " ",IF(INDEX($Q$2:$U$1001,MATCH(ROWS($J$2:J985),$J$2:$J$1001,0),MATCH(COLUMNS($Q$1006:Q1006),$Q$1006:$U$1006,0)), HYPERLINK("#",""), HYPERLINK(CONCATENATE("#metadata!", ADDRESS(INDEX($L$2:$L$1001,MATCH(ROWS($J$2:J985),$J$2:$J$1001,0),0), INDEX($Q$1004:$U$1004,1,MATCH(COLUMNS($Q$1006:Q1006),$Q$1006:$U$1006,0)))),"Fix")))</f>
        <v xml:space="preserve"> </v>
      </c>
      <c r="C985" s="3" t="str">
        <f ca="1">IF(OR(INDEX($K$2:$K$1001,MATCH(ROWS($J$2:J985),$J$2:$J$1001,0),1)&gt;=100000,INDEX($Q$1005:$U$1005,1,MATCH(COLUMNS($Q$1006:R1006),$Q$1006:$U$1006,0))&gt;=100000), " ",IF(INDEX($Q$2:$U$1001,MATCH(ROWS($J$2:J985),$J$2:$J$1001,0),MATCH(COLUMNS($Q$1006:R1006),$Q$1006:$U$1006,0)), HYPERLINK("#",""), HYPERLINK(CONCATENATE("#metadata!", ADDRESS(INDEX($L$2:$L$1001,MATCH(ROWS($J$2:J985),$J$2:$J$1001,0),0), INDEX($Q$1004:$U$1004,1,MATCH(COLUMNS($Q$1006:R1006),$Q$1006:$U$1006,0)))),"Fix")))</f>
        <v xml:space="preserve"> </v>
      </c>
      <c r="D985" s="3" t="str">
        <f ca="1">IF(OR(INDEX($K$2:$K$1001,MATCH(ROWS($J$2:J985),$J$2:$J$1001,0),1)&gt;=100000,INDEX($Q$1005:$U$1005,1,MATCH(COLUMNS($Q$1006:S1006),$Q$1006:$U$1006,0))&gt;=100000), " ",IF(INDEX($Q$2:$U$1001,MATCH(ROWS($J$2:J985),$J$2:$J$1001,0),MATCH(COLUMNS($Q$1006:S1006),$Q$1006:$U$1006,0)), HYPERLINK("#",""), HYPERLINK(CONCATENATE("#metadata!", ADDRESS(INDEX($L$2:$L$1001,MATCH(ROWS($J$2:J985),$J$2:$J$1001,0),0), INDEX($Q$1004:$U$1004,1,MATCH(COLUMNS($Q$1006:S1006),$Q$1006:$U$1006,0)))),"Fix")))</f>
        <v xml:space="preserve"> </v>
      </c>
      <c r="E985" s="3" t="str">
        <f ca="1">IF(OR(INDEX($K$2:$K$1001,MATCH(ROWS($J$2:J985),$J$2:$J$1001,0),1)&gt;=100000,INDEX($Q$1005:$U$1005,1,MATCH(COLUMNS($Q$1006:T1006),$Q$1006:$U$1006,0))&gt;=100000), " ",IF(INDEX($Q$2:$U$1001,MATCH(ROWS($J$2:J985),$J$2:$J$1001,0),MATCH(COLUMNS($Q$1006:T1006),$Q$1006:$U$1006,0)), HYPERLINK("#",""), HYPERLINK(CONCATENATE("#metadata!", ADDRESS(INDEX($L$2:$L$1001,MATCH(ROWS($J$2:J985),$J$2:$J$1001,0),0), INDEX($Q$1004:$U$1004,1,MATCH(COLUMNS($Q$1006:T1006),$Q$1006:$U$1006,0)))),"Fix")))</f>
        <v xml:space="preserve"> </v>
      </c>
      <c r="F985" s="3" t="str">
        <f ca="1">IF(OR(INDEX($K$2:$K$1001,MATCH(ROWS($J$2:J985),$J$2:$J$1001,0),1)&gt;=100000,INDEX($Q$1005:$U$1005,1,MATCH(COLUMNS($Q$1006:U1006),$Q$1006:$U$1006,0))&gt;=100000), " ",IF(INDEX($Q$2:$U$1001,MATCH(ROWS($J$2:J985),$J$2:$J$1001,0),MATCH(COLUMNS($Q$1006:U1006),$Q$1006:$U$1006,0)), HYPERLINK("#",""), HYPERLINK(CONCATENATE("#metadata!", ADDRESS(INDEX($L$2:$L$1001,MATCH(ROWS($J$2:J985),$J$2:$J$1001,0),0), INDEX($Q$1004:$U$1004,1,MATCH(COLUMNS($Q$1006:U1006),$Q$1006:$U$1006,0)))),"Fix")))</f>
        <v xml:space="preserve"> </v>
      </c>
      <c r="J985">
        <v>984</v>
      </c>
      <c r="K985">
        <v>100985</v>
      </c>
      <c r="L985">
        <v>985</v>
      </c>
      <c r="M985" t="b">
        <f t="shared" si="15"/>
        <v>1</v>
      </c>
      <c r="N985" t="b">
        <f>COUNTBLANK(metadata!B985:F985)=COLUMNS(metadata!B985:F985)</f>
        <v>1</v>
      </c>
      <c r="O985" t="str">
        <v/>
      </c>
      <c r="Q985" t="b">
        <f ca="1">AND(IF(metadata!B985="",FALSE,TRUE),COUNTIF(metadata!B:B, metadata!B985) = 1,NOT(ISERROR(SUMPRODUCT(SEARCH(MID(metadata!B985,ROW(INDIRECT("1:"&amp;LEN(metadata!B985))), 1),"0123456789abcdefghijklmnopqrstuvwxyzABCDEFGHIJKLMNOPQRSTUVWXYZ.")))))</f>
        <v>0</v>
      </c>
      <c r="R985" t="b">
        <f>AND(IF(metadata!C985="",FALSE,TRUE),OR(EXACT(metadata!C985,"saline"),EXACT(metadata!C985,"non-saline")))</f>
        <v>0</v>
      </c>
      <c r="S985" t="b">
        <f>AND(IF(metadata!D985="",FALSE,TRUE),OR(EXACT(metadata!D985,"surface (non-saline)"),EXACT(metadata!D985,"aerosol (non-saline)"),EXACT(metadata!D985,"sediment (non-saline)"),EXACT(metadata!D985,"surface (saline)"),EXACT(metadata!D985,"aerosol (saline)"),EXACT(metadata!D985,"sediment (saline)")))</f>
        <v>0</v>
      </c>
      <c r="T985" t="b">
        <f>AND(IF(metadata!E985="",FALSE,TRUE),EXACT(metadata!E985,"built environment"))</f>
        <v>0</v>
      </c>
      <c r="U985" t="b">
        <f>OR(AND(IF(metadata!F985="",FALSE,TRUE),EXACT(metadata!F985,"not applicable")),AND(IF(metadata!F985="",FALSE,TRUE),EXACT(metadata!F985,"anaerobic digester content")))</f>
        <v>0</v>
      </c>
    </row>
    <row r="986" spans="1:21" x14ac:dyDescent="0.2">
      <c r="A986" s="4" t="str">
        <f ca="1">IF(B986=" "," ",HYPERLINK(CONCATENATE("#metadata!",ADDRESS(INDEX($L$2:$L$1001,MATCH(ROWS($J$2:J986),$J$2:$J$1001,0),0),1)),INDEX($O$2:$O$1001,MATCH(ROWS($J$2:J986),$J$2:$J$1001,0),0)))</f>
        <v xml:space="preserve"> </v>
      </c>
      <c r="B986" s="3" t="str">
        <f ca="1">IF(OR(INDEX($K$2:$K$1001,MATCH(ROWS($J$2:J986),$J$2:$J$1001,0),1)&gt;=100000,INDEX($Q$1005:$U$1005,1,MATCH(COLUMNS($Q$1006:Q1006),$Q$1006:$U$1006,0))&gt;=100000), " ",IF(INDEX($Q$2:$U$1001,MATCH(ROWS($J$2:J986),$J$2:$J$1001,0),MATCH(COLUMNS($Q$1006:Q1006),$Q$1006:$U$1006,0)), HYPERLINK("#",""), HYPERLINK(CONCATENATE("#metadata!", ADDRESS(INDEX($L$2:$L$1001,MATCH(ROWS($J$2:J986),$J$2:$J$1001,0),0), INDEX($Q$1004:$U$1004,1,MATCH(COLUMNS($Q$1006:Q1006),$Q$1006:$U$1006,0)))),"Fix")))</f>
        <v xml:space="preserve"> </v>
      </c>
      <c r="C986" s="3" t="str">
        <f ca="1">IF(OR(INDEX($K$2:$K$1001,MATCH(ROWS($J$2:J986),$J$2:$J$1001,0),1)&gt;=100000,INDEX($Q$1005:$U$1005,1,MATCH(COLUMNS($Q$1006:R1006),$Q$1006:$U$1006,0))&gt;=100000), " ",IF(INDEX($Q$2:$U$1001,MATCH(ROWS($J$2:J986),$J$2:$J$1001,0),MATCH(COLUMNS($Q$1006:R1006),$Q$1006:$U$1006,0)), HYPERLINK("#",""), HYPERLINK(CONCATENATE("#metadata!", ADDRESS(INDEX($L$2:$L$1001,MATCH(ROWS($J$2:J986),$J$2:$J$1001,0),0), INDEX($Q$1004:$U$1004,1,MATCH(COLUMNS($Q$1006:R1006),$Q$1006:$U$1006,0)))),"Fix")))</f>
        <v xml:space="preserve"> </v>
      </c>
      <c r="D986" s="3" t="str">
        <f ca="1">IF(OR(INDEX($K$2:$K$1001,MATCH(ROWS($J$2:J986),$J$2:$J$1001,0),1)&gt;=100000,INDEX($Q$1005:$U$1005,1,MATCH(COLUMNS($Q$1006:S1006),$Q$1006:$U$1006,0))&gt;=100000), " ",IF(INDEX($Q$2:$U$1001,MATCH(ROWS($J$2:J986),$J$2:$J$1001,0),MATCH(COLUMNS($Q$1006:S1006),$Q$1006:$U$1006,0)), HYPERLINK("#",""), HYPERLINK(CONCATENATE("#metadata!", ADDRESS(INDEX($L$2:$L$1001,MATCH(ROWS($J$2:J986),$J$2:$J$1001,0),0), INDEX($Q$1004:$U$1004,1,MATCH(COLUMNS($Q$1006:S1006),$Q$1006:$U$1006,0)))),"Fix")))</f>
        <v xml:space="preserve"> </v>
      </c>
      <c r="E986" s="3" t="str">
        <f ca="1">IF(OR(INDEX($K$2:$K$1001,MATCH(ROWS($J$2:J986),$J$2:$J$1001,0),1)&gt;=100000,INDEX($Q$1005:$U$1005,1,MATCH(COLUMNS($Q$1006:T1006),$Q$1006:$U$1006,0))&gt;=100000), " ",IF(INDEX($Q$2:$U$1001,MATCH(ROWS($J$2:J986),$J$2:$J$1001,0),MATCH(COLUMNS($Q$1006:T1006),$Q$1006:$U$1006,0)), HYPERLINK("#",""), HYPERLINK(CONCATENATE("#metadata!", ADDRESS(INDEX($L$2:$L$1001,MATCH(ROWS($J$2:J986),$J$2:$J$1001,0),0), INDEX($Q$1004:$U$1004,1,MATCH(COLUMNS($Q$1006:T1006),$Q$1006:$U$1006,0)))),"Fix")))</f>
        <v xml:space="preserve"> </v>
      </c>
      <c r="F986" s="3" t="str">
        <f ca="1">IF(OR(INDEX($K$2:$K$1001,MATCH(ROWS($J$2:J986),$J$2:$J$1001,0),1)&gt;=100000,INDEX($Q$1005:$U$1005,1,MATCH(COLUMNS($Q$1006:U1006),$Q$1006:$U$1006,0))&gt;=100000), " ",IF(INDEX($Q$2:$U$1001,MATCH(ROWS($J$2:J986),$J$2:$J$1001,0),MATCH(COLUMNS($Q$1006:U1006),$Q$1006:$U$1006,0)), HYPERLINK("#",""), HYPERLINK(CONCATENATE("#metadata!", ADDRESS(INDEX($L$2:$L$1001,MATCH(ROWS($J$2:J986),$J$2:$J$1001,0),0), INDEX($Q$1004:$U$1004,1,MATCH(COLUMNS($Q$1006:U1006),$Q$1006:$U$1006,0)))),"Fix")))</f>
        <v xml:space="preserve"> </v>
      </c>
      <c r="J986">
        <v>985</v>
      </c>
      <c r="K986">
        <v>100986</v>
      </c>
      <c r="L986">
        <v>986</v>
      </c>
      <c r="M986" t="b">
        <f t="shared" si="15"/>
        <v>1</v>
      </c>
      <c r="N986" t="b">
        <f>COUNTBLANK(metadata!B986:F986)=COLUMNS(metadata!B986:F986)</f>
        <v>1</v>
      </c>
      <c r="O986" t="str">
        <v/>
      </c>
      <c r="Q986" t="b">
        <f ca="1">AND(IF(metadata!B986="",FALSE,TRUE),COUNTIF(metadata!B:B, metadata!B986) = 1,NOT(ISERROR(SUMPRODUCT(SEARCH(MID(metadata!B986,ROW(INDIRECT("1:"&amp;LEN(metadata!B986))), 1),"0123456789abcdefghijklmnopqrstuvwxyzABCDEFGHIJKLMNOPQRSTUVWXYZ.")))))</f>
        <v>0</v>
      </c>
      <c r="R986" t="b">
        <f>AND(IF(metadata!C986="",FALSE,TRUE),OR(EXACT(metadata!C986,"saline"),EXACT(metadata!C986,"non-saline")))</f>
        <v>0</v>
      </c>
      <c r="S986" t="b">
        <f>AND(IF(metadata!D986="",FALSE,TRUE),OR(EXACT(metadata!D986,"surface (non-saline)"),EXACT(metadata!D986,"aerosol (non-saline)"),EXACT(metadata!D986,"sediment (non-saline)"),EXACT(metadata!D986,"surface (saline)"),EXACT(metadata!D986,"aerosol (saline)"),EXACT(metadata!D986,"sediment (saline)")))</f>
        <v>0</v>
      </c>
      <c r="T986" t="b">
        <f>AND(IF(metadata!E986="",FALSE,TRUE),EXACT(metadata!E986,"built environment"))</f>
        <v>0</v>
      </c>
      <c r="U986" t="b">
        <f>OR(AND(IF(metadata!F986="",FALSE,TRUE),EXACT(metadata!F986,"not applicable")),AND(IF(metadata!F986="",FALSE,TRUE),EXACT(metadata!F986,"anaerobic digester content")))</f>
        <v>0</v>
      </c>
    </row>
    <row r="987" spans="1:21" x14ac:dyDescent="0.2">
      <c r="A987" s="4" t="str">
        <f ca="1">IF(B987=" "," ",HYPERLINK(CONCATENATE("#metadata!",ADDRESS(INDEX($L$2:$L$1001,MATCH(ROWS($J$2:J987),$J$2:$J$1001,0),0),1)),INDEX($O$2:$O$1001,MATCH(ROWS($J$2:J987),$J$2:$J$1001,0),0)))</f>
        <v xml:space="preserve"> </v>
      </c>
      <c r="B987" s="3" t="str">
        <f ca="1">IF(OR(INDEX($K$2:$K$1001,MATCH(ROWS($J$2:J987),$J$2:$J$1001,0),1)&gt;=100000,INDEX($Q$1005:$U$1005,1,MATCH(COLUMNS($Q$1006:Q1006),$Q$1006:$U$1006,0))&gt;=100000), " ",IF(INDEX($Q$2:$U$1001,MATCH(ROWS($J$2:J987),$J$2:$J$1001,0),MATCH(COLUMNS($Q$1006:Q1006),$Q$1006:$U$1006,0)), HYPERLINK("#",""), HYPERLINK(CONCATENATE("#metadata!", ADDRESS(INDEX($L$2:$L$1001,MATCH(ROWS($J$2:J987),$J$2:$J$1001,0),0), INDEX($Q$1004:$U$1004,1,MATCH(COLUMNS($Q$1006:Q1006),$Q$1006:$U$1006,0)))),"Fix")))</f>
        <v xml:space="preserve"> </v>
      </c>
      <c r="C987" s="3" t="str">
        <f ca="1">IF(OR(INDEX($K$2:$K$1001,MATCH(ROWS($J$2:J987),$J$2:$J$1001,0),1)&gt;=100000,INDEX($Q$1005:$U$1005,1,MATCH(COLUMNS($Q$1006:R1006),$Q$1006:$U$1006,0))&gt;=100000), " ",IF(INDEX($Q$2:$U$1001,MATCH(ROWS($J$2:J987),$J$2:$J$1001,0),MATCH(COLUMNS($Q$1006:R1006),$Q$1006:$U$1006,0)), HYPERLINK("#",""), HYPERLINK(CONCATENATE("#metadata!", ADDRESS(INDEX($L$2:$L$1001,MATCH(ROWS($J$2:J987),$J$2:$J$1001,0),0), INDEX($Q$1004:$U$1004,1,MATCH(COLUMNS($Q$1006:R1006),$Q$1006:$U$1006,0)))),"Fix")))</f>
        <v xml:space="preserve"> </v>
      </c>
      <c r="D987" s="3" t="str">
        <f ca="1">IF(OR(INDEX($K$2:$K$1001,MATCH(ROWS($J$2:J987),$J$2:$J$1001,0),1)&gt;=100000,INDEX($Q$1005:$U$1005,1,MATCH(COLUMNS($Q$1006:S1006),$Q$1006:$U$1006,0))&gt;=100000), " ",IF(INDEX($Q$2:$U$1001,MATCH(ROWS($J$2:J987),$J$2:$J$1001,0),MATCH(COLUMNS($Q$1006:S1006),$Q$1006:$U$1006,0)), HYPERLINK("#",""), HYPERLINK(CONCATENATE("#metadata!", ADDRESS(INDEX($L$2:$L$1001,MATCH(ROWS($J$2:J987),$J$2:$J$1001,0),0), INDEX($Q$1004:$U$1004,1,MATCH(COLUMNS($Q$1006:S1006),$Q$1006:$U$1006,0)))),"Fix")))</f>
        <v xml:space="preserve"> </v>
      </c>
      <c r="E987" s="3" t="str">
        <f ca="1">IF(OR(INDEX($K$2:$K$1001,MATCH(ROWS($J$2:J987),$J$2:$J$1001,0),1)&gt;=100000,INDEX($Q$1005:$U$1005,1,MATCH(COLUMNS($Q$1006:T1006),$Q$1006:$U$1006,0))&gt;=100000), " ",IF(INDEX($Q$2:$U$1001,MATCH(ROWS($J$2:J987),$J$2:$J$1001,0),MATCH(COLUMNS($Q$1006:T1006),$Q$1006:$U$1006,0)), HYPERLINK("#",""), HYPERLINK(CONCATENATE("#metadata!", ADDRESS(INDEX($L$2:$L$1001,MATCH(ROWS($J$2:J987),$J$2:$J$1001,0),0), INDEX($Q$1004:$U$1004,1,MATCH(COLUMNS($Q$1006:T1006),$Q$1006:$U$1006,0)))),"Fix")))</f>
        <v xml:space="preserve"> </v>
      </c>
      <c r="F987" s="3" t="str">
        <f ca="1">IF(OR(INDEX($K$2:$K$1001,MATCH(ROWS($J$2:J987),$J$2:$J$1001,0),1)&gt;=100000,INDEX($Q$1005:$U$1005,1,MATCH(COLUMNS($Q$1006:U1006),$Q$1006:$U$1006,0))&gt;=100000), " ",IF(INDEX($Q$2:$U$1001,MATCH(ROWS($J$2:J987),$J$2:$J$1001,0),MATCH(COLUMNS($Q$1006:U1006),$Q$1006:$U$1006,0)), HYPERLINK("#",""), HYPERLINK(CONCATENATE("#metadata!", ADDRESS(INDEX($L$2:$L$1001,MATCH(ROWS($J$2:J987),$J$2:$J$1001,0),0), INDEX($Q$1004:$U$1004,1,MATCH(COLUMNS($Q$1006:U1006),$Q$1006:$U$1006,0)))),"Fix")))</f>
        <v xml:space="preserve"> </v>
      </c>
      <c r="J987">
        <v>986</v>
      </c>
      <c r="K987">
        <v>100987</v>
      </c>
      <c r="L987">
        <v>987</v>
      </c>
      <c r="M987" t="b">
        <f t="shared" si="15"/>
        <v>1</v>
      </c>
      <c r="N987" t="b">
        <f>COUNTBLANK(metadata!B987:F987)=COLUMNS(metadata!B987:F987)</f>
        <v>1</v>
      </c>
      <c r="O987" t="str">
        <v/>
      </c>
      <c r="Q987" t="b">
        <f ca="1">AND(IF(metadata!B987="",FALSE,TRUE),COUNTIF(metadata!B:B, metadata!B987) = 1,NOT(ISERROR(SUMPRODUCT(SEARCH(MID(metadata!B987,ROW(INDIRECT("1:"&amp;LEN(metadata!B987))), 1),"0123456789abcdefghijklmnopqrstuvwxyzABCDEFGHIJKLMNOPQRSTUVWXYZ.")))))</f>
        <v>0</v>
      </c>
      <c r="R987" t="b">
        <f>AND(IF(metadata!C987="",FALSE,TRUE),OR(EXACT(metadata!C987,"saline"),EXACT(metadata!C987,"non-saline")))</f>
        <v>0</v>
      </c>
      <c r="S987" t="b">
        <f>AND(IF(metadata!D987="",FALSE,TRUE),OR(EXACT(metadata!D987,"surface (non-saline)"),EXACT(metadata!D987,"aerosol (non-saline)"),EXACT(metadata!D987,"sediment (non-saline)"),EXACT(metadata!D987,"surface (saline)"),EXACT(metadata!D987,"aerosol (saline)"),EXACT(metadata!D987,"sediment (saline)")))</f>
        <v>0</v>
      </c>
      <c r="T987" t="b">
        <f>AND(IF(metadata!E987="",FALSE,TRUE),EXACT(metadata!E987,"built environment"))</f>
        <v>0</v>
      </c>
      <c r="U987" t="b">
        <f>OR(AND(IF(metadata!F987="",FALSE,TRUE),EXACT(metadata!F987,"not applicable")),AND(IF(metadata!F987="",FALSE,TRUE),EXACT(metadata!F987,"anaerobic digester content")))</f>
        <v>0</v>
      </c>
    </row>
    <row r="988" spans="1:21" x14ac:dyDescent="0.2">
      <c r="A988" s="4" t="str">
        <f ca="1">IF(B988=" "," ",HYPERLINK(CONCATENATE("#metadata!",ADDRESS(INDEX($L$2:$L$1001,MATCH(ROWS($J$2:J988),$J$2:$J$1001,0),0),1)),INDEX($O$2:$O$1001,MATCH(ROWS($J$2:J988),$J$2:$J$1001,0),0)))</f>
        <v xml:space="preserve"> </v>
      </c>
      <c r="B988" s="3" t="str">
        <f ca="1">IF(OR(INDEX($K$2:$K$1001,MATCH(ROWS($J$2:J988),$J$2:$J$1001,0),1)&gt;=100000,INDEX($Q$1005:$U$1005,1,MATCH(COLUMNS($Q$1006:Q1006),$Q$1006:$U$1006,0))&gt;=100000), " ",IF(INDEX($Q$2:$U$1001,MATCH(ROWS($J$2:J988),$J$2:$J$1001,0),MATCH(COLUMNS($Q$1006:Q1006),$Q$1006:$U$1006,0)), HYPERLINK("#",""), HYPERLINK(CONCATENATE("#metadata!", ADDRESS(INDEX($L$2:$L$1001,MATCH(ROWS($J$2:J988),$J$2:$J$1001,0),0), INDEX($Q$1004:$U$1004,1,MATCH(COLUMNS($Q$1006:Q1006),$Q$1006:$U$1006,0)))),"Fix")))</f>
        <v xml:space="preserve"> </v>
      </c>
      <c r="C988" s="3" t="str">
        <f ca="1">IF(OR(INDEX($K$2:$K$1001,MATCH(ROWS($J$2:J988),$J$2:$J$1001,0),1)&gt;=100000,INDEX($Q$1005:$U$1005,1,MATCH(COLUMNS($Q$1006:R1006),$Q$1006:$U$1006,0))&gt;=100000), " ",IF(INDEX($Q$2:$U$1001,MATCH(ROWS($J$2:J988),$J$2:$J$1001,0),MATCH(COLUMNS($Q$1006:R1006),$Q$1006:$U$1006,0)), HYPERLINK("#",""), HYPERLINK(CONCATENATE("#metadata!", ADDRESS(INDEX($L$2:$L$1001,MATCH(ROWS($J$2:J988),$J$2:$J$1001,0),0), INDEX($Q$1004:$U$1004,1,MATCH(COLUMNS($Q$1006:R1006),$Q$1006:$U$1006,0)))),"Fix")))</f>
        <v xml:space="preserve"> </v>
      </c>
      <c r="D988" s="3" t="str">
        <f ca="1">IF(OR(INDEX($K$2:$K$1001,MATCH(ROWS($J$2:J988),$J$2:$J$1001,0),1)&gt;=100000,INDEX($Q$1005:$U$1005,1,MATCH(COLUMNS($Q$1006:S1006),$Q$1006:$U$1006,0))&gt;=100000), " ",IF(INDEX($Q$2:$U$1001,MATCH(ROWS($J$2:J988),$J$2:$J$1001,0),MATCH(COLUMNS($Q$1006:S1006),$Q$1006:$U$1006,0)), HYPERLINK("#",""), HYPERLINK(CONCATENATE("#metadata!", ADDRESS(INDEX($L$2:$L$1001,MATCH(ROWS($J$2:J988),$J$2:$J$1001,0),0), INDEX($Q$1004:$U$1004,1,MATCH(COLUMNS($Q$1006:S1006),$Q$1006:$U$1006,0)))),"Fix")))</f>
        <v xml:space="preserve"> </v>
      </c>
      <c r="E988" s="3" t="str">
        <f ca="1">IF(OR(INDEX($K$2:$K$1001,MATCH(ROWS($J$2:J988),$J$2:$J$1001,0),1)&gt;=100000,INDEX($Q$1005:$U$1005,1,MATCH(COLUMNS($Q$1006:T1006),$Q$1006:$U$1006,0))&gt;=100000), " ",IF(INDEX($Q$2:$U$1001,MATCH(ROWS($J$2:J988),$J$2:$J$1001,0),MATCH(COLUMNS($Q$1006:T1006),$Q$1006:$U$1006,0)), HYPERLINK("#",""), HYPERLINK(CONCATENATE("#metadata!", ADDRESS(INDEX($L$2:$L$1001,MATCH(ROWS($J$2:J988),$J$2:$J$1001,0),0), INDEX($Q$1004:$U$1004,1,MATCH(COLUMNS($Q$1006:T1006),$Q$1006:$U$1006,0)))),"Fix")))</f>
        <v xml:space="preserve"> </v>
      </c>
      <c r="F988" s="3" t="str">
        <f ca="1">IF(OR(INDEX($K$2:$K$1001,MATCH(ROWS($J$2:J988),$J$2:$J$1001,0),1)&gt;=100000,INDEX($Q$1005:$U$1005,1,MATCH(COLUMNS($Q$1006:U1006),$Q$1006:$U$1006,0))&gt;=100000), " ",IF(INDEX($Q$2:$U$1001,MATCH(ROWS($J$2:J988),$J$2:$J$1001,0),MATCH(COLUMNS($Q$1006:U1006),$Q$1006:$U$1006,0)), HYPERLINK("#",""), HYPERLINK(CONCATENATE("#metadata!", ADDRESS(INDEX($L$2:$L$1001,MATCH(ROWS($J$2:J988),$J$2:$J$1001,0),0), INDEX($Q$1004:$U$1004,1,MATCH(COLUMNS($Q$1006:U1006),$Q$1006:$U$1006,0)))),"Fix")))</f>
        <v xml:space="preserve"> </v>
      </c>
      <c r="J988">
        <v>987</v>
      </c>
      <c r="K988">
        <v>100988</v>
      </c>
      <c r="L988">
        <v>988</v>
      </c>
      <c r="M988" t="b">
        <f t="shared" si="15"/>
        <v>1</v>
      </c>
      <c r="N988" t="b">
        <f>COUNTBLANK(metadata!B988:F988)=COLUMNS(metadata!B988:F988)</f>
        <v>1</v>
      </c>
      <c r="O988" t="str">
        <v/>
      </c>
      <c r="Q988" t="b">
        <f ca="1">AND(IF(metadata!B988="",FALSE,TRUE),COUNTIF(metadata!B:B, metadata!B988) = 1,NOT(ISERROR(SUMPRODUCT(SEARCH(MID(metadata!B988,ROW(INDIRECT("1:"&amp;LEN(metadata!B988))), 1),"0123456789abcdefghijklmnopqrstuvwxyzABCDEFGHIJKLMNOPQRSTUVWXYZ.")))))</f>
        <v>0</v>
      </c>
      <c r="R988" t="b">
        <f>AND(IF(metadata!C988="",FALSE,TRUE),OR(EXACT(metadata!C988,"saline"),EXACT(metadata!C988,"non-saline")))</f>
        <v>0</v>
      </c>
      <c r="S988" t="b">
        <f>AND(IF(metadata!D988="",FALSE,TRUE),OR(EXACT(metadata!D988,"surface (non-saline)"),EXACT(metadata!D988,"aerosol (non-saline)"),EXACT(metadata!D988,"sediment (non-saline)"),EXACT(metadata!D988,"surface (saline)"),EXACT(metadata!D988,"aerosol (saline)"),EXACT(metadata!D988,"sediment (saline)")))</f>
        <v>0</v>
      </c>
      <c r="T988" t="b">
        <f>AND(IF(metadata!E988="",FALSE,TRUE),EXACT(metadata!E988,"built environment"))</f>
        <v>0</v>
      </c>
      <c r="U988" t="b">
        <f>OR(AND(IF(metadata!F988="",FALSE,TRUE),EXACT(metadata!F988,"not applicable")),AND(IF(metadata!F988="",FALSE,TRUE),EXACT(metadata!F988,"anaerobic digester content")))</f>
        <v>0</v>
      </c>
    </row>
    <row r="989" spans="1:21" x14ac:dyDescent="0.2">
      <c r="A989" s="4" t="str">
        <f ca="1">IF(B989=" "," ",HYPERLINK(CONCATENATE("#metadata!",ADDRESS(INDEX($L$2:$L$1001,MATCH(ROWS($J$2:J989),$J$2:$J$1001,0),0),1)),INDEX($O$2:$O$1001,MATCH(ROWS($J$2:J989),$J$2:$J$1001,0),0)))</f>
        <v xml:space="preserve"> </v>
      </c>
      <c r="B989" s="3" t="str">
        <f ca="1">IF(OR(INDEX($K$2:$K$1001,MATCH(ROWS($J$2:J989),$J$2:$J$1001,0),1)&gt;=100000,INDEX($Q$1005:$U$1005,1,MATCH(COLUMNS($Q$1006:Q1006),$Q$1006:$U$1006,0))&gt;=100000), " ",IF(INDEX($Q$2:$U$1001,MATCH(ROWS($J$2:J989),$J$2:$J$1001,0),MATCH(COLUMNS($Q$1006:Q1006),$Q$1006:$U$1006,0)), HYPERLINK("#",""), HYPERLINK(CONCATENATE("#metadata!", ADDRESS(INDEX($L$2:$L$1001,MATCH(ROWS($J$2:J989),$J$2:$J$1001,0),0), INDEX($Q$1004:$U$1004,1,MATCH(COLUMNS($Q$1006:Q1006),$Q$1006:$U$1006,0)))),"Fix")))</f>
        <v xml:space="preserve"> </v>
      </c>
      <c r="C989" s="3" t="str">
        <f ca="1">IF(OR(INDEX($K$2:$K$1001,MATCH(ROWS($J$2:J989),$J$2:$J$1001,0),1)&gt;=100000,INDEX($Q$1005:$U$1005,1,MATCH(COLUMNS($Q$1006:R1006),$Q$1006:$U$1006,0))&gt;=100000), " ",IF(INDEX($Q$2:$U$1001,MATCH(ROWS($J$2:J989),$J$2:$J$1001,0),MATCH(COLUMNS($Q$1006:R1006),$Q$1006:$U$1006,0)), HYPERLINK("#",""), HYPERLINK(CONCATENATE("#metadata!", ADDRESS(INDEX($L$2:$L$1001,MATCH(ROWS($J$2:J989),$J$2:$J$1001,0),0), INDEX($Q$1004:$U$1004,1,MATCH(COLUMNS($Q$1006:R1006),$Q$1006:$U$1006,0)))),"Fix")))</f>
        <v xml:space="preserve"> </v>
      </c>
      <c r="D989" s="3" t="str">
        <f ca="1">IF(OR(INDEX($K$2:$K$1001,MATCH(ROWS($J$2:J989),$J$2:$J$1001,0),1)&gt;=100000,INDEX($Q$1005:$U$1005,1,MATCH(COLUMNS($Q$1006:S1006),$Q$1006:$U$1006,0))&gt;=100000), " ",IF(INDEX($Q$2:$U$1001,MATCH(ROWS($J$2:J989),$J$2:$J$1001,0),MATCH(COLUMNS($Q$1006:S1006),$Q$1006:$U$1006,0)), HYPERLINK("#",""), HYPERLINK(CONCATENATE("#metadata!", ADDRESS(INDEX($L$2:$L$1001,MATCH(ROWS($J$2:J989),$J$2:$J$1001,0),0), INDEX($Q$1004:$U$1004,1,MATCH(COLUMNS($Q$1006:S1006),$Q$1006:$U$1006,0)))),"Fix")))</f>
        <v xml:space="preserve"> </v>
      </c>
      <c r="E989" s="3" t="str">
        <f ca="1">IF(OR(INDEX($K$2:$K$1001,MATCH(ROWS($J$2:J989),$J$2:$J$1001,0),1)&gt;=100000,INDEX($Q$1005:$U$1005,1,MATCH(COLUMNS($Q$1006:T1006),$Q$1006:$U$1006,0))&gt;=100000), " ",IF(INDEX($Q$2:$U$1001,MATCH(ROWS($J$2:J989),$J$2:$J$1001,0),MATCH(COLUMNS($Q$1006:T1006),$Q$1006:$U$1006,0)), HYPERLINK("#",""), HYPERLINK(CONCATENATE("#metadata!", ADDRESS(INDEX($L$2:$L$1001,MATCH(ROWS($J$2:J989),$J$2:$J$1001,0),0), INDEX($Q$1004:$U$1004,1,MATCH(COLUMNS($Q$1006:T1006),$Q$1006:$U$1006,0)))),"Fix")))</f>
        <v xml:space="preserve"> </v>
      </c>
      <c r="F989" s="3" t="str">
        <f ca="1">IF(OR(INDEX($K$2:$K$1001,MATCH(ROWS($J$2:J989),$J$2:$J$1001,0),1)&gt;=100000,INDEX($Q$1005:$U$1005,1,MATCH(COLUMNS($Q$1006:U1006),$Q$1006:$U$1006,0))&gt;=100000), " ",IF(INDEX($Q$2:$U$1001,MATCH(ROWS($J$2:J989),$J$2:$J$1001,0),MATCH(COLUMNS($Q$1006:U1006),$Q$1006:$U$1006,0)), HYPERLINK("#",""), HYPERLINK(CONCATENATE("#metadata!", ADDRESS(INDEX($L$2:$L$1001,MATCH(ROWS($J$2:J989),$J$2:$J$1001,0),0), INDEX($Q$1004:$U$1004,1,MATCH(COLUMNS($Q$1006:U1006),$Q$1006:$U$1006,0)))),"Fix")))</f>
        <v xml:space="preserve"> </v>
      </c>
      <c r="J989">
        <v>988</v>
      </c>
      <c r="K989">
        <v>100989</v>
      </c>
      <c r="L989">
        <v>989</v>
      </c>
      <c r="M989" t="b">
        <f t="shared" si="15"/>
        <v>1</v>
      </c>
      <c r="N989" t="b">
        <f>COUNTBLANK(metadata!B989:F989)=COLUMNS(metadata!B989:F989)</f>
        <v>1</v>
      </c>
      <c r="O989" t="str">
        <v/>
      </c>
      <c r="Q989" t="b">
        <f ca="1">AND(IF(metadata!B989="",FALSE,TRUE),COUNTIF(metadata!B:B, metadata!B989) = 1,NOT(ISERROR(SUMPRODUCT(SEARCH(MID(metadata!B989,ROW(INDIRECT("1:"&amp;LEN(metadata!B989))), 1),"0123456789abcdefghijklmnopqrstuvwxyzABCDEFGHIJKLMNOPQRSTUVWXYZ.")))))</f>
        <v>0</v>
      </c>
      <c r="R989" t="b">
        <f>AND(IF(metadata!C989="",FALSE,TRUE),OR(EXACT(metadata!C989,"saline"),EXACT(metadata!C989,"non-saline")))</f>
        <v>0</v>
      </c>
      <c r="S989" t="b">
        <f>AND(IF(metadata!D989="",FALSE,TRUE),OR(EXACT(metadata!D989,"surface (non-saline)"),EXACT(metadata!D989,"aerosol (non-saline)"),EXACT(metadata!D989,"sediment (non-saline)"),EXACT(metadata!D989,"surface (saline)"),EXACT(metadata!D989,"aerosol (saline)"),EXACT(metadata!D989,"sediment (saline)")))</f>
        <v>0</v>
      </c>
      <c r="T989" t="b">
        <f>AND(IF(metadata!E989="",FALSE,TRUE),EXACT(metadata!E989,"built environment"))</f>
        <v>0</v>
      </c>
      <c r="U989" t="b">
        <f>OR(AND(IF(metadata!F989="",FALSE,TRUE),EXACT(metadata!F989,"not applicable")),AND(IF(metadata!F989="",FALSE,TRUE),EXACT(metadata!F989,"anaerobic digester content")))</f>
        <v>0</v>
      </c>
    </row>
    <row r="990" spans="1:21" x14ac:dyDescent="0.2">
      <c r="A990" s="4" t="str">
        <f ca="1">IF(B990=" "," ",HYPERLINK(CONCATENATE("#metadata!",ADDRESS(INDEX($L$2:$L$1001,MATCH(ROWS($J$2:J990),$J$2:$J$1001,0),0),1)),INDEX($O$2:$O$1001,MATCH(ROWS($J$2:J990),$J$2:$J$1001,0),0)))</f>
        <v xml:space="preserve"> </v>
      </c>
      <c r="B990" s="3" t="str">
        <f ca="1">IF(OR(INDEX($K$2:$K$1001,MATCH(ROWS($J$2:J990),$J$2:$J$1001,0),1)&gt;=100000,INDEX($Q$1005:$U$1005,1,MATCH(COLUMNS($Q$1006:Q1006),$Q$1006:$U$1006,0))&gt;=100000), " ",IF(INDEX($Q$2:$U$1001,MATCH(ROWS($J$2:J990),$J$2:$J$1001,0),MATCH(COLUMNS($Q$1006:Q1006),$Q$1006:$U$1006,0)), HYPERLINK("#",""), HYPERLINK(CONCATENATE("#metadata!", ADDRESS(INDEX($L$2:$L$1001,MATCH(ROWS($J$2:J990),$J$2:$J$1001,0),0), INDEX($Q$1004:$U$1004,1,MATCH(COLUMNS($Q$1006:Q1006),$Q$1006:$U$1006,0)))),"Fix")))</f>
        <v xml:space="preserve"> </v>
      </c>
      <c r="C990" s="3" t="str">
        <f ca="1">IF(OR(INDEX($K$2:$K$1001,MATCH(ROWS($J$2:J990),$J$2:$J$1001,0),1)&gt;=100000,INDEX($Q$1005:$U$1005,1,MATCH(COLUMNS($Q$1006:R1006),$Q$1006:$U$1006,0))&gt;=100000), " ",IF(INDEX($Q$2:$U$1001,MATCH(ROWS($J$2:J990),$J$2:$J$1001,0),MATCH(COLUMNS($Q$1006:R1006),$Q$1006:$U$1006,0)), HYPERLINK("#",""), HYPERLINK(CONCATENATE("#metadata!", ADDRESS(INDEX($L$2:$L$1001,MATCH(ROWS($J$2:J990),$J$2:$J$1001,0),0), INDEX($Q$1004:$U$1004,1,MATCH(COLUMNS($Q$1006:R1006),$Q$1006:$U$1006,0)))),"Fix")))</f>
        <v xml:space="preserve"> </v>
      </c>
      <c r="D990" s="3" t="str">
        <f ca="1">IF(OR(INDEX($K$2:$K$1001,MATCH(ROWS($J$2:J990),$J$2:$J$1001,0),1)&gt;=100000,INDEX($Q$1005:$U$1005,1,MATCH(COLUMNS($Q$1006:S1006),$Q$1006:$U$1006,0))&gt;=100000), " ",IF(INDEX($Q$2:$U$1001,MATCH(ROWS($J$2:J990),$J$2:$J$1001,0),MATCH(COLUMNS($Q$1006:S1006),$Q$1006:$U$1006,0)), HYPERLINK("#",""), HYPERLINK(CONCATENATE("#metadata!", ADDRESS(INDEX($L$2:$L$1001,MATCH(ROWS($J$2:J990),$J$2:$J$1001,0),0), INDEX($Q$1004:$U$1004,1,MATCH(COLUMNS($Q$1006:S1006),$Q$1006:$U$1006,0)))),"Fix")))</f>
        <v xml:space="preserve"> </v>
      </c>
      <c r="E990" s="3" t="str">
        <f ca="1">IF(OR(INDEX($K$2:$K$1001,MATCH(ROWS($J$2:J990),$J$2:$J$1001,0),1)&gt;=100000,INDEX($Q$1005:$U$1005,1,MATCH(COLUMNS($Q$1006:T1006),$Q$1006:$U$1006,0))&gt;=100000), " ",IF(INDEX($Q$2:$U$1001,MATCH(ROWS($J$2:J990),$J$2:$J$1001,0),MATCH(COLUMNS($Q$1006:T1006),$Q$1006:$U$1006,0)), HYPERLINK("#",""), HYPERLINK(CONCATENATE("#metadata!", ADDRESS(INDEX($L$2:$L$1001,MATCH(ROWS($J$2:J990),$J$2:$J$1001,0),0), INDEX($Q$1004:$U$1004,1,MATCH(COLUMNS($Q$1006:T1006),$Q$1006:$U$1006,0)))),"Fix")))</f>
        <v xml:space="preserve"> </v>
      </c>
      <c r="F990" s="3" t="str">
        <f ca="1">IF(OR(INDEX($K$2:$K$1001,MATCH(ROWS($J$2:J990),$J$2:$J$1001,0),1)&gt;=100000,INDEX($Q$1005:$U$1005,1,MATCH(COLUMNS($Q$1006:U1006),$Q$1006:$U$1006,0))&gt;=100000), " ",IF(INDEX($Q$2:$U$1001,MATCH(ROWS($J$2:J990),$J$2:$J$1001,0),MATCH(COLUMNS($Q$1006:U1006),$Q$1006:$U$1006,0)), HYPERLINK("#",""), HYPERLINK(CONCATENATE("#metadata!", ADDRESS(INDEX($L$2:$L$1001,MATCH(ROWS($J$2:J990),$J$2:$J$1001,0),0), INDEX($Q$1004:$U$1004,1,MATCH(COLUMNS($Q$1006:U1006),$Q$1006:$U$1006,0)))),"Fix")))</f>
        <v xml:space="preserve"> </v>
      </c>
      <c r="J990">
        <v>989</v>
      </c>
      <c r="K990">
        <v>100990</v>
      </c>
      <c r="L990">
        <v>990</v>
      </c>
      <c r="M990" t="b">
        <f t="shared" si="15"/>
        <v>1</v>
      </c>
      <c r="N990" t="b">
        <f>COUNTBLANK(metadata!B990:F990)=COLUMNS(metadata!B990:F990)</f>
        <v>1</v>
      </c>
      <c r="O990" t="str">
        <v/>
      </c>
      <c r="Q990" t="b">
        <f ca="1">AND(IF(metadata!B990="",FALSE,TRUE),COUNTIF(metadata!B:B, metadata!B990) = 1,NOT(ISERROR(SUMPRODUCT(SEARCH(MID(metadata!B990,ROW(INDIRECT("1:"&amp;LEN(metadata!B990))), 1),"0123456789abcdefghijklmnopqrstuvwxyzABCDEFGHIJKLMNOPQRSTUVWXYZ.")))))</f>
        <v>0</v>
      </c>
      <c r="R990" t="b">
        <f>AND(IF(metadata!C990="",FALSE,TRUE),OR(EXACT(metadata!C990,"saline"),EXACT(metadata!C990,"non-saline")))</f>
        <v>0</v>
      </c>
      <c r="S990" t="b">
        <f>AND(IF(metadata!D990="",FALSE,TRUE),OR(EXACT(metadata!D990,"surface (non-saline)"),EXACT(metadata!D990,"aerosol (non-saline)"),EXACT(metadata!D990,"sediment (non-saline)"),EXACT(metadata!D990,"surface (saline)"),EXACT(metadata!D990,"aerosol (saline)"),EXACT(metadata!D990,"sediment (saline)")))</f>
        <v>0</v>
      </c>
      <c r="T990" t="b">
        <f>AND(IF(metadata!E990="",FALSE,TRUE),EXACT(metadata!E990,"built environment"))</f>
        <v>0</v>
      </c>
      <c r="U990" t="b">
        <f>OR(AND(IF(metadata!F990="",FALSE,TRUE),EXACT(metadata!F990,"not applicable")),AND(IF(metadata!F990="",FALSE,TRUE),EXACT(metadata!F990,"anaerobic digester content")))</f>
        <v>0</v>
      </c>
    </row>
    <row r="991" spans="1:21" x14ac:dyDescent="0.2">
      <c r="A991" s="4" t="str">
        <f ca="1">IF(B991=" "," ",HYPERLINK(CONCATENATE("#metadata!",ADDRESS(INDEX($L$2:$L$1001,MATCH(ROWS($J$2:J991),$J$2:$J$1001,0),0),1)),INDEX($O$2:$O$1001,MATCH(ROWS($J$2:J991),$J$2:$J$1001,0),0)))</f>
        <v xml:space="preserve"> </v>
      </c>
      <c r="B991" s="3" t="str">
        <f ca="1">IF(OR(INDEX($K$2:$K$1001,MATCH(ROWS($J$2:J991),$J$2:$J$1001,0),1)&gt;=100000,INDEX($Q$1005:$U$1005,1,MATCH(COLUMNS($Q$1006:Q1006),$Q$1006:$U$1006,0))&gt;=100000), " ",IF(INDEX($Q$2:$U$1001,MATCH(ROWS($J$2:J991),$J$2:$J$1001,0),MATCH(COLUMNS($Q$1006:Q1006),$Q$1006:$U$1006,0)), HYPERLINK("#",""), HYPERLINK(CONCATENATE("#metadata!", ADDRESS(INDEX($L$2:$L$1001,MATCH(ROWS($J$2:J991),$J$2:$J$1001,0),0), INDEX($Q$1004:$U$1004,1,MATCH(COLUMNS($Q$1006:Q1006),$Q$1006:$U$1006,0)))),"Fix")))</f>
        <v xml:space="preserve"> </v>
      </c>
      <c r="C991" s="3" t="str">
        <f ca="1">IF(OR(INDEX($K$2:$K$1001,MATCH(ROWS($J$2:J991),$J$2:$J$1001,0),1)&gt;=100000,INDEX($Q$1005:$U$1005,1,MATCH(COLUMNS($Q$1006:R1006),$Q$1006:$U$1006,0))&gt;=100000), " ",IF(INDEX($Q$2:$U$1001,MATCH(ROWS($J$2:J991),$J$2:$J$1001,0),MATCH(COLUMNS($Q$1006:R1006),$Q$1006:$U$1006,0)), HYPERLINK("#",""), HYPERLINK(CONCATENATE("#metadata!", ADDRESS(INDEX($L$2:$L$1001,MATCH(ROWS($J$2:J991),$J$2:$J$1001,0),0), INDEX($Q$1004:$U$1004,1,MATCH(COLUMNS($Q$1006:R1006),$Q$1006:$U$1006,0)))),"Fix")))</f>
        <v xml:space="preserve"> </v>
      </c>
      <c r="D991" s="3" t="str">
        <f ca="1">IF(OR(INDEX($K$2:$K$1001,MATCH(ROWS($J$2:J991),$J$2:$J$1001,0),1)&gt;=100000,INDEX($Q$1005:$U$1005,1,MATCH(COLUMNS($Q$1006:S1006),$Q$1006:$U$1006,0))&gt;=100000), " ",IF(INDEX($Q$2:$U$1001,MATCH(ROWS($J$2:J991),$J$2:$J$1001,0),MATCH(COLUMNS($Q$1006:S1006),$Q$1006:$U$1006,0)), HYPERLINK("#",""), HYPERLINK(CONCATENATE("#metadata!", ADDRESS(INDEX($L$2:$L$1001,MATCH(ROWS($J$2:J991),$J$2:$J$1001,0),0), INDEX($Q$1004:$U$1004,1,MATCH(COLUMNS($Q$1006:S1006),$Q$1006:$U$1006,0)))),"Fix")))</f>
        <v xml:space="preserve"> </v>
      </c>
      <c r="E991" s="3" t="str">
        <f ca="1">IF(OR(INDEX($K$2:$K$1001,MATCH(ROWS($J$2:J991),$J$2:$J$1001,0),1)&gt;=100000,INDEX($Q$1005:$U$1005,1,MATCH(COLUMNS($Q$1006:T1006),$Q$1006:$U$1006,0))&gt;=100000), " ",IF(INDEX($Q$2:$U$1001,MATCH(ROWS($J$2:J991),$J$2:$J$1001,0),MATCH(COLUMNS($Q$1006:T1006),$Q$1006:$U$1006,0)), HYPERLINK("#",""), HYPERLINK(CONCATENATE("#metadata!", ADDRESS(INDEX($L$2:$L$1001,MATCH(ROWS($J$2:J991),$J$2:$J$1001,0),0), INDEX($Q$1004:$U$1004,1,MATCH(COLUMNS($Q$1006:T1006),$Q$1006:$U$1006,0)))),"Fix")))</f>
        <v xml:space="preserve"> </v>
      </c>
      <c r="F991" s="3" t="str">
        <f ca="1">IF(OR(INDEX($K$2:$K$1001,MATCH(ROWS($J$2:J991),$J$2:$J$1001,0),1)&gt;=100000,INDEX($Q$1005:$U$1005,1,MATCH(COLUMNS($Q$1006:U1006),$Q$1006:$U$1006,0))&gt;=100000), " ",IF(INDEX($Q$2:$U$1001,MATCH(ROWS($J$2:J991),$J$2:$J$1001,0),MATCH(COLUMNS($Q$1006:U1006),$Q$1006:$U$1006,0)), HYPERLINK("#",""), HYPERLINK(CONCATENATE("#metadata!", ADDRESS(INDEX($L$2:$L$1001,MATCH(ROWS($J$2:J991),$J$2:$J$1001,0),0), INDEX($Q$1004:$U$1004,1,MATCH(COLUMNS($Q$1006:U1006),$Q$1006:$U$1006,0)))),"Fix")))</f>
        <v xml:space="preserve"> </v>
      </c>
      <c r="J991">
        <v>990</v>
      </c>
      <c r="K991">
        <v>100991</v>
      </c>
      <c r="L991">
        <v>991</v>
      </c>
      <c r="M991" t="b">
        <f t="shared" si="15"/>
        <v>1</v>
      </c>
      <c r="N991" t="b">
        <f>COUNTBLANK(metadata!B991:F991)=COLUMNS(metadata!B991:F991)</f>
        <v>1</v>
      </c>
      <c r="O991" t="str">
        <v/>
      </c>
      <c r="Q991" t="b">
        <f ca="1">AND(IF(metadata!B991="",FALSE,TRUE),COUNTIF(metadata!B:B, metadata!B991) = 1,NOT(ISERROR(SUMPRODUCT(SEARCH(MID(metadata!B991,ROW(INDIRECT("1:"&amp;LEN(metadata!B991))), 1),"0123456789abcdefghijklmnopqrstuvwxyzABCDEFGHIJKLMNOPQRSTUVWXYZ.")))))</f>
        <v>0</v>
      </c>
      <c r="R991" t="b">
        <f>AND(IF(metadata!C991="",FALSE,TRUE),OR(EXACT(metadata!C991,"saline"),EXACT(metadata!C991,"non-saline")))</f>
        <v>0</v>
      </c>
      <c r="S991" t="b">
        <f>AND(IF(metadata!D991="",FALSE,TRUE),OR(EXACT(metadata!D991,"surface (non-saline)"),EXACT(metadata!D991,"aerosol (non-saline)"),EXACT(metadata!D991,"sediment (non-saline)"),EXACT(metadata!D991,"surface (saline)"),EXACT(metadata!D991,"aerosol (saline)"),EXACT(metadata!D991,"sediment (saline)")))</f>
        <v>0</v>
      </c>
      <c r="T991" t="b">
        <f>AND(IF(metadata!E991="",FALSE,TRUE),EXACT(metadata!E991,"built environment"))</f>
        <v>0</v>
      </c>
      <c r="U991" t="b">
        <f>OR(AND(IF(metadata!F991="",FALSE,TRUE),EXACT(metadata!F991,"not applicable")),AND(IF(metadata!F991="",FALSE,TRUE),EXACT(metadata!F991,"anaerobic digester content")))</f>
        <v>0</v>
      </c>
    </row>
    <row r="992" spans="1:21" x14ac:dyDescent="0.2">
      <c r="A992" s="4" t="str">
        <f ca="1">IF(B992=" "," ",HYPERLINK(CONCATENATE("#metadata!",ADDRESS(INDEX($L$2:$L$1001,MATCH(ROWS($J$2:J992),$J$2:$J$1001,0),0),1)),INDEX($O$2:$O$1001,MATCH(ROWS($J$2:J992),$J$2:$J$1001,0),0)))</f>
        <v xml:space="preserve"> </v>
      </c>
      <c r="B992" s="3" t="str">
        <f ca="1">IF(OR(INDEX($K$2:$K$1001,MATCH(ROWS($J$2:J992),$J$2:$J$1001,0),1)&gt;=100000,INDEX($Q$1005:$U$1005,1,MATCH(COLUMNS($Q$1006:Q1006),$Q$1006:$U$1006,0))&gt;=100000), " ",IF(INDEX($Q$2:$U$1001,MATCH(ROWS($J$2:J992),$J$2:$J$1001,0),MATCH(COLUMNS($Q$1006:Q1006),$Q$1006:$U$1006,0)), HYPERLINK("#",""), HYPERLINK(CONCATENATE("#metadata!", ADDRESS(INDEX($L$2:$L$1001,MATCH(ROWS($J$2:J992),$J$2:$J$1001,0),0), INDEX($Q$1004:$U$1004,1,MATCH(COLUMNS($Q$1006:Q1006),$Q$1006:$U$1006,0)))),"Fix")))</f>
        <v xml:space="preserve"> </v>
      </c>
      <c r="C992" s="3" t="str">
        <f ca="1">IF(OR(INDEX($K$2:$K$1001,MATCH(ROWS($J$2:J992),$J$2:$J$1001,0),1)&gt;=100000,INDEX($Q$1005:$U$1005,1,MATCH(COLUMNS($Q$1006:R1006),$Q$1006:$U$1006,0))&gt;=100000), " ",IF(INDEX($Q$2:$U$1001,MATCH(ROWS($J$2:J992),$J$2:$J$1001,0),MATCH(COLUMNS($Q$1006:R1006),$Q$1006:$U$1006,0)), HYPERLINK("#",""), HYPERLINK(CONCATENATE("#metadata!", ADDRESS(INDEX($L$2:$L$1001,MATCH(ROWS($J$2:J992),$J$2:$J$1001,0),0), INDEX($Q$1004:$U$1004,1,MATCH(COLUMNS($Q$1006:R1006),$Q$1006:$U$1006,0)))),"Fix")))</f>
        <v xml:space="preserve"> </v>
      </c>
      <c r="D992" s="3" t="str">
        <f ca="1">IF(OR(INDEX($K$2:$K$1001,MATCH(ROWS($J$2:J992),$J$2:$J$1001,0),1)&gt;=100000,INDEX($Q$1005:$U$1005,1,MATCH(COLUMNS($Q$1006:S1006),$Q$1006:$U$1006,0))&gt;=100000), " ",IF(INDEX($Q$2:$U$1001,MATCH(ROWS($J$2:J992),$J$2:$J$1001,0),MATCH(COLUMNS($Q$1006:S1006),$Q$1006:$U$1006,0)), HYPERLINK("#",""), HYPERLINK(CONCATENATE("#metadata!", ADDRESS(INDEX($L$2:$L$1001,MATCH(ROWS($J$2:J992),$J$2:$J$1001,0),0), INDEX($Q$1004:$U$1004,1,MATCH(COLUMNS($Q$1006:S1006),$Q$1006:$U$1006,0)))),"Fix")))</f>
        <v xml:space="preserve"> </v>
      </c>
      <c r="E992" s="3" t="str">
        <f ca="1">IF(OR(INDEX($K$2:$K$1001,MATCH(ROWS($J$2:J992),$J$2:$J$1001,0),1)&gt;=100000,INDEX($Q$1005:$U$1005,1,MATCH(COLUMNS($Q$1006:T1006),$Q$1006:$U$1006,0))&gt;=100000), " ",IF(INDEX($Q$2:$U$1001,MATCH(ROWS($J$2:J992),$J$2:$J$1001,0),MATCH(COLUMNS($Q$1006:T1006),$Q$1006:$U$1006,0)), HYPERLINK("#",""), HYPERLINK(CONCATENATE("#metadata!", ADDRESS(INDEX($L$2:$L$1001,MATCH(ROWS($J$2:J992),$J$2:$J$1001,0),0), INDEX($Q$1004:$U$1004,1,MATCH(COLUMNS($Q$1006:T1006),$Q$1006:$U$1006,0)))),"Fix")))</f>
        <v xml:space="preserve"> </v>
      </c>
      <c r="F992" s="3" t="str">
        <f ca="1">IF(OR(INDEX($K$2:$K$1001,MATCH(ROWS($J$2:J992),$J$2:$J$1001,0),1)&gt;=100000,INDEX($Q$1005:$U$1005,1,MATCH(COLUMNS($Q$1006:U1006),$Q$1006:$U$1006,0))&gt;=100000), " ",IF(INDEX($Q$2:$U$1001,MATCH(ROWS($J$2:J992),$J$2:$J$1001,0),MATCH(COLUMNS($Q$1006:U1006),$Q$1006:$U$1006,0)), HYPERLINK("#",""), HYPERLINK(CONCATENATE("#metadata!", ADDRESS(INDEX($L$2:$L$1001,MATCH(ROWS($J$2:J992),$J$2:$J$1001,0),0), INDEX($Q$1004:$U$1004,1,MATCH(COLUMNS($Q$1006:U1006),$Q$1006:$U$1006,0)))),"Fix")))</f>
        <v xml:space="preserve"> </v>
      </c>
      <c r="J992">
        <v>991</v>
      </c>
      <c r="K992">
        <v>100992</v>
      </c>
      <c r="L992">
        <v>992</v>
      </c>
      <c r="M992" t="b">
        <f t="shared" si="15"/>
        <v>1</v>
      </c>
      <c r="N992" t="b">
        <f>COUNTBLANK(metadata!B992:F992)=COLUMNS(metadata!B992:F992)</f>
        <v>1</v>
      </c>
      <c r="O992" t="str">
        <v/>
      </c>
      <c r="Q992" t="b">
        <f ca="1">AND(IF(metadata!B992="",FALSE,TRUE),COUNTIF(metadata!B:B, metadata!B992) = 1,NOT(ISERROR(SUMPRODUCT(SEARCH(MID(metadata!B992,ROW(INDIRECT("1:"&amp;LEN(metadata!B992))), 1),"0123456789abcdefghijklmnopqrstuvwxyzABCDEFGHIJKLMNOPQRSTUVWXYZ.")))))</f>
        <v>0</v>
      </c>
      <c r="R992" t="b">
        <f>AND(IF(metadata!C992="",FALSE,TRUE),OR(EXACT(metadata!C992,"saline"),EXACT(metadata!C992,"non-saline")))</f>
        <v>0</v>
      </c>
      <c r="S992" t="b">
        <f>AND(IF(metadata!D992="",FALSE,TRUE),OR(EXACT(metadata!D992,"surface (non-saline)"),EXACT(metadata!D992,"aerosol (non-saline)"),EXACT(metadata!D992,"sediment (non-saline)"),EXACT(metadata!D992,"surface (saline)"),EXACT(metadata!D992,"aerosol (saline)"),EXACT(metadata!D992,"sediment (saline)")))</f>
        <v>0</v>
      </c>
      <c r="T992" t="b">
        <f>AND(IF(metadata!E992="",FALSE,TRUE),EXACT(metadata!E992,"built environment"))</f>
        <v>0</v>
      </c>
      <c r="U992" t="b">
        <f>OR(AND(IF(metadata!F992="",FALSE,TRUE),EXACT(metadata!F992,"not applicable")),AND(IF(metadata!F992="",FALSE,TRUE),EXACT(metadata!F992,"anaerobic digester content")))</f>
        <v>0</v>
      </c>
    </row>
    <row r="993" spans="1:21" x14ac:dyDescent="0.2">
      <c r="A993" s="4" t="str">
        <f ca="1">IF(B993=" "," ",HYPERLINK(CONCATENATE("#metadata!",ADDRESS(INDEX($L$2:$L$1001,MATCH(ROWS($J$2:J993),$J$2:$J$1001,0),0),1)),INDEX($O$2:$O$1001,MATCH(ROWS($J$2:J993),$J$2:$J$1001,0),0)))</f>
        <v xml:space="preserve"> </v>
      </c>
      <c r="B993" s="3" t="str">
        <f ca="1">IF(OR(INDEX($K$2:$K$1001,MATCH(ROWS($J$2:J993),$J$2:$J$1001,0),1)&gt;=100000,INDEX($Q$1005:$U$1005,1,MATCH(COLUMNS($Q$1006:Q1006),$Q$1006:$U$1006,0))&gt;=100000), " ",IF(INDEX($Q$2:$U$1001,MATCH(ROWS($J$2:J993),$J$2:$J$1001,0),MATCH(COLUMNS($Q$1006:Q1006),$Q$1006:$U$1006,0)), HYPERLINK("#",""), HYPERLINK(CONCATENATE("#metadata!", ADDRESS(INDEX($L$2:$L$1001,MATCH(ROWS($J$2:J993),$J$2:$J$1001,0),0), INDEX($Q$1004:$U$1004,1,MATCH(COLUMNS($Q$1006:Q1006),$Q$1006:$U$1006,0)))),"Fix")))</f>
        <v xml:space="preserve"> </v>
      </c>
      <c r="C993" s="3" t="str">
        <f ca="1">IF(OR(INDEX($K$2:$K$1001,MATCH(ROWS($J$2:J993),$J$2:$J$1001,0),1)&gt;=100000,INDEX($Q$1005:$U$1005,1,MATCH(COLUMNS($Q$1006:R1006),$Q$1006:$U$1006,0))&gt;=100000), " ",IF(INDEX($Q$2:$U$1001,MATCH(ROWS($J$2:J993),$J$2:$J$1001,0),MATCH(COLUMNS($Q$1006:R1006),$Q$1006:$U$1006,0)), HYPERLINK("#",""), HYPERLINK(CONCATENATE("#metadata!", ADDRESS(INDEX($L$2:$L$1001,MATCH(ROWS($J$2:J993),$J$2:$J$1001,0),0), INDEX($Q$1004:$U$1004,1,MATCH(COLUMNS($Q$1006:R1006),$Q$1006:$U$1006,0)))),"Fix")))</f>
        <v xml:space="preserve"> </v>
      </c>
      <c r="D993" s="3" t="str">
        <f ca="1">IF(OR(INDEX($K$2:$K$1001,MATCH(ROWS($J$2:J993),$J$2:$J$1001,0),1)&gt;=100000,INDEX($Q$1005:$U$1005,1,MATCH(COLUMNS($Q$1006:S1006),$Q$1006:$U$1006,0))&gt;=100000), " ",IF(INDEX($Q$2:$U$1001,MATCH(ROWS($J$2:J993),$J$2:$J$1001,0),MATCH(COLUMNS($Q$1006:S1006),$Q$1006:$U$1006,0)), HYPERLINK("#",""), HYPERLINK(CONCATENATE("#metadata!", ADDRESS(INDEX($L$2:$L$1001,MATCH(ROWS($J$2:J993),$J$2:$J$1001,0),0), INDEX($Q$1004:$U$1004,1,MATCH(COLUMNS($Q$1006:S1006),$Q$1006:$U$1006,0)))),"Fix")))</f>
        <v xml:space="preserve"> </v>
      </c>
      <c r="E993" s="3" t="str">
        <f ca="1">IF(OR(INDEX($K$2:$K$1001,MATCH(ROWS($J$2:J993),$J$2:$J$1001,0),1)&gt;=100000,INDEX($Q$1005:$U$1005,1,MATCH(COLUMNS($Q$1006:T1006),$Q$1006:$U$1006,0))&gt;=100000), " ",IF(INDEX($Q$2:$U$1001,MATCH(ROWS($J$2:J993),$J$2:$J$1001,0),MATCH(COLUMNS($Q$1006:T1006),$Q$1006:$U$1006,0)), HYPERLINK("#",""), HYPERLINK(CONCATENATE("#metadata!", ADDRESS(INDEX($L$2:$L$1001,MATCH(ROWS($J$2:J993),$J$2:$J$1001,0),0), INDEX($Q$1004:$U$1004,1,MATCH(COLUMNS($Q$1006:T1006),$Q$1006:$U$1006,0)))),"Fix")))</f>
        <v xml:space="preserve"> </v>
      </c>
      <c r="F993" s="3" t="str">
        <f ca="1">IF(OR(INDEX($K$2:$K$1001,MATCH(ROWS($J$2:J993),$J$2:$J$1001,0),1)&gt;=100000,INDEX($Q$1005:$U$1005,1,MATCH(COLUMNS($Q$1006:U1006),$Q$1006:$U$1006,0))&gt;=100000), " ",IF(INDEX($Q$2:$U$1001,MATCH(ROWS($J$2:J993),$J$2:$J$1001,0),MATCH(COLUMNS($Q$1006:U1006),$Q$1006:$U$1006,0)), HYPERLINK("#",""), HYPERLINK(CONCATENATE("#metadata!", ADDRESS(INDEX($L$2:$L$1001,MATCH(ROWS($J$2:J993),$J$2:$J$1001,0),0), INDEX($Q$1004:$U$1004,1,MATCH(COLUMNS($Q$1006:U1006),$Q$1006:$U$1006,0)))),"Fix")))</f>
        <v xml:space="preserve"> </v>
      </c>
      <c r="J993">
        <v>992</v>
      </c>
      <c r="K993">
        <v>100993</v>
      </c>
      <c r="L993">
        <v>993</v>
      </c>
      <c r="M993" t="b">
        <f t="shared" si="15"/>
        <v>1</v>
      </c>
      <c r="N993" t="b">
        <f>COUNTBLANK(metadata!B993:F993)=COLUMNS(metadata!B993:F993)</f>
        <v>1</v>
      </c>
      <c r="O993" t="str">
        <v/>
      </c>
      <c r="Q993" t="b">
        <f ca="1">AND(IF(metadata!B993="",FALSE,TRUE),COUNTIF(metadata!B:B, metadata!B993) = 1,NOT(ISERROR(SUMPRODUCT(SEARCH(MID(metadata!B993,ROW(INDIRECT("1:"&amp;LEN(metadata!B993))), 1),"0123456789abcdefghijklmnopqrstuvwxyzABCDEFGHIJKLMNOPQRSTUVWXYZ.")))))</f>
        <v>0</v>
      </c>
      <c r="R993" t="b">
        <f>AND(IF(metadata!C993="",FALSE,TRUE),OR(EXACT(metadata!C993,"saline"),EXACT(metadata!C993,"non-saline")))</f>
        <v>0</v>
      </c>
      <c r="S993" t="b">
        <f>AND(IF(metadata!D993="",FALSE,TRUE),OR(EXACT(metadata!D993,"surface (non-saline)"),EXACT(metadata!D993,"aerosol (non-saline)"),EXACT(metadata!D993,"sediment (non-saline)"),EXACT(metadata!D993,"surface (saline)"),EXACT(metadata!D993,"aerosol (saline)"),EXACT(metadata!D993,"sediment (saline)")))</f>
        <v>0</v>
      </c>
      <c r="T993" t="b">
        <f>AND(IF(metadata!E993="",FALSE,TRUE),EXACT(metadata!E993,"built environment"))</f>
        <v>0</v>
      </c>
      <c r="U993" t="b">
        <f>OR(AND(IF(metadata!F993="",FALSE,TRUE),EXACT(metadata!F993,"not applicable")),AND(IF(metadata!F993="",FALSE,TRUE),EXACT(metadata!F993,"anaerobic digester content")))</f>
        <v>0</v>
      </c>
    </row>
    <row r="994" spans="1:21" x14ac:dyDescent="0.2">
      <c r="A994" s="4" t="str">
        <f ca="1">IF(B994=" "," ",HYPERLINK(CONCATENATE("#metadata!",ADDRESS(INDEX($L$2:$L$1001,MATCH(ROWS($J$2:J994),$J$2:$J$1001,0),0),1)),INDEX($O$2:$O$1001,MATCH(ROWS($J$2:J994),$J$2:$J$1001,0),0)))</f>
        <v xml:space="preserve"> </v>
      </c>
      <c r="B994" s="3" t="str">
        <f ca="1">IF(OR(INDEX($K$2:$K$1001,MATCH(ROWS($J$2:J994),$J$2:$J$1001,0),1)&gt;=100000,INDEX($Q$1005:$U$1005,1,MATCH(COLUMNS($Q$1006:Q1006),$Q$1006:$U$1006,0))&gt;=100000), " ",IF(INDEX($Q$2:$U$1001,MATCH(ROWS($J$2:J994),$J$2:$J$1001,0),MATCH(COLUMNS($Q$1006:Q1006),$Q$1006:$U$1006,0)), HYPERLINK("#",""), HYPERLINK(CONCATENATE("#metadata!", ADDRESS(INDEX($L$2:$L$1001,MATCH(ROWS($J$2:J994),$J$2:$J$1001,0),0), INDEX($Q$1004:$U$1004,1,MATCH(COLUMNS($Q$1006:Q1006),$Q$1006:$U$1006,0)))),"Fix")))</f>
        <v xml:space="preserve"> </v>
      </c>
      <c r="C994" s="3" t="str">
        <f ca="1">IF(OR(INDEX($K$2:$K$1001,MATCH(ROWS($J$2:J994),$J$2:$J$1001,0),1)&gt;=100000,INDEX($Q$1005:$U$1005,1,MATCH(COLUMNS($Q$1006:R1006),$Q$1006:$U$1006,0))&gt;=100000), " ",IF(INDEX($Q$2:$U$1001,MATCH(ROWS($J$2:J994),$J$2:$J$1001,0),MATCH(COLUMNS($Q$1006:R1006),$Q$1006:$U$1006,0)), HYPERLINK("#",""), HYPERLINK(CONCATENATE("#metadata!", ADDRESS(INDEX($L$2:$L$1001,MATCH(ROWS($J$2:J994),$J$2:$J$1001,0),0), INDEX($Q$1004:$U$1004,1,MATCH(COLUMNS($Q$1006:R1006),$Q$1006:$U$1006,0)))),"Fix")))</f>
        <v xml:space="preserve"> </v>
      </c>
      <c r="D994" s="3" t="str">
        <f ca="1">IF(OR(INDEX($K$2:$K$1001,MATCH(ROWS($J$2:J994),$J$2:$J$1001,0),1)&gt;=100000,INDEX($Q$1005:$U$1005,1,MATCH(COLUMNS($Q$1006:S1006),$Q$1006:$U$1006,0))&gt;=100000), " ",IF(INDEX($Q$2:$U$1001,MATCH(ROWS($J$2:J994),$J$2:$J$1001,0),MATCH(COLUMNS($Q$1006:S1006),$Q$1006:$U$1006,0)), HYPERLINK("#",""), HYPERLINK(CONCATENATE("#metadata!", ADDRESS(INDEX($L$2:$L$1001,MATCH(ROWS($J$2:J994),$J$2:$J$1001,0),0), INDEX($Q$1004:$U$1004,1,MATCH(COLUMNS($Q$1006:S1006),$Q$1006:$U$1006,0)))),"Fix")))</f>
        <v xml:space="preserve"> </v>
      </c>
      <c r="E994" s="3" t="str">
        <f ca="1">IF(OR(INDEX($K$2:$K$1001,MATCH(ROWS($J$2:J994),$J$2:$J$1001,0),1)&gt;=100000,INDEX($Q$1005:$U$1005,1,MATCH(COLUMNS($Q$1006:T1006),$Q$1006:$U$1006,0))&gt;=100000), " ",IF(INDEX($Q$2:$U$1001,MATCH(ROWS($J$2:J994),$J$2:$J$1001,0),MATCH(COLUMNS($Q$1006:T1006),$Q$1006:$U$1006,0)), HYPERLINK("#",""), HYPERLINK(CONCATENATE("#metadata!", ADDRESS(INDEX($L$2:$L$1001,MATCH(ROWS($J$2:J994),$J$2:$J$1001,0),0), INDEX($Q$1004:$U$1004,1,MATCH(COLUMNS($Q$1006:T1006),$Q$1006:$U$1006,0)))),"Fix")))</f>
        <v xml:space="preserve"> </v>
      </c>
      <c r="F994" s="3" t="str">
        <f ca="1">IF(OR(INDEX($K$2:$K$1001,MATCH(ROWS($J$2:J994),$J$2:$J$1001,0),1)&gt;=100000,INDEX($Q$1005:$U$1005,1,MATCH(COLUMNS($Q$1006:U1006),$Q$1006:$U$1006,0))&gt;=100000), " ",IF(INDEX($Q$2:$U$1001,MATCH(ROWS($J$2:J994),$J$2:$J$1001,0),MATCH(COLUMNS($Q$1006:U1006),$Q$1006:$U$1006,0)), HYPERLINK("#",""), HYPERLINK(CONCATENATE("#metadata!", ADDRESS(INDEX($L$2:$L$1001,MATCH(ROWS($J$2:J994),$J$2:$J$1001,0),0), INDEX($Q$1004:$U$1004,1,MATCH(COLUMNS($Q$1006:U1006),$Q$1006:$U$1006,0)))),"Fix")))</f>
        <v xml:space="preserve"> </v>
      </c>
      <c r="J994">
        <v>993</v>
      </c>
      <c r="K994">
        <v>100994</v>
      </c>
      <c r="L994">
        <v>994</v>
      </c>
      <c r="M994" t="b">
        <f t="shared" si="15"/>
        <v>1</v>
      </c>
      <c r="N994" t="b">
        <f>COUNTBLANK(metadata!B994:F994)=COLUMNS(metadata!B994:F994)</f>
        <v>1</v>
      </c>
      <c r="O994" t="str">
        <v/>
      </c>
      <c r="Q994" t="b">
        <f ca="1">AND(IF(metadata!B994="",FALSE,TRUE),COUNTIF(metadata!B:B, metadata!B994) = 1,NOT(ISERROR(SUMPRODUCT(SEARCH(MID(metadata!B994,ROW(INDIRECT("1:"&amp;LEN(metadata!B994))), 1),"0123456789abcdefghijklmnopqrstuvwxyzABCDEFGHIJKLMNOPQRSTUVWXYZ.")))))</f>
        <v>0</v>
      </c>
      <c r="R994" t="b">
        <f>AND(IF(metadata!C994="",FALSE,TRUE),OR(EXACT(metadata!C994,"saline"),EXACT(metadata!C994,"non-saline")))</f>
        <v>0</v>
      </c>
      <c r="S994" t="b">
        <f>AND(IF(metadata!D994="",FALSE,TRUE),OR(EXACT(metadata!D994,"surface (non-saline)"),EXACT(metadata!D994,"aerosol (non-saline)"),EXACT(metadata!D994,"sediment (non-saline)"),EXACT(metadata!D994,"surface (saline)"),EXACT(metadata!D994,"aerosol (saline)"),EXACT(metadata!D994,"sediment (saline)")))</f>
        <v>0</v>
      </c>
      <c r="T994" t="b">
        <f>AND(IF(metadata!E994="",FALSE,TRUE),EXACT(metadata!E994,"built environment"))</f>
        <v>0</v>
      </c>
      <c r="U994" t="b">
        <f>OR(AND(IF(metadata!F994="",FALSE,TRUE),EXACT(metadata!F994,"not applicable")),AND(IF(metadata!F994="",FALSE,TRUE),EXACT(metadata!F994,"anaerobic digester content")))</f>
        <v>0</v>
      </c>
    </row>
    <row r="995" spans="1:21" x14ac:dyDescent="0.2">
      <c r="A995" s="4" t="str">
        <f ca="1">IF(B995=" "," ",HYPERLINK(CONCATENATE("#metadata!",ADDRESS(INDEX($L$2:$L$1001,MATCH(ROWS($J$2:J995),$J$2:$J$1001,0),0),1)),INDEX($O$2:$O$1001,MATCH(ROWS($J$2:J995),$J$2:$J$1001,0),0)))</f>
        <v xml:space="preserve"> </v>
      </c>
      <c r="B995" s="3" t="str">
        <f ca="1">IF(OR(INDEX($K$2:$K$1001,MATCH(ROWS($J$2:J995),$J$2:$J$1001,0),1)&gt;=100000,INDEX($Q$1005:$U$1005,1,MATCH(COLUMNS($Q$1006:Q1006),$Q$1006:$U$1006,0))&gt;=100000), " ",IF(INDEX($Q$2:$U$1001,MATCH(ROWS($J$2:J995),$J$2:$J$1001,0),MATCH(COLUMNS($Q$1006:Q1006),$Q$1006:$U$1006,0)), HYPERLINK("#",""), HYPERLINK(CONCATENATE("#metadata!", ADDRESS(INDEX($L$2:$L$1001,MATCH(ROWS($J$2:J995),$J$2:$J$1001,0),0), INDEX($Q$1004:$U$1004,1,MATCH(COLUMNS($Q$1006:Q1006),$Q$1006:$U$1006,0)))),"Fix")))</f>
        <v xml:space="preserve"> </v>
      </c>
      <c r="C995" s="3" t="str">
        <f ca="1">IF(OR(INDEX($K$2:$K$1001,MATCH(ROWS($J$2:J995),$J$2:$J$1001,0),1)&gt;=100000,INDEX($Q$1005:$U$1005,1,MATCH(COLUMNS($Q$1006:R1006),$Q$1006:$U$1006,0))&gt;=100000), " ",IF(INDEX($Q$2:$U$1001,MATCH(ROWS($J$2:J995),$J$2:$J$1001,0),MATCH(COLUMNS($Q$1006:R1006),$Q$1006:$U$1006,0)), HYPERLINK("#",""), HYPERLINK(CONCATENATE("#metadata!", ADDRESS(INDEX($L$2:$L$1001,MATCH(ROWS($J$2:J995),$J$2:$J$1001,0),0), INDEX($Q$1004:$U$1004,1,MATCH(COLUMNS($Q$1006:R1006),$Q$1006:$U$1006,0)))),"Fix")))</f>
        <v xml:space="preserve"> </v>
      </c>
      <c r="D995" s="3" t="str">
        <f ca="1">IF(OR(INDEX($K$2:$K$1001,MATCH(ROWS($J$2:J995),$J$2:$J$1001,0),1)&gt;=100000,INDEX($Q$1005:$U$1005,1,MATCH(COLUMNS($Q$1006:S1006),$Q$1006:$U$1006,0))&gt;=100000), " ",IF(INDEX($Q$2:$U$1001,MATCH(ROWS($J$2:J995),$J$2:$J$1001,0),MATCH(COLUMNS($Q$1006:S1006),$Q$1006:$U$1006,0)), HYPERLINK("#",""), HYPERLINK(CONCATENATE("#metadata!", ADDRESS(INDEX($L$2:$L$1001,MATCH(ROWS($J$2:J995),$J$2:$J$1001,0),0), INDEX($Q$1004:$U$1004,1,MATCH(COLUMNS($Q$1006:S1006),$Q$1006:$U$1006,0)))),"Fix")))</f>
        <v xml:space="preserve"> </v>
      </c>
      <c r="E995" s="3" t="str">
        <f ca="1">IF(OR(INDEX($K$2:$K$1001,MATCH(ROWS($J$2:J995),$J$2:$J$1001,0),1)&gt;=100000,INDEX($Q$1005:$U$1005,1,MATCH(COLUMNS($Q$1006:T1006),$Q$1006:$U$1006,0))&gt;=100000), " ",IF(INDEX($Q$2:$U$1001,MATCH(ROWS($J$2:J995),$J$2:$J$1001,0),MATCH(COLUMNS($Q$1006:T1006),$Q$1006:$U$1006,0)), HYPERLINK("#",""), HYPERLINK(CONCATENATE("#metadata!", ADDRESS(INDEX($L$2:$L$1001,MATCH(ROWS($J$2:J995),$J$2:$J$1001,0),0), INDEX($Q$1004:$U$1004,1,MATCH(COLUMNS($Q$1006:T1006),$Q$1006:$U$1006,0)))),"Fix")))</f>
        <v xml:space="preserve"> </v>
      </c>
      <c r="F995" s="3" t="str">
        <f ca="1">IF(OR(INDEX($K$2:$K$1001,MATCH(ROWS($J$2:J995),$J$2:$J$1001,0),1)&gt;=100000,INDEX($Q$1005:$U$1005,1,MATCH(COLUMNS($Q$1006:U1006),$Q$1006:$U$1006,0))&gt;=100000), " ",IF(INDEX($Q$2:$U$1001,MATCH(ROWS($J$2:J995),$J$2:$J$1001,0),MATCH(COLUMNS($Q$1006:U1006),$Q$1006:$U$1006,0)), HYPERLINK("#",""), HYPERLINK(CONCATENATE("#metadata!", ADDRESS(INDEX($L$2:$L$1001,MATCH(ROWS($J$2:J995),$J$2:$J$1001,0),0), INDEX($Q$1004:$U$1004,1,MATCH(COLUMNS($Q$1006:U1006),$Q$1006:$U$1006,0)))),"Fix")))</f>
        <v xml:space="preserve"> </v>
      </c>
      <c r="J995">
        <v>994</v>
      </c>
      <c r="K995">
        <v>100995</v>
      </c>
      <c r="L995">
        <v>995</v>
      </c>
      <c r="M995" t="b">
        <f t="shared" si="15"/>
        <v>1</v>
      </c>
      <c r="N995" t="b">
        <f>COUNTBLANK(metadata!B995:F995)=COLUMNS(metadata!B995:F995)</f>
        <v>1</v>
      </c>
      <c r="O995" t="str">
        <v/>
      </c>
      <c r="Q995" t="b">
        <f ca="1">AND(IF(metadata!B995="",FALSE,TRUE),COUNTIF(metadata!B:B, metadata!B995) = 1,NOT(ISERROR(SUMPRODUCT(SEARCH(MID(metadata!B995,ROW(INDIRECT("1:"&amp;LEN(metadata!B995))), 1),"0123456789abcdefghijklmnopqrstuvwxyzABCDEFGHIJKLMNOPQRSTUVWXYZ.")))))</f>
        <v>0</v>
      </c>
      <c r="R995" t="b">
        <f>AND(IF(metadata!C995="",FALSE,TRUE),OR(EXACT(metadata!C995,"saline"),EXACT(metadata!C995,"non-saline")))</f>
        <v>0</v>
      </c>
      <c r="S995" t="b">
        <f>AND(IF(metadata!D995="",FALSE,TRUE),OR(EXACT(metadata!D995,"surface (non-saline)"),EXACT(metadata!D995,"aerosol (non-saline)"),EXACT(metadata!D995,"sediment (non-saline)"),EXACT(metadata!D995,"surface (saline)"),EXACT(metadata!D995,"aerosol (saline)"),EXACT(metadata!D995,"sediment (saline)")))</f>
        <v>0</v>
      </c>
      <c r="T995" t="b">
        <f>AND(IF(metadata!E995="",FALSE,TRUE),EXACT(metadata!E995,"built environment"))</f>
        <v>0</v>
      </c>
      <c r="U995" t="b">
        <f>OR(AND(IF(metadata!F995="",FALSE,TRUE),EXACT(metadata!F995,"not applicable")),AND(IF(metadata!F995="",FALSE,TRUE),EXACT(metadata!F995,"anaerobic digester content")))</f>
        <v>0</v>
      </c>
    </row>
    <row r="996" spans="1:21" x14ac:dyDescent="0.2">
      <c r="A996" s="4" t="str">
        <f ca="1">IF(B996=" "," ",HYPERLINK(CONCATENATE("#metadata!",ADDRESS(INDEX($L$2:$L$1001,MATCH(ROWS($J$2:J996),$J$2:$J$1001,0),0),1)),INDEX($O$2:$O$1001,MATCH(ROWS($J$2:J996),$J$2:$J$1001,0),0)))</f>
        <v xml:space="preserve"> </v>
      </c>
      <c r="B996" s="3" t="str">
        <f ca="1">IF(OR(INDEX($K$2:$K$1001,MATCH(ROWS($J$2:J996),$J$2:$J$1001,0),1)&gt;=100000,INDEX($Q$1005:$U$1005,1,MATCH(COLUMNS($Q$1006:Q1006),$Q$1006:$U$1006,0))&gt;=100000), " ",IF(INDEX($Q$2:$U$1001,MATCH(ROWS($J$2:J996),$J$2:$J$1001,0),MATCH(COLUMNS($Q$1006:Q1006),$Q$1006:$U$1006,0)), HYPERLINK("#",""), HYPERLINK(CONCATENATE("#metadata!", ADDRESS(INDEX($L$2:$L$1001,MATCH(ROWS($J$2:J996),$J$2:$J$1001,0),0), INDEX($Q$1004:$U$1004,1,MATCH(COLUMNS($Q$1006:Q1006),$Q$1006:$U$1006,0)))),"Fix")))</f>
        <v xml:space="preserve"> </v>
      </c>
      <c r="C996" s="3" t="str">
        <f ca="1">IF(OR(INDEX($K$2:$K$1001,MATCH(ROWS($J$2:J996),$J$2:$J$1001,0),1)&gt;=100000,INDEX($Q$1005:$U$1005,1,MATCH(COLUMNS($Q$1006:R1006),$Q$1006:$U$1006,0))&gt;=100000), " ",IF(INDEX($Q$2:$U$1001,MATCH(ROWS($J$2:J996),$J$2:$J$1001,0),MATCH(COLUMNS($Q$1006:R1006),$Q$1006:$U$1006,0)), HYPERLINK("#",""), HYPERLINK(CONCATENATE("#metadata!", ADDRESS(INDEX($L$2:$L$1001,MATCH(ROWS($J$2:J996),$J$2:$J$1001,0),0), INDEX($Q$1004:$U$1004,1,MATCH(COLUMNS($Q$1006:R1006),$Q$1006:$U$1006,0)))),"Fix")))</f>
        <v xml:space="preserve"> </v>
      </c>
      <c r="D996" s="3" t="str">
        <f ca="1">IF(OR(INDEX($K$2:$K$1001,MATCH(ROWS($J$2:J996),$J$2:$J$1001,0),1)&gt;=100000,INDEX($Q$1005:$U$1005,1,MATCH(COLUMNS($Q$1006:S1006),$Q$1006:$U$1006,0))&gt;=100000), " ",IF(INDEX($Q$2:$U$1001,MATCH(ROWS($J$2:J996),$J$2:$J$1001,0),MATCH(COLUMNS($Q$1006:S1006),$Q$1006:$U$1006,0)), HYPERLINK("#",""), HYPERLINK(CONCATENATE("#metadata!", ADDRESS(INDEX($L$2:$L$1001,MATCH(ROWS($J$2:J996),$J$2:$J$1001,0),0), INDEX($Q$1004:$U$1004,1,MATCH(COLUMNS($Q$1006:S1006),$Q$1006:$U$1006,0)))),"Fix")))</f>
        <v xml:space="preserve"> </v>
      </c>
      <c r="E996" s="3" t="str">
        <f ca="1">IF(OR(INDEX($K$2:$K$1001,MATCH(ROWS($J$2:J996),$J$2:$J$1001,0),1)&gt;=100000,INDEX($Q$1005:$U$1005,1,MATCH(COLUMNS($Q$1006:T1006),$Q$1006:$U$1006,0))&gt;=100000), " ",IF(INDEX($Q$2:$U$1001,MATCH(ROWS($J$2:J996),$J$2:$J$1001,0),MATCH(COLUMNS($Q$1006:T1006),$Q$1006:$U$1006,0)), HYPERLINK("#",""), HYPERLINK(CONCATENATE("#metadata!", ADDRESS(INDEX($L$2:$L$1001,MATCH(ROWS($J$2:J996),$J$2:$J$1001,0),0), INDEX($Q$1004:$U$1004,1,MATCH(COLUMNS($Q$1006:T1006),$Q$1006:$U$1006,0)))),"Fix")))</f>
        <v xml:space="preserve"> </v>
      </c>
      <c r="F996" s="3" t="str">
        <f ca="1">IF(OR(INDEX($K$2:$K$1001,MATCH(ROWS($J$2:J996),$J$2:$J$1001,0),1)&gt;=100000,INDEX($Q$1005:$U$1005,1,MATCH(COLUMNS($Q$1006:U1006),$Q$1006:$U$1006,0))&gt;=100000), " ",IF(INDEX($Q$2:$U$1001,MATCH(ROWS($J$2:J996),$J$2:$J$1001,0),MATCH(COLUMNS($Q$1006:U1006),$Q$1006:$U$1006,0)), HYPERLINK("#",""), HYPERLINK(CONCATENATE("#metadata!", ADDRESS(INDEX($L$2:$L$1001,MATCH(ROWS($J$2:J996),$J$2:$J$1001,0),0), INDEX($Q$1004:$U$1004,1,MATCH(COLUMNS($Q$1006:U1006),$Q$1006:$U$1006,0)))),"Fix")))</f>
        <v xml:space="preserve"> </v>
      </c>
      <c r="J996">
        <v>995</v>
      </c>
      <c r="K996">
        <v>100996</v>
      </c>
      <c r="L996">
        <v>996</v>
      </c>
      <c r="M996" t="b">
        <f t="shared" si="15"/>
        <v>1</v>
      </c>
      <c r="N996" t="b">
        <f>COUNTBLANK(metadata!B996:F996)=COLUMNS(metadata!B996:F996)</f>
        <v>1</v>
      </c>
      <c r="O996" t="str">
        <v/>
      </c>
      <c r="Q996" t="b">
        <f ca="1">AND(IF(metadata!B996="",FALSE,TRUE),COUNTIF(metadata!B:B, metadata!B996) = 1,NOT(ISERROR(SUMPRODUCT(SEARCH(MID(metadata!B996,ROW(INDIRECT("1:"&amp;LEN(metadata!B996))), 1),"0123456789abcdefghijklmnopqrstuvwxyzABCDEFGHIJKLMNOPQRSTUVWXYZ.")))))</f>
        <v>0</v>
      </c>
      <c r="R996" t="b">
        <f>AND(IF(metadata!C996="",FALSE,TRUE),OR(EXACT(metadata!C996,"saline"),EXACT(metadata!C996,"non-saline")))</f>
        <v>0</v>
      </c>
      <c r="S996" t="b">
        <f>AND(IF(metadata!D996="",FALSE,TRUE),OR(EXACT(metadata!D996,"surface (non-saline)"),EXACT(metadata!D996,"aerosol (non-saline)"),EXACT(metadata!D996,"sediment (non-saline)"),EXACT(metadata!D996,"surface (saline)"),EXACT(metadata!D996,"aerosol (saline)"),EXACT(metadata!D996,"sediment (saline)")))</f>
        <v>0</v>
      </c>
      <c r="T996" t="b">
        <f>AND(IF(metadata!E996="",FALSE,TRUE),EXACT(metadata!E996,"built environment"))</f>
        <v>0</v>
      </c>
      <c r="U996" t="b">
        <f>OR(AND(IF(metadata!F996="",FALSE,TRUE),EXACT(metadata!F996,"not applicable")),AND(IF(metadata!F996="",FALSE,TRUE),EXACT(metadata!F996,"anaerobic digester content")))</f>
        <v>0</v>
      </c>
    </row>
    <row r="997" spans="1:21" x14ac:dyDescent="0.2">
      <c r="A997" s="4" t="str">
        <f ca="1">IF(B997=" "," ",HYPERLINK(CONCATENATE("#metadata!",ADDRESS(INDEX($L$2:$L$1001,MATCH(ROWS($J$2:J997),$J$2:$J$1001,0),0),1)),INDEX($O$2:$O$1001,MATCH(ROWS($J$2:J997),$J$2:$J$1001,0),0)))</f>
        <v xml:space="preserve"> </v>
      </c>
      <c r="B997" s="3" t="str">
        <f ca="1">IF(OR(INDEX($K$2:$K$1001,MATCH(ROWS($J$2:J997),$J$2:$J$1001,0),1)&gt;=100000,INDEX($Q$1005:$U$1005,1,MATCH(COLUMNS($Q$1006:Q1006),$Q$1006:$U$1006,0))&gt;=100000), " ",IF(INDEX($Q$2:$U$1001,MATCH(ROWS($J$2:J997),$J$2:$J$1001,0),MATCH(COLUMNS($Q$1006:Q1006),$Q$1006:$U$1006,0)), HYPERLINK("#",""), HYPERLINK(CONCATENATE("#metadata!", ADDRESS(INDEX($L$2:$L$1001,MATCH(ROWS($J$2:J997),$J$2:$J$1001,0),0), INDEX($Q$1004:$U$1004,1,MATCH(COLUMNS($Q$1006:Q1006),$Q$1006:$U$1006,0)))),"Fix")))</f>
        <v xml:space="preserve"> </v>
      </c>
      <c r="C997" s="3" t="str">
        <f ca="1">IF(OR(INDEX($K$2:$K$1001,MATCH(ROWS($J$2:J997),$J$2:$J$1001,0),1)&gt;=100000,INDEX($Q$1005:$U$1005,1,MATCH(COLUMNS($Q$1006:R1006),$Q$1006:$U$1006,0))&gt;=100000), " ",IF(INDEX($Q$2:$U$1001,MATCH(ROWS($J$2:J997),$J$2:$J$1001,0),MATCH(COLUMNS($Q$1006:R1006),$Q$1006:$U$1006,0)), HYPERLINK("#",""), HYPERLINK(CONCATENATE("#metadata!", ADDRESS(INDEX($L$2:$L$1001,MATCH(ROWS($J$2:J997),$J$2:$J$1001,0),0), INDEX($Q$1004:$U$1004,1,MATCH(COLUMNS($Q$1006:R1006),$Q$1006:$U$1006,0)))),"Fix")))</f>
        <v xml:space="preserve"> </v>
      </c>
      <c r="D997" s="3" t="str">
        <f ca="1">IF(OR(INDEX($K$2:$K$1001,MATCH(ROWS($J$2:J997),$J$2:$J$1001,0),1)&gt;=100000,INDEX($Q$1005:$U$1005,1,MATCH(COLUMNS($Q$1006:S1006),$Q$1006:$U$1006,0))&gt;=100000), " ",IF(INDEX($Q$2:$U$1001,MATCH(ROWS($J$2:J997),$J$2:$J$1001,0),MATCH(COLUMNS($Q$1006:S1006),$Q$1006:$U$1006,0)), HYPERLINK("#",""), HYPERLINK(CONCATENATE("#metadata!", ADDRESS(INDEX($L$2:$L$1001,MATCH(ROWS($J$2:J997),$J$2:$J$1001,0),0), INDEX($Q$1004:$U$1004,1,MATCH(COLUMNS($Q$1006:S1006),$Q$1006:$U$1006,0)))),"Fix")))</f>
        <v xml:space="preserve"> </v>
      </c>
      <c r="E997" s="3" t="str">
        <f ca="1">IF(OR(INDEX($K$2:$K$1001,MATCH(ROWS($J$2:J997),$J$2:$J$1001,0),1)&gt;=100000,INDEX($Q$1005:$U$1005,1,MATCH(COLUMNS($Q$1006:T1006),$Q$1006:$U$1006,0))&gt;=100000), " ",IF(INDEX($Q$2:$U$1001,MATCH(ROWS($J$2:J997),$J$2:$J$1001,0),MATCH(COLUMNS($Q$1006:T1006),$Q$1006:$U$1006,0)), HYPERLINK("#",""), HYPERLINK(CONCATENATE("#metadata!", ADDRESS(INDEX($L$2:$L$1001,MATCH(ROWS($J$2:J997),$J$2:$J$1001,0),0), INDEX($Q$1004:$U$1004,1,MATCH(COLUMNS($Q$1006:T1006),$Q$1006:$U$1006,0)))),"Fix")))</f>
        <v xml:space="preserve"> </v>
      </c>
      <c r="F997" s="3" t="str">
        <f ca="1">IF(OR(INDEX($K$2:$K$1001,MATCH(ROWS($J$2:J997),$J$2:$J$1001,0),1)&gt;=100000,INDEX($Q$1005:$U$1005,1,MATCH(COLUMNS($Q$1006:U1006),$Q$1006:$U$1006,0))&gt;=100000), " ",IF(INDEX($Q$2:$U$1001,MATCH(ROWS($J$2:J997),$J$2:$J$1001,0),MATCH(COLUMNS($Q$1006:U1006),$Q$1006:$U$1006,0)), HYPERLINK("#",""), HYPERLINK(CONCATENATE("#metadata!", ADDRESS(INDEX($L$2:$L$1001,MATCH(ROWS($J$2:J997),$J$2:$J$1001,0),0), INDEX($Q$1004:$U$1004,1,MATCH(COLUMNS($Q$1006:U1006),$Q$1006:$U$1006,0)))),"Fix")))</f>
        <v xml:space="preserve"> </v>
      </c>
      <c r="J997">
        <v>996</v>
      </c>
      <c r="K997">
        <v>100997</v>
      </c>
      <c r="L997">
        <v>997</v>
      </c>
      <c r="M997" t="b">
        <f t="shared" si="15"/>
        <v>1</v>
      </c>
      <c r="N997" t="b">
        <f>COUNTBLANK(metadata!B997:F997)=COLUMNS(metadata!B997:F997)</f>
        <v>1</v>
      </c>
      <c r="O997" t="str">
        <v/>
      </c>
      <c r="Q997" t="b">
        <f ca="1">AND(IF(metadata!B997="",FALSE,TRUE),COUNTIF(metadata!B:B, metadata!B997) = 1,NOT(ISERROR(SUMPRODUCT(SEARCH(MID(metadata!B997,ROW(INDIRECT("1:"&amp;LEN(metadata!B997))), 1),"0123456789abcdefghijklmnopqrstuvwxyzABCDEFGHIJKLMNOPQRSTUVWXYZ.")))))</f>
        <v>0</v>
      </c>
      <c r="R997" t="b">
        <f>AND(IF(metadata!C997="",FALSE,TRUE),OR(EXACT(metadata!C997,"saline"),EXACT(metadata!C997,"non-saline")))</f>
        <v>0</v>
      </c>
      <c r="S997" t="b">
        <f>AND(IF(metadata!D997="",FALSE,TRUE),OR(EXACT(metadata!D997,"surface (non-saline)"),EXACT(metadata!D997,"aerosol (non-saline)"),EXACT(metadata!D997,"sediment (non-saline)"),EXACT(metadata!D997,"surface (saline)"),EXACT(metadata!D997,"aerosol (saline)"),EXACT(metadata!D997,"sediment (saline)")))</f>
        <v>0</v>
      </c>
      <c r="T997" t="b">
        <f>AND(IF(metadata!E997="",FALSE,TRUE),EXACT(metadata!E997,"built environment"))</f>
        <v>0</v>
      </c>
      <c r="U997" t="b">
        <f>OR(AND(IF(metadata!F997="",FALSE,TRUE),EXACT(metadata!F997,"not applicable")),AND(IF(metadata!F997="",FALSE,TRUE),EXACT(metadata!F997,"anaerobic digester content")))</f>
        <v>0</v>
      </c>
    </row>
    <row r="998" spans="1:21" x14ac:dyDescent="0.2">
      <c r="A998" s="4" t="str">
        <f ca="1">IF(B998=" "," ",HYPERLINK(CONCATENATE("#metadata!",ADDRESS(INDEX($L$2:$L$1001,MATCH(ROWS($J$2:J998),$J$2:$J$1001,0),0),1)),INDEX($O$2:$O$1001,MATCH(ROWS($J$2:J998),$J$2:$J$1001,0),0)))</f>
        <v xml:space="preserve"> </v>
      </c>
      <c r="B998" s="3" t="str">
        <f ca="1">IF(OR(INDEX($K$2:$K$1001,MATCH(ROWS($J$2:J998),$J$2:$J$1001,0),1)&gt;=100000,INDEX($Q$1005:$U$1005,1,MATCH(COLUMNS($Q$1006:Q1006),$Q$1006:$U$1006,0))&gt;=100000), " ",IF(INDEX($Q$2:$U$1001,MATCH(ROWS($J$2:J998),$J$2:$J$1001,0),MATCH(COLUMNS($Q$1006:Q1006),$Q$1006:$U$1006,0)), HYPERLINK("#",""), HYPERLINK(CONCATENATE("#metadata!", ADDRESS(INDEX($L$2:$L$1001,MATCH(ROWS($J$2:J998),$J$2:$J$1001,0),0), INDEX($Q$1004:$U$1004,1,MATCH(COLUMNS($Q$1006:Q1006),$Q$1006:$U$1006,0)))),"Fix")))</f>
        <v xml:space="preserve"> </v>
      </c>
      <c r="C998" s="3" t="str">
        <f ca="1">IF(OR(INDEX($K$2:$K$1001,MATCH(ROWS($J$2:J998),$J$2:$J$1001,0),1)&gt;=100000,INDEX($Q$1005:$U$1005,1,MATCH(COLUMNS($Q$1006:R1006),$Q$1006:$U$1006,0))&gt;=100000), " ",IF(INDEX($Q$2:$U$1001,MATCH(ROWS($J$2:J998),$J$2:$J$1001,0),MATCH(COLUMNS($Q$1006:R1006),$Q$1006:$U$1006,0)), HYPERLINK("#",""), HYPERLINK(CONCATENATE("#metadata!", ADDRESS(INDEX($L$2:$L$1001,MATCH(ROWS($J$2:J998),$J$2:$J$1001,0),0), INDEX($Q$1004:$U$1004,1,MATCH(COLUMNS($Q$1006:R1006),$Q$1006:$U$1006,0)))),"Fix")))</f>
        <v xml:space="preserve"> </v>
      </c>
      <c r="D998" s="3" t="str">
        <f ca="1">IF(OR(INDEX($K$2:$K$1001,MATCH(ROWS($J$2:J998),$J$2:$J$1001,0),1)&gt;=100000,INDEX($Q$1005:$U$1005,1,MATCH(COLUMNS($Q$1006:S1006),$Q$1006:$U$1006,0))&gt;=100000), " ",IF(INDEX($Q$2:$U$1001,MATCH(ROWS($J$2:J998),$J$2:$J$1001,0),MATCH(COLUMNS($Q$1006:S1006),$Q$1006:$U$1006,0)), HYPERLINK("#",""), HYPERLINK(CONCATENATE("#metadata!", ADDRESS(INDEX($L$2:$L$1001,MATCH(ROWS($J$2:J998),$J$2:$J$1001,0),0), INDEX($Q$1004:$U$1004,1,MATCH(COLUMNS($Q$1006:S1006),$Q$1006:$U$1006,0)))),"Fix")))</f>
        <v xml:space="preserve"> </v>
      </c>
      <c r="E998" s="3" t="str">
        <f ca="1">IF(OR(INDEX($K$2:$K$1001,MATCH(ROWS($J$2:J998),$J$2:$J$1001,0),1)&gt;=100000,INDEX($Q$1005:$U$1005,1,MATCH(COLUMNS($Q$1006:T1006),$Q$1006:$U$1006,0))&gt;=100000), " ",IF(INDEX($Q$2:$U$1001,MATCH(ROWS($J$2:J998),$J$2:$J$1001,0),MATCH(COLUMNS($Q$1006:T1006),$Q$1006:$U$1006,0)), HYPERLINK("#",""), HYPERLINK(CONCATENATE("#metadata!", ADDRESS(INDEX($L$2:$L$1001,MATCH(ROWS($J$2:J998),$J$2:$J$1001,0),0), INDEX($Q$1004:$U$1004,1,MATCH(COLUMNS($Q$1006:T1006),$Q$1006:$U$1006,0)))),"Fix")))</f>
        <v xml:space="preserve"> </v>
      </c>
      <c r="F998" s="3" t="str">
        <f ca="1">IF(OR(INDEX($K$2:$K$1001,MATCH(ROWS($J$2:J998),$J$2:$J$1001,0),1)&gt;=100000,INDEX($Q$1005:$U$1005,1,MATCH(COLUMNS($Q$1006:U1006),$Q$1006:$U$1006,0))&gt;=100000), " ",IF(INDEX($Q$2:$U$1001,MATCH(ROWS($J$2:J998),$J$2:$J$1001,0),MATCH(COLUMNS($Q$1006:U1006),$Q$1006:$U$1006,0)), HYPERLINK("#",""), HYPERLINK(CONCATENATE("#metadata!", ADDRESS(INDEX($L$2:$L$1001,MATCH(ROWS($J$2:J998),$J$2:$J$1001,0),0), INDEX($Q$1004:$U$1004,1,MATCH(COLUMNS($Q$1006:U1006),$Q$1006:$U$1006,0)))),"Fix")))</f>
        <v xml:space="preserve"> </v>
      </c>
      <c r="J998">
        <v>997</v>
      </c>
      <c r="K998">
        <v>100998</v>
      </c>
      <c r="L998">
        <v>998</v>
      </c>
      <c r="M998" t="b">
        <f t="shared" si="15"/>
        <v>1</v>
      </c>
      <c r="N998" t="b">
        <f>COUNTBLANK(metadata!B998:F998)=COLUMNS(metadata!B998:F998)</f>
        <v>1</v>
      </c>
      <c r="O998" t="str">
        <v/>
      </c>
      <c r="Q998" t="b">
        <f ca="1">AND(IF(metadata!B998="",FALSE,TRUE),COUNTIF(metadata!B:B, metadata!B998) = 1,NOT(ISERROR(SUMPRODUCT(SEARCH(MID(metadata!B998,ROW(INDIRECT("1:"&amp;LEN(metadata!B998))), 1),"0123456789abcdefghijklmnopqrstuvwxyzABCDEFGHIJKLMNOPQRSTUVWXYZ.")))))</f>
        <v>0</v>
      </c>
      <c r="R998" t="b">
        <f>AND(IF(metadata!C998="",FALSE,TRUE),OR(EXACT(metadata!C998,"saline"),EXACT(metadata!C998,"non-saline")))</f>
        <v>0</v>
      </c>
      <c r="S998" t="b">
        <f>AND(IF(metadata!D998="",FALSE,TRUE),OR(EXACT(metadata!D998,"surface (non-saline)"),EXACT(metadata!D998,"aerosol (non-saline)"),EXACT(metadata!D998,"sediment (non-saline)"),EXACT(metadata!D998,"surface (saline)"),EXACT(metadata!D998,"aerosol (saline)"),EXACT(metadata!D998,"sediment (saline)")))</f>
        <v>0</v>
      </c>
      <c r="T998" t="b">
        <f>AND(IF(metadata!E998="",FALSE,TRUE),EXACT(metadata!E998,"built environment"))</f>
        <v>0</v>
      </c>
      <c r="U998" t="b">
        <f>OR(AND(IF(metadata!F998="",FALSE,TRUE),EXACT(metadata!F998,"not applicable")),AND(IF(metadata!F998="",FALSE,TRUE),EXACT(metadata!F998,"anaerobic digester content")))</f>
        <v>0</v>
      </c>
    </row>
    <row r="999" spans="1:21" x14ac:dyDescent="0.2">
      <c r="A999" s="4" t="str">
        <f ca="1">IF(B999=" "," ",HYPERLINK(CONCATENATE("#metadata!",ADDRESS(INDEX($L$2:$L$1001,MATCH(ROWS($J$2:J999),$J$2:$J$1001,0),0),1)),INDEX($O$2:$O$1001,MATCH(ROWS($J$2:J999),$J$2:$J$1001,0),0)))</f>
        <v xml:space="preserve"> </v>
      </c>
      <c r="B999" s="3" t="str">
        <f ca="1">IF(OR(INDEX($K$2:$K$1001,MATCH(ROWS($J$2:J999),$J$2:$J$1001,0),1)&gt;=100000,INDEX($Q$1005:$U$1005,1,MATCH(COLUMNS($Q$1006:Q1006),$Q$1006:$U$1006,0))&gt;=100000), " ",IF(INDEX($Q$2:$U$1001,MATCH(ROWS($J$2:J999),$J$2:$J$1001,0),MATCH(COLUMNS($Q$1006:Q1006),$Q$1006:$U$1006,0)), HYPERLINK("#",""), HYPERLINK(CONCATENATE("#metadata!", ADDRESS(INDEX($L$2:$L$1001,MATCH(ROWS($J$2:J999),$J$2:$J$1001,0),0), INDEX($Q$1004:$U$1004,1,MATCH(COLUMNS($Q$1006:Q1006),$Q$1006:$U$1006,0)))),"Fix")))</f>
        <v xml:space="preserve"> </v>
      </c>
      <c r="C999" s="3" t="str">
        <f ca="1">IF(OR(INDEX($K$2:$K$1001,MATCH(ROWS($J$2:J999),$J$2:$J$1001,0),1)&gt;=100000,INDEX($Q$1005:$U$1005,1,MATCH(COLUMNS($Q$1006:R1006),$Q$1006:$U$1006,0))&gt;=100000), " ",IF(INDEX($Q$2:$U$1001,MATCH(ROWS($J$2:J999),$J$2:$J$1001,0),MATCH(COLUMNS($Q$1006:R1006),$Q$1006:$U$1006,0)), HYPERLINK("#",""), HYPERLINK(CONCATENATE("#metadata!", ADDRESS(INDEX($L$2:$L$1001,MATCH(ROWS($J$2:J999),$J$2:$J$1001,0),0), INDEX($Q$1004:$U$1004,1,MATCH(COLUMNS($Q$1006:R1006),$Q$1006:$U$1006,0)))),"Fix")))</f>
        <v xml:space="preserve"> </v>
      </c>
      <c r="D999" s="3" t="str">
        <f ca="1">IF(OR(INDEX($K$2:$K$1001,MATCH(ROWS($J$2:J999),$J$2:$J$1001,0),1)&gt;=100000,INDEX($Q$1005:$U$1005,1,MATCH(COLUMNS($Q$1006:S1006),$Q$1006:$U$1006,0))&gt;=100000), " ",IF(INDEX($Q$2:$U$1001,MATCH(ROWS($J$2:J999),$J$2:$J$1001,0),MATCH(COLUMNS($Q$1006:S1006),$Q$1006:$U$1006,0)), HYPERLINK("#",""), HYPERLINK(CONCATENATE("#metadata!", ADDRESS(INDEX($L$2:$L$1001,MATCH(ROWS($J$2:J999),$J$2:$J$1001,0),0), INDEX($Q$1004:$U$1004,1,MATCH(COLUMNS($Q$1006:S1006),$Q$1006:$U$1006,0)))),"Fix")))</f>
        <v xml:space="preserve"> </v>
      </c>
      <c r="E999" s="3" t="str">
        <f ca="1">IF(OR(INDEX($K$2:$K$1001,MATCH(ROWS($J$2:J999),$J$2:$J$1001,0),1)&gt;=100000,INDEX($Q$1005:$U$1005,1,MATCH(COLUMNS($Q$1006:T1006),$Q$1006:$U$1006,0))&gt;=100000), " ",IF(INDEX($Q$2:$U$1001,MATCH(ROWS($J$2:J999),$J$2:$J$1001,0),MATCH(COLUMNS($Q$1006:T1006),$Q$1006:$U$1006,0)), HYPERLINK("#",""), HYPERLINK(CONCATENATE("#metadata!", ADDRESS(INDEX($L$2:$L$1001,MATCH(ROWS($J$2:J999),$J$2:$J$1001,0),0), INDEX($Q$1004:$U$1004,1,MATCH(COLUMNS($Q$1006:T1006),$Q$1006:$U$1006,0)))),"Fix")))</f>
        <v xml:space="preserve"> </v>
      </c>
      <c r="F999" s="3" t="str">
        <f ca="1">IF(OR(INDEX($K$2:$K$1001,MATCH(ROWS($J$2:J999),$J$2:$J$1001,0),1)&gt;=100000,INDEX($Q$1005:$U$1005,1,MATCH(COLUMNS($Q$1006:U1006),$Q$1006:$U$1006,0))&gt;=100000), " ",IF(INDEX($Q$2:$U$1001,MATCH(ROWS($J$2:J999),$J$2:$J$1001,0),MATCH(COLUMNS($Q$1006:U1006),$Q$1006:$U$1006,0)), HYPERLINK("#",""), HYPERLINK(CONCATENATE("#metadata!", ADDRESS(INDEX($L$2:$L$1001,MATCH(ROWS($J$2:J999),$J$2:$J$1001,0),0), INDEX($Q$1004:$U$1004,1,MATCH(COLUMNS($Q$1006:U1006),$Q$1006:$U$1006,0)))),"Fix")))</f>
        <v xml:space="preserve"> </v>
      </c>
      <c r="J999">
        <v>998</v>
      </c>
      <c r="K999">
        <v>100999</v>
      </c>
      <c r="L999">
        <v>999</v>
      </c>
      <c r="M999" t="b">
        <f t="shared" si="15"/>
        <v>1</v>
      </c>
      <c r="N999" t="b">
        <f>COUNTBLANK(metadata!B999:F999)=COLUMNS(metadata!B999:F999)</f>
        <v>1</v>
      </c>
      <c r="O999" t="str">
        <v/>
      </c>
      <c r="Q999" t="b">
        <f ca="1">AND(IF(metadata!B999="",FALSE,TRUE),COUNTIF(metadata!B:B, metadata!B999) = 1,NOT(ISERROR(SUMPRODUCT(SEARCH(MID(metadata!B999,ROW(INDIRECT("1:"&amp;LEN(metadata!B999))), 1),"0123456789abcdefghijklmnopqrstuvwxyzABCDEFGHIJKLMNOPQRSTUVWXYZ.")))))</f>
        <v>0</v>
      </c>
      <c r="R999" t="b">
        <f>AND(IF(metadata!C999="",FALSE,TRUE),OR(EXACT(metadata!C999,"saline"),EXACT(metadata!C999,"non-saline")))</f>
        <v>0</v>
      </c>
      <c r="S999" t="b">
        <f>AND(IF(metadata!D999="",FALSE,TRUE),OR(EXACT(metadata!D999,"surface (non-saline)"),EXACT(metadata!D999,"aerosol (non-saline)"),EXACT(metadata!D999,"sediment (non-saline)"),EXACT(metadata!D999,"surface (saline)"),EXACT(metadata!D999,"aerosol (saline)"),EXACT(metadata!D999,"sediment (saline)")))</f>
        <v>0</v>
      </c>
      <c r="T999" t="b">
        <f>AND(IF(metadata!E999="",FALSE,TRUE),EXACT(metadata!E999,"built environment"))</f>
        <v>0</v>
      </c>
      <c r="U999" t="b">
        <f>OR(AND(IF(metadata!F999="",FALSE,TRUE),EXACT(metadata!F999,"not applicable")),AND(IF(metadata!F999="",FALSE,TRUE),EXACT(metadata!F999,"anaerobic digester content")))</f>
        <v>0</v>
      </c>
    </row>
    <row r="1000" spans="1:21" x14ac:dyDescent="0.2">
      <c r="A1000" s="4" t="str">
        <f ca="1">IF(B1000=" "," ",HYPERLINK(CONCATENATE("#metadata!",ADDRESS(INDEX($L$2:$L$1001,MATCH(ROWS($J$2:J1000),$J$2:$J$1001,0),0),1)),INDEX($O$2:$O$1001,MATCH(ROWS($J$2:J1000),$J$2:$J$1001,0),0)))</f>
        <v xml:space="preserve"> </v>
      </c>
      <c r="B1000" s="3" t="str">
        <f ca="1">IF(OR(INDEX($K$2:$K$1001,MATCH(ROWS($J$2:J1000),$J$2:$J$1001,0),1)&gt;=100000,INDEX($Q$1005:$U$1005,1,MATCH(COLUMNS($Q$1006:Q1006),$Q$1006:$U$1006,0))&gt;=100000), " ",IF(INDEX($Q$2:$U$1001,MATCH(ROWS($J$2:J1000),$J$2:$J$1001,0),MATCH(COLUMNS($Q$1006:Q1006),$Q$1006:$U$1006,0)), HYPERLINK("#",""), HYPERLINK(CONCATENATE("#metadata!", ADDRESS(INDEX($L$2:$L$1001,MATCH(ROWS($J$2:J1000),$J$2:$J$1001,0),0), INDEX($Q$1004:$U$1004,1,MATCH(COLUMNS($Q$1006:Q1006),$Q$1006:$U$1006,0)))),"Fix")))</f>
        <v xml:space="preserve"> </v>
      </c>
      <c r="C1000" s="3" t="str">
        <f ca="1">IF(OR(INDEX($K$2:$K$1001,MATCH(ROWS($J$2:J1000),$J$2:$J$1001,0),1)&gt;=100000,INDEX($Q$1005:$U$1005,1,MATCH(COLUMNS($Q$1006:R1006),$Q$1006:$U$1006,0))&gt;=100000), " ",IF(INDEX($Q$2:$U$1001,MATCH(ROWS($J$2:J1000),$J$2:$J$1001,0),MATCH(COLUMNS($Q$1006:R1006),$Q$1006:$U$1006,0)), HYPERLINK("#",""), HYPERLINK(CONCATENATE("#metadata!", ADDRESS(INDEX($L$2:$L$1001,MATCH(ROWS($J$2:J1000),$J$2:$J$1001,0),0), INDEX($Q$1004:$U$1004,1,MATCH(COLUMNS($Q$1006:R1006),$Q$1006:$U$1006,0)))),"Fix")))</f>
        <v xml:space="preserve"> </v>
      </c>
      <c r="D1000" s="3" t="str">
        <f ca="1">IF(OR(INDEX($K$2:$K$1001,MATCH(ROWS($J$2:J1000),$J$2:$J$1001,0),1)&gt;=100000,INDEX($Q$1005:$U$1005,1,MATCH(COLUMNS($Q$1006:S1006),$Q$1006:$U$1006,0))&gt;=100000), " ",IF(INDEX($Q$2:$U$1001,MATCH(ROWS($J$2:J1000),$J$2:$J$1001,0),MATCH(COLUMNS($Q$1006:S1006),$Q$1006:$U$1006,0)), HYPERLINK("#",""), HYPERLINK(CONCATENATE("#metadata!", ADDRESS(INDEX($L$2:$L$1001,MATCH(ROWS($J$2:J1000),$J$2:$J$1001,0),0), INDEX($Q$1004:$U$1004,1,MATCH(COLUMNS($Q$1006:S1006),$Q$1006:$U$1006,0)))),"Fix")))</f>
        <v xml:space="preserve"> </v>
      </c>
      <c r="E1000" s="3" t="str">
        <f ca="1">IF(OR(INDEX($K$2:$K$1001,MATCH(ROWS($J$2:J1000),$J$2:$J$1001,0),1)&gt;=100000,INDEX($Q$1005:$U$1005,1,MATCH(COLUMNS($Q$1006:T1006),$Q$1006:$U$1006,0))&gt;=100000), " ",IF(INDEX($Q$2:$U$1001,MATCH(ROWS($J$2:J1000),$J$2:$J$1001,0),MATCH(COLUMNS($Q$1006:T1006),$Q$1006:$U$1006,0)), HYPERLINK("#",""), HYPERLINK(CONCATENATE("#metadata!", ADDRESS(INDEX($L$2:$L$1001,MATCH(ROWS($J$2:J1000),$J$2:$J$1001,0),0), INDEX($Q$1004:$U$1004,1,MATCH(COLUMNS($Q$1006:T1006),$Q$1006:$U$1006,0)))),"Fix")))</f>
        <v xml:space="preserve"> </v>
      </c>
      <c r="F1000" s="3" t="str">
        <f ca="1">IF(OR(INDEX($K$2:$K$1001,MATCH(ROWS($J$2:J1000),$J$2:$J$1001,0),1)&gt;=100000,INDEX($Q$1005:$U$1005,1,MATCH(COLUMNS($Q$1006:U1006),$Q$1006:$U$1006,0))&gt;=100000), " ",IF(INDEX($Q$2:$U$1001,MATCH(ROWS($J$2:J1000),$J$2:$J$1001,0),MATCH(COLUMNS($Q$1006:U1006),$Q$1006:$U$1006,0)), HYPERLINK("#",""), HYPERLINK(CONCATENATE("#metadata!", ADDRESS(INDEX($L$2:$L$1001,MATCH(ROWS($J$2:J1000),$J$2:$J$1001,0),0), INDEX($Q$1004:$U$1004,1,MATCH(COLUMNS($Q$1006:U1006),$Q$1006:$U$1006,0)))),"Fix")))</f>
        <v xml:space="preserve"> </v>
      </c>
      <c r="J1000">
        <v>999</v>
      </c>
      <c r="K1000">
        <v>101000</v>
      </c>
      <c r="L1000">
        <v>1000</v>
      </c>
      <c r="M1000" t="b">
        <f t="shared" si="15"/>
        <v>1</v>
      </c>
      <c r="N1000" t="b">
        <f>COUNTBLANK(metadata!B1000:F1000)=COLUMNS(metadata!B1000:F1000)</f>
        <v>1</v>
      </c>
      <c r="O1000" t="str">
        <v/>
      </c>
      <c r="Q1000" t="b">
        <f ca="1">AND(IF(metadata!B1000="",FALSE,TRUE),COUNTIF(metadata!B:B, metadata!B1000) = 1,NOT(ISERROR(SUMPRODUCT(SEARCH(MID(metadata!B1000,ROW(INDIRECT("1:"&amp;LEN(metadata!B1000))), 1),"0123456789abcdefghijklmnopqrstuvwxyzABCDEFGHIJKLMNOPQRSTUVWXYZ.")))))</f>
        <v>0</v>
      </c>
      <c r="R1000" t="b">
        <f>AND(IF(metadata!C1000="",FALSE,TRUE),OR(EXACT(metadata!C1000,"saline"),EXACT(metadata!C1000,"non-saline")))</f>
        <v>0</v>
      </c>
      <c r="S1000" t="b">
        <f>AND(IF(metadata!D1000="",FALSE,TRUE),OR(EXACT(metadata!D1000,"surface (non-saline)"),EXACT(metadata!D1000,"aerosol (non-saline)"),EXACT(metadata!D1000,"sediment (non-saline)"),EXACT(metadata!D1000,"surface (saline)"),EXACT(metadata!D1000,"aerosol (saline)"),EXACT(metadata!D1000,"sediment (saline)")))</f>
        <v>0</v>
      </c>
      <c r="T1000" t="b">
        <f>AND(IF(metadata!E1000="",FALSE,TRUE),EXACT(metadata!E1000,"built environment"))</f>
        <v>0</v>
      </c>
      <c r="U1000" t="b">
        <f>OR(AND(IF(metadata!F1000="",FALSE,TRUE),EXACT(metadata!F1000,"not applicable")),AND(IF(metadata!F1000="",FALSE,TRUE),EXACT(metadata!F1000,"anaerobic digester content")))</f>
        <v>0</v>
      </c>
    </row>
    <row r="1001" spans="1:21" x14ac:dyDescent="0.2">
      <c r="A1001" s="4" t="str">
        <f ca="1">IF(B1001=" "," ",HYPERLINK(CONCATENATE("#metadata!",ADDRESS(INDEX($L$2:$L$1001,MATCH(ROWS($J$2:J1001),$J$2:$J$1001,0),0),1)),INDEX($O$2:$O$1001,MATCH(ROWS($J$2:J1001),$J$2:$J$1001,0),0)))</f>
        <v xml:space="preserve"> </v>
      </c>
      <c r="B1001" s="3" t="str">
        <f ca="1">IF(OR(INDEX($K$2:$K$1001,MATCH(ROWS($J$2:J1001),$J$2:$J$1001,0),1)&gt;=100000,INDEX($Q$1005:$U$1005,1,MATCH(COLUMNS($Q$1006:Q1006),$Q$1006:$U$1006,0))&gt;=100000), " ",IF(INDEX($Q$2:$U$1001,MATCH(ROWS($J$2:J1001),$J$2:$J$1001,0),MATCH(COLUMNS($Q$1006:Q1006),$Q$1006:$U$1006,0)), HYPERLINK("#",""), HYPERLINK(CONCATENATE("#metadata!", ADDRESS(INDEX($L$2:$L$1001,MATCH(ROWS($J$2:J1001),$J$2:$J$1001,0),0), INDEX($Q$1004:$U$1004,1,MATCH(COLUMNS($Q$1006:Q1006),$Q$1006:$U$1006,0)))),"Fix")))</f>
        <v xml:space="preserve"> </v>
      </c>
      <c r="C1001" s="3" t="str">
        <f ca="1">IF(OR(INDEX($K$2:$K$1001,MATCH(ROWS($J$2:J1001),$J$2:$J$1001,0),1)&gt;=100000,INDEX($Q$1005:$U$1005,1,MATCH(COLUMNS($Q$1006:R1006),$Q$1006:$U$1006,0))&gt;=100000), " ",IF(INDEX($Q$2:$U$1001,MATCH(ROWS($J$2:J1001),$J$2:$J$1001,0),MATCH(COLUMNS($Q$1006:R1006),$Q$1006:$U$1006,0)), HYPERLINK("#",""), HYPERLINK(CONCATENATE("#metadata!", ADDRESS(INDEX($L$2:$L$1001,MATCH(ROWS($J$2:J1001),$J$2:$J$1001,0),0), INDEX($Q$1004:$U$1004,1,MATCH(COLUMNS($Q$1006:R1006),$Q$1006:$U$1006,0)))),"Fix")))</f>
        <v xml:space="preserve"> </v>
      </c>
      <c r="D1001" s="3" t="str">
        <f ca="1">IF(OR(INDEX($K$2:$K$1001,MATCH(ROWS($J$2:J1001),$J$2:$J$1001,0),1)&gt;=100000,INDEX($Q$1005:$U$1005,1,MATCH(COLUMNS($Q$1006:S1006),$Q$1006:$U$1006,0))&gt;=100000), " ",IF(INDEX($Q$2:$U$1001,MATCH(ROWS($J$2:J1001),$J$2:$J$1001,0),MATCH(COLUMNS($Q$1006:S1006),$Q$1006:$U$1006,0)), HYPERLINK("#",""), HYPERLINK(CONCATENATE("#metadata!", ADDRESS(INDEX($L$2:$L$1001,MATCH(ROWS($J$2:J1001),$J$2:$J$1001,0),0), INDEX($Q$1004:$U$1004,1,MATCH(COLUMNS($Q$1006:S1006),$Q$1006:$U$1006,0)))),"Fix")))</f>
        <v xml:space="preserve"> </v>
      </c>
      <c r="E1001" s="3" t="str">
        <f ca="1">IF(OR(INDEX($K$2:$K$1001,MATCH(ROWS($J$2:J1001),$J$2:$J$1001,0),1)&gt;=100000,INDEX($Q$1005:$U$1005,1,MATCH(COLUMNS($Q$1006:T1006),$Q$1006:$U$1006,0))&gt;=100000), " ",IF(INDEX($Q$2:$U$1001,MATCH(ROWS($J$2:J1001),$J$2:$J$1001,0),MATCH(COLUMNS($Q$1006:T1006),$Q$1006:$U$1006,0)), HYPERLINK("#",""), HYPERLINK(CONCATENATE("#metadata!", ADDRESS(INDEX($L$2:$L$1001,MATCH(ROWS($J$2:J1001),$J$2:$J$1001,0),0), INDEX($Q$1004:$U$1004,1,MATCH(COLUMNS($Q$1006:T1006),$Q$1006:$U$1006,0)))),"Fix")))</f>
        <v xml:space="preserve"> </v>
      </c>
      <c r="F1001" s="3" t="str">
        <f ca="1">IF(OR(INDEX($K$2:$K$1001,MATCH(ROWS($J$2:J1001),$J$2:$J$1001,0),1)&gt;=100000,INDEX($Q$1005:$U$1005,1,MATCH(COLUMNS($Q$1006:U1006),$Q$1006:$U$1006,0))&gt;=100000), " ",IF(INDEX($Q$2:$U$1001,MATCH(ROWS($J$2:J1001),$J$2:$J$1001,0),MATCH(COLUMNS($Q$1006:U1006),$Q$1006:$U$1006,0)), HYPERLINK("#",""), HYPERLINK(CONCATENATE("#metadata!", ADDRESS(INDEX($L$2:$L$1001,MATCH(ROWS($J$2:J1001),$J$2:$J$1001,0),0), INDEX($Q$1004:$U$1004,1,MATCH(COLUMNS($Q$1006:U1006),$Q$1006:$U$1006,0)))),"Fix")))</f>
        <v xml:space="preserve"> </v>
      </c>
      <c r="J1001">
        <v>1000</v>
      </c>
      <c r="K1001">
        <v>101001</v>
      </c>
      <c r="L1001">
        <v>1001</v>
      </c>
      <c r="M1001" t="b">
        <f t="shared" si="15"/>
        <v>1</v>
      </c>
      <c r="N1001" t="b">
        <f>COUNTBLANK(metadata!B1001:F1001)=COLUMNS(metadata!B1001:F1001)</f>
        <v>1</v>
      </c>
      <c r="O1001" t="str">
        <v/>
      </c>
      <c r="Q1001" t="b">
        <f ca="1">AND(IF(metadata!B1001="",FALSE,TRUE),COUNTIF(metadata!B:B, metadata!B1001) = 1,NOT(ISERROR(SUMPRODUCT(SEARCH(MID(metadata!B1001,ROW(INDIRECT("1:"&amp;LEN(metadata!B1001))), 1),"0123456789abcdefghijklmnopqrstuvwxyzABCDEFGHIJKLMNOPQRSTUVWXYZ.")))))</f>
        <v>0</v>
      </c>
      <c r="R1001" t="b">
        <f>AND(IF(metadata!C1001="",FALSE,TRUE),OR(EXACT(metadata!C1001,"saline"),EXACT(metadata!C1001,"non-saline")))</f>
        <v>0</v>
      </c>
      <c r="S1001" t="b">
        <f>AND(IF(metadata!D1001="",FALSE,TRUE),OR(EXACT(metadata!D1001,"surface (non-saline)"),EXACT(metadata!D1001,"aerosol (non-saline)"),EXACT(metadata!D1001,"sediment (non-saline)"),EXACT(metadata!D1001,"surface (saline)"),EXACT(metadata!D1001,"aerosol (saline)"),EXACT(metadata!D1001,"sediment (saline)")))</f>
        <v>0</v>
      </c>
      <c r="T1001" t="b">
        <f>AND(IF(metadata!E1001="",FALSE,TRUE),EXACT(metadata!E1001,"built environment"))</f>
        <v>0</v>
      </c>
      <c r="U1001" t="b">
        <f>OR(AND(IF(metadata!F1001="",FALSE,TRUE),EXACT(metadata!F1001,"not applicable")),AND(IF(metadata!F1001="",FALSE,TRUE),EXACT(metadata!F1001,"anaerobic digester content")))</f>
        <v>0</v>
      </c>
    </row>
    <row r="1003" spans="1:21" x14ac:dyDescent="0.2">
      <c r="P1003" s="2" t="s">
        <v>12</v>
      </c>
      <c r="Q1003" t="b">
        <f t="array" aca="1" ref="Q1003" ca="1">AND(IF($N2:$N1001,TRUE,Q2:Q1001))</f>
        <v>1</v>
      </c>
      <c r="R1003" t="b">
        <f t="array" ref="R1003">AND(IF($N2:$N1001,TRUE,R2:R1001))</f>
        <v>1</v>
      </c>
      <c r="S1003" t="b">
        <f t="array" ref="S1003">AND(IF($N2:$N1001,TRUE,S2:S1001))</f>
        <v>1</v>
      </c>
      <c r="T1003" t="b">
        <f t="array" ref="T1003">AND(IF($N2:$N1001,TRUE,T2:T1001))</f>
        <v>1</v>
      </c>
      <c r="U1003" t="b">
        <f t="array" ref="U1003">AND(IF($N2:$N1001,TRUE,U2:U1001))</f>
        <v>1</v>
      </c>
    </row>
    <row r="1004" spans="1:21" x14ac:dyDescent="0.2">
      <c r="P1004" s="2" t="s">
        <v>13</v>
      </c>
      <c r="Q1004">
        <f t="array" ref="Q1004:U1004">COLUMN(metadata!B1004:F1004)</f>
        <v>2</v>
      </c>
      <c r="R1004">
        <v>3</v>
      </c>
      <c r="S1004">
        <v>4</v>
      </c>
      <c r="T1004">
        <v>5</v>
      </c>
      <c r="U1004">
        <v>6</v>
      </c>
    </row>
    <row r="1005" spans="1:21" x14ac:dyDescent="0.2">
      <c r="P1005" s="2" t="s">
        <v>14</v>
      </c>
      <c r="Q1005">
        <f t="array" ref="Q1005:U1005" ca="1">INT(Q1003:U1003)*100000+$Q$1004:$U$1004</f>
        <v>100002</v>
      </c>
      <c r="R1005">
        <v>100003</v>
      </c>
      <c r="S1005">
        <v>100004</v>
      </c>
      <c r="T1005">
        <v>100005</v>
      </c>
      <c r="U1005">
        <v>100006</v>
      </c>
    </row>
    <row r="1006" spans="1:21" x14ac:dyDescent="0.2">
      <c r="P1006" s="2" t="s">
        <v>15</v>
      </c>
      <c r="Q1006">
        <f t="array" aca="1" ref="Q1006:U1006" ca="1">COUNTIF($Q1005:$U1005,"&lt;="&amp;Q$1005:U1005)</f>
        <v>1</v>
      </c>
      <c r="R1006">
        <f ca="1"/>
        <v>2</v>
      </c>
      <c r="S1006">
        <f ca="1"/>
        <v>3</v>
      </c>
      <c r="T1006">
        <f ca="1"/>
        <v>4</v>
      </c>
      <c r="U1006">
        <f ca="1"/>
        <v>5</v>
      </c>
    </row>
  </sheetData>
  <sheetProtection sheet="1" objects="1" scenarios="1"/>
  <conditionalFormatting sqref="B2:F1001">
    <cfRule type="cellIs" dxfId="1" priority="1" operator="equal">
      <formula>""</formula>
    </cfRule>
    <cfRule type="cellIs" dxfId="0" priority="2" operator="equal">
      <formula>"Fix"</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pane xSplit="1" ySplit="1" topLeftCell="B2" activePane="bottomRight" state="frozen"/>
      <selection pane="topRight" activeCell="B1" sqref="B1"/>
      <selection pane="bottomLeft" activeCell="A2" sqref="A2"/>
      <selection pane="bottomRight"/>
    </sheetView>
  </sheetViews>
  <sheetFormatPr baseColWidth="10" defaultColWidth="8.83203125" defaultRowHeight="15" x14ac:dyDescent="0.2"/>
  <sheetData>
    <row r="1" spans="1:2" x14ac:dyDescent="0.2">
      <c r="A1" s="2" t="s">
        <v>16</v>
      </c>
      <c r="B1" s="2" t="s">
        <v>17</v>
      </c>
    </row>
    <row r="2" spans="1:2" x14ac:dyDescent="0.2">
      <c r="A2" s="2" t="s">
        <v>1</v>
      </c>
      <c r="B2" t="s">
        <v>18</v>
      </c>
    </row>
    <row r="3" spans="1:2" x14ac:dyDescent="0.2">
      <c r="A3" s="2" t="s">
        <v>3</v>
      </c>
      <c r="B3" t="s">
        <v>19</v>
      </c>
    </row>
    <row r="4" spans="1:2" x14ac:dyDescent="0.2">
      <c r="A4" s="2" t="s">
        <v>4</v>
      </c>
      <c r="B4" t="s">
        <v>20</v>
      </c>
    </row>
    <row r="5" spans="1:2" x14ac:dyDescent="0.2">
      <c r="A5" s="2" t="s">
        <v>5</v>
      </c>
      <c r="B5" t="s">
        <v>21</v>
      </c>
    </row>
    <row r="6" spans="1:2" x14ac:dyDescent="0.2">
      <c r="A6" s="2" t="s">
        <v>6</v>
      </c>
      <c r="B6" t="s">
        <v>22</v>
      </c>
    </row>
  </sheetData>
  <sheetProtection sheet="1" objects="1" scenarios="1" formatCells="0" formatColumns="0" formatRow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pane xSplit="1" ySplit="1" topLeftCell="B2" activePane="bottomRight" state="frozen"/>
      <selection pane="topRight" activeCell="B1" sqref="B1"/>
      <selection pane="bottomLeft" activeCell="A2" sqref="A2"/>
      <selection pane="bottomRight"/>
    </sheetView>
  </sheetViews>
  <sheetFormatPr baseColWidth="10" defaultColWidth="8.83203125" defaultRowHeight="15" x14ac:dyDescent="0.2"/>
  <sheetData>
    <row r="1" spans="1:1" ht="409.6" x14ac:dyDescent="0.2">
      <c r="A1" s="6" t="s">
        <v>23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pane xSplit="1" ySplit="1" topLeftCell="B2" activePane="bottomRight" state="frozen"/>
      <selection pane="topRight" activeCell="B1" sqref="B1"/>
      <selection pane="bottomLeft" activeCell="A2" sqref="A2"/>
      <selection pane="bottomRight"/>
    </sheetView>
  </sheetViews>
  <sheetFormatPr baseColWidth="10" defaultColWidth="8.83203125" defaultRowHeight="15" x14ac:dyDescent="0.2"/>
  <sheetData>
    <row r="1" spans="1:1" x14ac:dyDescent="0.2">
      <c r="A1" t="s">
        <v>24</v>
      </c>
    </row>
  </sheetData>
  <sheetProtection sheet="1" objects="1" scenarios="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0"/>
  <sheetViews>
    <sheetView workbookViewId="0">
      <pane xSplit="1" ySplit="1" topLeftCell="B2" activePane="bottomRight" state="frozen"/>
      <selection pane="topRight" activeCell="B1" sqref="B1"/>
      <selection pane="bottomLeft" activeCell="A2" sqref="A2"/>
      <selection pane="bottomRight"/>
    </sheetView>
  </sheetViews>
  <sheetFormatPr baseColWidth="10" defaultColWidth="8.83203125" defaultRowHeight="15" x14ac:dyDescent="0.2"/>
  <cols>
    <col min="1" max="1" width="100.6640625" customWidth="1"/>
  </cols>
  <sheetData>
    <row r="1" spans="1:1" x14ac:dyDescent="0.2">
      <c r="A1" s="5" t="s">
        <v>25</v>
      </c>
    </row>
    <row r="2" spans="1:1" x14ac:dyDescent="0.2">
      <c r="A2" s="5"/>
    </row>
    <row r="3" spans="1:1" x14ac:dyDescent="0.2">
      <c r="A3" s="5"/>
    </row>
    <row r="4" spans="1:1" x14ac:dyDescent="0.2">
      <c r="A4" s="5"/>
    </row>
    <row r="5" spans="1:1" x14ac:dyDescent="0.2">
      <c r="A5" s="5"/>
    </row>
    <row r="6" spans="1:1" x14ac:dyDescent="0.2">
      <c r="A6" s="5"/>
    </row>
    <row r="7" spans="1:1" x14ac:dyDescent="0.2">
      <c r="A7" s="5"/>
    </row>
    <row r="8" spans="1:1" x14ac:dyDescent="0.2">
      <c r="A8" s="5"/>
    </row>
    <row r="9" spans="1:1" x14ac:dyDescent="0.2">
      <c r="A9" s="5"/>
    </row>
    <row r="10" spans="1:1" x14ac:dyDescent="0.2">
      <c r="A10" s="5"/>
    </row>
    <row r="11" spans="1:1" x14ac:dyDescent="0.2">
      <c r="A11" s="5"/>
    </row>
    <row r="12" spans="1:1" x14ac:dyDescent="0.2">
      <c r="A12" s="5"/>
    </row>
    <row r="13" spans="1:1" x14ac:dyDescent="0.2">
      <c r="A13" s="5"/>
    </row>
    <row r="14" spans="1:1" x14ac:dyDescent="0.2">
      <c r="A14" s="5"/>
    </row>
    <row r="15" spans="1:1" x14ac:dyDescent="0.2">
      <c r="A15" s="5"/>
    </row>
    <row r="16" spans="1:1" x14ac:dyDescent="0.2">
      <c r="A16" s="5"/>
    </row>
    <row r="17" spans="1:1" x14ac:dyDescent="0.2">
      <c r="A17" s="5"/>
    </row>
    <row r="18" spans="1:1" x14ac:dyDescent="0.2">
      <c r="A18" s="5"/>
    </row>
    <row r="19" spans="1:1" x14ac:dyDescent="0.2">
      <c r="A19" s="5"/>
    </row>
    <row r="20" spans="1:1" x14ac:dyDescent="0.2">
      <c r="A20" s="5"/>
    </row>
    <row r="21" spans="1:1" x14ac:dyDescent="0.2">
      <c r="A21" s="5"/>
    </row>
    <row r="22" spans="1:1" x14ac:dyDescent="0.2">
      <c r="A22" s="5"/>
    </row>
    <row r="23" spans="1:1" x14ac:dyDescent="0.2">
      <c r="A23" s="5"/>
    </row>
    <row r="24" spans="1:1" x14ac:dyDescent="0.2">
      <c r="A24" s="5"/>
    </row>
    <row r="25" spans="1:1" x14ac:dyDescent="0.2">
      <c r="A25" s="5"/>
    </row>
    <row r="26" spans="1:1" x14ac:dyDescent="0.2">
      <c r="A26" s="5"/>
    </row>
    <row r="27" spans="1:1" x14ac:dyDescent="0.2">
      <c r="A27" s="5"/>
    </row>
    <row r="28" spans="1:1" x14ac:dyDescent="0.2">
      <c r="A28" s="5"/>
    </row>
    <row r="29" spans="1:1" x14ac:dyDescent="0.2">
      <c r="A29" s="5"/>
    </row>
    <row r="30" spans="1:1" x14ac:dyDescent="0.2">
      <c r="A30" s="5"/>
    </row>
    <row r="31" spans="1:1" x14ac:dyDescent="0.2">
      <c r="A31" s="5"/>
    </row>
    <row r="32" spans="1:1" x14ac:dyDescent="0.2">
      <c r="A32" s="5"/>
    </row>
    <row r="33" spans="1:1" x14ac:dyDescent="0.2">
      <c r="A33" s="5"/>
    </row>
    <row r="34" spans="1:1" x14ac:dyDescent="0.2">
      <c r="A34" s="5"/>
    </row>
    <row r="35" spans="1:1" x14ac:dyDescent="0.2">
      <c r="A35" s="5"/>
    </row>
    <row r="36" spans="1:1" x14ac:dyDescent="0.2">
      <c r="A36" s="5"/>
    </row>
    <row r="37" spans="1:1" x14ac:dyDescent="0.2">
      <c r="A37" s="5"/>
    </row>
    <row r="38" spans="1:1" x14ac:dyDescent="0.2">
      <c r="A38" s="5"/>
    </row>
    <row r="39" spans="1:1" x14ac:dyDescent="0.2">
      <c r="A39" s="5"/>
    </row>
    <row r="40" spans="1:1" x14ac:dyDescent="0.2">
      <c r="A40" s="5"/>
    </row>
    <row r="41" spans="1:1" x14ac:dyDescent="0.2">
      <c r="A41" s="5"/>
    </row>
    <row r="42" spans="1:1" x14ac:dyDescent="0.2">
      <c r="A42" s="5"/>
    </row>
    <row r="43" spans="1:1" x14ac:dyDescent="0.2">
      <c r="A43" s="5"/>
    </row>
    <row r="44" spans="1:1" x14ac:dyDescent="0.2">
      <c r="A44" s="5"/>
    </row>
    <row r="45" spans="1:1" x14ac:dyDescent="0.2">
      <c r="A45" s="5"/>
    </row>
    <row r="46" spans="1:1" x14ac:dyDescent="0.2">
      <c r="A46" s="5"/>
    </row>
    <row r="47" spans="1:1" x14ac:dyDescent="0.2">
      <c r="A47" s="5"/>
    </row>
    <row r="48" spans="1:1" x14ac:dyDescent="0.2">
      <c r="A48" s="5"/>
    </row>
    <row r="49" spans="1:1" x14ac:dyDescent="0.2">
      <c r="A49" s="5"/>
    </row>
    <row r="50" spans="1:1" x14ac:dyDescent="0.2">
      <c r="A50" s="5"/>
    </row>
    <row r="51" spans="1:1" x14ac:dyDescent="0.2">
      <c r="A51" s="5"/>
    </row>
    <row r="52" spans="1:1" x14ac:dyDescent="0.2">
      <c r="A52" s="5"/>
    </row>
    <row r="53" spans="1:1" x14ac:dyDescent="0.2">
      <c r="A53" s="5"/>
    </row>
    <row r="54" spans="1:1" x14ac:dyDescent="0.2">
      <c r="A54" s="5"/>
    </row>
    <row r="55" spans="1:1" x14ac:dyDescent="0.2">
      <c r="A55" s="5"/>
    </row>
    <row r="56" spans="1:1" x14ac:dyDescent="0.2">
      <c r="A56" s="5"/>
    </row>
    <row r="57" spans="1:1" x14ac:dyDescent="0.2">
      <c r="A57" s="5"/>
    </row>
    <row r="58" spans="1:1" x14ac:dyDescent="0.2">
      <c r="A58" s="5"/>
    </row>
    <row r="59" spans="1:1" x14ac:dyDescent="0.2">
      <c r="A59" s="5"/>
    </row>
    <row r="60" spans="1:1" x14ac:dyDescent="0.2">
      <c r="A60" s="5"/>
    </row>
    <row r="61" spans="1:1" x14ac:dyDescent="0.2">
      <c r="A61" s="5"/>
    </row>
    <row r="62" spans="1:1" x14ac:dyDescent="0.2">
      <c r="A62" s="5"/>
    </row>
    <row r="63" spans="1:1" x14ac:dyDescent="0.2">
      <c r="A63" s="5"/>
    </row>
    <row r="64" spans="1:1" x14ac:dyDescent="0.2">
      <c r="A64" s="5"/>
    </row>
    <row r="65" spans="1:1" x14ac:dyDescent="0.2">
      <c r="A65" s="5"/>
    </row>
    <row r="66" spans="1:1" x14ac:dyDescent="0.2">
      <c r="A66" s="5"/>
    </row>
    <row r="67" spans="1:1" x14ac:dyDescent="0.2">
      <c r="A67" s="5"/>
    </row>
    <row r="68" spans="1:1" x14ac:dyDescent="0.2">
      <c r="A68" s="5"/>
    </row>
    <row r="69" spans="1:1" x14ac:dyDescent="0.2">
      <c r="A69" s="5"/>
    </row>
    <row r="70" spans="1:1" x14ac:dyDescent="0.2">
      <c r="A70" s="5"/>
    </row>
    <row r="71" spans="1:1" x14ac:dyDescent="0.2">
      <c r="A71" s="5"/>
    </row>
    <row r="72" spans="1:1" x14ac:dyDescent="0.2">
      <c r="A72" s="5"/>
    </row>
    <row r="73" spans="1:1" x14ac:dyDescent="0.2">
      <c r="A73" s="5"/>
    </row>
    <row r="74" spans="1:1" x14ac:dyDescent="0.2">
      <c r="A74" s="5"/>
    </row>
    <row r="75" spans="1:1" x14ac:dyDescent="0.2">
      <c r="A75" s="5"/>
    </row>
    <row r="76" spans="1:1" x14ac:dyDescent="0.2">
      <c r="A76" s="5"/>
    </row>
    <row r="77" spans="1:1" x14ac:dyDescent="0.2">
      <c r="A77" s="5"/>
    </row>
    <row r="78" spans="1:1" x14ac:dyDescent="0.2">
      <c r="A78" s="5"/>
    </row>
    <row r="79" spans="1:1" x14ac:dyDescent="0.2">
      <c r="A79" s="5"/>
    </row>
    <row r="80" spans="1:1" x14ac:dyDescent="0.2">
      <c r="A80" s="5"/>
    </row>
    <row r="81" spans="1:1" x14ac:dyDescent="0.2">
      <c r="A81" s="5"/>
    </row>
    <row r="82" spans="1:1" x14ac:dyDescent="0.2">
      <c r="A82" s="5"/>
    </row>
    <row r="83" spans="1:1" x14ac:dyDescent="0.2">
      <c r="A83" s="5"/>
    </row>
    <row r="84" spans="1:1" x14ac:dyDescent="0.2">
      <c r="A84" s="5"/>
    </row>
    <row r="85" spans="1:1" x14ac:dyDescent="0.2">
      <c r="A85" s="5"/>
    </row>
    <row r="86" spans="1:1" x14ac:dyDescent="0.2">
      <c r="A86" s="5"/>
    </row>
    <row r="87" spans="1:1" x14ac:dyDescent="0.2">
      <c r="A87" s="5"/>
    </row>
    <row r="88" spans="1:1" x14ac:dyDescent="0.2">
      <c r="A88" s="5"/>
    </row>
    <row r="89" spans="1:1" x14ac:dyDescent="0.2">
      <c r="A89" s="5"/>
    </row>
    <row r="90" spans="1:1" x14ac:dyDescent="0.2">
      <c r="A90" s="5"/>
    </row>
    <row r="91" spans="1:1" x14ac:dyDescent="0.2">
      <c r="A91" s="5"/>
    </row>
    <row r="92" spans="1:1" x14ac:dyDescent="0.2">
      <c r="A92" s="5"/>
    </row>
    <row r="93" spans="1:1" x14ac:dyDescent="0.2">
      <c r="A93" s="5"/>
    </row>
    <row r="94" spans="1:1" x14ac:dyDescent="0.2">
      <c r="A94" s="5"/>
    </row>
    <row r="95" spans="1:1" x14ac:dyDescent="0.2">
      <c r="A95" s="5"/>
    </row>
    <row r="96" spans="1:1" x14ac:dyDescent="0.2">
      <c r="A96" s="5"/>
    </row>
    <row r="97" spans="1:1" x14ac:dyDescent="0.2">
      <c r="A97" s="5"/>
    </row>
    <row r="98" spans="1:1" x14ac:dyDescent="0.2">
      <c r="A98" s="5"/>
    </row>
    <row r="99" spans="1:1" x14ac:dyDescent="0.2">
      <c r="A99" s="5"/>
    </row>
    <row r="100" spans="1:1" x14ac:dyDescent="0.2">
      <c r="A100" s="5"/>
    </row>
  </sheetData>
  <sheetProtection sheet="1" objects="1" scenarios="1"/>
  <mergeCells count="1">
    <mergeCell ref="A1:A10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metadata</vt:lpstr>
      <vt:lpstr>validation</vt:lpstr>
      <vt:lpstr>field descriptions</vt:lpstr>
      <vt:lpstr>metadata_schema</vt:lpstr>
      <vt:lpstr>metadata_form</vt:lpstr>
      <vt:lpstr>readme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Amanda Birmingham</cp:lastModifiedBy>
  <dcterms:created xsi:type="dcterms:W3CDTF">2018-01-17T21:37:56Z</dcterms:created>
  <dcterms:modified xsi:type="dcterms:W3CDTF">2018-01-21T05:13:18Z</dcterms:modified>
</cp:coreProperties>
</file>