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stephanieorch/Downloads/"/>
    </mc:Choice>
  </mc:AlternateContent>
  <bookViews>
    <workbookView xWindow="0" yWindow="460" windowWidth="38400" windowHeight="1960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004" i="2" l="1" a="1"/>
  <c r="P1004" i="2"/>
  <c r="Q1004" i="2"/>
  <c r="O1004" i="2"/>
  <c r="D1001" i="1"/>
  <c r="Q1001" i="2"/>
  <c r="C1001" i="1"/>
  <c r="P1001" i="2"/>
  <c r="O1001" i="2"/>
  <c r="L1001" i="2"/>
  <c r="K1001" i="2"/>
  <c r="D1000" i="1"/>
  <c r="Q1000" i="2"/>
  <c r="C1000" i="1"/>
  <c r="P1000" i="2"/>
  <c r="O1000" i="2"/>
  <c r="L1000" i="2"/>
  <c r="K1000" i="2"/>
  <c r="D999" i="1"/>
  <c r="Q999" i="2"/>
  <c r="C999" i="1"/>
  <c r="P999" i="2"/>
  <c r="O999" i="2"/>
  <c r="L999" i="2"/>
  <c r="K999" i="2"/>
  <c r="D998" i="1"/>
  <c r="Q998" i="2"/>
  <c r="C998" i="1"/>
  <c r="P998" i="2"/>
  <c r="O998" i="2"/>
  <c r="L998" i="2"/>
  <c r="K998" i="2"/>
  <c r="D997" i="1"/>
  <c r="Q997" i="2"/>
  <c r="C997" i="1"/>
  <c r="P997" i="2"/>
  <c r="O997" i="2"/>
  <c r="L997" i="2"/>
  <c r="K997" i="2"/>
  <c r="D996" i="1"/>
  <c r="Q996" i="2"/>
  <c r="C996" i="1"/>
  <c r="P996" i="2"/>
  <c r="O996" i="2"/>
  <c r="L996" i="2"/>
  <c r="K996" i="2"/>
  <c r="D995" i="1"/>
  <c r="Q995" i="2"/>
  <c r="C995" i="1"/>
  <c r="P995" i="2"/>
  <c r="O995" i="2"/>
  <c r="L995" i="2"/>
  <c r="K995" i="2"/>
  <c r="D994" i="1"/>
  <c r="Q994" i="2"/>
  <c r="C994" i="1"/>
  <c r="P994" i="2"/>
  <c r="O994" i="2"/>
  <c r="L994" i="2"/>
  <c r="K994" i="2"/>
  <c r="D993" i="1"/>
  <c r="Q993" i="2"/>
  <c r="C993" i="1"/>
  <c r="P993" i="2"/>
  <c r="O993" i="2"/>
  <c r="L993" i="2"/>
  <c r="K993" i="2"/>
  <c r="D992" i="1"/>
  <c r="Q992" i="2"/>
  <c r="C992" i="1"/>
  <c r="P992" i="2"/>
  <c r="O992" i="2"/>
  <c r="L992" i="2"/>
  <c r="K992" i="2"/>
  <c r="D991" i="1"/>
  <c r="Q991" i="2"/>
  <c r="C991" i="1"/>
  <c r="P991" i="2"/>
  <c r="O991" i="2"/>
  <c r="L991" i="2"/>
  <c r="K991" i="2"/>
  <c r="D990" i="1"/>
  <c r="Q990" i="2"/>
  <c r="C990" i="1"/>
  <c r="P990" i="2"/>
  <c r="O990" i="2"/>
  <c r="L990" i="2"/>
  <c r="K990" i="2"/>
  <c r="D989" i="1"/>
  <c r="Q989" i="2"/>
  <c r="C989" i="1"/>
  <c r="P989" i="2"/>
  <c r="O989" i="2"/>
  <c r="L989" i="2"/>
  <c r="K989" i="2"/>
  <c r="D988" i="1"/>
  <c r="Q988" i="2"/>
  <c r="C988" i="1"/>
  <c r="P988" i="2"/>
  <c r="O988" i="2"/>
  <c r="L988" i="2"/>
  <c r="K988" i="2"/>
  <c r="D987" i="1"/>
  <c r="Q987" i="2"/>
  <c r="C987" i="1"/>
  <c r="P987" i="2"/>
  <c r="O987" i="2"/>
  <c r="L987" i="2"/>
  <c r="K987" i="2"/>
  <c r="D986" i="1"/>
  <c r="Q986" i="2"/>
  <c r="C986" i="1"/>
  <c r="P986" i="2"/>
  <c r="O986" i="2"/>
  <c r="L986" i="2"/>
  <c r="K986" i="2"/>
  <c r="D985" i="1"/>
  <c r="Q985" i="2"/>
  <c r="C985" i="1"/>
  <c r="P985" i="2"/>
  <c r="O985" i="2"/>
  <c r="L985" i="2"/>
  <c r="K985" i="2"/>
  <c r="D984" i="1"/>
  <c r="Q984" i="2"/>
  <c r="C984" i="1"/>
  <c r="P984" i="2"/>
  <c r="O984" i="2"/>
  <c r="L984" i="2"/>
  <c r="K984" i="2"/>
  <c r="D983" i="1"/>
  <c r="Q983" i="2"/>
  <c r="C983" i="1"/>
  <c r="P983" i="2"/>
  <c r="O983" i="2"/>
  <c r="L983" i="2"/>
  <c r="K983" i="2"/>
  <c r="D982" i="1"/>
  <c r="Q982" i="2"/>
  <c r="C982" i="1"/>
  <c r="P982" i="2"/>
  <c r="O982" i="2"/>
  <c r="L982" i="2"/>
  <c r="K982" i="2"/>
  <c r="D981" i="1"/>
  <c r="Q981" i="2"/>
  <c r="C981" i="1"/>
  <c r="P981" i="2"/>
  <c r="O981" i="2"/>
  <c r="L981" i="2"/>
  <c r="K981" i="2"/>
  <c r="D980" i="1"/>
  <c r="Q980" i="2"/>
  <c r="C980" i="1"/>
  <c r="P980" i="2"/>
  <c r="O980" i="2"/>
  <c r="L980" i="2"/>
  <c r="K980" i="2"/>
  <c r="D979" i="1"/>
  <c r="Q979" i="2"/>
  <c r="C979" i="1"/>
  <c r="P979" i="2"/>
  <c r="O979" i="2"/>
  <c r="L979" i="2"/>
  <c r="K979" i="2"/>
  <c r="D978" i="1"/>
  <c r="Q978" i="2"/>
  <c r="C978" i="1"/>
  <c r="P978" i="2"/>
  <c r="O978" i="2"/>
  <c r="L978" i="2"/>
  <c r="K978" i="2"/>
  <c r="D977" i="1"/>
  <c r="Q977" i="2"/>
  <c r="C977" i="1"/>
  <c r="P977" i="2"/>
  <c r="O977" i="2"/>
  <c r="L977" i="2"/>
  <c r="K977" i="2"/>
  <c r="D976" i="1"/>
  <c r="Q976" i="2"/>
  <c r="C976" i="1"/>
  <c r="P976" i="2"/>
  <c r="O976" i="2"/>
  <c r="L976" i="2"/>
  <c r="K976" i="2"/>
  <c r="D975" i="1"/>
  <c r="Q975" i="2"/>
  <c r="C975" i="1"/>
  <c r="P975" i="2"/>
  <c r="O975" i="2"/>
  <c r="L975" i="2"/>
  <c r="K975" i="2"/>
  <c r="D974" i="1"/>
  <c r="Q974" i="2"/>
  <c r="C974" i="1"/>
  <c r="P974" i="2"/>
  <c r="O974" i="2"/>
  <c r="L974" i="2"/>
  <c r="K974" i="2"/>
  <c r="D973" i="1"/>
  <c r="Q973" i="2"/>
  <c r="C973" i="1"/>
  <c r="P973" i="2"/>
  <c r="O973" i="2"/>
  <c r="L973" i="2"/>
  <c r="K973" i="2"/>
  <c r="D972" i="1"/>
  <c r="Q972" i="2"/>
  <c r="C972" i="1"/>
  <c r="P972" i="2"/>
  <c r="O972" i="2"/>
  <c r="L972" i="2"/>
  <c r="K972" i="2"/>
  <c r="D971" i="1"/>
  <c r="Q971" i="2"/>
  <c r="C971" i="1"/>
  <c r="P971" i="2"/>
  <c r="O971" i="2"/>
  <c r="L971" i="2"/>
  <c r="K971" i="2"/>
  <c r="D970" i="1"/>
  <c r="Q970" i="2"/>
  <c r="C970" i="1"/>
  <c r="P970" i="2"/>
  <c r="O970" i="2"/>
  <c r="L970" i="2"/>
  <c r="K970" i="2"/>
  <c r="D969" i="1"/>
  <c r="Q969" i="2"/>
  <c r="C969" i="1"/>
  <c r="P969" i="2"/>
  <c r="O969" i="2"/>
  <c r="L969" i="2"/>
  <c r="K969" i="2"/>
  <c r="D968" i="1"/>
  <c r="Q968" i="2"/>
  <c r="C968" i="1"/>
  <c r="P968" i="2"/>
  <c r="O968" i="2"/>
  <c r="L968" i="2"/>
  <c r="K968" i="2"/>
  <c r="D967" i="1"/>
  <c r="Q967" i="2"/>
  <c r="C967" i="1"/>
  <c r="P967" i="2"/>
  <c r="O967" i="2"/>
  <c r="L967" i="2"/>
  <c r="K967" i="2"/>
  <c r="D966" i="1"/>
  <c r="Q966" i="2"/>
  <c r="C966" i="1"/>
  <c r="P966" i="2"/>
  <c r="O966" i="2"/>
  <c r="L966" i="2"/>
  <c r="K966" i="2"/>
  <c r="D965" i="1"/>
  <c r="Q965" i="2"/>
  <c r="C965" i="1"/>
  <c r="P965" i="2"/>
  <c r="O965" i="2"/>
  <c r="L965" i="2"/>
  <c r="K965" i="2"/>
  <c r="D964" i="1"/>
  <c r="Q964" i="2"/>
  <c r="C964" i="1"/>
  <c r="P964" i="2"/>
  <c r="O964" i="2"/>
  <c r="L964" i="2"/>
  <c r="K964" i="2"/>
  <c r="D963" i="1"/>
  <c r="Q963" i="2"/>
  <c r="C963" i="1"/>
  <c r="P963" i="2"/>
  <c r="O963" i="2"/>
  <c r="L963" i="2"/>
  <c r="K963" i="2"/>
  <c r="D962" i="1"/>
  <c r="Q962" i="2"/>
  <c r="C962" i="1"/>
  <c r="P962" i="2"/>
  <c r="O962" i="2"/>
  <c r="L962" i="2"/>
  <c r="K962" i="2"/>
  <c r="D961" i="1"/>
  <c r="Q961" i="2"/>
  <c r="C961" i="1"/>
  <c r="P961" i="2"/>
  <c r="O961" i="2"/>
  <c r="L961" i="2"/>
  <c r="K961" i="2"/>
  <c r="D960" i="1"/>
  <c r="Q960" i="2"/>
  <c r="C960" i="1"/>
  <c r="P960" i="2"/>
  <c r="O960" i="2"/>
  <c r="L960" i="2"/>
  <c r="K960" i="2"/>
  <c r="D959" i="1"/>
  <c r="Q959" i="2"/>
  <c r="C959" i="1"/>
  <c r="P959" i="2"/>
  <c r="O959" i="2"/>
  <c r="L959" i="2"/>
  <c r="K959" i="2"/>
  <c r="D958" i="1"/>
  <c r="Q958" i="2"/>
  <c r="C958" i="1"/>
  <c r="P958" i="2"/>
  <c r="O958" i="2"/>
  <c r="L958" i="2"/>
  <c r="K958" i="2"/>
  <c r="D957" i="1"/>
  <c r="Q957" i="2"/>
  <c r="C957" i="1"/>
  <c r="P957" i="2"/>
  <c r="O957" i="2"/>
  <c r="L957" i="2"/>
  <c r="K957" i="2"/>
  <c r="D956" i="1"/>
  <c r="Q956" i="2"/>
  <c r="C956" i="1"/>
  <c r="P956" i="2"/>
  <c r="O956" i="2"/>
  <c r="L956" i="2"/>
  <c r="K956" i="2"/>
  <c r="D955" i="1"/>
  <c r="Q955" i="2"/>
  <c r="C955" i="1"/>
  <c r="P955" i="2"/>
  <c r="O955" i="2"/>
  <c r="L955" i="2"/>
  <c r="K955" i="2"/>
  <c r="D954" i="1"/>
  <c r="Q954" i="2"/>
  <c r="C954" i="1"/>
  <c r="P954" i="2"/>
  <c r="O954" i="2"/>
  <c r="L954" i="2"/>
  <c r="K954" i="2"/>
  <c r="D953" i="1"/>
  <c r="Q953" i="2"/>
  <c r="C953" i="1"/>
  <c r="P953" i="2"/>
  <c r="O953" i="2"/>
  <c r="L953" i="2"/>
  <c r="K953" i="2"/>
  <c r="D952" i="1"/>
  <c r="Q952" i="2"/>
  <c r="C952" i="1"/>
  <c r="P952" i="2"/>
  <c r="O952" i="2"/>
  <c r="L952" i="2"/>
  <c r="K952" i="2"/>
  <c r="D951" i="1"/>
  <c r="Q951" i="2"/>
  <c r="C951" i="1"/>
  <c r="P951" i="2"/>
  <c r="O951" i="2"/>
  <c r="L951" i="2"/>
  <c r="K951" i="2"/>
  <c r="D950" i="1"/>
  <c r="Q950" i="2"/>
  <c r="C950" i="1"/>
  <c r="P950" i="2"/>
  <c r="O950" i="2"/>
  <c r="L950" i="2"/>
  <c r="K950" i="2"/>
  <c r="D949" i="1"/>
  <c r="Q949" i="2"/>
  <c r="C949" i="1"/>
  <c r="P949" i="2"/>
  <c r="O949" i="2"/>
  <c r="L949" i="2"/>
  <c r="K949" i="2"/>
  <c r="D948" i="1"/>
  <c r="Q948" i="2"/>
  <c r="C948" i="1"/>
  <c r="P948" i="2"/>
  <c r="O948" i="2"/>
  <c r="L948" i="2"/>
  <c r="K948" i="2"/>
  <c r="D947" i="1"/>
  <c r="Q947" i="2"/>
  <c r="C947" i="1"/>
  <c r="P947" i="2"/>
  <c r="O947" i="2"/>
  <c r="L947" i="2"/>
  <c r="K947" i="2"/>
  <c r="D946" i="1"/>
  <c r="Q946" i="2"/>
  <c r="C946" i="1"/>
  <c r="P946" i="2"/>
  <c r="O946" i="2"/>
  <c r="L946" i="2"/>
  <c r="K946" i="2"/>
  <c r="D945" i="1"/>
  <c r="Q945" i="2"/>
  <c r="C945" i="1"/>
  <c r="P945" i="2"/>
  <c r="O945" i="2"/>
  <c r="L945" i="2"/>
  <c r="K945" i="2"/>
  <c r="D944" i="1"/>
  <c r="Q944" i="2"/>
  <c r="C944" i="1"/>
  <c r="P944" i="2"/>
  <c r="O944" i="2"/>
  <c r="L944" i="2"/>
  <c r="K944" i="2"/>
  <c r="D943" i="1"/>
  <c r="Q943" i="2"/>
  <c r="C943" i="1"/>
  <c r="P943" i="2"/>
  <c r="O943" i="2"/>
  <c r="L943" i="2"/>
  <c r="K943" i="2"/>
  <c r="D942" i="1"/>
  <c r="Q942" i="2"/>
  <c r="C942" i="1"/>
  <c r="P942" i="2"/>
  <c r="O942" i="2"/>
  <c r="L942" i="2"/>
  <c r="K942" i="2"/>
  <c r="D941" i="1"/>
  <c r="Q941" i="2"/>
  <c r="C941" i="1"/>
  <c r="P941" i="2"/>
  <c r="O941" i="2"/>
  <c r="L941" i="2"/>
  <c r="K941" i="2"/>
  <c r="D940" i="1"/>
  <c r="Q940" i="2"/>
  <c r="C940" i="1"/>
  <c r="P940" i="2"/>
  <c r="O940" i="2"/>
  <c r="L940" i="2"/>
  <c r="K940" i="2"/>
  <c r="D939" i="1"/>
  <c r="Q939" i="2"/>
  <c r="C939" i="1"/>
  <c r="P939" i="2"/>
  <c r="O939" i="2"/>
  <c r="L939" i="2"/>
  <c r="K939" i="2"/>
  <c r="D938" i="1"/>
  <c r="Q938" i="2"/>
  <c r="C938" i="1"/>
  <c r="P938" i="2"/>
  <c r="O938" i="2"/>
  <c r="L938" i="2"/>
  <c r="K938" i="2"/>
  <c r="D937" i="1"/>
  <c r="Q937" i="2"/>
  <c r="C937" i="1"/>
  <c r="P937" i="2"/>
  <c r="O937" i="2"/>
  <c r="L937" i="2"/>
  <c r="K937" i="2"/>
  <c r="D936" i="1"/>
  <c r="Q936" i="2"/>
  <c r="C936" i="1"/>
  <c r="P936" i="2"/>
  <c r="O936" i="2"/>
  <c r="L936" i="2"/>
  <c r="K936" i="2"/>
  <c r="D935" i="1"/>
  <c r="Q935" i="2"/>
  <c r="C935" i="1"/>
  <c r="P935" i="2"/>
  <c r="O935" i="2"/>
  <c r="L935" i="2"/>
  <c r="K935" i="2"/>
  <c r="D934" i="1"/>
  <c r="Q934" i="2"/>
  <c r="C934" i="1"/>
  <c r="P934" i="2"/>
  <c r="O934" i="2"/>
  <c r="L934" i="2"/>
  <c r="K934" i="2"/>
  <c r="D933" i="1"/>
  <c r="Q933" i="2"/>
  <c r="C933" i="1"/>
  <c r="P933" i="2"/>
  <c r="O933" i="2"/>
  <c r="L933" i="2"/>
  <c r="K933" i="2"/>
  <c r="D932" i="1"/>
  <c r="Q932" i="2"/>
  <c r="C932" i="1"/>
  <c r="P932" i="2"/>
  <c r="O932" i="2"/>
  <c r="L932" i="2"/>
  <c r="K932" i="2"/>
  <c r="D931" i="1"/>
  <c r="Q931" i="2"/>
  <c r="C931" i="1"/>
  <c r="P931" i="2"/>
  <c r="O931" i="2"/>
  <c r="L931" i="2"/>
  <c r="K931" i="2"/>
  <c r="D930" i="1"/>
  <c r="Q930" i="2"/>
  <c r="C930" i="1"/>
  <c r="P930" i="2"/>
  <c r="O930" i="2"/>
  <c r="L930" i="2"/>
  <c r="K930" i="2"/>
  <c r="D929" i="1"/>
  <c r="Q929" i="2"/>
  <c r="C929" i="1"/>
  <c r="P929" i="2"/>
  <c r="O929" i="2"/>
  <c r="L929" i="2"/>
  <c r="K929" i="2"/>
  <c r="D928" i="1"/>
  <c r="Q928" i="2"/>
  <c r="C928" i="1"/>
  <c r="P928" i="2"/>
  <c r="O928" i="2"/>
  <c r="L928" i="2"/>
  <c r="K928" i="2"/>
  <c r="D927" i="1"/>
  <c r="Q927" i="2"/>
  <c r="C927" i="1"/>
  <c r="P927" i="2"/>
  <c r="O927" i="2"/>
  <c r="L927" i="2"/>
  <c r="K927" i="2"/>
  <c r="D926" i="1"/>
  <c r="Q926" i="2"/>
  <c r="C926" i="1"/>
  <c r="P926" i="2"/>
  <c r="O926" i="2"/>
  <c r="L926" i="2"/>
  <c r="K926" i="2"/>
  <c r="D925" i="1"/>
  <c r="Q925" i="2"/>
  <c r="C925" i="1"/>
  <c r="P925" i="2"/>
  <c r="O925" i="2"/>
  <c r="L925" i="2"/>
  <c r="K925" i="2"/>
  <c r="D924" i="1"/>
  <c r="Q924" i="2"/>
  <c r="C924" i="1"/>
  <c r="P924" i="2"/>
  <c r="O924" i="2"/>
  <c r="L924" i="2"/>
  <c r="K924" i="2"/>
  <c r="D923" i="1"/>
  <c r="Q923" i="2"/>
  <c r="C923" i="1"/>
  <c r="P923" i="2"/>
  <c r="O923" i="2"/>
  <c r="L923" i="2"/>
  <c r="K923" i="2"/>
  <c r="D922" i="1"/>
  <c r="Q922" i="2"/>
  <c r="C922" i="1"/>
  <c r="P922" i="2"/>
  <c r="O922" i="2"/>
  <c r="L922" i="2"/>
  <c r="K922" i="2"/>
  <c r="D921" i="1"/>
  <c r="Q921" i="2"/>
  <c r="C921" i="1"/>
  <c r="P921" i="2"/>
  <c r="O921" i="2"/>
  <c r="L921" i="2"/>
  <c r="K921" i="2"/>
  <c r="D920" i="1"/>
  <c r="Q920" i="2"/>
  <c r="C920" i="1"/>
  <c r="P920" i="2"/>
  <c r="O920" i="2"/>
  <c r="L920" i="2"/>
  <c r="K920" i="2"/>
  <c r="D919" i="1"/>
  <c r="Q919" i="2"/>
  <c r="C919" i="1"/>
  <c r="P919" i="2"/>
  <c r="O919" i="2"/>
  <c r="L919" i="2"/>
  <c r="K919" i="2"/>
  <c r="D918" i="1"/>
  <c r="Q918" i="2"/>
  <c r="C918" i="1"/>
  <c r="P918" i="2"/>
  <c r="O918" i="2"/>
  <c r="L918" i="2"/>
  <c r="K918" i="2"/>
  <c r="D917" i="1"/>
  <c r="Q917" i="2"/>
  <c r="C917" i="1"/>
  <c r="P917" i="2"/>
  <c r="O917" i="2"/>
  <c r="L917" i="2"/>
  <c r="K917" i="2"/>
  <c r="D916" i="1"/>
  <c r="Q916" i="2"/>
  <c r="C916" i="1"/>
  <c r="P916" i="2"/>
  <c r="O916" i="2"/>
  <c r="L916" i="2"/>
  <c r="K916" i="2"/>
  <c r="D915" i="1"/>
  <c r="Q915" i="2"/>
  <c r="C915" i="1"/>
  <c r="P915" i="2"/>
  <c r="O915" i="2"/>
  <c r="L915" i="2"/>
  <c r="K915" i="2"/>
  <c r="D914" i="1"/>
  <c r="Q914" i="2"/>
  <c r="C914" i="1"/>
  <c r="P914" i="2"/>
  <c r="O914" i="2"/>
  <c r="L914" i="2"/>
  <c r="K914" i="2"/>
  <c r="D913" i="1"/>
  <c r="Q913" i="2"/>
  <c r="C913" i="1"/>
  <c r="P913" i="2"/>
  <c r="O913" i="2"/>
  <c r="L913" i="2"/>
  <c r="K913" i="2"/>
  <c r="D912" i="1"/>
  <c r="Q912" i="2"/>
  <c r="C912" i="1"/>
  <c r="P912" i="2"/>
  <c r="O912" i="2"/>
  <c r="L912" i="2"/>
  <c r="K912" i="2"/>
  <c r="D911" i="1"/>
  <c r="Q911" i="2"/>
  <c r="C911" i="1"/>
  <c r="P911" i="2"/>
  <c r="O911" i="2"/>
  <c r="L911" i="2"/>
  <c r="K911" i="2"/>
  <c r="D910" i="1"/>
  <c r="Q910" i="2"/>
  <c r="C910" i="1"/>
  <c r="P910" i="2"/>
  <c r="O910" i="2"/>
  <c r="L910" i="2"/>
  <c r="K910" i="2"/>
  <c r="D909" i="1"/>
  <c r="Q909" i="2"/>
  <c r="C909" i="1"/>
  <c r="P909" i="2"/>
  <c r="O909" i="2"/>
  <c r="L909" i="2"/>
  <c r="K909" i="2"/>
  <c r="D908" i="1"/>
  <c r="Q908" i="2"/>
  <c r="C908" i="1"/>
  <c r="P908" i="2"/>
  <c r="O908" i="2"/>
  <c r="L908" i="2"/>
  <c r="K908" i="2"/>
  <c r="D907" i="1"/>
  <c r="Q907" i="2"/>
  <c r="C907" i="1"/>
  <c r="P907" i="2"/>
  <c r="O907" i="2"/>
  <c r="L907" i="2"/>
  <c r="K907" i="2"/>
  <c r="D906" i="1"/>
  <c r="Q906" i="2"/>
  <c r="C906" i="1"/>
  <c r="P906" i="2"/>
  <c r="O906" i="2"/>
  <c r="L906" i="2"/>
  <c r="K906" i="2"/>
  <c r="D905" i="1"/>
  <c r="Q905" i="2"/>
  <c r="C905" i="1"/>
  <c r="P905" i="2"/>
  <c r="O905" i="2"/>
  <c r="L905" i="2"/>
  <c r="K905" i="2"/>
  <c r="D904" i="1"/>
  <c r="Q904" i="2"/>
  <c r="C904" i="1"/>
  <c r="P904" i="2"/>
  <c r="O904" i="2"/>
  <c r="L904" i="2"/>
  <c r="K904" i="2"/>
  <c r="D903" i="1"/>
  <c r="Q903" i="2"/>
  <c r="C903" i="1"/>
  <c r="P903" i="2"/>
  <c r="O903" i="2"/>
  <c r="L903" i="2"/>
  <c r="K903" i="2"/>
  <c r="D902" i="1"/>
  <c r="Q902" i="2"/>
  <c r="C902" i="1"/>
  <c r="P902" i="2"/>
  <c r="O902" i="2"/>
  <c r="L902" i="2"/>
  <c r="K902" i="2"/>
  <c r="D901" i="1"/>
  <c r="Q901" i="2"/>
  <c r="C901" i="1"/>
  <c r="P901" i="2"/>
  <c r="O901" i="2"/>
  <c r="L901" i="2"/>
  <c r="K901" i="2"/>
  <c r="D900" i="1"/>
  <c r="Q900" i="2"/>
  <c r="C900" i="1"/>
  <c r="P900" i="2"/>
  <c r="O900" i="2"/>
  <c r="L900" i="2"/>
  <c r="K900" i="2"/>
  <c r="D899" i="1"/>
  <c r="Q899" i="2"/>
  <c r="C899" i="1"/>
  <c r="P899" i="2"/>
  <c r="O899" i="2"/>
  <c r="L899" i="2"/>
  <c r="K899" i="2"/>
  <c r="D898" i="1"/>
  <c r="Q898" i="2"/>
  <c r="C898" i="1"/>
  <c r="P898" i="2"/>
  <c r="O898" i="2"/>
  <c r="L898" i="2"/>
  <c r="K898" i="2"/>
  <c r="D897" i="1"/>
  <c r="Q897" i="2"/>
  <c r="C897" i="1"/>
  <c r="P897" i="2"/>
  <c r="O897" i="2"/>
  <c r="L897" i="2"/>
  <c r="K897" i="2"/>
  <c r="D896" i="1"/>
  <c r="Q896" i="2"/>
  <c r="C896" i="1"/>
  <c r="P896" i="2"/>
  <c r="O896" i="2"/>
  <c r="L896" i="2"/>
  <c r="K896" i="2"/>
  <c r="D895" i="1"/>
  <c r="Q895" i="2"/>
  <c r="C895" i="1"/>
  <c r="P895" i="2"/>
  <c r="O895" i="2"/>
  <c r="L895" i="2"/>
  <c r="K895" i="2"/>
  <c r="D894" i="1"/>
  <c r="Q894" i="2"/>
  <c r="C894" i="1"/>
  <c r="P894" i="2"/>
  <c r="O894" i="2"/>
  <c r="L894" i="2"/>
  <c r="K894" i="2"/>
  <c r="D893" i="1"/>
  <c r="Q893" i="2"/>
  <c r="C893" i="1"/>
  <c r="P893" i="2"/>
  <c r="O893" i="2"/>
  <c r="L893" i="2"/>
  <c r="K893" i="2"/>
  <c r="D892" i="1"/>
  <c r="Q892" i="2"/>
  <c r="C892" i="1"/>
  <c r="P892" i="2"/>
  <c r="O892" i="2"/>
  <c r="L892" i="2"/>
  <c r="K892" i="2"/>
  <c r="D891" i="1"/>
  <c r="Q891" i="2"/>
  <c r="C891" i="1"/>
  <c r="P891" i="2"/>
  <c r="O891" i="2"/>
  <c r="L891" i="2"/>
  <c r="K891" i="2"/>
  <c r="D890" i="1"/>
  <c r="Q890" i="2"/>
  <c r="C890" i="1"/>
  <c r="P890" i="2"/>
  <c r="O890" i="2"/>
  <c r="L890" i="2"/>
  <c r="K890" i="2"/>
  <c r="D889" i="1"/>
  <c r="Q889" i="2"/>
  <c r="C889" i="1"/>
  <c r="P889" i="2"/>
  <c r="O889" i="2"/>
  <c r="L889" i="2"/>
  <c r="K889" i="2"/>
  <c r="D888" i="1"/>
  <c r="Q888" i="2"/>
  <c r="C888" i="1"/>
  <c r="P888" i="2"/>
  <c r="O888" i="2"/>
  <c r="L888" i="2"/>
  <c r="K888" i="2"/>
  <c r="D887" i="1"/>
  <c r="Q887" i="2"/>
  <c r="C887" i="1"/>
  <c r="P887" i="2"/>
  <c r="O887" i="2"/>
  <c r="L887" i="2"/>
  <c r="K887" i="2"/>
  <c r="D886" i="1"/>
  <c r="Q886" i="2"/>
  <c r="C886" i="1"/>
  <c r="P886" i="2"/>
  <c r="O886" i="2"/>
  <c r="L886" i="2"/>
  <c r="K886" i="2"/>
  <c r="D885" i="1"/>
  <c r="Q885" i="2"/>
  <c r="C885" i="1"/>
  <c r="P885" i="2"/>
  <c r="O885" i="2"/>
  <c r="L885" i="2"/>
  <c r="K885" i="2"/>
  <c r="D884" i="1"/>
  <c r="Q884" i="2"/>
  <c r="C884" i="1"/>
  <c r="P884" i="2"/>
  <c r="O884" i="2"/>
  <c r="L884" i="2"/>
  <c r="K884" i="2"/>
  <c r="D883" i="1"/>
  <c r="Q883" i="2"/>
  <c r="C883" i="1"/>
  <c r="P883" i="2"/>
  <c r="O883" i="2"/>
  <c r="L883" i="2"/>
  <c r="K883" i="2"/>
  <c r="D882" i="1"/>
  <c r="Q882" i="2"/>
  <c r="C882" i="1"/>
  <c r="P882" i="2"/>
  <c r="O882" i="2"/>
  <c r="L882" i="2"/>
  <c r="K882" i="2"/>
  <c r="D881" i="1"/>
  <c r="Q881" i="2"/>
  <c r="C881" i="1"/>
  <c r="P881" i="2"/>
  <c r="O881" i="2"/>
  <c r="L881" i="2"/>
  <c r="K881" i="2"/>
  <c r="D880" i="1"/>
  <c r="Q880" i="2"/>
  <c r="C880" i="1"/>
  <c r="P880" i="2"/>
  <c r="O880" i="2"/>
  <c r="L880" i="2"/>
  <c r="K880" i="2"/>
  <c r="D879" i="1"/>
  <c r="Q879" i="2"/>
  <c r="C879" i="1"/>
  <c r="P879" i="2"/>
  <c r="O879" i="2"/>
  <c r="L879" i="2"/>
  <c r="K879" i="2"/>
  <c r="D878" i="1"/>
  <c r="Q878" i="2"/>
  <c r="C878" i="1"/>
  <c r="P878" i="2"/>
  <c r="O878" i="2"/>
  <c r="L878" i="2"/>
  <c r="K878" i="2"/>
  <c r="D877" i="1"/>
  <c r="Q877" i="2"/>
  <c r="C877" i="1"/>
  <c r="P877" i="2"/>
  <c r="O877" i="2"/>
  <c r="L877" i="2"/>
  <c r="K877" i="2"/>
  <c r="D876" i="1"/>
  <c r="Q876" i="2"/>
  <c r="C876" i="1"/>
  <c r="P876" i="2"/>
  <c r="O876" i="2"/>
  <c r="L876" i="2"/>
  <c r="K876" i="2"/>
  <c r="D875" i="1"/>
  <c r="Q875" i="2"/>
  <c r="C875" i="1"/>
  <c r="P875" i="2"/>
  <c r="O875" i="2"/>
  <c r="L875" i="2"/>
  <c r="K875" i="2"/>
  <c r="D874" i="1"/>
  <c r="Q874" i="2"/>
  <c r="C874" i="1"/>
  <c r="P874" i="2"/>
  <c r="O874" i="2"/>
  <c r="L874" i="2"/>
  <c r="K874" i="2"/>
  <c r="D873" i="1"/>
  <c r="Q873" i="2"/>
  <c r="C873" i="1"/>
  <c r="P873" i="2"/>
  <c r="O873" i="2"/>
  <c r="L873" i="2"/>
  <c r="K873" i="2"/>
  <c r="D872" i="1"/>
  <c r="Q872" i="2"/>
  <c r="C872" i="1"/>
  <c r="P872" i="2"/>
  <c r="O872" i="2"/>
  <c r="L872" i="2"/>
  <c r="K872" i="2"/>
  <c r="D871" i="1"/>
  <c r="Q871" i="2"/>
  <c r="C871" i="1"/>
  <c r="P871" i="2"/>
  <c r="O871" i="2"/>
  <c r="L871" i="2"/>
  <c r="K871" i="2"/>
  <c r="D870" i="1"/>
  <c r="Q870" i="2"/>
  <c r="C870" i="1"/>
  <c r="P870" i="2"/>
  <c r="O870" i="2"/>
  <c r="L870" i="2"/>
  <c r="K870" i="2"/>
  <c r="D869" i="1"/>
  <c r="Q869" i="2"/>
  <c r="C869" i="1"/>
  <c r="P869" i="2"/>
  <c r="O869" i="2"/>
  <c r="L869" i="2"/>
  <c r="K869" i="2"/>
  <c r="D868" i="1"/>
  <c r="Q868" i="2"/>
  <c r="C868" i="1"/>
  <c r="P868" i="2"/>
  <c r="O868" i="2"/>
  <c r="L868" i="2"/>
  <c r="K868" i="2"/>
  <c r="D867" i="1"/>
  <c r="Q867" i="2"/>
  <c r="C867" i="1"/>
  <c r="P867" i="2"/>
  <c r="O867" i="2"/>
  <c r="L867" i="2"/>
  <c r="K867" i="2"/>
  <c r="D866" i="1"/>
  <c r="Q866" i="2"/>
  <c r="C866" i="1"/>
  <c r="P866" i="2"/>
  <c r="O866" i="2"/>
  <c r="L866" i="2"/>
  <c r="K866" i="2"/>
  <c r="D865" i="1"/>
  <c r="Q865" i="2"/>
  <c r="C865" i="1"/>
  <c r="P865" i="2"/>
  <c r="O865" i="2"/>
  <c r="L865" i="2"/>
  <c r="K865" i="2"/>
  <c r="D864" i="1"/>
  <c r="Q864" i="2"/>
  <c r="C864" i="1"/>
  <c r="P864" i="2"/>
  <c r="O864" i="2"/>
  <c r="L864" i="2"/>
  <c r="K864" i="2"/>
  <c r="D863" i="1"/>
  <c r="Q863" i="2"/>
  <c r="C863" i="1"/>
  <c r="P863" i="2"/>
  <c r="O863" i="2"/>
  <c r="L863" i="2"/>
  <c r="K863" i="2"/>
  <c r="D862" i="1"/>
  <c r="Q862" i="2"/>
  <c r="C862" i="1"/>
  <c r="P862" i="2"/>
  <c r="O862" i="2"/>
  <c r="L862" i="2"/>
  <c r="K862" i="2"/>
  <c r="D861" i="1"/>
  <c r="Q861" i="2"/>
  <c r="C861" i="1"/>
  <c r="P861" i="2"/>
  <c r="O861" i="2"/>
  <c r="L861" i="2"/>
  <c r="K861" i="2"/>
  <c r="D860" i="1"/>
  <c r="Q860" i="2"/>
  <c r="C860" i="1"/>
  <c r="P860" i="2"/>
  <c r="O860" i="2"/>
  <c r="L860" i="2"/>
  <c r="K860" i="2"/>
  <c r="D859" i="1"/>
  <c r="Q859" i="2"/>
  <c r="C859" i="1"/>
  <c r="P859" i="2"/>
  <c r="O859" i="2"/>
  <c r="L859" i="2"/>
  <c r="K859" i="2"/>
  <c r="D858" i="1"/>
  <c r="Q858" i="2"/>
  <c r="C858" i="1"/>
  <c r="P858" i="2"/>
  <c r="O858" i="2"/>
  <c r="L858" i="2"/>
  <c r="K858" i="2"/>
  <c r="D857" i="1"/>
  <c r="Q857" i="2"/>
  <c r="C857" i="1"/>
  <c r="P857" i="2"/>
  <c r="O857" i="2"/>
  <c r="L857" i="2"/>
  <c r="K857" i="2"/>
  <c r="D856" i="1"/>
  <c r="Q856" i="2"/>
  <c r="C856" i="1"/>
  <c r="P856" i="2"/>
  <c r="O856" i="2"/>
  <c r="L856" i="2"/>
  <c r="K856" i="2"/>
  <c r="D855" i="1"/>
  <c r="Q855" i="2"/>
  <c r="C855" i="1"/>
  <c r="P855" i="2"/>
  <c r="O855" i="2"/>
  <c r="L855" i="2"/>
  <c r="K855" i="2"/>
  <c r="D854" i="1"/>
  <c r="Q854" i="2"/>
  <c r="C854" i="1"/>
  <c r="P854" i="2"/>
  <c r="O854" i="2"/>
  <c r="L854" i="2"/>
  <c r="K854" i="2"/>
  <c r="D853" i="1"/>
  <c r="Q853" i="2"/>
  <c r="C853" i="1"/>
  <c r="P853" i="2"/>
  <c r="O853" i="2"/>
  <c r="L853" i="2"/>
  <c r="K853" i="2"/>
  <c r="D852" i="1"/>
  <c r="Q852" i="2"/>
  <c r="C852" i="1"/>
  <c r="P852" i="2"/>
  <c r="O852" i="2"/>
  <c r="L852" i="2"/>
  <c r="K852" i="2"/>
  <c r="D851" i="1"/>
  <c r="Q851" i="2"/>
  <c r="C851" i="1"/>
  <c r="P851" i="2"/>
  <c r="O851" i="2"/>
  <c r="L851" i="2"/>
  <c r="K851" i="2"/>
  <c r="D850" i="1"/>
  <c r="Q850" i="2"/>
  <c r="C850" i="1"/>
  <c r="P850" i="2"/>
  <c r="O850" i="2"/>
  <c r="L850" i="2"/>
  <c r="K850" i="2"/>
  <c r="D849" i="1"/>
  <c r="Q849" i="2"/>
  <c r="C849" i="1"/>
  <c r="P849" i="2"/>
  <c r="O849" i="2"/>
  <c r="L849" i="2"/>
  <c r="K849" i="2"/>
  <c r="D848" i="1"/>
  <c r="Q848" i="2"/>
  <c r="C848" i="1"/>
  <c r="P848" i="2"/>
  <c r="O848" i="2"/>
  <c r="L848" i="2"/>
  <c r="K848" i="2"/>
  <c r="D847" i="1"/>
  <c r="Q847" i="2"/>
  <c r="C847" i="1"/>
  <c r="P847" i="2"/>
  <c r="O847" i="2"/>
  <c r="L847" i="2"/>
  <c r="K847" i="2"/>
  <c r="D846" i="1"/>
  <c r="Q846" i="2"/>
  <c r="C846" i="1"/>
  <c r="P846" i="2"/>
  <c r="O846" i="2"/>
  <c r="L846" i="2"/>
  <c r="K846" i="2"/>
  <c r="D845" i="1"/>
  <c r="Q845" i="2"/>
  <c r="C845" i="1"/>
  <c r="P845" i="2"/>
  <c r="O845" i="2"/>
  <c r="L845" i="2"/>
  <c r="K845" i="2"/>
  <c r="D844" i="1"/>
  <c r="Q844" i="2"/>
  <c r="C844" i="1"/>
  <c r="P844" i="2"/>
  <c r="O844" i="2"/>
  <c r="L844" i="2"/>
  <c r="K844" i="2"/>
  <c r="D843" i="1"/>
  <c r="Q843" i="2"/>
  <c r="C843" i="1"/>
  <c r="P843" i="2"/>
  <c r="O843" i="2"/>
  <c r="L843" i="2"/>
  <c r="K843" i="2"/>
  <c r="D842" i="1"/>
  <c r="Q842" i="2"/>
  <c r="C842" i="1"/>
  <c r="P842" i="2"/>
  <c r="O842" i="2"/>
  <c r="L842" i="2"/>
  <c r="K842" i="2"/>
  <c r="D841" i="1"/>
  <c r="Q841" i="2"/>
  <c r="C841" i="1"/>
  <c r="P841" i="2"/>
  <c r="O841" i="2"/>
  <c r="L841" i="2"/>
  <c r="K841" i="2"/>
  <c r="D840" i="1"/>
  <c r="Q840" i="2"/>
  <c r="C840" i="1"/>
  <c r="P840" i="2"/>
  <c r="O840" i="2"/>
  <c r="L840" i="2"/>
  <c r="K840" i="2"/>
  <c r="D839" i="1"/>
  <c r="Q839" i="2"/>
  <c r="C839" i="1"/>
  <c r="P839" i="2"/>
  <c r="O839" i="2"/>
  <c r="L839" i="2"/>
  <c r="K839" i="2"/>
  <c r="D838" i="1"/>
  <c r="Q838" i="2"/>
  <c r="C838" i="1"/>
  <c r="P838" i="2"/>
  <c r="O838" i="2"/>
  <c r="L838" i="2"/>
  <c r="K838" i="2"/>
  <c r="D837" i="1"/>
  <c r="Q837" i="2"/>
  <c r="C837" i="1"/>
  <c r="P837" i="2"/>
  <c r="O837" i="2"/>
  <c r="L837" i="2"/>
  <c r="K837" i="2"/>
  <c r="D836" i="1"/>
  <c r="Q836" i="2"/>
  <c r="C836" i="1"/>
  <c r="P836" i="2"/>
  <c r="O836" i="2"/>
  <c r="L836" i="2"/>
  <c r="K836" i="2"/>
  <c r="D835" i="1"/>
  <c r="Q835" i="2"/>
  <c r="C835" i="1"/>
  <c r="P835" i="2"/>
  <c r="O835" i="2"/>
  <c r="L835" i="2"/>
  <c r="K835" i="2"/>
  <c r="D834" i="1"/>
  <c r="Q834" i="2"/>
  <c r="C834" i="1"/>
  <c r="P834" i="2"/>
  <c r="O834" i="2"/>
  <c r="L834" i="2"/>
  <c r="K834" i="2"/>
  <c r="D833" i="1"/>
  <c r="Q833" i="2"/>
  <c r="C833" i="1"/>
  <c r="P833" i="2"/>
  <c r="O833" i="2"/>
  <c r="L833" i="2"/>
  <c r="K833" i="2"/>
  <c r="D832" i="1"/>
  <c r="Q832" i="2"/>
  <c r="C832" i="1"/>
  <c r="P832" i="2"/>
  <c r="O832" i="2"/>
  <c r="L832" i="2"/>
  <c r="K832" i="2"/>
  <c r="D831" i="1"/>
  <c r="Q831" i="2"/>
  <c r="C831" i="1"/>
  <c r="P831" i="2"/>
  <c r="O831" i="2"/>
  <c r="L831" i="2"/>
  <c r="K831" i="2"/>
  <c r="D830" i="1"/>
  <c r="Q830" i="2"/>
  <c r="C830" i="1"/>
  <c r="P830" i="2"/>
  <c r="O830" i="2"/>
  <c r="L830" i="2"/>
  <c r="K830" i="2"/>
  <c r="D829" i="1"/>
  <c r="Q829" i="2"/>
  <c r="C829" i="1"/>
  <c r="P829" i="2"/>
  <c r="O829" i="2"/>
  <c r="L829" i="2"/>
  <c r="K829" i="2"/>
  <c r="D828" i="1"/>
  <c r="Q828" i="2"/>
  <c r="C828" i="1"/>
  <c r="P828" i="2"/>
  <c r="O828" i="2"/>
  <c r="L828" i="2"/>
  <c r="K828" i="2"/>
  <c r="D827" i="1"/>
  <c r="Q827" i="2"/>
  <c r="C827" i="1"/>
  <c r="P827" i="2"/>
  <c r="O827" i="2"/>
  <c r="L827" i="2"/>
  <c r="K827" i="2"/>
  <c r="D826" i="1"/>
  <c r="Q826" i="2"/>
  <c r="C826" i="1"/>
  <c r="P826" i="2"/>
  <c r="O826" i="2"/>
  <c r="L826" i="2"/>
  <c r="K826" i="2"/>
  <c r="D825" i="1"/>
  <c r="Q825" i="2"/>
  <c r="C825" i="1"/>
  <c r="P825" i="2"/>
  <c r="O825" i="2"/>
  <c r="L825" i="2"/>
  <c r="K825" i="2"/>
  <c r="D824" i="1"/>
  <c r="Q824" i="2"/>
  <c r="C824" i="1"/>
  <c r="P824" i="2"/>
  <c r="O824" i="2"/>
  <c r="L824" i="2"/>
  <c r="K824" i="2"/>
  <c r="D823" i="1"/>
  <c r="Q823" i="2"/>
  <c r="C823" i="1"/>
  <c r="P823" i="2"/>
  <c r="O823" i="2"/>
  <c r="L823" i="2"/>
  <c r="K823" i="2"/>
  <c r="D822" i="1"/>
  <c r="Q822" i="2"/>
  <c r="C822" i="1"/>
  <c r="P822" i="2"/>
  <c r="O822" i="2"/>
  <c r="L822" i="2"/>
  <c r="K822" i="2"/>
  <c r="D821" i="1"/>
  <c r="Q821" i="2"/>
  <c r="C821" i="1"/>
  <c r="P821" i="2"/>
  <c r="O821" i="2"/>
  <c r="L821" i="2"/>
  <c r="K821" i="2"/>
  <c r="D820" i="1"/>
  <c r="Q820" i="2"/>
  <c r="C820" i="1"/>
  <c r="P820" i="2"/>
  <c r="O820" i="2"/>
  <c r="L820" i="2"/>
  <c r="K820" i="2"/>
  <c r="D819" i="1"/>
  <c r="Q819" i="2"/>
  <c r="C819" i="1"/>
  <c r="P819" i="2"/>
  <c r="O819" i="2"/>
  <c r="L819" i="2"/>
  <c r="K819" i="2"/>
  <c r="D818" i="1"/>
  <c r="Q818" i="2"/>
  <c r="C818" i="1"/>
  <c r="P818" i="2"/>
  <c r="O818" i="2"/>
  <c r="L818" i="2"/>
  <c r="K818" i="2"/>
  <c r="D817" i="1"/>
  <c r="Q817" i="2"/>
  <c r="C817" i="1"/>
  <c r="P817" i="2"/>
  <c r="O817" i="2"/>
  <c r="L817" i="2"/>
  <c r="K817" i="2"/>
  <c r="D816" i="1"/>
  <c r="Q816" i="2"/>
  <c r="C816" i="1"/>
  <c r="P816" i="2"/>
  <c r="O816" i="2"/>
  <c r="L816" i="2"/>
  <c r="K816" i="2"/>
  <c r="D815" i="1"/>
  <c r="Q815" i="2"/>
  <c r="C815" i="1"/>
  <c r="P815" i="2"/>
  <c r="O815" i="2"/>
  <c r="L815" i="2"/>
  <c r="K815" i="2"/>
  <c r="D814" i="1"/>
  <c r="Q814" i="2"/>
  <c r="C814" i="1"/>
  <c r="P814" i="2"/>
  <c r="O814" i="2"/>
  <c r="L814" i="2"/>
  <c r="K814" i="2"/>
  <c r="D813" i="1"/>
  <c r="Q813" i="2"/>
  <c r="C813" i="1"/>
  <c r="P813" i="2"/>
  <c r="O813" i="2"/>
  <c r="L813" i="2"/>
  <c r="K813" i="2"/>
  <c r="D812" i="1"/>
  <c r="Q812" i="2"/>
  <c r="C812" i="1"/>
  <c r="P812" i="2"/>
  <c r="O812" i="2"/>
  <c r="L812" i="2"/>
  <c r="K812" i="2"/>
  <c r="D811" i="1"/>
  <c r="Q811" i="2"/>
  <c r="C811" i="1"/>
  <c r="P811" i="2"/>
  <c r="O811" i="2"/>
  <c r="L811" i="2"/>
  <c r="K811" i="2"/>
  <c r="D810" i="1"/>
  <c r="Q810" i="2"/>
  <c r="C810" i="1"/>
  <c r="P810" i="2"/>
  <c r="O810" i="2"/>
  <c r="L810" i="2"/>
  <c r="K810" i="2"/>
  <c r="D809" i="1"/>
  <c r="Q809" i="2"/>
  <c r="C809" i="1"/>
  <c r="P809" i="2"/>
  <c r="O809" i="2"/>
  <c r="L809" i="2"/>
  <c r="K809" i="2"/>
  <c r="D808" i="1"/>
  <c r="Q808" i="2"/>
  <c r="C808" i="1"/>
  <c r="P808" i="2"/>
  <c r="O808" i="2"/>
  <c r="L808" i="2"/>
  <c r="K808" i="2"/>
  <c r="D807" i="1"/>
  <c r="Q807" i="2"/>
  <c r="C807" i="1"/>
  <c r="P807" i="2"/>
  <c r="O807" i="2"/>
  <c r="L807" i="2"/>
  <c r="K807" i="2"/>
  <c r="D806" i="1"/>
  <c r="Q806" i="2"/>
  <c r="C806" i="1"/>
  <c r="P806" i="2"/>
  <c r="O806" i="2"/>
  <c r="L806" i="2"/>
  <c r="K806" i="2"/>
  <c r="D805" i="1"/>
  <c r="Q805" i="2"/>
  <c r="C805" i="1"/>
  <c r="P805" i="2"/>
  <c r="O805" i="2"/>
  <c r="L805" i="2"/>
  <c r="K805" i="2"/>
  <c r="D804" i="1"/>
  <c r="Q804" i="2"/>
  <c r="C804" i="1"/>
  <c r="P804" i="2"/>
  <c r="O804" i="2"/>
  <c r="L804" i="2"/>
  <c r="K804" i="2"/>
  <c r="D803" i="1"/>
  <c r="Q803" i="2"/>
  <c r="C803" i="1"/>
  <c r="P803" i="2"/>
  <c r="O803" i="2"/>
  <c r="L803" i="2"/>
  <c r="K803" i="2"/>
  <c r="D802" i="1"/>
  <c r="Q802" i="2"/>
  <c r="C802" i="1"/>
  <c r="P802" i="2"/>
  <c r="O802" i="2"/>
  <c r="L802" i="2"/>
  <c r="K802" i="2"/>
  <c r="D801" i="1"/>
  <c r="Q801" i="2"/>
  <c r="C801" i="1"/>
  <c r="P801" i="2"/>
  <c r="O801" i="2"/>
  <c r="L801" i="2"/>
  <c r="K801" i="2"/>
  <c r="D800" i="1"/>
  <c r="Q800" i="2"/>
  <c r="C800" i="1"/>
  <c r="P800" i="2"/>
  <c r="O800" i="2"/>
  <c r="L800" i="2"/>
  <c r="K800" i="2"/>
  <c r="D799" i="1"/>
  <c r="Q799" i="2"/>
  <c r="C799" i="1"/>
  <c r="P799" i="2"/>
  <c r="O799" i="2"/>
  <c r="L799" i="2"/>
  <c r="K799" i="2"/>
  <c r="D798" i="1"/>
  <c r="Q798" i="2"/>
  <c r="C798" i="1"/>
  <c r="P798" i="2"/>
  <c r="O798" i="2"/>
  <c r="L798" i="2"/>
  <c r="K798" i="2"/>
  <c r="D797" i="1"/>
  <c r="Q797" i="2"/>
  <c r="C797" i="1"/>
  <c r="P797" i="2"/>
  <c r="O797" i="2"/>
  <c r="L797" i="2"/>
  <c r="K797" i="2"/>
  <c r="D796" i="1"/>
  <c r="Q796" i="2"/>
  <c r="C796" i="1"/>
  <c r="P796" i="2"/>
  <c r="O796" i="2"/>
  <c r="L796" i="2"/>
  <c r="K796" i="2"/>
  <c r="D795" i="1"/>
  <c r="Q795" i="2"/>
  <c r="C795" i="1"/>
  <c r="P795" i="2"/>
  <c r="O795" i="2"/>
  <c r="L795" i="2"/>
  <c r="K795" i="2"/>
  <c r="D794" i="1"/>
  <c r="Q794" i="2"/>
  <c r="C794" i="1"/>
  <c r="P794" i="2"/>
  <c r="O794" i="2"/>
  <c r="L794" i="2"/>
  <c r="K794" i="2"/>
  <c r="D793" i="1"/>
  <c r="Q793" i="2"/>
  <c r="C793" i="1"/>
  <c r="P793" i="2"/>
  <c r="O793" i="2"/>
  <c r="L793" i="2"/>
  <c r="K793" i="2"/>
  <c r="D792" i="1"/>
  <c r="Q792" i="2"/>
  <c r="C792" i="1"/>
  <c r="P792" i="2"/>
  <c r="O792" i="2"/>
  <c r="L792" i="2"/>
  <c r="K792" i="2"/>
  <c r="D791" i="1"/>
  <c r="Q791" i="2"/>
  <c r="C791" i="1"/>
  <c r="P791" i="2"/>
  <c r="O791" i="2"/>
  <c r="L791" i="2"/>
  <c r="K791" i="2"/>
  <c r="D790" i="1"/>
  <c r="Q790" i="2"/>
  <c r="C790" i="1"/>
  <c r="P790" i="2"/>
  <c r="O790" i="2"/>
  <c r="L790" i="2"/>
  <c r="K790" i="2"/>
  <c r="D789" i="1"/>
  <c r="Q789" i="2"/>
  <c r="C789" i="1"/>
  <c r="P789" i="2"/>
  <c r="O789" i="2"/>
  <c r="L789" i="2"/>
  <c r="K789" i="2"/>
  <c r="D788" i="1"/>
  <c r="Q788" i="2"/>
  <c r="C788" i="1"/>
  <c r="P788" i="2"/>
  <c r="O788" i="2"/>
  <c r="L788" i="2"/>
  <c r="K788" i="2"/>
  <c r="D787" i="1"/>
  <c r="Q787" i="2"/>
  <c r="C787" i="1"/>
  <c r="P787" i="2"/>
  <c r="O787" i="2"/>
  <c r="L787" i="2"/>
  <c r="K787" i="2"/>
  <c r="D786" i="1"/>
  <c r="Q786" i="2"/>
  <c r="C786" i="1"/>
  <c r="P786" i="2"/>
  <c r="O786" i="2"/>
  <c r="L786" i="2"/>
  <c r="K786" i="2"/>
  <c r="D785" i="1"/>
  <c r="Q785" i="2"/>
  <c r="C785" i="1"/>
  <c r="P785" i="2"/>
  <c r="O785" i="2"/>
  <c r="L785" i="2"/>
  <c r="K785" i="2"/>
  <c r="D784" i="1"/>
  <c r="Q784" i="2"/>
  <c r="C784" i="1"/>
  <c r="P784" i="2"/>
  <c r="O784" i="2"/>
  <c r="L784" i="2"/>
  <c r="K784" i="2"/>
  <c r="D783" i="1"/>
  <c r="Q783" i="2"/>
  <c r="C783" i="1"/>
  <c r="P783" i="2"/>
  <c r="O783" i="2"/>
  <c r="L783" i="2"/>
  <c r="K783" i="2"/>
  <c r="D782" i="1"/>
  <c r="Q782" i="2"/>
  <c r="C782" i="1"/>
  <c r="P782" i="2"/>
  <c r="O782" i="2"/>
  <c r="L782" i="2"/>
  <c r="K782" i="2"/>
  <c r="D781" i="1"/>
  <c r="Q781" i="2"/>
  <c r="C781" i="1"/>
  <c r="P781" i="2"/>
  <c r="O781" i="2"/>
  <c r="L781" i="2"/>
  <c r="K781" i="2"/>
  <c r="D780" i="1"/>
  <c r="Q780" i="2"/>
  <c r="C780" i="1"/>
  <c r="P780" i="2"/>
  <c r="O780" i="2"/>
  <c r="L780" i="2"/>
  <c r="K780" i="2"/>
  <c r="D779" i="1"/>
  <c r="Q779" i="2"/>
  <c r="C779" i="1"/>
  <c r="P779" i="2"/>
  <c r="O779" i="2"/>
  <c r="L779" i="2"/>
  <c r="K779" i="2"/>
  <c r="D778" i="1"/>
  <c r="Q778" i="2"/>
  <c r="C778" i="1"/>
  <c r="P778" i="2"/>
  <c r="O778" i="2"/>
  <c r="L778" i="2"/>
  <c r="K778" i="2"/>
  <c r="D777" i="1"/>
  <c r="Q777" i="2"/>
  <c r="C777" i="1"/>
  <c r="P777" i="2"/>
  <c r="O777" i="2"/>
  <c r="L777" i="2"/>
  <c r="K777" i="2"/>
  <c r="D776" i="1"/>
  <c r="Q776" i="2"/>
  <c r="C776" i="1"/>
  <c r="P776" i="2"/>
  <c r="O776" i="2"/>
  <c r="L776" i="2"/>
  <c r="K776" i="2"/>
  <c r="D775" i="1"/>
  <c r="Q775" i="2"/>
  <c r="C775" i="1"/>
  <c r="P775" i="2"/>
  <c r="O775" i="2"/>
  <c r="L775" i="2"/>
  <c r="K775" i="2"/>
  <c r="D774" i="1"/>
  <c r="Q774" i="2"/>
  <c r="C774" i="1"/>
  <c r="P774" i="2"/>
  <c r="O774" i="2"/>
  <c r="L774" i="2"/>
  <c r="K774" i="2"/>
  <c r="D773" i="1"/>
  <c r="Q773" i="2"/>
  <c r="C773" i="1"/>
  <c r="P773" i="2"/>
  <c r="O773" i="2"/>
  <c r="L773" i="2"/>
  <c r="K773" i="2"/>
  <c r="D772" i="1"/>
  <c r="Q772" i="2"/>
  <c r="C772" i="1"/>
  <c r="P772" i="2"/>
  <c r="O772" i="2"/>
  <c r="L772" i="2"/>
  <c r="K772" i="2"/>
  <c r="D771" i="1"/>
  <c r="Q771" i="2"/>
  <c r="C771" i="1"/>
  <c r="P771" i="2"/>
  <c r="O771" i="2"/>
  <c r="L771" i="2"/>
  <c r="K771" i="2"/>
  <c r="D770" i="1"/>
  <c r="Q770" i="2"/>
  <c r="C770" i="1"/>
  <c r="P770" i="2"/>
  <c r="O770" i="2"/>
  <c r="L770" i="2"/>
  <c r="K770" i="2"/>
  <c r="D769" i="1"/>
  <c r="Q769" i="2"/>
  <c r="C769" i="1"/>
  <c r="P769" i="2"/>
  <c r="O769" i="2"/>
  <c r="L769" i="2"/>
  <c r="K769" i="2"/>
  <c r="D768" i="1"/>
  <c r="Q768" i="2"/>
  <c r="C768" i="1"/>
  <c r="P768" i="2"/>
  <c r="O768" i="2"/>
  <c r="L768" i="2"/>
  <c r="K768" i="2"/>
  <c r="D767" i="1"/>
  <c r="Q767" i="2"/>
  <c r="C767" i="1"/>
  <c r="P767" i="2"/>
  <c r="O767" i="2"/>
  <c r="L767" i="2"/>
  <c r="K767" i="2"/>
  <c r="D766" i="1"/>
  <c r="Q766" i="2"/>
  <c r="C766" i="1"/>
  <c r="P766" i="2"/>
  <c r="O766" i="2"/>
  <c r="L766" i="2"/>
  <c r="K766" i="2"/>
  <c r="D765" i="1"/>
  <c r="Q765" i="2"/>
  <c r="C765" i="1"/>
  <c r="P765" i="2"/>
  <c r="O765" i="2"/>
  <c r="L765" i="2"/>
  <c r="K765" i="2"/>
  <c r="D764" i="1"/>
  <c r="Q764" i="2"/>
  <c r="C764" i="1"/>
  <c r="P764" i="2"/>
  <c r="O764" i="2"/>
  <c r="L764" i="2"/>
  <c r="K764" i="2"/>
  <c r="D763" i="1"/>
  <c r="Q763" i="2"/>
  <c r="C763" i="1"/>
  <c r="P763" i="2"/>
  <c r="O763" i="2"/>
  <c r="L763" i="2"/>
  <c r="K763" i="2"/>
  <c r="D762" i="1"/>
  <c r="Q762" i="2"/>
  <c r="C762" i="1"/>
  <c r="P762" i="2"/>
  <c r="O762" i="2"/>
  <c r="L762" i="2"/>
  <c r="K762" i="2"/>
  <c r="D761" i="1"/>
  <c r="Q761" i="2"/>
  <c r="C761" i="1"/>
  <c r="P761" i="2"/>
  <c r="O761" i="2"/>
  <c r="L761" i="2"/>
  <c r="K761" i="2"/>
  <c r="D760" i="1"/>
  <c r="Q760" i="2"/>
  <c r="C760" i="1"/>
  <c r="P760" i="2"/>
  <c r="O760" i="2"/>
  <c r="L760" i="2"/>
  <c r="K760" i="2"/>
  <c r="D759" i="1"/>
  <c r="Q759" i="2"/>
  <c r="C759" i="1"/>
  <c r="P759" i="2"/>
  <c r="O759" i="2"/>
  <c r="L759" i="2"/>
  <c r="K759" i="2"/>
  <c r="D758" i="1"/>
  <c r="Q758" i="2"/>
  <c r="C758" i="1"/>
  <c r="P758" i="2"/>
  <c r="O758" i="2"/>
  <c r="L758" i="2"/>
  <c r="K758" i="2"/>
  <c r="D757" i="1"/>
  <c r="Q757" i="2"/>
  <c r="C757" i="1"/>
  <c r="P757" i="2"/>
  <c r="O757" i="2"/>
  <c r="L757" i="2"/>
  <c r="K757" i="2"/>
  <c r="D756" i="1"/>
  <c r="Q756" i="2"/>
  <c r="C756" i="1"/>
  <c r="P756" i="2"/>
  <c r="O756" i="2"/>
  <c r="L756" i="2"/>
  <c r="K756" i="2"/>
  <c r="D755" i="1"/>
  <c r="Q755" i="2"/>
  <c r="C755" i="1"/>
  <c r="P755" i="2"/>
  <c r="O755" i="2"/>
  <c r="L755" i="2"/>
  <c r="K755" i="2"/>
  <c r="D754" i="1"/>
  <c r="Q754" i="2"/>
  <c r="C754" i="1"/>
  <c r="P754" i="2"/>
  <c r="O754" i="2"/>
  <c r="L754" i="2"/>
  <c r="K754" i="2"/>
  <c r="D753" i="1"/>
  <c r="Q753" i="2"/>
  <c r="C753" i="1"/>
  <c r="P753" i="2"/>
  <c r="O753" i="2"/>
  <c r="L753" i="2"/>
  <c r="K753" i="2"/>
  <c r="D752" i="1"/>
  <c r="Q752" i="2"/>
  <c r="C752" i="1"/>
  <c r="P752" i="2"/>
  <c r="O752" i="2"/>
  <c r="L752" i="2"/>
  <c r="K752" i="2"/>
  <c r="D751" i="1"/>
  <c r="Q751" i="2"/>
  <c r="C751" i="1"/>
  <c r="P751" i="2"/>
  <c r="O751" i="2"/>
  <c r="L751" i="2"/>
  <c r="K751" i="2"/>
  <c r="D750" i="1"/>
  <c r="Q750" i="2"/>
  <c r="C750" i="1"/>
  <c r="P750" i="2"/>
  <c r="O750" i="2"/>
  <c r="L750" i="2"/>
  <c r="K750" i="2"/>
  <c r="D749" i="1"/>
  <c r="Q749" i="2"/>
  <c r="C749" i="1"/>
  <c r="P749" i="2"/>
  <c r="O749" i="2"/>
  <c r="L749" i="2"/>
  <c r="K749" i="2"/>
  <c r="D748" i="1"/>
  <c r="Q748" i="2"/>
  <c r="C748" i="1"/>
  <c r="P748" i="2"/>
  <c r="O748" i="2"/>
  <c r="L748" i="2"/>
  <c r="K748" i="2"/>
  <c r="D747" i="1"/>
  <c r="Q747" i="2"/>
  <c r="C747" i="1"/>
  <c r="P747" i="2"/>
  <c r="O747" i="2"/>
  <c r="L747" i="2"/>
  <c r="K747" i="2"/>
  <c r="D746" i="1"/>
  <c r="Q746" i="2"/>
  <c r="C746" i="1"/>
  <c r="P746" i="2"/>
  <c r="O746" i="2"/>
  <c r="L746" i="2"/>
  <c r="K746" i="2"/>
  <c r="D745" i="1"/>
  <c r="Q745" i="2"/>
  <c r="C745" i="1"/>
  <c r="P745" i="2"/>
  <c r="O745" i="2"/>
  <c r="L745" i="2"/>
  <c r="K745" i="2"/>
  <c r="D744" i="1"/>
  <c r="Q744" i="2"/>
  <c r="C744" i="1"/>
  <c r="P744" i="2"/>
  <c r="O744" i="2"/>
  <c r="L744" i="2"/>
  <c r="K744" i="2"/>
  <c r="D743" i="1"/>
  <c r="Q743" i="2"/>
  <c r="C743" i="1"/>
  <c r="P743" i="2"/>
  <c r="O743" i="2"/>
  <c r="L743" i="2"/>
  <c r="K743" i="2"/>
  <c r="D742" i="1"/>
  <c r="Q742" i="2"/>
  <c r="C742" i="1"/>
  <c r="P742" i="2"/>
  <c r="O742" i="2"/>
  <c r="L742" i="2"/>
  <c r="K742" i="2"/>
  <c r="D741" i="1"/>
  <c r="Q741" i="2"/>
  <c r="C741" i="1"/>
  <c r="P741" i="2"/>
  <c r="O741" i="2"/>
  <c r="L741" i="2"/>
  <c r="K741" i="2"/>
  <c r="D740" i="1"/>
  <c r="Q740" i="2"/>
  <c r="C740" i="1"/>
  <c r="P740" i="2"/>
  <c r="O740" i="2"/>
  <c r="L740" i="2"/>
  <c r="K740" i="2"/>
  <c r="D739" i="1"/>
  <c r="Q739" i="2"/>
  <c r="C739" i="1"/>
  <c r="P739" i="2"/>
  <c r="O739" i="2"/>
  <c r="L739" i="2"/>
  <c r="K739" i="2"/>
  <c r="D738" i="1"/>
  <c r="Q738" i="2"/>
  <c r="C738" i="1"/>
  <c r="P738" i="2"/>
  <c r="O738" i="2"/>
  <c r="L738" i="2"/>
  <c r="K738" i="2"/>
  <c r="D737" i="1"/>
  <c r="Q737" i="2"/>
  <c r="C737" i="1"/>
  <c r="P737" i="2"/>
  <c r="O737" i="2"/>
  <c r="L737" i="2"/>
  <c r="K737" i="2"/>
  <c r="D736" i="1"/>
  <c r="Q736" i="2"/>
  <c r="C736" i="1"/>
  <c r="P736" i="2"/>
  <c r="O736" i="2"/>
  <c r="L736" i="2"/>
  <c r="K736" i="2"/>
  <c r="D735" i="1"/>
  <c r="Q735" i="2"/>
  <c r="C735" i="1"/>
  <c r="P735" i="2"/>
  <c r="O735" i="2"/>
  <c r="L735" i="2"/>
  <c r="K735" i="2"/>
  <c r="D734" i="1"/>
  <c r="Q734" i="2"/>
  <c r="C734" i="1"/>
  <c r="P734" i="2"/>
  <c r="O734" i="2"/>
  <c r="L734" i="2"/>
  <c r="K734" i="2"/>
  <c r="D733" i="1"/>
  <c r="Q733" i="2"/>
  <c r="C733" i="1"/>
  <c r="P733" i="2"/>
  <c r="O733" i="2"/>
  <c r="L733" i="2"/>
  <c r="K733" i="2"/>
  <c r="D732" i="1"/>
  <c r="Q732" i="2"/>
  <c r="C732" i="1"/>
  <c r="P732" i="2"/>
  <c r="O732" i="2"/>
  <c r="L732" i="2"/>
  <c r="K732" i="2"/>
  <c r="D731" i="1"/>
  <c r="Q731" i="2"/>
  <c r="C731" i="1"/>
  <c r="P731" i="2"/>
  <c r="O731" i="2"/>
  <c r="L731" i="2"/>
  <c r="K731" i="2"/>
  <c r="D730" i="1"/>
  <c r="Q730" i="2"/>
  <c r="C730" i="1"/>
  <c r="P730" i="2"/>
  <c r="O730" i="2"/>
  <c r="L730" i="2"/>
  <c r="K730" i="2"/>
  <c r="D729" i="1"/>
  <c r="Q729" i="2"/>
  <c r="C729" i="1"/>
  <c r="P729" i="2"/>
  <c r="O729" i="2"/>
  <c r="L729" i="2"/>
  <c r="K729" i="2"/>
  <c r="D728" i="1"/>
  <c r="Q728" i="2"/>
  <c r="C728" i="1"/>
  <c r="P728" i="2"/>
  <c r="O728" i="2"/>
  <c r="L728" i="2"/>
  <c r="K728" i="2"/>
  <c r="D727" i="1"/>
  <c r="Q727" i="2"/>
  <c r="C727" i="1"/>
  <c r="P727" i="2"/>
  <c r="O727" i="2"/>
  <c r="L727" i="2"/>
  <c r="K727" i="2"/>
  <c r="D726" i="1"/>
  <c r="Q726" i="2"/>
  <c r="C726" i="1"/>
  <c r="P726" i="2"/>
  <c r="O726" i="2"/>
  <c r="L726" i="2"/>
  <c r="K726" i="2"/>
  <c r="D725" i="1"/>
  <c r="Q725" i="2"/>
  <c r="C725" i="1"/>
  <c r="P725" i="2"/>
  <c r="O725" i="2"/>
  <c r="L725" i="2"/>
  <c r="K725" i="2"/>
  <c r="D724" i="1"/>
  <c r="Q724" i="2"/>
  <c r="C724" i="1"/>
  <c r="P724" i="2"/>
  <c r="O724" i="2"/>
  <c r="L724" i="2"/>
  <c r="K724" i="2"/>
  <c r="D723" i="1"/>
  <c r="Q723" i="2"/>
  <c r="C723" i="1"/>
  <c r="P723" i="2"/>
  <c r="O723" i="2"/>
  <c r="L723" i="2"/>
  <c r="K723" i="2"/>
  <c r="D722" i="1"/>
  <c r="Q722" i="2"/>
  <c r="C722" i="1"/>
  <c r="P722" i="2"/>
  <c r="O722" i="2"/>
  <c r="L722" i="2"/>
  <c r="K722" i="2"/>
  <c r="D721" i="1"/>
  <c r="Q721" i="2"/>
  <c r="C721" i="1"/>
  <c r="P721" i="2"/>
  <c r="O721" i="2"/>
  <c r="L721" i="2"/>
  <c r="K721" i="2"/>
  <c r="D720" i="1"/>
  <c r="Q720" i="2"/>
  <c r="C720" i="1"/>
  <c r="P720" i="2"/>
  <c r="O720" i="2"/>
  <c r="L720" i="2"/>
  <c r="K720" i="2"/>
  <c r="D719" i="1"/>
  <c r="Q719" i="2"/>
  <c r="C719" i="1"/>
  <c r="P719" i="2"/>
  <c r="O719" i="2"/>
  <c r="L719" i="2"/>
  <c r="K719" i="2"/>
  <c r="D718" i="1"/>
  <c r="Q718" i="2"/>
  <c r="C718" i="1"/>
  <c r="P718" i="2"/>
  <c r="O718" i="2"/>
  <c r="L718" i="2"/>
  <c r="K718" i="2"/>
  <c r="D717" i="1"/>
  <c r="Q717" i="2"/>
  <c r="C717" i="1"/>
  <c r="P717" i="2"/>
  <c r="O717" i="2"/>
  <c r="L717" i="2"/>
  <c r="K717" i="2"/>
  <c r="D716" i="1"/>
  <c r="Q716" i="2"/>
  <c r="C716" i="1"/>
  <c r="P716" i="2"/>
  <c r="O716" i="2"/>
  <c r="L716" i="2"/>
  <c r="K716" i="2"/>
  <c r="D715" i="1"/>
  <c r="Q715" i="2"/>
  <c r="C715" i="1"/>
  <c r="P715" i="2"/>
  <c r="O715" i="2"/>
  <c r="L715" i="2"/>
  <c r="K715" i="2"/>
  <c r="D714" i="1"/>
  <c r="Q714" i="2"/>
  <c r="C714" i="1"/>
  <c r="P714" i="2"/>
  <c r="O714" i="2"/>
  <c r="L714" i="2"/>
  <c r="K714" i="2"/>
  <c r="D713" i="1"/>
  <c r="Q713" i="2"/>
  <c r="C713" i="1"/>
  <c r="P713" i="2"/>
  <c r="O713" i="2"/>
  <c r="L713" i="2"/>
  <c r="K713" i="2"/>
  <c r="D712" i="1"/>
  <c r="Q712" i="2"/>
  <c r="C712" i="1"/>
  <c r="P712" i="2"/>
  <c r="O712" i="2"/>
  <c r="L712" i="2"/>
  <c r="K712" i="2"/>
  <c r="D711" i="1"/>
  <c r="Q711" i="2"/>
  <c r="C711" i="1"/>
  <c r="P711" i="2"/>
  <c r="O711" i="2"/>
  <c r="L711" i="2"/>
  <c r="K711" i="2"/>
  <c r="D710" i="1"/>
  <c r="Q710" i="2"/>
  <c r="C710" i="1"/>
  <c r="P710" i="2"/>
  <c r="O710" i="2"/>
  <c r="L710" i="2"/>
  <c r="K710" i="2"/>
  <c r="D709" i="1"/>
  <c r="Q709" i="2"/>
  <c r="C709" i="1"/>
  <c r="P709" i="2"/>
  <c r="O709" i="2"/>
  <c r="L709" i="2"/>
  <c r="K709" i="2"/>
  <c r="D708" i="1"/>
  <c r="Q708" i="2"/>
  <c r="C708" i="1"/>
  <c r="P708" i="2"/>
  <c r="O708" i="2"/>
  <c r="L708" i="2"/>
  <c r="K708" i="2"/>
  <c r="D707" i="1"/>
  <c r="Q707" i="2"/>
  <c r="C707" i="1"/>
  <c r="P707" i="2"/>
  <c r="O707" i="2"/>
  <c r="L707" i="2"/>
  <c r="K707" i="2"/>
  <c r="D706" i="1"/>
  <c r="Q706" i="2"/>
  <c r="C706" i="1"/>
  <c r="P706" i="2"/>
  <c r="O706" i="2"/>
  <c r="L706" i="2"/>
  <c r="K706" i="2"/>
  <c r="D705" i="1"/>
  <c r="Q705" i="2"/>
  <c r="C705" i="1"/>
  <c r="P705" i="2"/>
  <c r="O705" i="2"/>
  <c r="L705" i="2"/>
  <c r="K705" i="2"/>
  <c r="D704" i="1"/>
  <c r="Q704" i="2"/>
  <c r="C704" i="1"/>
  <c r="P704" i="2"/>
  <c r="O704" i="2"/>
  <c r="L704" i="2"/>
  <c r="K704" i="2"/>
  <c r="D703" i="1"/>
  <c r="Q703" i="2"/>
  <c r="C703" i="1"/>
  <c r="P703" i="2"/>
  <c r="O703" i="2"/>
  <c r="L703" i="2"/>
  <c r="K703" i="2"/>
  <c r="D702" i="1"/>
  <c r="Q702" i="2"/>
  <c r="C702" i="1"/>
  <c r="P702" i="2"/>
  <c r="O702" i="2"/>
  <c r="L702" i="2"/>
  <c r="K702" i="2"/>
  <c r="D701" i="1"/>
  <c r="Q701" i="2"/>
  <c r="C701" i="1"/>
  <c r="P701" i="2"/>
  <c r="O701" i="2"/>
  <c r="L701" i="2"/>
  <c r="K701" i="2"/>
  <c r="D700" i="1"/>
  <c r="Q700" i="2"/>
  <c r="C700" i="1"/>
  <c r="P700" i="2"/>
  <c r="O700" i="2"/>
  <c r="L700" i="2"/>
  <c r="K700" i="2"/>
  <c r="D699" i="1"/>
  <c r="Q699" i="2"/>
  <c r="C699" i="1"/>
  <c r="P699" i="2"/>
  <c r="O699" i="2"/>
  <c r="L699" i="2"/>
  <c r="K699" i="2"/>
  <c r="D698" i="1"/>
  <c r="Q698" i="2"/>
  <c r="C698" i="1"/>
  <c r="P698" i="2"/>
  <c r="O698" i="2"/>
  <c r="L698" i="2"/>
  <c r="K698" i="2"/>
  <c r="D697" i="1"/>
  <c r="Q697" i="2"/>
  <c r="C697" i="1"/>
  <c r="P697" i="2"/>
  <c r="O697" i="2"/>
  <c r="L697" i="2"/>
  <c r="K697" i="2"/>
  <c r="D696" i="1"/>
  <c r="Q696" i="2"/>
  <c r="C696" i="1"/>
  <c r="P696" i="2"/>
  <c r="O696" i="2"/>
  <c r="L696" i="2"/>
  <c r="K696" i="2"/>
  <c r="D695" i="1"/>
  <c r="Q695" i="2"/>
  <c r="C695" i="1"/>
  <c r="P695" i="2"/>
  <c r="O695" i="2"/>
  <c r="L695" i="2"/>
  <c r="K695" i="2"/>
  <c r="D694" i="1"/>
  <c r="Q694" i="2"/>
  <c r="C694" i="1"/>
  <c r="P694" i="2"/>
  <c r="O694" i="2"/>
  <c r="L694" i="2"/>
  <c r="K694" i="2"/>
  <c r="D693" i="1"/>
  <c r="Q693" i="2"/>
  <c r="C693" i="1"/>
  <c r="P693" i="2"/>
  <c r="O693" i="2"/>
  <c r="L693" i="2"/>
  <c r="K693" i="2"/>
  <c r="D692" i="1"/>
  <c r="Q692" i="2"/>
  <c r="C692" i="1"/>
  <c r="P692" i="2"/>
  <c r="O692" i="2"/>
  <c r="L692" i="2"/>
  <c r="K692" i="2"/>
  <c r="D691" i="1"/>
  <c r="Q691" i="2"/>
  <c r="C691" i="1"/>
  <c r="P691" i="2"/>
  <c r="O691" i="2"/>
  <c r="L691" i="2"/>
  <c r="K691" i="2"/>
  <c r="D690" i="1"/>
  <c r="Q690" i="2"/>
  <c r="C690" i="1"/>
  <c r="P690" i="2"/>
  <c r="O690" i="2"/>
  <c r="L690" i="2"/>
  <c r="K690" i="2"/>
  <c r="D689" i="1"/>
  <c r="Q689" i="2"/>
  <c r="C689" i="1"/>
  <c r="P689" i="2"/>
  <c r="O689" i="2"/>
  <c r="L689" i="2"/>
  <c r="K689" i="2"/>
  <c r="D688" i="1"/>
  <c r="Q688" i="2"/>
  <c r="C688" i="1"/>
  <c r="P688" i="2"/>
  <c r="O688" i="2"/>
  <c r="L688" i="2"/>
  <c r="K688" i="2"/>
  <c r="D687" i="1"/>
  <c r="Q687" i="2"/>
  <c r="C687" i="1"/>
  <c r="P687" i="2"/>
  <c r="O687" i="2"/>
  <c r="L687" i="2"/>
  <c r="K687" i="2"/>
  <c r="D686" i="1"/>
  <c r="Q686" i="2"/>
  <c r="C686" i="1"/>
  <c r="P686" i="2"/>
  <c r="O686" i="2"/>
  <c r="L686" i="2"/>
  <c r="K686" i="2"/>
  <c r="D685" i="1"/>
  <c r="Q685" i="2"/>
  <c r="C685" i="1"/>
  <c r="P685" i="2"/>
  <c r="O685" i="2"/>
  <c r="L685" i="2"/>
  <c r="K685" i="2"/>
  <c r="D684" i="1"/>
  <c r="Q684" i="2"/>
  <c r="C684" i="1"/>
  <c r="P684" i="2"/>
  <c r="O684" i="2"/>
  <c r="L684" i="2"/>
  <c r="K684" i="2"/>
  <c r="D683" i="1"/>
  <c r="Q683" i="2"/>
  <c r="C683" i="1"/>
  <c r="P683" i="2"/>
  <c r="O683" i="2"/>
  <c r="L683" i="2"/>
  <c r="K683" i="2"/>
  <c r="D682" i="1"/>
  <c r="Q682" i="2"/>
  <c r="C682" i="1"/>
  <c r="P682" i="2"/>
  <c r="O682" i="2"/>
  <c r="L682" i="2"/>
  <c r="K682" i="2"/>
  <c r="D681" i="1"/>
  <c r="Q681" i="2"/>
  <c r="C681" i="1"/>
  <c r="P681" i="2"/>
  <c r="O681" i="2"/>
  <c r="L681" i="2"/>
  <c r="K681" i="2"/>
  <c r="D680" i="1"/>
  <c r="Q680" i="2"/>
  <c r="C680" i="1"/>
  <c r="P680" i="2"/>
  <c r="O680" i="2"/>
  <c r="L680" i="2"/>
  <c r="K680" i="2"/>
  <c r="D679" i="1"/>
  <c r="Q679" i="2"/>
  <c r="C679" i="1"/>
  <c r="P679" i="2"/>
  <c r="O679" i="2"/>
  <c r="L679" i="2"/>
  <c r="K679" i="2"/>
  <c r="D678" i="1"/>
  <c r="Q678" i="2"/>
  <c r="C678" i="1"/>
  <c r="P678" i="2"/>
  <c r="O678" i="2"/>
  <c r="L678" i="2"/>
  <c r="K678" i="2"/>
  <c r="D677" i="1"/>
  <c r="Q677" i="2"/>
  <c r="C677" i="1"/>
  <c r="P677" i="2"/>
  <c r="O677" i="2"/>
  <c r="L677" i="2"/>
  <c r="K677" i="2"/>
  <c r="D676" i="1"/>
  <c r="Q676" i="2"/>
  <c r="C676" i="1"/>
  <c r="P676" i="2"/>
  <c r="O676" i="2"/>
  <c r="L676" i="2"/>
  <c r="K676" i="2"/>
  <c r="D675" i="1"/>
  <c r="Q675" i="2"/>
  <c r="C675" i="1"/>
  <c r="P675" i="2"/>
  <c r="O675" i="2"/>
  <c r="L675" i="2"/>
  <c r="K675" i="2"/>
  <c r="D674" i="1"/>
  <c r="Q674" i="2"/>
  <c r="C674" i="1"/>
  <c r="P674" i="2"/>
  <c r="O674" i="2"/>
  <c r="L674" i="2"/>
  <c r="K674" i="2"/>
  <c r="D673" i="1"/>
  <c r="Q673" i="2"/>
  <c r="C673" i="1"/>
  <c r="P673" i="2"/>
  <c r="O673" i="2"/>
  <c r="L673" i="2"/>
  <c r="K673" i="2"/>
  <c r="D672" i="1"/>
  <c r="Q672" i="2"/>
  <c r="C672" i="1"/>
  <c r="P672" i="2"/>
  <c r="O672" i="2"/>
  <c r="L672" i="2"/>
  <c r="K672" i="2"/>
  <c r="D671" i="1"/>
  <c r="Q671" i="2"/>
  <c r="C671" i="1"/>
  <c r="P671" i="2"/>
  <c r="O671" i="2"/>
  <c r="L671" i="2"/>
  <c r="K671" i="2"/>
  <c r="D670" i="1"/>
  <c r="Q670" i="2"/>
  <c r="C670" i="1"/>
  <c r="P670" i="2"/>
  <c r="O670" i="2"/>
  <c r="L670" i="2"/>
  <c r="K670" i="2"/>
  <c r="D669" i="1"/>
  <c r="Q669" i="2"/>
  <c r="C669" i="1"/>
  <c r="P669" i="2"/>
  <c r="O669" i="2"/>
  <c r="L669" i="2"/>
  <c r="K669" i="2"/>
  <c r="D668" i="1"/>
  <c r="Q668" i="2"/>
  <c r="C668" i="1"/>
  <c r="P668" i="2"/>
  <c r="O668" i="2"/>
  <c r="L668" i="2"/>
  <c r="K668" i="2"/>
  <c r="D667" i="1"/>
  <c r="Q667" i="2"/>
  <c r="C667" i="1"/>
  <c r="P667" i="2"/>
  <c r="O667" i="2"/>
  <c r="L667" i="2"/>
  <c r="K667" i="2"/>
  <c r="D666" i="1"/>
  <c r="Q666" i="2"/>
  <c r="C666" i="1"/>
  <c r="P666" i="2"/>
  <c r="O666" i="2"/>
  <c r="L666" i="2"/>
  <c r="K666" i="2"/>
  <c r="D665" i="1"/>
  <c r="Q665" i="2"/>
  <c r="C665" i="1"/>
  <c r="P665" i="2"/>
  <c r="O665" i="2"/>
  <c r="L665" i="2"/>
  <c r="K665" i="2"/>
  <c r="D664" i="1"/>
  <c r="Q664" i="2"/>
  <c r="C664" i="1"/>
  <c r="P664" i="2"/>
  <c r="O664" i="2"/>
  <c r="L664" i="2"/>
  <c r="K664" i="2"/>
  <c r="D663" i="1"/>
  <c r="Q663" i="2"/>
  <c r="C663" i="1"/>
  <c r="P663" i="2"/>
  <c r="O663" i="2"/>
  <c r="L663" i="2"/>
  <c r="K663" i="2"/>
  <c r="D662" i="1"/>
  <c r="Q662" i="2"/>
  <c r="C662" i="1"/>
  <c r="P662" i="2"/>
  <c r="O662" i="2"/>
  <c r="L662" i="2"/>
  <c r="K662" i="2"/>
  <c r="D661" i="1"/>
  <c r="Q661" i="2"/>
  <c r="C661" i="1"/>
  <c r="P661" i="2"/>
  <c r="O661" i="2"/>
  <c r="L661" i="2"/>
  <c r="K661" i="2"/>
  <c r="D660" i="1"/>
  <c r="Q660" i="2"/>
  <c r="C660" i="1"/>
  <c r="P660" i="2"/>
  <c r="O660" i="2"/>
  <c r="L660" i="2"/>
  <c r="K660" i="2"/>
  <c r="D659" i="1"/>
  <c r="Q659" i="2"/>
  <c r="C659" i="1"/>
  <c r="P659" i="2"/>
  <c r="O659" i="2"/>
  <c r="L659" i="2"/>
  <c r="K659" i="2"/>
  <c r="D658" i="1"/>
  <c r="Q658" i="2"/>
  <c r="C658" i="1"/>
  <c r="P658" i="2"/>
  <c r="O658" i="2"/>
  <c r="L658" i="2"/>
  <c r="K658" i="2"/>
  <c r="D657" i="1"/>
  <c r="Q657" i="2"/>
  <c r="C657" i="1"/>
  <c r="P657" i="2"/>
  <c r="O657" i="2"/>
  <c r="L657" i="2"/>
  <c r="K657" i="2"/>
  <c r="D656" i="1"/>
  <c r="Q656" i="2"/>
  <c r="C656" i="1"/>
  <c r="P656" i="2"/>
  <c r="O656" i="2"/>
  <c r="L656" i="2"/>
  <c r="K656" i="2"/>
  <c r="D655" i="1"/>
  <c r="Q655" i="2"/>
  <c r="C655" i="1"/>
  <c r="P655" i="2"/>
  <c r="O655" i="2"/>
  <c r="L655" i="2"/>
  <c r="K655" i="2"/>
  <c r="D654" i="1"/>
  <c r="Q654" i="2"/>
  <c r="C654" i="1"/>
  <c r="P654" i="2"/>
  <c r="O654" i="2"/>
  <c r="L654" i="2"/>
  <c r="K654" i="2"/>
  <c r="D653" i="1"/>
  <c r="Q653" i="2"/>
  <c r="C653" i="1"/>
  <c r="P653" i="2"/>
  <c r="O653" i="2"/>
  <c r="L653" i="2"/>
  <c r="K653" i="2"/>
  <c r="D652" i="1"/>
  <c r="Q652" i="2"/>
  <c r="C652" i="1"/>
  <c r="P652" i="2"/>
  <c r="O652" i="2"/>
  <c r="L652" i="2"/>
  <c r="K652" i="2"/>
  <c r="D651" i="1"/>
  <c r="Q651" i="2"/>
  <c r="C651" i="1"/>
  <c r="P651" i="2"/>
  <c r="O651" i="2"/>
  <c r="L651" i="2"/>
  <c r="K651" i="2"/>
  <c r="D650" i="1"/>
  <c r="Q650" i="2"/>
  <c r="C650" i="1"/>
  <c r="P650" i="2"/>
  <c r="O650" i="2"/>
  <c r="L650" i="2"/>
  <c r="K650" i="2"/>
  <c r="D649" i="1"/>
  <c r="Q649" i="2"/>
  <c r="C649" i="1"/>
  <c r="P649" i="2"/>
  <c r="O649" i="2"/>
  <c r="L649" i="2"/>
  <c r="K649" i="2"/>
  <c r="D648" i="1"/>
  <c r="Q648" i="2"/>
  <c r="C648" i="1"/>
  <c r="P648" i="2"/>
  <c r="O648" i="2"/>
  <c r="L648" i="2"/>
  <c r="K648" i="2"/>
  <c r="D647" i="1"/>
  <c r="Q647" i="2"/>
  <c r="C647" i="1"/>
  <c r="P647" i="2"/>
  <c r="O647" i="2"/>
  <c r="L647" i="2"/>
  <c r="K647" i="2"/>
  <c r="D646" i="1"/>
  <c r="Q646" i="2"/>
  <c r="C646" i="1"/>
  <c r="P646" i="2"/>
  <c r="O646" i="2"/>
  <c r="L646" i="2"/>
  <c r="K646" i="2"/>
  <c r="D645" i="1"/>
  <c r="Q645" i="2"/>
  <c r="C645" i="1"/>
  <c r="P645" i="2"/>
  <c r="O645" i="2"/>
  <c r="L645" i="2"/>
  <c r="K645" i="2"/>
  <c r="D644" i="1"/>
  <c r="Q644" i="2"/>
  <c r="C644" i="1"/>
  <c r="P644" i="2"/>
  <c r="O644" i="2"/>
  <c r="L644" i="2"/>
  <c r="K644" i="2"/>
  <c r="D643" i="1"/>
  <c r="Q643" i="2"/>
  <c r="C643" i="1"/>
  <c r="P643" i="2"/>
  <c r="O643" i="2"/>
  <c r="L643" i="2"/>
  <c r="K643" i="2"/>
  <c r="D642" i="1"/>
  <c r="Q642" i="2"/>
  <c r="C642" i="1"/>
  <c r="P642" i="2"/>
  <c r="O642" i="2"/>
  <c r="L642" i="2"/>
  <c r="K642" i="2"/>
  <c r="D641" i="1"/>
  <c r="Q641" i="2"/>
  <c r="C641" i="1"/>
  <c r="P641" i="2"/>
  <c r="O641" i="2"/>
  <c r="L641" i="2"/>
  <c r="K641" i="2"/>
  <c r="D640" i="1"/>
  <c r="Q640" i="2"/>
  <c r="C640" i="1"/>
  <c r="P640" i="2"/>
  <c r="O640" i="2"/>
  <c r="L640" i="2"/>
  <c r="K640" i="2"/>
  <c r="D639" i="1"/>
  <c r="Q639" i="2"/>
  <c r="C639" i="1"/>
  <c r="P639" i="2"/>
  <c r="O639" i="2"/>
  <c r="L639" i="2"/>
  <c r="K639" i="2"/>
  <c r="D638" i="1"/>
  <c r="Q638" i="2"/>
  <c r="C638" i="1"/>
  <c r="P638" i="2"/>
  <c r="O638" i="2"/>
  <c r="L638" i="2"/>
  <c r="K638" i="2"/>
  <c r="D637" i="1"/>
  <c r="Q637" i="2"/>
  <c r="C637" i="1"/>
  <c r="P637" i="2"/>
  <c r="O637" i="2"/>
  <c r="L637" i="2"/>
  <c r="K637" i="2"/>
  <c r="D636" i="1"/>
  <c r="Q636" i="2"/>
  <c r="C636" i="1"/>
  <c r="P636" i="2"/>
  <c r="O636" i="2"/>
  <c r="L636" i="2"/>
  <c r="K636" i="2"/>
  <c r="D635" i="1"/>
  <c r="Q635" i="2"/>
  <c r="C635" i="1"/>
  <c r="P635" i="2"/>
  <c r="O635" i="2"/>
  <c r="L635" i="2"/>
  <c r="K635" i="2"/>
  <c r="D634" i="1"/>
  <c r="Q634" i="2"/>
  <c r="C634" i="1"/>
  <c r="P634" i="2"/>
  <c r="O634" i="2"/>
  <c r="L634" i="2"/>
  <c r="K634" i="2"/>
  <c r="D633" i="1"/>
  <c r="Q633" i="2"/>
  <c r="C633" i="1"/>
  <c r="P633" i="2"/>
  <c r="O633" i="2"/>
  <c r="L633" i="2"/>
  <c r="K633" i="2"/>
  <c r="D632" i="1"/>
  <c r="Q632" i="2"/>
  <c r="C632" i="1"/>
  <c r="P632" i="2"/>
  <c r="O632" i="2"/>
  <c r="L632" i="2"/>
  <c r="K632" i="2"/>
  <c r="D631" i="1"/>
  <c r="Q631" i="2"/>
  <c r="C631" i="1"/>
  <c r="P631" i="2"/>
  <c r="O631" i="2"/>
  <c r="L631" i="2"/>
  <c r="K631" i="2"/>
  <c r="D630" i="1"/>
  <c r="Q630" i="2"/>
  <c r="C630" i="1"/>
  <c r="P630" i="2"/>
  <c r="O630" i="2"/>
  <c r="L630" i="2"/>
  <c r="K630" i="2"/>
  <c r="D629" i="1"/>
  <c r="Q629" i="2"/>
  <c r="C629" i="1"/>
  <c r="P629" i="2"/>
  <c r="O629" i="2"/>
  <c r="L629" i="2"/>
  <c r="K629" i="2"/>
  <c r="D628" i="1"/>
  <c r="Q628" i="2"/>
  <c r="C628" i="1"/>
  <c r="P628" i="2"/>
  <c r="O628" i="2"/>
  <c r="L628" i="2"/>
  <c r="K628" i="2"/>
  <c r="D627" i="1"/>
  <c r="Q627" i="2"/>
  <c r="C627" i="1"/>
  <c r="P627" i="2"/>
  <c r="O627" i="2"/>
  <c r="L627" i="2"/>
  <c r="K627" i="2"/>
  <c r="D626" i="1"/>
  <c r="Q626" i="2"/>
  <c r="C626" i="1"/>
  <c r="P626" i="2"/>
  <c r="O626" i="2"/>
  <c r="L626" i="2"/>
  <c r="K626" i="2"/>
  <c r="D625" i="1"/>
  <c r="Q625" i="2"/>
  <c r="C625" i="1"/>
  <c r="P625" i="2"/>
  <c r="O625" i="2"/>
  <c r="L625" i="2"/>
  <c r="K625" i="2"/>
  <c r="D624" i="1"/>
  <c r="Q624" i="2"/>
  <c r="C624" i="1"/>
  <c r="P624" i="2"/>
  <c r="O624" i="2"/>
  <c r="L624" i="2"/>
  <c r="K624" i="2"/>
  <c r="D623" i="1"/>
  <c r="Q623" i="2"/>
  <c r="C623" i="1"/>
  <c r="P623" i="2"/>
  <c r="O623" i="2"/>
  <c r="L623" i="2"/>
  <c r="K623" i="2"/>
  <c r="D622" i="1"/>
  <c r="Q622" i="2"/>
  <c r="C622" i="1"/>
  <c r="P622" i="2"/>
  <c r="O622" i="2"/>
  <c r="L622" i="2"/>
  <c r="K622" i="2"/>
  <c r="D621" i="1"/>
  <c r="Q621" i="2"/>
  <c r="C621" i="1"/>
  <c r="P621" i="2"/>
  <c r="O621" i="2"/>
  <c r="L621" i="2"/>
  <c r="K621" i="2"/>
  <c r="D620" i="1"/>
  <c r="Q620" i="2"/>
  <c r="C620" i="1"/>
  <c r="P620" i="2"/>
  <c r="O620" i="2"/>
  <c r="L620" i="2"/>
  <c r="K620" i="2"/>
  <c r="D619" i="1"/>
  <c r="Q619" i="2"/>
  <c r="C619" i="1"/>
  <c r="P619" i="2"/>
  <c r="O619" i="2"/>
  <c r="L619" i="2"/>
  <c r="K619" i="2"/>
  <c r="D618" i="1"/>
  <c r="Q618" i="2"/>
  <c r="C618" i="1"/>
  <c r="P618" i="2"/>
  <c r="O618" i="2"/>
  <c r="L618" i="2"/>
  <c r="K618" i="2"/>
  <c r="D617" i="1"/>
  <c r="Q617" i="2"/>
  <c r="C617" i="1"/>
  <c r="P617" i="2"/>
  <c r="O617" i="2"/>
  <c r="L617" i="2"/>
  <c r="K617" i="2"/>
  <c r="D616" i="1"/>
  <c r="Q616" i="2"/>
  <c r="C616" i="1"/>
  <c r="P616" i="2"/>
  <c r="O616" i="2"/>
  <c r="L616" i="2"/>
  <c r="K616" i="2"/>
  <c r="D615" i="1"/>
  <c r="Q615" i="2"/>
  <c r="C615" i="1"/>
  <c r="P615" i="2"/>
  <c r="O615" i="2"/>
  <c r="L615" i="2"/>
  <c r="K615" i="2"/>
  <c r="D614" i="1"/>
  <c r="Q614" i="2"/>
  <c r="C614" i="1"/>
  <c r="P614" i="2"/>
  <c r="O614" i="2"/>
  <c r="L614" i="2"/>
  <c r="K614" i="2"/>
  <c r="D613" i="1"/>
  <c r="Q613" i="2"/>
  <c r="C613" i="1"/>
  <c r="P613" i="2"/>
  <c r="O613" i="2"/>
  <c r="L613" i="2"/>
  <c r="K613" i="2"/>
  <c r="D612" i="1"/>
  <c r="Q612" i="2"/>
  <c r="C612" i="1"/>
  <c r="P612" i="2"/>
  <c r="O612" i="2"/>
  <c r="L612" i="2"/>
  <c r="K612" i="2"/>
  <c r="D611" i="1"/>
  <c r="Q611" i="2"/>
  <c r="C611" i="1"/>
  <c r="P611" i="2"/>
  <c r="O611" i="2"/>
  <c r="L611" i="2"/>
  <c r="K611" i="2"/>
  <c r="D610" i="1"/>
  <c r="Q610" i="2"/>
  <c r="C610" i="1"/>
  <c r="P610" i="2"/>
  <c r="O610" i="2"/>
  <c r="L610" i="2"/>
  <c r="K610" i="2"/>
  <c r="D609" i="1"/>
  <c r="Q609" i="2"/>
  <c r="C609" i="1"/>
  <c r="P609" i="2"/>
  <c r="O609" i="2"/>
  <c r="L609" i="2"/>
  <c r="K609" i="2"/>
  <c r="D608" i="1"/>
  <c r="Q608" i="2"/>
  <c r="C608" i="1"/>
  <c r="P608" i="2"/>
  <c r="O608" i="2"/>
  <c r="L608" i="2"/>
  <c r="K608" i="2"/>
  <c r="D607" i="1"/>
  <c r="Q607" i="2"/>
  <c r="C607" i="1"/>
  <c r="P607" i="2"/>
  <c r="O607" i="2"/>
  <c r="L607" i="2"/>
  <c r="K607" i="2"/>
  <c r="D606" i="1"/>
  <c r="Q606" i="2"/>
  <c r="C606" i="1"/>
  <c r="P606" i="2"/>
  <c r="O606" i="2"/>
  <c r="L606" i="2"/>
  <c r="K606" i="2"/>
  <c r="D605" i="1"/>
  <c r="Q605" i="2"/>
  <c r="C605" i="1"/>
  <c r="P605" i="2"/>
  <c r="O605" i="2"/>
  <c r="L605" i="2"/>
  <c r="K605" i="2"/>
  <c r="D604" i="1"/>
  <c r="Q604" i="2"/>
  <c r="C604" i="1"/>
  <c r="P604" i="2"/>
  <c r="O604" i="2"/>
  <c r="L604" i="2"/>
  <c r="K604" i="2"/>
  <c r="D603" i="1"/>
  <c r="Q603" i="2"/>
  <c r="C603" i="1"/>
  <c r="P603" i="2"/>
  <c r="O603" i="2"/>
  <c r="L603" i="2"/>
  <c r="K603" i="2"/>
  <c r="D602" i="1"/>
  <c r="Q602" i="2"/>
  <c r="C602" i="1"/>
  <c r="P602" i="2"/>
  <c r="O602" i="2"/>
  <c r="L602" i="2"/>
  <c r="K602" i="2"/>
  <c r="D601" i="1"/>
  <c r="Q601" i="2"/>
  <c r="C601" i="1"/>
  <c r="P601" i="2"/>
  <c r="O601" i="2"/>
  <c r="L601" i="2"/>
  <c r="K601" i="2"/>
  <c r="D600" i="1"/>
  <c r="Q600" i="2"/>
  <c r="C600" i="1"/>
  <c r="P600" i="2"/>
  <c r="O600" i="2"/>
  <c r="L600" i="2"/>
  <c r="K600" i="2"/>
  <c r="D599" i="1"/>
  <c r="Q599" i="2"/>
  <c r="C599" i="1"/>
  <c r="P599" i="2"/>
  <c r="O599" i="2"/>
  <c r="L599" i="2"/>
  <c r="K599" i="2"/>
  <c r="D598" i="1"/>
  <c r="Q598" i="2"/>
  <c r="C598" i="1"/>
  <c r="P598" i="2"/>
  <c r="O598" i="2"/>
  <c r="L598" i="2"/>
  <c r="K598" i="2"/>
  <c r="D597" i="1"/>
  <c r="Q597" i="2"/>
  <c r="C597" i="1"/>
  <c r="P597" i="2"/>
  <c r="O597" i="2"/>
  <c r="L597" i="2"/>
  <c r="K597" i="2"/>
  <c r="D596" i="1"/>
  <c r="Q596" i="2"/>
  <c r="C596" i="1"/>
  <c r="P596" i="2"/>
  <c r="O596" i="2"/>
  <c r="L596" i="2"/>
  <c r="K596" i="2"/>
  <c r="D595" i="1"/>
  <c r="Q595" i="2"/>
  <c r="C595" i="1"/>
  <c r="P595" i="2"/>
  <c r="O595" i="2"/>
  <c r="L595" i="2"/>
  <c r="K595" i="2"/>
  <c r="D594" i="1"/>
  <c r="Q594" i="2"/>
  <c r="C594" i="1"/>
  <c r="P594" i="2"/>
  <c r="O594" i="2"/>
  <c r="L594" i="2"/>
  <c r="K594" i="2"/>
  <c r="D593" i="1"/>
  <c r="Q593" i="2"/>
  <c r="C593" i="1"/>
  <c r="P593" i="2"/>
  <c r="O593" i="2"/>
  <c r="L593" i="2"/>
  <c r="K593" i="2"/>
  <c r="D592" i="1"/>
  <c r="Q592" i="2"/>
  <c r="C592" i="1"/>
  <c r="P592" i="2"/>
  <c r="O592" i="2"/>
  <c r="L592" i="2"/>
  <c r="K592" i="2"/>
  <c r="D591" i="1"/>
  <c r="Q591" i="2"/>
  <c r="C591" i="1"/>
  <c r="P591" i="2"/>
  <c r="O591" i="2"/>
  <c r="L591" i="2"/>
  <c r="K591" i="2"/>
  <c r="D590" i="1"/>
  <c r="Q590" i="2"/>
  <c r="C590" i="1"/>
  <c r="P590" i="2"/>
  <c r="O590" i="2"/>
  <c r="L590" i="2"/>
  <c r="K590" i="2"/>
  <c r="D589" i="1"/>
  <c r="Q589" i="2"/>
  <c r="C589" i="1"/>
  <c r="P589" i="2"/>
  <c r="O589" i="2"/>
  <c r="L589" i="2"/>
  <c r="K589" i="2"/>
  <c r="D588" i="1"/>
  <c r="Q588" i="2"/>
  <c r="C588" i="1"/>
  <c r="P588" i="2"/>
  <c r="O588" i="2"/>
  <c r="L588" i="2"/>
  <c r="K588" i="2"/>
  <c r="D587" i="1"/>
  <c r="Q587" i="2"/>
  <c r="C587" i="1"/>
  <c r="P587" i="2"/>
  <c r="O587" i="2"/>
  <c r="L587" i="2"/>
  <c r="K587" i="2"/>
  <c r="D586" i="1"/>
  <c r="Q586" i="2"/>
  <c r="C586" i="1"/>
  <c r="P586" i="2"/>
  <c r="O586" i="2"/>
  <c r="L586" i="2"/>
  <c r="K586" i="2"/>
  <c r="D585" i="1"/>
  <c r="Q585" i="2"/>
  <c r="C585" i="1"/>
  <c r="P585" i="2"/>
  <c r="O585" i="2"/>
  <c r="L585" i="2"/>
  <c r="K585" i="2"/>
  <c r="D584" i="1"/>
  <c r="Q584" i="2"/>
  <c r="C584" i="1"/>
  <c r="P584" i="2"/>
  <c r="O584" i="2"/>
  <c r="L584" i="2"/>
  <c r="K584" i="2"/>
  <c r="D583" i="1"/>
  <c r="Q583" i="2"/>
  <c r="C583" i="1"/>
  <c r="P583" i="2"/>
  <c r="O583" i="2"/>
  <c r="L583" i="2"/>
  <c r="K583" i="2"/>
  <c r="D582" i="1"/>
  <c r="Q582" i="2"/>
  <c r="C582" i="1"/>
  <c r="P582" i="2"/>
  <c r="O582" i="2"/>
  <c r="L582" i="2"/>
  <c r="K582" i="2"/>
  <c r="D581" i="1"/>
  <c r="Q581" i="2"/>
  <c r="C581" i="1"/>
  <c r="P581" i="2"/>
  <c r="O581" i="2"/>
  <c r="L581" i="2"/>
  <c r="K581" i="2"/>
  <c r="D580" i="1"/>
  <c r="Q580" i="2"/>
  <c r="C580" i="1"/>
  <c r="P580" i="2"/>
  <c r="O580" i="2"/>
  <c r="L580" i="2"/>
  <c r="K580" i="2"/>
  <c r="D579" i="1"/>
  <c r="Q579" i="2"/>
  <c r="C579" i="1"/>
  <c r="P579" i="2"/>
  <c r="O579" i="2"/>
  <c r="L579" i="2"/>
  <c r="K579" i="2"/>
  <c r="D578" i="1"/>
  <c r="Q578" i="2"/>
  <c r="C578" i="1"/>
  <c r="P578" i="2"/>
  <c r="O578" i="2"/>
  <c r="L578" i="2"/>
  <c r="K578" i="2"/>
  <c r="D577" i="1"/>
  <c r="Q577" i="2"/>
  <c r="C577" i="1"/>
  <c r="P577" i="2"/>
  <c r="O577" i="2"/>
  <c r="L577" i="2"/>
  <c r="K577" i="2"/>
  <c r="D576" i="1"/>
  <c r="Q576" i="2"/>
  <c r="C576" i="1"/>
  <c r="P576" i="2"/>
  <c r="O576" i="2"/>
  <c r="L576" i="2"/>
  <c r="K576" i="2"/>
  <c r="D575" i="1"/>
  <c r="Q575" i="2"/>
  <c r="C575" i="1"/>
  <c r="P575" i="2"/>
  <c r="O575" i="2"/>
  <c r="L575" i="2"/>
  <c r="K575" i="2"/>
  <c r="D574" i="1"/>
  <c r="Q574" i="2"/>
  <c r="C574" i="1"/>
  <c r="P574" i="2"/>
  <c r="O574" i="2"/>
  <c r="L574" i="2"/>
  <c r="K574" i="2"/>
  <c r="D573" i="1"/>
  <c r="Q573" i="2"/>
  <c r="C573" i="1"/>
  <c r="P573" i="2"/>
  <c r="O573" i="2"/>
  <c r="L573" i="2"/>
  <c r="K573" i="2"/>
  <c r="D572" i="1"/>
  <c r="Q572" i="2"/>
  <c r="C572" i="1"/>
  <c r="P572" i="2"/>
  <c r="O572" i="2"/>
  <c r="L572" i="2"/>
  <c r="K572" i="2"/>
  <c r="D571" i="1"/>
  <c r="Q571" i="2"/>
  <c r="C571" i="1"/>
  <c r="P571" i="2"/>
  <c r="O571" i="2"/>
  <c r="L571" i="2"/>
  <c r="K571" i="2"/>
  <c r="D570" i="1"/>
  <c r="Q570" i="2"/>
  <c r="C570" i="1"/>
  <c r="P570" i="2"/>
  <c r="O570" i="2"/>
  <c r="L570" i="2"/>
  <c r="K570" i="2"/>
  <c r="D569" i="1"/>
  <c r="Q569" i="2"/>
  <c r="C569" i="1"/>
  <c r="P569" i="2"/>
  <c r="O569" i="2"/>
  <c r="L569" i="2"/>
  <c r="K569" i="2"/>
  <c r="D568" i="1"/>
  <c r="Q568" i="2"/>
  <c r="C568" i="1"/>
  <c r="P568" i="2"/>
  <c r="O568" i="2"/>
  <c r="L568" i="2"/>
  <c r="K568" i="2"/>
  <c r="D567" i="1"/>
  <c r="Q567" i="2"/>
  <c r="C567" i="1"/>
  <c r="P567" i="2"/>
  <c r="O567" i="2"/>
  <c r="L567" i="2"/>
  <c r="K567" i="2"/>
  <c r="D566" i="1"/>
  <c r="Q566" i="2"/>
  <c r="C566" i="1"/>
  <c r="P566" i="2"/>
  <c r="O566" i="2"/>
  <c r="L566" i="2"/>
  <c r="K566" i="2"/>
  <c r="D565" i="1"/>
  <c r="Q565" i="2"/>
  <c r="C565" i="1"/>
  <c r="P565" i="2"/>
  <c r="O565" i="2"/>
  <c r="L565" i="2"/>
  <c r="K565" i="2"/>
  <c r="D564" i="1"/>
  <c r="Q564" i="2"/>
  <c r="C564" i="1"/>
  <c r="P564" i="2"/>
  <c r="O564" i="2"/>
  <c r="L564" i="2"/>
  <c r="K564" i="2"/>
  <c r="D563" i="1"/>
  <c r="Q563" i="2"/>
  <c r="C563" i="1"/>
  <c r="P563" i="2"/>
  <c r="O563" i="2"/>
  <c r="L563" i="2"/>
  <c r="K563" i="2"/>
  <c r="D562" i="1"/>
  <c r="Q562" i="2"/>
  <c r="C562" i="1"/>
  <c r="P562" i="2"/>
  <c r="O562" i="2"/>
  <c r="L562" i="2"/>
  <c r="K562" i="2"/>
  <c r="D561" i="1"/>
  <c r="Q561" i="2"/>
  <c r="C561" i="1"/>
  <c r="P561" i="2"/>
  <c r="O561" i="2"/>
  <c r="L561" i="2"/>
  <c r="K561" i="2"/>
  <c r="D560" i="1"/>
  <c r="Q560" i="2"/>
  <c r="C560" i="1"/>
  <c r="P560" i="2"/>
  <c r="O560" i="2"/>
  <c r="L560" i="2"/>
  <c r="K560" i="2"/>
  <c r="D559" i="1"/>
  <c r="Q559" i="2"/>
  <c r="C559" i="1"/>
  <c r="P559" i="2"/>
  <c r="O559" i="2"/>
  <c r="L559" i="2"/>
  <c r="K559" i="2"/>
  <c r="D558" i="1"/>
  <c r="Q558" i="2"/>
  <c r="C558" i="1"/>
  <c r="P558" i="2"/>
  <c r="O558" i="2"/>
  <c r="L558" i="2"/>
  <c r="K558" i="2"/>
  <c r="D557" i="1"/>
  <c r="Q557" i="2"/>
  <c r="C557" i="1"/>
  <c r="P557" i="2"/>
  <c r="O557" i="2"/>
  <c r="L557" i="2"/>
  <c r="K557" i="2"/>
  <c r="D556" i="1"/>
  <c r="Q556" i="2"/>
  <c r="C556" i="1"/>
  <c r="P556" i="2"/>
  <c r="O556" i="2"/>
  <c r="L556" i="2"/>
  <c r="K556" i="2"/>
  <c r="D555" i="1"/>
  <c r="Q555" i="2"/>
  <c r="C555" i="1"/>
  <c r="P555" i="2"/>
  <c r="O555" i="2"/>
  <c r="L555" i="2"/>
  <c r="K555" i="2"/>
  <c r="D554" i="1"/>
  <c r="Q554" i="2"/>
  <c r="C554" i="1"/>
  <c r="P554" i="2"/>
  <c r="O554" i="2"/>
  <c r="L554" i="2"/>
  <c r="K554" i="2"/>
  <c r="D553" i="1"/>
  <c r="Q553" i="2"/>
  <c r="C553" i="1"/>
  <c r="P553" i="2"/>
  <c r="O553" i="2"/>
  <c r="L553" i="2"/>
  <c r="K553" i="2"/>
  <c r="D552" i="1"/>
  <c r="Q552" i="2"/>
  <c r="C552" i="1"/>
  <c r="P552" i="2"/>
  <c r="O552" i="2"/>
  <c r="L552" i="2"/>
  <c r="K552" i="2"/>
  <c r="D551" i="1"/>
  <c r="Q551" i="2"/>
  <c r="C551" i="1"/>
  <c r="P551" i="2"/>
  <c r="O551" i="2"/>
  <c r="L551" i="2"/>
  <c r="K551" i="2"/>
  <c r="D550" i="1"/>
  <c r="Q550" i="2"/>
  <c r="C550" i="1"/>
  <c r="P550" i="2"/>
  <c r="O550" i="2"/>
  <c r="L550" i="2"/>
  <c r="K550" i="2"/>
  <c r="D549" i="1"/>
  <c r="Q549" i="2"/>
  <c r="C549" i="1"/>
  <c r="P549" i="2"/>
  <c r="O549" i="2"/>
  <c r="L549" i="2"/>
  <c r="K549" i="2"/>
  <c r="D548" i="1"/>
  <c r="Q548" i="2"/>
  <c r="C548" i="1"/>
  <c r="P548" i="2"/>
  <c r="O548" i="2"/>
  <c r="L548" i="2"/>
  <c r="K548" i="2"/>
  <c r="D547" i="1"/>
  <c r="Q547" i="2"/>
  <c r="C547" i="1"/>
  <c r="P547" i="2"/>
  <c r="O547" i="2"/>
  <c r="L547" i="2"/>
  <c r="K547" i="2"/>
  <c r="D546" i="1"/>
  <c r="Q546" i="2"/>
  <c r="C546" i="1"/>
  <c r="P546" i="2"/>
  <c r="O546" i="2"/>
  <c r="L546" i="2"/>
  <c r="K546" i="2"/>
  <c r="D545" i="1"/>
  <c r="Q545" i="2"/>
  <c r="C545" i="1"/>
  <c r="P545" i="2"/>
  <c r="O545" i="2"/>
  <c r="L545" i="2"/>
  <c r="K545" i="2"/>
  <c r="D544" i="1"/>
  <c r="Q544" i="2"/>
  <c r="C544" i="1"/>
  <c r="P544" i="2"/>
  <c r="O544" i="2"/>
  <c r="L544" i="2"/>
  <c r="K544" i="2"/>
  <c r="D543" i="1"/>
  <c r="Q543" i="2"/>
  <c r="C543" i="1"/>
  <c r="P543" i="2"/>
  <c r="O543" i="2"/>
  <c r="L543" i="2"/>
  <c r="K543" i="2"/>
  <c r="D542" i="1"/>
  <c r="Q542" i="2"/>
  <c r="C542" i="1"/>
  <c r="P542" i="2"/>
  <c r="O542" i="2"/>
  <c r="L542" i="2"/>
  <c r="K542" i="2"/>
  <c r="D541" i="1"/>
  <c r="Q541" i="2"/>
  <c r="C541" i="1"/>
  <c r="P541" i="2"/>
  <c r="O541" i="2"/>
  <c r="L541" i="2"/>
  <c r="K541" i="2"/>
  <c r="D540" i="1"/>
  <c r="Q540" i="2"/>
  <c r="C540" i="1"/>
  <c r="P540" i="2"/>
  <c r="O540" i="2"/>
  <c r="L540" i="2"/>
  <c r="K540" i="2"/>
  <c r="D539" i="1"/>
  <c r="Q539" i="2"/>
  <c r="C539" i="1"/>
  <c r="P539" i="2"/>
  <c r="O539" i="2"/>
  <c r="L539" i="2"/>
  <c r="K539" i="2"/>
  <c r="D538" i="1"/>
  <c r="Q538" i="2"/>
  <c r="C538" i="1"/>
  <c r="P538" i="2"/>
  <c r="O538" i="2"/>
  <c r="L538" i="2"/>
  <c r="K538" i="2"/>
  <c r="D537" i="1"/>
  <c r="Q537" i="2"/>
  <c r="C537" i="1"/>
  <c r="P537" i="2"/>
  <c r="O537" i="2"/>
  <c r="L537" i="2"/>
  <c r="K537" i="2"/>
  <c r="D536" i="1"/>
  <c r="Q536" i="2"/>
  <c r="C536" i="1"/>
  <c r="P536" i="2"/>
  <c r="O536" i="2"/>
  <c r="L536" i="2"/>
  <c r="K536" i="2"/>
  <c r="D535" i="1"/>
  <c r="Q535" i="2"/>
  <c r="C535" i="1"/>
  <c r="P535" i="2"/>
  <c r="O535" i="2"/>
  <c r="L535" i="2"/>
  <c r="K535" i="2"/>
  <c r="D534" i="1"/>
  <c r="Q534" i="2"/>
  <c r="C534" i="1"/>
  <c r="P534" i="2"/>
  <c r="O534" i="2"/>
  <c r="L534" i="2"/>
  <c r="K534" i="2"/>
  <c r="D533" i="1"/>
  <c r="Q533" i="2"/>
  <c r="C533" i="1"/>
  <c r="P533" i="2"/>
  <c r="O533" i="2"/>
  <c r="L533" i="2"/>
  <c r="K533" i="2"/>
  <c r="D532" i="1"/>
  <c r="Q532" i="2"/>
  <c r="C532" i="1"/>
  <c r="P532" i="2"/>
  <c r="O532" i="2"/>
  <c r="L532" i="2"/>
  <c r="K532" i="2"/>
  <c r="D531" i="1"/>
  <c r="Q531" i="2"/>
  <c r="C531" i="1"/>
  <c r="P531" i="2"/>
  <c r="O531" i="2"/>
  <c r="L531" i="2"/>
  <c r="K531" i="2"/>
  <c r="D530" i="1"/>
  <c r="Q530" i="2"/>
  <c r="C530" i="1"/>
  <c r="P530" i="2"/>
  <c r="O530" i="2"/>
  <c r="L530" i="2"/>
  <c r="K530" i="2"/>
  <c r="D529" i="1"/>
  <c r="Q529" i="2"/>
  <c r="C529" i="1"/>
  <c r="P529" i="2"/>
  <c r="O529" i="2"/>
  <c r="L529" i="2"/>
  <c r="K529" i="2"/>
  <c r="D528" i="1"/>
  <c r="Q528" i="2"/>
  <c r="C528" i="1"/>
  <c r="P528" i="2"/>
  <c r="O528" i="2"/>
  <c r="L528" i="2"/>
  <c r="K528" i="2"/>
  <c r="D527" i="1"/>
  <c r="Q527" i="2"/>
  <c r="C527" i="1"/>
  <c r="P527" i="2"/>
  <c r="O527" i="2"/>
  <c r="L527" i="2"/>
  <c r="K527" i="2"/>
  <c r="D526" i="1"/>
  <c r="Q526" i="2"/>
  <c r="C526" i="1"/>
  <c r="P526" i="2"/>
  <c r="O526" i="2"/>
  <c r="L526" i="2"/>
  <c r="K526" i="2"/>
  <c r="D525" i="1"/>
  <c r="Q525" i="2"/>
  <c r="C525" i="1"/>
  <c r="P525" i="2"/>
  <c r="O525" i="2"/>
  <c r="L525" i="2"/>
  <c r="K525" i="2"/>
  <c r="D524" i="1"/>
  <c r="Q524" i="2"/>
  <c r="C524" i="1"/>
  <c r="P524" i="2"/>
  <c r="O524" i="2"/>
  <c r="L524" i="2"/>
  <c r="K524" i="2"/>
  <c r="D523" i="1"/>
  <c r="Q523" i="2"/>
  <c r="C523" i="1"/>
  <c r="P523" i="2"/>
  <c r="O523" i="2"/>
  <c r="L523" i="2"/>
  <c r="K523" i="2"/>
  <c r="D522" i="1"/>
  <c r="Q522" i="2"/>
  <c r="C522" i="1"/>
  <c r="P522" i="2"/>
  <c r="O522" i="2"/>
  <c r="L522" i="2"/>
  <c r="K522" i="2"/>
  <c r="D521" i="1"/>
  <c r="Q521" i="2"/>
  <c r="C521" i="1"/>
  <c r="P521" i="2"/>
  <c r="O521" i="2"/>
  <c r="L521" i="2"/>
  <c r="K521" i="2"/>
  <c r="D520" i="1"/>
  <c r="Q520" i="2"/>
  <c r="C520" i="1"/>
  <c r="P520" i="2"/>
  <c r="O520" i="2"/>
  <c r="L520" i="2"/>
  <c r="K520" i="2"/>
  <c r="D519" i="1"/>
  <c r="Q519" i="2"/>
  <c r="C519" i="1"/>
  <c r="P519" i="2"/>
  <c r="O519" i="2"/>
  <c r="L519" i="2"/>
  <c r="K519" i="2"/>
  <c r="D518" i="1"/>
  <c r="Q518" i="2"/>
  <c r="C518" i="1"/>
  <c r="P518" i="2"/>
  <c r="O518" i="2"/>
  <c r="L518" i="2"/>
  <c r="K518" i="2"/>
  <c r="D517" i="1"/>
  <c r="Q517" i="2"/>
  <c r="C517" i="1"/>
  <c r="P517" i="2"/>
  <c r="O517" i="2"/>
  <c r="L517" i="2"/>
  <c r="K517" i="2"/>
  <c r="D516" i="1"/>
  <c r="Q516" i="2"/>
  <c r="C516" i="1"/>
  <c r="P516" i="2"/>
  <c r="O516" i="2"/>
  <c r="L516" i="2"/>
  <c r="K516" i="2"/>
  <c r="D515" i="1"/>
  <c r="Q515" i="2"/>
  <c r="C515" i="1"/>
  <c r="P515" i="2"/>
  <c r="O515" i="2"/>
  <c r="L515" i="2"/>
  <c r="K515" i="2"/>
  <c r="D514" i="1"/>
  <c r="Q514" i="2"/>
  <c r="C514" i="1"/>
  <c r="P514" i="2"/>
  <c r="O514" i="2"/>
  <c r="L514" i="2"/>
  <c r="K514" i="2"/>
  <c r="D513" i="1"/>
  <c r="Q513" i="2"/>
  <c r="C513" i="1"/>
  <c r="P513" i="2"/>
  <c r="O513" i="2"/>
  <c r="L513" i="2"/>
  <c r="K513" i="2"/>
  <c r="D512" i="1"/>
  <c r="Q512" i="2"/>
  <c r="C512" i="1"/>
  <c r="P512" i="2"/>
  <c r="O512" i="2"/>
  <c r="L512" i="2"/>
  <c r="K512" i="2"/>
  <c r="D511" i="1"/>
  <c r="Q511" i="2"/>
  <c r="C511" i="1"/>
  <c r="P511" i="2"/>
  <c r="O511" i="2"/>
  <c r="L511" i="2"/>
  <c r="K511" i="2"/>
  <c r="D510" i="1"/>
  <c r="Q510" i="2"/>
  <c r="C510" i="1"/>
  <c r="P510" i="2"/>
  <c r="O510" i="2"/>
  <c r="L510" i="2"/>
  <c r="K510" i="2"/>
  <c r="D509" i="1"/>
  <c r="Q509" i="2"/>
  <c r="C509" i="1"/>
  <c r="P509" i="2"/>
  <c r="O509" i="2"/>
  <c r="L509" i="2"/>
  <c r="K509" i="2"/>
  <c r="D508" i="1"/>
  <c r="Q508" i="2"/>
  <c r="C508" i="1"/>
  <c r="P508" i="2"/>
  <c r="O508" i="2"/>
  <c r="L508" i="2"/>
  <c r="K508" i="2"/>
  <c r="D507" i="1"/>
  <c r="Q507" i="2"/>
  <c r="C507" i="1"/>
  <c r="P507" i="2"/>
  <c r="O507" i="2"/>
  <c r="L507" i="2"/>
  <c r="K507" i="2"/>
  <c r="D506" i="1"/>
  <c r="Q506" i="2"/>
  <c r="C506" i="1"/>
  <c r="P506" i="2"/>
  <c r="O506" i="2"/>
  <c r="L506" i="2"/>
  <c r="K506" i="2"/>
  <c r="D505" i="1"/>
  <c r="Q505" i="2"/>
  <c r="C505" i="1"/>
  <c r="P505" i="2"/>
  <c r="O505" i="2"/>
  <c r="L505" i="2"/>
  <c r="K505" i="2"/>
  <c r="D504" i="1"/>
  <c r="Q504" i="2"/>
  <c r="C504" i="1"/>
  <c r="P504" i="2"/>
  <c r="O504" i="2"/>
  <c r="L504" i="2"/>
  <c r="K504" i="2"/>
  <c r="D503" i="1"/>
  <c r="Q503" i="2"/>
  <c r="C503" i="1"/>
  <c r="P503" i="2"/>
  <c r="O503" i="2"/>
  <c r="L503" i="2"/>
  <c r="K503" i="2"/>
  <c r="D502" i="1"/>
  <c r="Q502" i="2"/>
  <c r="C502" i="1"/>
  <c r="P502" i="2"/>
  <c r="O502" i="2"/>
  <c r="L502" i="2"/>
  <c r="K502" i="2"/>
  <c r="D501" i="1"/>
  <c r="Q501" i="2"/>
  <c r="C501" i="1"/>
  <c r="P501" i="2"/>
  <c r="O501" i="2"/>
  <c r="L501" i="2"/>
  <c r="K501" i="2"/>
  <c r="D500" i="1"/>
  <c r="Q500" i="2"/>
  <c r="C500" i="1"/>
  <c r="P500" i="2"/>
  <c r="O500" i="2"/>
  <c r="L500" i="2"/>
  <c r="K500" i="2"/>
  <c r="D499" i="1"/>
  <c r="Q499" i="2"/>
  <c r="C499" i="1"/>
  <c r="P499" i="2"/>
  <c r="O499" i="2"/>
  <c r="L499" i="2"/>
  <c r="K499" i="2"/>
  <c r="D498" i="1"/>
  <c r="Q498" i="2"/>
  <c r="C498" i="1"/>
  <c r="P498" i="2"/>
  <c r="O498" i="2"/>
  <c r="L498" i="2"/>
  <c r="K498" i="2"/>
  <c r="D497" i="1"/>
  <c r="Q497" i="2"/>
  <c r="C497" i="1"/>
  <c r="P497" i="2"/>
  <c r="O497" i="2"/>
  <c r="L497" i="2"/>
  <c r="K497" i="2"/>
  <c r="D496" i="1"/>
  <c r="Q496" i="2"/>
  <c r="C496" i="1"/>
  <c r="P496" i="2"/>
  <c r="O496" i="2"/>
  <c r="L496" i="2"/>
  <c r="K496" i="2"/>
  <c r="D495" i="1"/>
  <c r="Q495" i="2"/>
  <c r="C495" i="1"/>
  <c r="P495" i="2"/>
  <c r="O495" i="2"/>
  <c r="L495" i="2"/>
  <c r="K495" i="2"/>
  <c r="D494" i="1"/>
  <c r="Q494" i="2"/>
  <c r="C494" i="1"/>
  <c r="P494" i="2"/>
  <c r="O494" i="2"/>
  <c r="L494" i="2"/>
  <c r="K494" i="2"/>
  <c r="D493" i="1"/>
  <c r="Q493" i="2"/>
  <c r="C493" i="1"/>
  <c r="P493" i="2"/>
  <c r="O493" i="2"/>
  <c r="L493" i="2"/>
  <c r="K493" i="2"/>
  <c r="D492" i="1"/>
  <c r="Q492" i="2"/>
  <c r="C492" i="1"/>
  <c r="P492" i="2"/>
  <c r="O492" i="2"/>
  <c r="L492" i="2"/>
  <c r="K492" i="2"/>
  <c r="D491" i="1"/>
  <c r="Q491" i="2"/>
  <c r="C491" i="1"/>
  <c r="P491" i="2"/>
  <c r="O491" i="2"/>
  <c r="L491" i="2"/>
  <c r="K491" i="2"/>
  <c r="D490" i="1"/>
  <c r="Q490" i="2"/>
  <c r="C490" i="1"/>
  <c r="P490" i="2"/>
  <c r="O490" i="2"/>
  <c r="L490" i="2"/>
  <c r="K490" i="2"/>
  <c r="D489" i="1"/>
  <c r="Q489" i="2"/>
  <c r="C489" i="1"/>
  <c r="P489" i="2"/>
  <c r="O489" i="2"/>
  <c r="L489" i="2"/>
  <c r="K489" i="2"/>
  <c r="D488" i="1"/>
  <c r="Q488" i="2"/>
  <c r="C488" i="1"/>
  <c r="P488" i="2"/>
  <c r="O488" i="2"/>
  <c r="L488" i="2"/>
  <c r="K488" i="2"/>
  <c r="D487" i="1"/>
  <c r="Q487" i="2"/>
  <c r="C487" i="1"/>
  <c r="P487" i="2"/>
  <c r="O487" i="2"/>
  <c r="L487" i="2"/>
  <c r="K487" i="2"/>
  <c r="D486" i="1"/>
  <c r="Q486" i="2"/>
  <c r="C486" i="1"/>
  <c r="P486" i="2"/>
  <c r="O486" i="2"/>
  <c r="L486" i="2"/>
  <c r="K486" i="2"/>
  <c r="D485" i="1"/>
  <c r="Q485" i="2"/>
  <c r="C485" i="1"/>
  <c r="P485" i="2"/>
  <c r="O485" i="2"/>
  <c r="L485" i="2"/>
  <c r="K485" i="2"/>
  <c r="D484" i="1"/>
  <c r="Q484" i="2"/>
  <c r="C484" i="1"/>
  <c r="P484" i="2"/>
  <c r="O484" i="2"/>
  <c r="L484" i="2"/>
  <c r="K484" i="2"/>
  <c r="D483" i="1"/>
  <c r="Q483" i="2"/>
  <c r="C483" i="1"/>
  <c r="P483" i="2"/>
  <c r="O483" i="2"/>
  <c r="L483" i="2"/>
  <c r="K483" i="2"/>
  <c r="D482" i="1"/>
  <c r="Q482" i="2"/>
  <c r="C482" i="1"/>
  <c r="P482" i="2"/>
  <c r="O482" i="2"/>
  <c r="L482" i="2"/>
  <c r="K482" i="2"/>
  <c r="D481" i="1"/>
  <c r="Q481" i="2"/>
  <c r="C481" i="1"/>
  <c r="P481" i="2"/>
  <c r="O481" i="2"/>
  <c r="L481" i="2"/>
  <c r="K481" i="2"/>
  <c r="D480" i="1"/>
  <c r="Q480" i="2"/>
  <c r="C480" i="1"/>
  <c r="P480" i="2"/>
  <c r="O480" i="2"/>
  <c r="L480" i="2"/>
  <c r="K480" i="2"/>
  <c r="D479" i="1"/>
  <c r="Q479" i="2"/>
  <c r="C479" i="1"/>
  <c r="P479" i="2"/>
  <c r="O479" i="2"/>
  <c r="L479" i="2"/>
  <c r="K479" i="2"/>
  <c r="D478" i="1"/>
  <c r="Q478" i="2"/>
  <c r="C478" i="1"/>
  <c r="P478" i="2"/>
  <c r="O478" i="2"/>
  <c r="L478" i="2"/>
  <c r="K478" i="2"/>
  <c r="D477" i="1"/>
  <c r="Q477" i="2"/>
  <c r="C477" i="1"/>
  <c r="P477" i="2"/>
  <c r="O477" i="2"/>
  <c r="L477" i="2"/>
  <c r="K477" i="2"/>
  <c r="D476" i="1"/>
  <c r="Q476" i="2"/>
  <c r="C476" i="1"/>
  <c r="P476" i="2"/>
  <c r="O476" i="2"/>
  <c r="L476" i="2"/>
  <c r="K476" i="2"/>
  <c r="D475" i="1"/>
  <c r="Q475" i="2"/>
  <c r="C475" i="1"/>
  <c r="P475" i="2"/>
  <c r="O475" i="2"/>
  <c r="L475" i="2"/>
  <c r="K475" i="2"/>
  <c r="D474" i="1"/>
  <c r="Q474" i="2"/>
  <c r="C474" i="1"/>
  <c r="P474" i="2"/>
  <c r="O474" i="2"/>
  <c r="L474" i="2"/>
  <c r="K474" i="2"/>
  <c r="D473" i="1"/>
  <c r="Q473" i="2"/>
  <c r="C473" i="1"/>
  <c r="P473" i="2"/>
  <c r="O473" i="2"/>
  <c r="L473" i="2"/>
  <c r="K473" i="2"/>
  <c r="D472" i="1"/>
  <c r="Q472" i="2"/>
  <c r="C472" i="1"/>
  <c r="P472" i="2"/>
  <c r="O472" i="2"/>
  <c r="L472" i="2"/>
  <c r="K472" i="2"/>
  <c r="D471" i="1"/>
  <c r="Q471" i="2"/>
  <c r="C471" i="1"/>
  <c r="P471" i="2"/>
  <c r="O471" i="2"/>
  <c r="L471" i="2"/>
  <c r="K471" i="2"/>
  <c r="D470" i="1"/>
  <c r="Q470" i="2"/>
  <c r="C470" i="1"/>
  <c r="P470" i="2"/>
  <c r="O470" i="2"/>
  <c r="L470" i="2"/>
  <c r="K470" i="2"/>
  <c r="D469" i="1"/>
  <c r="Q469" i="2"/>
  <c r="C469" i="1"/>
  <c r="P469" i="2"/>
  <c r="O469" i="2"/>
  <c r="L469" i="2"/>
  <c r="K469" i="2"/>
  <c r="D468" i="1"/>
  <c r="Q468" i="2"/>
  <c r="C468" i="1"/>
  <c r="P468" i="2"/>
  <c r="O468" i="2"/>
  <c r="L468" i="2"/>
  <c r="K468" i="2"/>
  <c r="D467" i="1"/>
  <c r="Q467" i="2"/>
  <c r="C467" i="1"/>
  <c r="P467" i="2"/>
  <c r="O467" i="2"/>
  <c r="L467" i="2"/>
  <c r="K467" i="2"/>
  <c r="D466" i="1"/>
  <c r="Q466" i="2"/>
  <c r="C466" i="1"/>
  <c r="P466" i="2"/>
  <c r="O466" i="2"/>
  <c r="L466" i="2"/>
  <c r="K466" i="2"/>
  <c r="D465" i="1"/>
  <c r="Q465" i="2"/>
  <c r="C465" i="1"/>
  <c r="P465" i="2"/>
  <c r="O465" i="2"/>
  <c r="L465" i="2"/>
  <c r="K465" i="2"/>
  <c r="D464" i="1"/>
  <c r="Q464" i="2"/>
  <c r="C464" i="1"/>
  <c r="P464" i="2"/>
  <c r="O464" i="2"/>
  <c r="L464" i="2"/>
  <c r="K464" i="2"/>
  <c r="D463" i="1"/>
  <c r="Q463" i="2"/>
  <c r="C463" i="1"/>
  <c r="P463" i="2"/>
  <c r="O463" i="2"/>
  <c r="L463" i="2"/>
  <c r="K463" i="2"/>
  <c r="D462" i="1"/>
  <c r="Q462" i="2"/>
  <c r="C462" i="1"/>
  <c r="P462" i="2"/>
  <c r="O462" i="2"/>
  <c r="L462" i="2"/>
  <c r="K462" i="2"/>
  <c r="D461" i="1"/>
  <c r="Q461" i="2"/>
  <c r="C461" i="1"/>
  <c r="P461" i="2"/>
  <c r="O461" i="2"/>
  <c r="L461" i="2"/>
  <c r="K461" i="2"/>
  <c r="D460" i="1"/>
  <c r="Q460" i="2"/>
  <c r="C460" i="1"/>
  <c r="P460" i="2"/>
  <c r="O460" i="2"/>
  <c r="L460" i="2"/>
  <c r="K460" i="2"/>
  <c r="D459" i="1"/>
  <c r="Q459" i="2"/>
  <c r="C459" i="1"/>
  <c r="P459" i="2"/>
  <c r="O459" i="2"/>
  <c r="L459" i="2"/>
  <c r="K459" i="2"/>
  <c r="D458" i="1"/>
  <c r="Q458" i="2"/>
  <c r="C458" i="1"/>
  <c r="P458" i="2"/>
  <c r="O458" i="2"/>
  <c r="L458" i="2"/>
  <c r="K458" i="2"/>
  <c r="D457" i="1"/>
  <c r="Q457" i="2"/>
  <c r="C457" i="1"/>
  <c r="P457" i="2"/>
  <c r="O457" i="2"/>
  <c r="L457" i="2"/>
  <c r="K457" i="2"/>
  <c r="D456" i="1"/>
  <c r="Q456" i="2"/>
  <c r="C456" i="1"/>
  <c r="P456" i="2"/>
  <c r="O456" i="2"/>
  <c r="L456" i="2"/>
  <c r="K456" i="2"/>
  <c r="D455" i="1"/>
  <c r="Q455" i="2"/>
  <c r="C455" i="1"/>
  <c r="P455" i="2"/>
  <c r="O455" i="2"/>
  <c r="L455" i="2"/>
  <c r="K455" i="2"/>
  <c r="D454" i="1"/>
  <c r="Q454" i="2"/>
  <c r="C454" i="1"/>
  <c r="P454" i="2"/>
  <c r="O454" i="2"/>
  <c r="L454" i="2"/>
  <c r="K454" i="2"/>
  <c r="D453" i="1"/>
  <c r="Q453" i="2"/>
  <c r="C453" i="1"/>
  <c r="P453" i="2"/>
  <c r="O453" i="2"/>
  <c r="L453" i="2"/>
  <c r="K453" i="2"/>
  <c r="D452" i="1"/>
  <c r="Q452" i="2"/>
  <c r="C452" i="1"/>
  <c r="P452" i="2"/>
  <c r="O452" i="2"/>
  <c r="L452" i="2"/>
  <c r="K452" i="2"/>
  <c r="D451" i="1"/>
  <c r="Q451" i="2"/>
  <c r="C451" i="1"/>
  <c r="P451" i="2"/>
  <c r="O451" i="2"/>
  <c r="L451" i="2"/>
  <c r="K451" i="2"/>
  <c r="D450" i="1"/>
  <c r="Q450" i="2"/>
  <c r="C450" i="1"/>
  <c r="P450" i="2"/>
  <c r="O450" i="2"/>
  <c r="L450" i="2"/>
  <c r="K450" i="2"/>
  <c r="D449" i="1"/>
  <c r="Q449" i="2"/>
  <c r="C449" i="1"/>
  <c r="P449" i="2"/>
  <c r="O449" i="2"/>
  <c r="L449" i="2"/>
  <c r="K449" i="2"/>
  <c r="D448" i="1"/>
  <c r="Q448" i="2"/>
  <c r="C448" i="1"/>
  <c r="P448" i="2"/>
  <c r="O448" i="2"/>
  <c r="L448" i="2"/>
  <c r="K448" i="2"/>
  <c r="D447" i="1"/>
  <c r="Q447" i="2"/>
  <c r="C447" i="1"/>
  <c r="P447" i="2"/>
  <c r="O447" i="2"/>
  <c r="L447" i="2"/>
  <c r="K447" i="2"/>
  <c r="D446" i="1"/>
  <c r="Q446" i="2"/>
  <c r="C446" i="1"/>
  <c r="P446" i="2"/>
  <c r="O446" i="2"/>
  <c r="L446" i="2"/>
  <c r="K446" i="2"/>
  <c r="D445" i="1"/>
  <c r="Q445" i="2"/>
  <c r="C445" i="1"/>
  <c r="P445" i="2"/>
  <c r="O445" i="2"/>
  <c r="L445" i="2"/>
  <c r="K445" i="2"/>
  <c r="D444" i="1"/>
  <c r="Q444" i="2"/>
  <c r="C444" i="1"/>
  <c r="P444" i="2"/>
  <c r="O444" i="2"/>
  <c r="L444" i="2"/>
  <c r="K444" i="2"/>
  <c r="D443" i="1"/>
  <c r="Q443" i="2"/>
  <c r="C443" i="1"/>
  <c r="P443" i="2"/>
  <c r="O443" i="2"/>
  <c r="L443" i="2"/>
  <c r="K443" i="2"/>
  <c r="D442" i="1"/>
  <c r="Q442" i="2"/>
  <c r="C442" i="1"/>
  <c r="P442" i="2"/>
  <c r="O442" i="2"/>
  <c r="L442" i="2"/>
  <c r="K442" i="2"/>
  <c r="D441" i="1"/>
  <c r="Q441" i="2"/>
  <c r="C441" i="1"/>
  <c r="P441" i="2"/>
  <c r="O441" i="2"/>
  <c r="L441" i="2"/>
  <c r="K441" i="2"/>
  <c r="D440" i="1"/>
  <c r="Q440" i="2"/>
  <c r="C440" i="1"/>
  <c r="P440" i="2"/>
  <c r="O440" i="2"/>
  <c r="L440" i="2"/>
  <c r="K440" i="2"/>
  <c r="D439" i="1"/>
  <c r="Q439" i="2"/>
  <c r="C439" i="1"/>
  <c r="P439" i="2"/>
  <c r="O439" i="2"/>
  <c r="L439" i="2"/>
  <c r="K439" i="2"/>
  <c r="D438" i="1"/>
  <c r="Q438" i="2"/>
  <c r="C438" i="1"/>
  <c r="P438" i="2"/>
  <c r="O438" i="2"/>
  <c r="L438" i="2"/>
  <c r="K438" i="2"/>
  <c r="D437" i="1"/>
  <c r="Q437" i="2"/>
  <c r="C437" i="1"/>
  <c r="P437" i="2"/>
  <c r="O437" i="2"/>
  <c r="L437" i="2"/>
  <c r="K437" i="2"/>
  <c r="D436" i="1"/>
  <c r="Q436" i="2"/>
  <c r="C436" i="1"/>
  <c r="P436" i="2"/>
  <c r="O436" i="2"/>
  <c r="L436" i="2"/>
  <c r="K436" i="2"/>
  <c r="D435" i="1"/>
  <c r="Q435" i="2"/>
  <c r="C435" i="1"/>
  <c r="P435" i="2"/>
  <c r="O435" i="2"/>
  <c r="L435" i="2"/>
  <c r="K435" i="2"/>
  <c r="D434" i="1"/>
  <c r="Q434" i="2"/>
  <c r="C434" i="1"/>
  <c r="P434" i="2"/>
  <c r="O434" i="2"/>
  <c r="L434" i="2"/>
  <c r="K434" i="2"/>
  <c r="D433" i="1"/>
  <c r="Q433" i="2"/>
  <c r="C433" i="1"/>
  <c r="P433" i="2"/>
  <c r="O433" i="2"/>
  <c r="L433" i="2"/>
  <c r="K433" i="2"/>
  <c r="D432" i="1"/>
  <c r="Q432" i="2"/>
  <c r="C432" i="1"/>
  <c r="P432" i="2"/>
  <c r="O432" i="2"/>
  <c r="L432" i="2"/>
  <c r="K432" i="2"/>
  <c r="D431" i="1"/>
  <c r="Q431" i="2"/>
  <c r="C431" i="1"/>
  <c r="P431" i="2"/>
  <c r="O431" i="2"/>
  <c r="L431" i="2"/>
  <c r="K431" i="2"/>
  <c r="D430" i="1"/>
  <c r="Q430" i="2"/>
  <c r="C430" i="1"/>
  <c r="P430" i="2"/>
  <c r="O430" i="2"/>
  <c r="L430" i="2"/>
  <c r="K430" i="2"/>
  <c r="D429" i="1"/>
  <c r="Q429" i="2"/>
  <c r="C429" i="1"/>
  <c r="P429" i="2"/>
  <c r="O429" i="2"/>
  <c r="L429" i="2"/>
  <c r="K429" i="2"/>
  <c r="D428" i="1"/>
  <c r="Q428" i="2"/>
  <c r="C428" i="1"/>
  <c r="P428" i="2"/>
  <c r="O428" i="2"/>
  <c r="L428" i="2"/>
  <c r="K428" i="2"/>
  <c r="D427" i="1"/>
  <c r="Q427" i="2"/>
  <c r="C427" i="1"/>
  <c r="P427" i="2"/>
  <c r="O427" i="2"/>
  <c r="L427" i="2"/>
  <c r="K427" i="2"/>
  <c r="D426" i="1"/>
  <c r="Q426" i="2"/>
  <c r="C426" i="1"/>
  <c r="P426" i="2"/>
  <c r="O426" i="2"/>
  <c r="L426" i="2"/>
  <c r="K426" i="2"/>
  <c r="D425" i="1"/>
  <c r="Q425" i="2"/>
  <c r="C425" i="1"/>
  <c r="P425" i="2"/>
  <c r="O425" i="2"/>
  <c r="L425" i="2"/>
  <c r="K425" i="2"/>
  <c r="D424" i="1"/>
  <c r="Q424" i="2"/>
  <c r="C424" i="1"/>
  <c r="P424" i="2"/>
  <c r="O424" i="2"/>
  <c r="L424" i="2"/>
  <c r="K424" i="2"/>
  <c r="D423" i="1"/>
  <c r="Q423" i="2"/>
  <c r="C423" i="1"/>
  <c r="P423" i="2"/>
  <c r="O423" i="2"/>
  <c r="L423" i="2"/>
  <c r="K423" i="2"/>
  <c r="D422" i="1"/>
  <c r="Q422" i="2"/>
  <c r="C422" i="1"/>
  <c r="P422" i="2"/>
  <c r="O422" i="2"/>
  <c r="L422" i="2"/>
  <c r="K422" i="2"/>
  <c r="D421" i="1"/>
  <c r="Q421" i="2"/>
  <c r="C421" i="1"/>
  <c r="P421" i="2"/>
  <c r="O421" i="2"/>
  <c r="L421" i="2"/>
  <c r="K421" i="2"/>
  <c r="D420" i="1"/>
  <c r="Q420" i="2"/>
  <c r="C420" i="1"/>
  <c r="P420" i="2"/>
  <c r="O420" i="2"/>
  <c r="L420" i="2"/>
  <c r="K420" i="2"/>
  <c r="D419" i="1"/>
  <c r="Q419" i="2"/>
  <c r="C419" i="1"/>
  <c r="P419" i="2"/>
  <c r="O419" i="2"/>
  <c r="L419" i="2"/>
  <c r="K419" i="2"/>
  <c r="D418" i="1"/>
  <c r="Q418" i="2"/>
  <c r="C418" i="1"/>
  <c r="P418" i="2"/>
  <c r="O418" i="2"/>
  <c r="L418" i="2"/>
  <c r="K418" i="2"/>
  <c r="D417" i="1"/>
  <c r="Q417" i="2"/>
  <c r="C417" i="1"/>
  <c r="P417" i="2"/>
  <c r="O417" i="2"/>
  <c r="L417" i="2"/>
  <c r="K417" i="2"/>
  <c r="D416" i="1"/>
  <c r="Q416" i="2"/>
  <c r="C416" i="1"/>
  <c r="P416" i="2"/>
  <c r="O416" i="2"/>
  <c r="L416" i="2"/>
  <c r="K416" i="2"/>
  <c r="D415" i="1"/>
  <c r="Q415" i="2"/>
  <c r="C415" i="1"/>
  <c r="P415" i="2"/>
  <c r="O415" i="2"/>
  <c r="L415" i="2"/>
  <c r="K415" i="2"/>
  <c r="D414" i="1"/>
  <c r="Q414" i="2"/>
  <c r="C414" i="1"/>
  <c r="P414" i="2"/>
  <c r="O414" i="2"/>
  <c r="L414" i="2"/>
  <c r="K414" i="2"/>
  <c r="D413" i="1"/>
  <c r="Q413" i="2"/>
  <c r="C413" i="1"/>
  <c r="P413" i="2"/>
  <c r="O413" i="2"/>
  <c r="L413" i="2"/>
  <c r="K413" i="2"/>
  <c r="D412" i="1"/>
  <c r="Q412" i="2"/>
  <c r="C412" i="1"/>
  <c r="P412" i="2"/>
  <c r="O412" i="2"/>
  <c r="L412" i="2"/>
  <c r="K412" i="2"/>
  <c r="D411" i="1"/>
  <c r="Q411" i="2"/>
  <c r="C411" i="1"/>
  <c r="P411" i="2"/>
  <c r="O411" i="2"/>
  <c r="L411" i="2"/>
  <c r="K411" i="2"/>
  <c r="D410" i="1"/>
  <c r="Q410" i="2"/>
  <c r="C410" i="1"/>
  <c r="P410" i="2"/>
  <c r="O410" i="2"/>
  <c r="L410" i="2"/>
  <c r="K410" i="2"/>
  <c r="D409" i="1"/>
  <c r="Q409" i="2"/>
  <c r="C409" i="1"/>
  <c r="P409" i="2"/>
  <c r="O409" i="2"/>
  <c r="L409" i="2"/>
  <c r="K409" i="2"/>
  <c r="D408" i="1"/>
  <c r="Q408" i="2"/>
  <c r="C408" i="1"/>
  <c r="P408" i="2"/>
  <c r="O408" i="2"/>
  <c r="L408" i="2"/>
  <c r="K408" i="2"/>
  <c r="D407" i="1"/>
  <c r="Q407" i="2"/>
  <c r="C407" i="1"/>
  <c r="P407" i="2"/>
  <c r="O407" i="2"/>
  <c r="L407" i="2"/>
  <c r="K407" i="2"/>
  <c r="D406" i="1"/>
  <c r="Q406" i="2"/>
  <c r="C406" i="1"/>
  <c r="P406" i="2"/>
  <c r="O406" i="2"/>
  <c r="L406" i="2"/>
  <c r="K406" i="2"/>
  <c r="D405" i="1"/>
  <c r="Q405" i="2"/>
  <c r="C405" i="1"/>
  <c r="P405" i="2"/>
  <c r="O405" i="2"/>
  <c r="L405" i="2"/>
  <c r="K405" i="2"/>
  <c r="D404" i="1"/>
  <c r="Q404" i="2"/>
  <c r="C404" i="1"/>
  <c r="P404" i="2"/>
  <c r="O404" i="2"/>
  <c r="L404" i="2"/>
  <c r="K404" i="2"/>
  <c r="D403" i="1"/>
  <c r="Q403" i="2"/>
  <c r="C403" i="1"/>
  <c r="P403" i="2"/>
  <c r="O403" i="2"/>
  <c r="L403" i="2"/>
  <c r="K403" i="2"/>
  <c r="D402" i="1"/>
  <c r="Q402" i="2"/>
  <c r="C402" i="1"/>
  <c r="P402" i="2"/>
  <c r="O402" i="2"/>
  <c r="L402" i="2"/>
  <c r="K402" i="2"/>
  <c r="D401" i="1"/>
  <c r="Q401" i="2"/>
  <c r="C401" i="1"/>
  <c r="P401" i="2"/>
  <c r="O401" i="2"/>
  <c r="L401" i="2"/>
  <c r="K401" i="2"/>
  <c r="D400" i="1"/>
  <c r="Q400" i="2"/>
  <c r="C400" i="1"/>
  <c r="P400" i="2"/>
  <c r="O400" i="2"/>
  <c r="L400" i="2"/>
  <c r="K400" i="2"/>
  <c r="D399" i="1"/>
  <c r="Q399" i="2"/>
  <c r="C399" i="1"/>
  <c r="P399" i="2"/>
  <c r="O399" i="2"/>
  <c r="L399" i="2"/>
  <c r="K399" i="2"/>
  <c r="D398" i="1"/>
  <c r="Q398" i="2"/>
  <c r="C398" i="1"/>
  <c r="P398" i="2"/>
  <c r="O398" i="2"/>
  <c r="L398" i="2"/>
  <c r="K398" i="2"/>
  <c r="D397" i="1"/>
  <c r="Q397" i="2"/>
  <c r="C397" i="1"/>
  <c r="P397" i="2"/>
  <c r="O397" i="2"/>
  <c r="L397" i="2"/>
  <c r="K397" i="2"/>
  <c r="D396" i="1"/>
  <c r="Q396" i="2"/>
  <c r="C396" i="1"/>
  <c r="P396" i="2"/>
  <c r="O396" i="2"/>
  <c r="L396" i="2"/>
  <c r="K396" i="2"/>
  <c r="D395" i="1"/>
  <c r="Q395" i="2"/>
  <c r="C395" i="1"/>
  <c r="P395" i="2"/>
  <c r="O395" i="2"/>
  <c r="L395" i="2"/>
  <c r="K395" i="2"/>
  <c r="D394" i="1"/>
  <c r="Q394" i="2"/>
  <c r="C394" i="1"/>
  <c r="P394" i="2"/>
  <c r="O394" i="2"/>
  <c r="L394" i="2"/>
  <c r="K394" i="2"/>
  <c r="D393" i="1"/>
  <c r="Q393" i="2"/>
  <c r="C393" i="1"/>
  <c r="P393" i="2"/>
  <c r="O393" i="2"/>
  <c r="L393" i="2"/>
  <c r="K393" i="2"/>
  <c r="D392" i="1"/>
  <c r="Q392" i="2"/>
  <c r="C392" i="1"/>
  <c r="P392" i="2"/>
  <c r="O392" i="2"/>
  <c r="L392" i="2"/>
  <c r="K392" i="2"/>
  <c r="D391" i="1"/>
  <c r="Q391" i="2"/>
  <c r="C391" i="1"/>
  <c r="P391" i="2"/>
  <c r="O391" i="2"/>
  <c r="L391" i="2"/>
  <c r="K391" i="2"/>
  <c r="D390" i="1"/>
  <c r="Q390" i="2"/>
  <c r="C390" i="1"/>
  <c r="P390" i="2"/>
  <c r="O390" i="2"/>
  <c r="L390" i="2"/>
  <c r="K390" i="2"/>
  <c r="D389" i="1"/>
  <c r="Q389" i="2"/>
  <c r="C389" i="1"/>
  <c r="P389" i="2"/>
  <c r="O389" i="2"/>
  <c r="L389" i="2"/>
  <c r="K389" i="2"/>
  <c r="D388" i="1"/>
  <c r="Q388" i="2"/>
  <c r="C388" i="1"/>
  <c r="P388" i="2"/>
  <c r="O388" i="2"/>
  <c r="L388" i="2"/>
  <c r="K388" i="2"/>
  <c r="D387" i="1"/>
  <c r="Q387" i="2"/>
  <c r="C387" i="1"/>
  <c r="P387" i="2"/>
  <c r="O387" i="2"/>
  <c r="L387" i="2"/>
  <c r="K387" i="2"/>
  <c r="D386" i="1"/>
  <c r="Q386" i="2"/>
  <c r="C386" i="1"/>
  <c r="P386" i="2"/>
  <c r="O386" i="2"/>
  <c r="L386" i="2"/>
  <c r="K386" i="2"/>
  <c r="D385" i="1"/>
  <c r="Q385" i="2"/>
  <c r="C385" i="1"/>
  <c r="P385" i="2"/>
  <c r="O385" i="2"/>
  <c r="L385" i="2"/>
  <c r="K385" i="2"/>
  <c r="D384" i="1"/>
  <c r="Q384" i="2"/>
  <c r="C384" i="1"/>
  <c r="P384" i="2"/>
  <c r="O384" i="2"/>
  <c r="L384" i="2"/>
  <c r="K384" i="2"/>
  <c r="D383" i="1"/>
  <c r="Q383" i="2"/>
  <c r="C383" i="1"/>
  <c r="P383" i="2"/>
  <c r="O383" i="2"/>
  <c r="L383" i="2"/>
  <c r="K383" i="2"/>
  <c r="D382" i="1"/>
  <c r="Q382" i="2"/>
  <c r="C382" i="1"/>
  <c r="P382" i="2"/>
  <c r="O382" i="2"/>
  <c r="L382" i="2"/>
  <c r="K382" i="2"/>
  <c r="D381" i="1"/>
  <c r="Q381" i="2"/>
  <c r="C381" i="1"/>
  <c r="P381" i="2"/>
  <c r="O381" i="2"/>
  <c r="L381" i="2"/>
  <c r="K381" i="2"/>
  <c r="D380" i="1"/>
  <c r="Q380" i="2"/>
  <c r="C380" i="1"/>
  <c r="P380" i="2"/>
  <c r="O380" i="2"/>
  <c r="L380" i="2"/>
  <c r="K380" i="2"/>
  <c r="D379" i="1"/>
  <c r="Q379" i="2"/>
  <c r="C379" i="1"/>
  <c r="P379" i="2"/>
  <c r="O379" i="2"/>
  <c r="L379" i="2"/>
  <c r="K379" i="2"/>
  <c r="D378" i="1"/>
  <c r="Q378" i="2"/>
  <c r="C378" i="1"/>
  <c r="P378" i="2"/>
  <c r="O378" i="2"/>
  <c r="L378" i="2"/>
  <c r="K378" i="2"/>
  <c r="D377" i="1"/>
  <c r="Q377" i="2"/>
  <c r="C377" i="1"/>
  <c r="P377" i="2"/>
  <c r="O377" i="2"/>
  <c r="L377" i="2"/>
  <c r="K377" i="2"/>
  <c r="D376" i="1"/>
  <c r="Q376" i="2"/>
  <c r="C376" i="1"/>
  <c r="P376" i="2"/>
  <c r="O376" i="2"/>
  <c r="L376" i="2"/>
  <c r="K376" i="2"/>
  <c r="D375" i="1"/>
  <c r="Q375" i="2"/>
  <c r="C375" i="1"/>
  <c r="P375" i="2"/>
  <c r="O375" i="2"/>
  <c r="L375" i="2"/>
  <c r="K375" i="2"/>
  <c r="D374" i="1"/>
  <c r="Q374" i="2"/>
  <c r="C374" i="1"/>
  <c r="P374" i="2"/>
  <c r="O374" i="2"/>
  <c r="L374" i="2"/>
  <c r="K374" i="2"/>
  <c r="D373" i="1"/>
  <c r="Q373" i="2"/>
  <c r="C373" i="1"/>
  <c r="P373" i="2"/>
  <c r="O373" i="2"/>
  <c r="L373" i="2"/>
  <c r="K373" i="2"/>
  <c r="D372" i="1"/>
  <c r="Q372" i="2"/>
  <c r="C372" i="1"/>
  <c r="P372" i="2"/>
  <c r="O372" i="2"/>
  <c r="L372" i="2"/>
  <c r="K372" i="2"/>
  <c r="D371" i="1"/>
  <c r="Q371" i="2"/>
  <c r="C371" i="1"/>
  <c r="P371" i="2"/>
  <c r="O371" i="2"/>
  <c r="L371" i="2"/>
  <c r="K371" i="2"/>
  <c r="D370" i="1"/>
  <c r="Q370" i="2"/>
  <c r="C370" i="1"/>
  <c r="P370" i="2"/>
  <c r="O370" i="2"/>
  <c r="L370" i="2"/>
  <c r="K370" i="2"/>
  <c r="D369" i="1"/>
  <c r="Q369" i="2"/>
  <c r="C369" i="1"/>
  <c r="P369" i="2"/>
  <c r="O369" i="2"/>
  <c r="L369" i="2"/>
  <c r="K369" i="2"/>
  <c r="D368" i="1"/>
  <c r="Q368" i="2"/>
  <c r="C368" i="1"/>
  <c r="P368" i="2"/>
  <c r="O368" i="2"/>
  <c r="L368" i="2"/>
  <c r="K368" i="2"/>
  <c r="D367" i="1"/>
  <c r="Q367" i="2"/>
  <c r="C367" i="1"/>
  <c r="P367" i="2"/>
  <c r="O367" i="2"/>
  <c r="L367" i="2"/>
  <c r="K367" i="2"/>
  <c r="D366" i="1"/>
  <c r="Q366" i="2"/>
  <c r="C366" i="1"/>
  <c r="P366" i="2"/>
  <c r="O366" i="2"/>
  <c r="L366" i="2"/>
  <c r="K366" i="2"/>
  <c r="D365" i="1"/>
  <c r="Q365" i="2"/>
  <c r="C365" i="1"/>
  <c r="P365" i="2"/>
  <c r="O365" i="2"/>
  <c r="L365" i="2"/>
  <c r="K365" i="2"/>
  <c r="D364" i="1"/>
  <c r="Q364" i="2"/>
  <c r="C364" i="1"/>
  <c r="P364" i="2"/>
  <c r="O364" i="2"/>
  <c r="L364" i="2"/>
  <c r="K364" i="2"/>
  <c r="D363" i="1"/>
  <c r="Q363" i="2"/>
  <c r="C363" i="1"/>
  <c r="P363" i="2"/>
  <c r="O363" i="2"/>
  <c r="L363" i="2"/>
  <c r="K363" i="2"/>
  <c r="D362" i="1"/>
  <c r="Q362" i="2"/>
  <c r="C362" i="1"/>
  <c r="P362" i="2"/>
  <c r="O362" i="2"/>
  <c r="L362" i="2"/>
  <c r="K362" i="2"/>
  <c r="D361" i="1"/>
  <c r="Q361" i="2"/>
  <c r="C361" i="1"/>
  <c r="P361" i="2"/>
  <c r="O361" i="2"/>
  <c r="L361" i="2"/>
  <c r="K361" i="2"/>
  <c r="D360" i="1"/>
  <c r="Q360" i="2"/>
  <c r="C360" i="1"/>
  <c r="P360" i="2"/>
  <c r="O360" i="2"/>
  <c r="L360" i="2"/>
  <c r="K360" i="2"/>
  <c r="D359" i="1"/>
  <c r="Q359" i="2"/>
  <c r="C359" i="1"/>
  <c r="P359" i="2"/>
  <c r="O359" i="2"/>
  <c r="L359" i="2"/>
  <c r="K359" i="2"/>
  <c r="D358" i="1"/>
  <c r="Q358" i="2"/>
  <c r="C358" i="1"/>
  <c r="P358" i="2"/>
  <c r="O358" i="2"/>
  <c r="L358" i="2"/>
  <c r="K358" i="2"/>
  <c r="D357" i="1"/>
  <c r="Q357" i="2"/>
  <c r="C357" i="1"/>
  <c r="P357" i="2"/>
  <c r="O357" i="2"/>
  <c r="L357" i="2"/>
  <c r="K357" i="2"/>
  <c r="D356" i="1"/>
  <c r="Q356" i="2"/>
  <c r="C356" i="1"/>
  <c r="P356" i="2"/>
  <c r="O356" i="2"/>
  <c r="L356" i="2"/>
  <c r="K356" i="2"/>
  <c r="D355" i="1"/>
  <c r="Q355" i="2"/>
  <c r="C355" i="1"/>
  <c r="P355" i="2"/>
  <c r="O355" i="2"/>
  <c r="L355" i="2"/>
  <c r="K355" i="2"/>
  <c r="D354" i="1"/>
  <c r="Q354" i="2"/>
  <c r="C354" i="1"/>
  <c r="P354" i="2"/>
  <c r="O354" i="2"/>
  <c r="L354" i="2"/>
  <c r="K354" i="2"/>
  <c r="D353" i="1"/>
  <c r="Q353" i="2"/>
  <c r="C353" i="1"/>
  <c r="P353" i="2"/>
  <c r="O353" i="2"/>
  <c r="L353" i="2"/>
  <c r="K353" i="2"/>
  <c r="D352" i="1"/>
  <c r="Q352" i="2"/>
  <c r="C352" i="1"/>
  <c r="P352" i="2"/>
  <c r="O352" i="2"/>
  <c r="L352" i="2"/>
  <c r="K352" i="2"/>
  <c r="D351" i="1"/>
  <c r="Q351" i="2"/>
  <c r="C351" i="1"/>
  <c r="P351" i="2"/>
  <c r="O351" i="2"/>
  <c r="L351" i="2"/>
  <c r="K351" i="2"/>
  <c r="D350" i="1"/>
  <c r="Q350" i="2"/>
  <c r="C350" i="1"/>
  <c r="P350" i="2"/>
  <c r="O350" i="2"/>
  <c r="L350" i="2"/>
  <c r="K350" i="2"/>
  <c r="D349" i="1"/>
  <c r="Q349" i="2"/>
  <c r="C349" i="1"/>
  <c r="P349" i="2"/>
  <c r="O349" i="2"/>
  <c r="L349" i="2"/>
  <c r="K349" i="2"/>
  <c r="D348" i="1"/>
  <c r="Q348" i="2"/>
  <c r="C348" i="1"/>
  <c r="P348" i="2"/>
  <c r="O348" i="2"/>
  <c r="L348" i="2"/>
  <c r="K348" i="2"/>
  <c r="D347" i="1"/>
  <c r="Q347" i="2"/>
  <c r="C347" i="1"/>
  <c r="P347" i="2"/>
  <c r="O347" i="2"/>
  <c r="L347" i="2"/>
  <c r="K347" i="2"/>
  <c r="D346" i="1"/>
  <c r="Q346" i="2"/>
  <c r="C346" i="1"/>
  <c r="P346" i="2"/>
  <c r="O346" i="2"/>
  <c r="L346" i="2"/>
  <c r="K346" i="2"/>
  <c r="D345" i="1"/>
  <c r="Q345" i="2"/>
  <c r="C345" i="1"/>
  <c r="P345" i="2"/>
  <c r="O345" i="2"/>
  <c r="L345" i="2"/>
  <c r="K345" i="2"/>
  <c r="D344" i="1"/>
  <c r="Q344" i="2"/>
  <c r="C344" i="1"/>
  <c r="P344" i="2"/>
  <c r="O344" i="2"/>
  <c r="L344" i="2"/>
  <c r="K344" i="2"/>
  <c r="D343" i="1"/>
  <c r="Q343" i="2"/>
  <c r="C343" i="1"/>
  <c r="P343" i="2"/>
  <c r="O343" i="2"/>
  <c r="L343" i="2"/>
  <c r="K343" i="2"/>
  <c r="D342" i="1"/>
  <c r="Q342" i="2"/>
  <c r="C342" i="1"/>
  <c r="P342" i="2"/>
  <c r="O342" i="2"/>
  <c r="L342" i="2"/>
  <c r="K342" i="2"/>
  <c r="D341" i="1"/>
  <c r="Q341" i="2"/>
  <c r="C341" i="1"/>
  <c r="P341" i="2"/>
  <c r="O341" i="2"/>
  <c r="L341" i="2"/>
  <c r="K341" i="2"/>
  <c r="D340" i="1"/>
  <c r="Q340" i="2"/>
  <c r="C340" i="1"/>
  <c r="P340" i="2"/>
  <c r="O340" i="2"/>
  <c r="L340" i="2"/>
  <c r="K340" i="2"/>
  <c r="D339" i="1"/>
  <c r="Q339" i="2"/>
  <c r="C339" i="1"/>
  <c r="P339" i="2"/>
  <c r="O339" i="2"/>
  <c r="L339" i="2"/>
  <c r="K339" i="2"/>
  <c r="D338" i="1"/>
  <c r="Q338" i="2"/>
  <c r="C338" i="1"/>
  <c r="P338" i="2"/>
  <c r="O338" i="2"/>
  <c r="L338" i="2"/>
  <c r="K338" i="2"/>
  <c r="D337" i="1"/>
  <c r="Q337" i="2"/>
  <c r="C337" i="1"/>
  <c r="P337" i="2"/>
  <c r="O337" i="2"/>
  <c r="L337" i="2"/>
  <c r="K337" i="2"/>
  <c r="D336" i="1"/>
  <c r="Q336" i="2"/>
  <c r="C336" i="1"/>
  <c r="P336" i="2"/>
  <c r="O336" i="2"/>
  <c r="L336" i="2"/>
  <c r="K336" i="2"/>
  <c r="D335" i="1"/>
  <c r="Q335" i="2"/>
  <c r="C335" i="1"/>
  <c r="P335" i="2"/>
  <c r="O335" i="2"/>
  <c r="L335" i="2"/>
  <c r="K335" i="2"/>
  <c r="D334" i="1"/>
  <c r="Q334" i="2"/>
  <c r="C334" i="1"/>
  <c r="P334" i="2"/>
  <c r="O334" i="2"/>
  <c r="L334" i="2"/>
  <c r="K334" i="2"/>
  <c r="D333" i="1"/>
  <c r="Q333" i="2"/>
  <c r="C333" i="1"/>
  <c r="P333" i="2"/>
  <c r="O333" i="2"/>
  <c r="L333" i="2"/>
  <c r="K333" i="2"/>
  <c r="D332" i="1"/>
  <c r="Q332" i="2"/>
  <c r="C332" i="1"/>
  <c r="P332" i="2"/>
  <c r="O332" i="2"/>
  <c r="L332" i="2"/>
  <c r="K332" i="2"/>
  <c r="D331" i="1"/>
  <c r="Q331" i="2"/>
  <c r="C331" i="1"/>
  <c r="P331" i="2"/>
  <c r="O331" i="2"/>
  <c r="L331" i="2"/>
  <c r="K331" i="2"/>
  <c r="D330" i="1"/>
  <c r="Q330" i="2"/>
  <c r="C330" i="1"/>
  <c r="P330" i="2"/>
  <c r="O330" i="2"/>
  <c r="L330" i="2"/>
  <c r="K330" i="2"/>
  <c r="D329" i="1"/>
  <c r="Q329" i="2"/>
  <c r="C329" i="1"/>
  <c r="P329" i="2"/>
  <c r="O329" i="2"/>
  <c r="L329" i="2"/>
  <c r="K329" i="2"/>
  <c r="D328" i="1"/>
  <c r="Q328" i="2"/>
  <c r="C328" i="1"/>
  <c r="P328" i="2"/>
  <c r="O328" i="2"/>
  <c r="L328" i="2"/>
  <c r="K328" i="2"/>
  <c r="D327" i="1"/>
  <c r="Q327" i="2"/>
  <c r="C327" i="1"/>
  <c r="P327" i="2"/>
  <c r="O327" i="2"/>
  <c r="L327" i="2"/>
  <c r="K327" i="2"/>
  <c r="D326" i="1"/>
  <c r="Q326" i="2"/>
  <c r="C326" i="1"/>
  <c r="P326" i="2"/>
  <c r="O326" i="2"/>
  <c r="L326" i="2"/>
  <c r="K326" i="2"/>
  <c r="D325" i="1"/>
  <c r="Q325" i="2"/>
  <c r="C325" i="1"/>
  <c r="P325" i="2"/>
  <c r="O325" i="2"/>
  <c r="L325" i="2"/>
  <c r="K325" i="2"/>
  <c r="D324" i="1"/>
  <c r="Q324" i="2"/>
  <c r="C324" i="1"/>
  <c r="P324" i="2"/>
  <c r="O324" i="2"/>
  <c r="L324" i="2"/>
  <c r="K324" i="2"/>
  <c r="D323" i="1"/>
  <c r="Q323" i="2"/>
  <c r="C323" i="1"/>
  <c r="P323" i="2"/>
  <c r="O323" i="2"/>
  <c r="L323" i="2"/>
  <c r="K323" i="2"/>
  <c r="D322" i="1"/>
  <c r="Q322" i="2"/>
  <c r="C322" i="1"/>
  <c r="P322" i="2"/>
  <c r="O322" i="2"/>
  <c r="L322" i="2"/>
  <c r="K322" i="2"/>
  <c r="D321" i="1"/>
  <c r="Q321" i="2"/>
  <c r="C321" i="1"/>
  <c r="P321" i="2"/>
  <c r="O321" i="2"/>
  <c r="L321" i="2"/>
  <c r="K321" i="2"/>
  <c r="D320" i="1"/>
  <c r="Q320" i="2"/>
  <c r="C320" i="1"/>
  <c r="P320" i="2"/>
  <c r="O320" i="2"/>
  <c r="L320" i="2"/>
  <c r="K320" i="2"/>
  <c r="D319" i="1"/>
  <c r="Q319" i="2"/>
  <c r="C319" i="1"/>
  <c r="P319" i="2"/>
  <c r="O319" i="2"/>
  <c r="L319" i="2"/>
  <c r="K319" i="2"/>
  <c r="D318" i="1"/>
  <c r="Q318" i="2"/>
  <c r="C318" i="1"/>
  <c r="P318" i="2"/>
  <c r="O318" i="2"/>
  <c r="L318" i="2"/>
  <c r="K318" i="2"/>
  <c r="D317" i="1"/>
  <c r="Q317" i="2"/>
  <c r="C317" i="1"/>
  <c r="P317" i="2"/>
  <c r="O317" i="2"/>
  <c r="L317" i="2"/>
  <c r="K317" i="2"/>
  <c r="D316" i="1"/>
  <c r="Q316" i="2"/>
  <c r="C316" i="1"/>
  <c r="P316" i="2"/>
  <c r="O316" i="2"/>
  <c r="L316" i="2"/>
  <c r="K316" i="2"/>
  <c r="D315" i="1"/>
  <c r="Q315" i="2"/>
  <c r="C315" i="1"/>
  <c r="P315" i="2"/>
  <c r="O315" i="2"/>
  <c r="L315" i="2"/>
  <c r="K315" i="2"/>
  <c r="D314" i="1"/>
  <c r="Q314" i="2"/>
  <c r="C314" i="1"/>
  <c r="P314" i="2"/>
  <c r="O314" i="2"/>
  <c r="L314" i="2"/>
  <c r="K314" i="2"/>
  <c r="D313" i="1"/>
  <c r="Q313" i="2"/>
  <c r="C313" i="1"/>
  <c r="P313" i="2"/>
  <c r="O313" i="2"/>
  <c r="L313" i="2"/>
  <c r="K313" i="2"/>
  <c r="D312" i="1"/>
  <c r="Q312" i="2"/>
  <c r="C312" i="1"/>
  <c r="P312" i="2"/>
  <c r="O312" i="2"/>
  <c r="L312" i="2"/>
  <c r="K312" i="2"/>
  <c r="D311" i="1"/>
  <c r="Q311" i="2"/>
  <c r="C311" i="1"/>
  <c r="P311" i="2"/>
  <c r="O311" i="2"/>
  <c r="L311" i="2"/>
  <c r="K311" i="2"/>
  <c r="D310" i="1"/>
  <c r="Q310" i="2"/>
  <c r="C310" i="1"/>
  <c r="P310" i="2"/>
  <c r="O310" i="2"/>
  <c r="L310" i="2"/>
  <c r="K310" i="2"/>
  <c r="D309" i="1"/>
  <c r="Q309" i="2"/>
  <c r="C309" i="1"/>
  <c r="P309" i="2"/>
  <c r="O309" i="2"/>
  <c r="L309" i="2"/>
  <c r="K309" i="2"/>
  <c r="D308" i="1"/>
  <c r="Q308" i="2"/>
  <c r="C308" i="1"/>
  <c r="P308" i="2"/>
  <c r="O308" i="2"/>
  <c r="L308" i="2"/>
  <c r="K308" i="2"/>
  <c r="D307" i="1"/>
  <c r="Q307" i="2"/>
  <c r="C307" i="1"/>
  <c r="P307" i="2"/>
  <c r="O307" i="2"/>
  <c r="L307" i="2"/>
  <c r="K307" i="2"/>
  <c r="D306" i="1"/>
  <c r="Q306" i="2"/>
  <c r="C306" i="1"/>
  <c r="P306" i="2"/>
  <c r="O306" i="2"/>
  <c r="L306" i="2"/>
  <c r="K306" i="2"/>
  <c r="D305" i="1"/>
  <c r="Q305" i="2"/>
  <c r="C305" i="1"/>
  <c r="P305" i="2"/>
  <c r="O305" i="2"/>
  <c r="L305" i="2"/>
  <c r="K305" i="2"/>
  <c r="D304" i="1"/>
  <c r="Q304" i="2"/>
  <c r="C304" i="1"/>
  <c r="P304" i="2"/>
  <c r="O304" i="2"/>
  <c r="L304" i="2"/>
  <c r="K304" i="2"/>
  <c r="D303" i="1"/>
  <c r="Q303" i="2"/>
  <c r="C303" i="1"/>
  <c r="P303" i="2"/>
  <c r="O303" i="2"/>
  <c r="L303" i="2"/>
  <c r="K303" i="2"/>
  <c r="D302" i="1"/>
  <c r="Q302" i="2"/>
  <c r="C302" i="1"/>
  <c r="P302" i="2"/>
  <c r="O302" i="2"/>
  <c r="L302" i="2"/>
  <c r="K302" i="2"/>
  <c r="D301" i="1"/>
  <c r="Q301" i="2"/>
  <c r="C301" i="1"/>
  <c r="P301" i="2"/>
  <c r="O301" i="2"/>
  <c r="L301" i="2"/>
  <c r="K301" i="2"/>
  <c r="D300" i="1"/>
  <c r="Q300" i="2"/>
  <c r="C300" i="1"/>
  <c r="P300" i="2"/>
  <c r="O300" i="2"/>
  <c r="L300" i="2"/>
  <c r="K300" i="2"/>
  <c r="D299" i="1"/>
  <c r="Q299" i="2"/>
  <c r="C299" i="1"/>
  <c r="P299" i="2"/>
  <c r="O299" i="2"/>
  <c r="L299" i="2"/>
  <c r="K299" i="2"/>
  <c r="D298" i="1"/>
  <c r="Q298" i="2"/>
  <c r="C298" i="1"/>
  <c r="P298" i="2"/>
  <c r="O298" i="2"/>
  <c r="L298" i="2"/>
  <c r="K298" i="2"/>
  <c r="D297" i="1"/>
  <c r="Q297" i="2"/>
  <c r="C297" i="1"/>
  <c r="P297" i="2"/>
  <c r="O297" i="2"/>
  <c r="L297" i="2"/>
  <c r="K297" i="2"/>
  <c r="D296" i="1"/>
  <c r="Q296" i="2"/>
  <c r="C296" i="1"/>
  <c r="P296" i="2"/>
  <c r="O296" i="2"/>
  <c r="L296" i="2"/>
  <c r="K296" i="2"/>
  <c r="D295" i="1"/>
  <c r="Q295" i="2"/>
  <c r="C295" i="1"/>
  <c r="P295" i="2"/>
  <c r="O295" i="2"/>
  <c r="L295" i="2"/>
  <c r="K295" i="2"/>
  <c r="D294" i="1"/>
  <c r="Q294" i="2"/>
  <c r="C294" i="1"/>
  <c r="P294" i="2"/>
  <c r="O294" i="2"/>
  <c r="L294" i="2"/>
  <c r="K294" i="2"/>
  <c r="D293" i="1"/>
  <c r="Q293" i="2"/>
  <c r="C293" i="1"/>
  <c r="P293" i="2"/>
  <c r="O293" i="2"/>
  <c r="L293" i="2"/>
  <c r="K293" i="2"/>
  <c r="D292" i="1"/>
  <c r="Q292" i="2"/>
  <c r="C292" i="1"/>
  <c r="P292" i="2"/>
  <c r="O292" i="2"/>
  <c r="L292" i="2"/>
  <c r="K292" i="2"/>
  <c r="D291" i="1"/>
  <c r="Q291" i="2"/>
  <c r="C291" i="1"/>
  <c r="P291" i="2"/>
  <c r="O291" i="2"/>
  <c r="L291" i="2"/>
  <c r="K291" i="2"/>
  <c r="D290" i="1"/>
  <c r="Q290" i="2"/>
  <c r="C290" i="1"/>
  <c r="P290" i="2"/>
  <c r="O290" i="2"/>
  <c r="L290" i="2"/>
  <c r="K290" i="2"/>
  <c r="D289" i="1"/>
  <c r="Q289" i="2"/>
  <c r="C289" i="1"/>
  <c r="P289" i="2"/>
  <c r="O289" i="2"/>
  <c r="L289" i="2"/>
  <c r="K289" i="2"/>
  <c r="D288" i="1"/>
  <c r="Q288" i="2"/>
  <c r="C288" i="1"/>
  <c r="P288" i="2"/>
  <c r="O288" i="2"/>
  <c r="L288" i="2"/>
  <c r="K288" i="2"/>
  <c r="D287" i="1"/>
  <c r="Q287" i="2"/>
  <c r="C287" i="1"/>
  <c r="P287" i="2"/>
  <c r="O287" i="2"/>
  <c r="L287" i="2"/>
  <c r="K287" i="2"/>
  <c r="D286" i="1"/>
  <c r="Q286" i="2"/>
  <c r="C286" i="1"/>
  <c r="P286" i="2"/>
  <c r="O286" i="2"/>
  <c r="L286" i="2"/>
  <c r="K286" i="2"/>
  <c r="D285" i="1"/>
  <c r="Q285" i="2"/>
  <c r="C285" i="1"/>
  <c r="P285" i="2"/>
  <c r="O285" i="2"/>
  <c r="L285" i="2"/>
  <c r="K285" i="2"/>
  <c r="D284" i="1"/>
  <c r="Q284" i="2"/>
  <c r="C284" i="1"/>
  <c r="P284" i="2"/>
  <c r="O284" i="2"/>
  <c r="L284" i="2"/>
  <c r="K284" i="2"/>
  <c r="D283" i="1"/>
  <c r="Q283" i="2"/>
  <c r="C283" i="1"/>
  <c r="P283" i="2"/>
  <c r="O283" i="2"/>
  <c r="L283" i="2"/>
  <c r="K283" i="2"/>
  <c r="D282" i="1"/>
  <c r="Q282" i="2"/>
  <c r="C282" i="1"/>
  <c r="P282" i="2"/>
  <c r="O282" i="2"/>
  <c r="L282" i="2"/>
  <c r="K282" i="2"/>
  <c r="D281" i="1"/>
  <c r="Q281" i="2"/>
  <c r="C281" i="1"/>
  <c r="P281" i="2"/>
  <c r="O281" i="2"/>
  <c r="L281" i="2"/>
  <c r="K281" i="2"/>
  <c r="D280" i="1"/>
  <c r="Q280" i="2"/>
  <c r="C280" i="1"/>
  <c r="P280" i="2"/>
  <c r="O280" i="2"/>
  <c r="L280" i="2"/>
  <c r="K280" i="2"/>
  <c r="D279" i="1"/>
  <c r="Q279" i="2"/>
  <c r="C279" i="1"/>
  <c r="P279" i="2"/>
  <c r="O279" i="2"/>
  <c r="L279" i="2"/>
  <c r="K279" i="2"/>
  <c r="D278" i="1"/>
  <c r="Q278" i="2"/>
  <c r="C278" i="1"/>
  <c r="P278" i="2"/>
  <c r="O278" i="2"/>
  <c r="L278" i="2"/>
  <c r="K278" i="2"/>
  <c r="D277" i="1"/>
  <c r="Q277" i="2"/>
  <c r="C277" i="1"/>
  <c r="P277" i="2"/>
  <c r="O277" i="2"/>
  <c r="L277" i="2"/>
  <c r="K277" i="2"/>
  <c r="D276" i="1"/>
  <c r="Q276" i="2"/>
  <c r="C276" i="1"/>
  <c r="P276" i="2"/>
  <c r="O276" i="2"/>
  <c r="L276" i="2"/>
  <c r="K276" i="2"/>
  <c r="D275" i="1"/>
  <c r="Q275" i="2"/>
  <c r="C275" i="1"/>
  <c r="P275" i="2"/>
  <c r="O275" i="2"/>
  <c r="L275" i="2"/>
  <c r="K275" i="2"/>
  <c r="D274" i="1"/>
  <c r="Q274" i="2"/>
  <c r="C274" i="1"/>
  <c r="P274" i="2"/>
  <c r="O274" i="2"/>
  <c r="L274" i="2"/>
  <c r="K274" i="2"/>
  <c r="D273" i="1"/>
  <c r="Q273" i="2"/>
  <c r="C273" i="1"/>
  <c r="P273" i="2"/>
  <c r="O273" i="2"/>
  <c r="L273" i="2"/>
  <c r="K273" i="2"/>
  <c r="D272" i="1"/>
  <c r="Q272" i="2"/>
  <c r="C272" i="1"/>
  <c r="P272" i="2"/>
  <c r="O272" i="2"/>
  <c r="L272" i="2"/>
  <c r="K272" i="2"/>
  <c r="D271" i="1"/>
  <c r="Q271" i="2"/>
  <c r="C271" i="1"/>
  <c r="P271" i="2"/>
  <c r="O271" i="2"/>
  <c r="L271" i="2"/>
  <c r="K271" i="2"/>
  <c r="D270" i="1"/>
  <c r="Q270" i="2"/>
  <c r="C270" i="1"/>
  <c r="P270" i="2"/>
  <c r="O270" i="2"/>
  <c r="L270" i="2"/>
  <c r="K270" i="2"/>
  <c r="D269" i="1"/>
  <c r="Q269" i="2"/>
  <c r="C269" i="1"/>
  <c r="P269" i="2"/>
  <c r="O269" i="2"/>
  <c r="L269" i="2"/>
  <c r="K269" i="2"/>
  <c r="D268" i="1"/>
  <c r="Q268" i="2"/>
  <c r="C268" i="1"/>
  <c r="P268" i="2"/>
  <c r="O268" i="2"/>
  <c r="L268" i="2"/>
  <c r="K268" i="2"/>
  <c r="D267" i="1"/>
  <c r="Q267" i="2"/>
  <c r="C267" i="1"/>
  <c r="P267" i="2"/>
  <c r="O267" i="2"/>
  <c r="L267" i="2"/>
  <c r="K267" i="2"/>
  <c r="D266" i="1"/>
  <c r="Q266" i="2"/>
  <c r="C266" i="1"/>
  <c r="P266" i="2"/>
  <c r="O266" i="2"/>
  <c r="L266" i="2"/>
  <c r="K266" i="2"/>
  <c r="D265" i="1"/>
  <c r="Q265" i="2"/>
  <c r="C265" i="1"/>
  <c r="P265" i="2"/>
  <c r="O265" i="2"/>
  <c r="L265" i="2"/>
  <c r="K265" i="2"/>
  <c r="D264" i="1"/>
  <c r="Q264" i="2"/>
  <c r="C264" i="1"/>
  <c r="P264" i="2"/>
  <c r="O264" i="2"/>
  <c r="L264" i="2"/>
  <c r="K264" i="2"/>
  <c r="D263" i="1"/>
  <c r="Q263" i="2"/>
  <c r="C263" i="1"/>
  <c r="P263" i="2"/>
  <c r="O263" i="2"/>
  <c r="L263" i="2"/>
  <c r="K263" i="2"/>
  <c r="D262" i="1"/>
  <c r="Q262" i="2"/>
  <c r="C262" i="1"/>
  <c r="P262" i="2"/>
  <c r="O262" i="2"/>
  <c r="L262" i="2"/>
  <c r="K262" i="2"/>
  <c r="D261" i="1"/>
  <c r="Q261" i="2"/>
  <c r="C261" i="1"/>
  <c r="P261" i="2"/>
  <c r="O261" i="2"/>
  <c r="L261" i="2"/>
  <c r="K261" i="2"/>
  <c r="D260" i="1"/>
  <c r="Q260" i="2"/>
  <c r="C260" i="1"/>
  <c r="P260" i="2"/>
  <c r="O260" i="2"/>
  <c r="L260" i="2"/>
  <c r="K260" i="2"/>
  <c r="D259" i="1"/>
  <c r="Q259" i="2"/>
  <c r="C259" i="1"/>
  <c r="P259" i="2"/>
  <c r="O259" i="2"/>
  <c r="L259" i="2"/>
  <c r="K259" i="2"/>
  <c r="D258" i="1"/>
  <c r="Q258" i="2"/>
  <c r="C258" i="1"/>
  <c r="P258" i="2"/>
  <c r="O258" i="2"/>
  <c r="L258" i="2"/>
  <c r="K258" i="2"/>
  <c r="D257" i="1"/>
  <c r="Q257" i="2"/>
  <c r="C257" i="1"/>
  <c r="P257" i="2"/>
  <c r="O257" i="2"/>
  <c r="L257" i="2"/>
  <c r="K257" i="2"/>
  <c r="D256" i="1"/>
  <c r="Q256" i="2"/>
  <c r="C256" i="1"/>
  <c r="P256" i="2"/>
  <c r="O256" i="2"/>
  <c r="L256" i="2"/>
  <c r="K256" i="2"/>
  <c r="D255" i="1"/>
  <c r="Q255" i="2"/>
  <c r="C255" i="1"/>
  <c r="P255" i="2"/>
  <c r="O255" i="2"/>
  <c r="L255" i="2"/>
  <c r="K255" i="2"/>
  <c r="D254" i="1"/>
  <c r="Q254" i="2"/>
  <c r="C254" i="1"/>
  <c r="P254" i="2"/>
  <c r="O254" i="2"/>
  <c r="L254" i="2"/>
  <c r="K254" i="2"/>
  <c r="D253" i="1"/>
  <c r="Q253" i="2"/>
  <c r="C253" i="1"/>
  <c r="P253" i="2"/>
  <c r="O253" i="2"/>
  <c r="L253" i="2"/>
  <c r="K253" i="2"/>
  <c r="D252" i="1"/>
  <c r="Q252" i="2"/>
  <c r="C252" i="1"/>
  <c r="P252" i="2"/>
  <c r="O252" i="2"/>
  <c r="L252" i="2"/>
  <c r="K252" i="2"/>
  <c r="D251" i="1"/>
  <c r="Q251" i="2"/>
  <c r="C251" i="1"/>
  <c r="P251" i="2"/>
  <c r="O251" i="2"/>
  <c r="L251" i="2"/>
  <c r="K251" i="2"/>
  <c r="D250" i="1"/>
  <c r="Q250" i="2"/>
  <c r="C250" i="1"/>
  <c r="P250" i="2"/>
  <c r="O250" i="2"/>
  <c r="L250" i="2"/>
  <c r="K250" i="2"/>
  <c r="D249" i="1"/>
  <c r="Q249" i="2"/>
  <c r="C249" i="1"/>
  <c r="P249" i="2"/>
  <c r="O249" i="2"/>
  <c r="L249" i="2"/>
  <c r="K249" i="2"/>
  <c r="D248" i="1"/>
  <c r="Q248" i="2"/>
  <c r="C248" i="1"/>
  <c r="P248" i="2"/>
  <c r="O248" i="2"/>
  <c r="L248" i="2"/>
  <c r="K248" i="2"/>
  <c r="D247" i="1"/>
  <c r="Q247" i="2"/>
  <c r="C247" i="1"/>
  <c r="P247" i="2"/>
  <c r="O247" i="2"/>
  <c r="L247" i="2"/>
  <c r="K247" i="2"/>
  <c r="D246" i="1"/>
  <c r="Q246" i="2"/>
  <c r="C246" i="1"/>
  <c r="P246" i="2"/>
  <c r="O246" i="2"/>
  <c r="L246" i="2"/>
  <c r="K246" i="2"/>
  <c r="D245" i="1"/>
  <c r="Q245" i="2"/>
  <c r="C245" i="1"/>
  <c r="P245" i="2"/>
  <c r="O245" i="2"/>
  <c r="L245" i="2"/>
  <c r="K245" i="2"/>
  <c r="D244" i="1"/>
  <c r="Q244" i="2"/>
  <c r="C244" i="1"/>
  <c r="P244" i="2"/>
  <c r="O244" i="2"/>
  <c r="L244" i="2"/>
  <c r="K244" i="2"/>
  <c r="D243" i="1"/>
  <c r="Q243" i="2"/>
  <c r="C243" i="1"/>
  <c r="P243" i="2"/>
  <c r="O243" i="2"/>
  <c r="L243" i="2"/>
  <c r="K243" i="2"/>
  <c r="D242" i="1"/>
  <c r="Q242" i="2"/>
  <c r="C242" i="1"/>
  <c r="P242" i="2"/>
  <c r="O242" i="2"/>
  <c r="L242" i="2"/>
  <c r="K242" i="2"/>
  <c r="D241" i="1"/>
  <c r="Q241" i="2"/>
  <c r="C241" i="1"/>
  <c r="P241" i="2"/>
  <c r="O241" i="2"/>
  <c r="L241" i="2"/>
  <c r="K241" i="2"/>
  <c r="D240" i="1"/>
  <c r="Q240" i="2"/>
  <c r="C240" i="1"/>
  <c r="P240" i="2"/>
  <c r="O240" i="2"/>
  <c r="L240" i="2"/>
  <c r="K240" i="2"/>
  <c r="D239" i="1"/>
  <c r="Q239" i="2"/>
  <c r="C239" i="1"/>
  <c r="P239" i="2"/>
  <c r="O239" i="2"/>
  <c r="L239" i="2"/>
  <c r="K239" i="2"/>
  <c r="D238" i="1"/>
  <c r="Q238" i="2"/>
  <c r="C238" i="1"/>
  <c r="P238" i="2"/>
  <c r="O238" i="2"/>
  <c r="L238" i="2"/>
  <c r="K238" i="2"/>
  <c r="D237" i="1"/>
  <c r="Q237" i="2"/>
  <c r="C237" i="1"/>
  <c r="P237" i="2"/>
  <c r="O237" i="2"/>
  <c r="L237" i="2"/>
  <c r="K237" i="2"/>
  <c r="D236" i="1"/>
  <c r="Q236" i="2"/>
  <c r="C236" i="1"/>
  <c r="P236" i="2"/>
  <c r="O236" i="2"/>
  <c r="L236" i="2"/>
  <c r="K236" i="2"/>
  <c r="D235" i="1"/>
  <c r="Q235" i="2"/>
  <c r="C235" i="1"/>
  <c r="P235" i="2"/>
  <c r="O235" i="2"/>
  <c r="L235" i="2"/>
  <c r="K235" i="2"/>
  <c r="D234" i="1"/>
  <c r="Q234" i="2"/>
  <c r="C234" i="1"/>
  <c r="P234" i="2"/>
  <c r="O234" i="2"/>
  <c r="L234" i="2"/>
  <c r="K234" i="2"/>
  <c r="D233" i="1"/>
  <c r="Q233" i="2"/>
  <c r="C233" i="1"/>
  <c r="P233" i="2"/>
  <c r="O233" i="2"/>
  <c r="L233" i="2"/>
  <c r="K233" i="2"/>
  <c r="D232" i="1"/>
  <c r="Q232" i="2"/>
  <c r="C232" i="1"/>
  <c r="P232" i="2"/>
  <c r="O232" i="2"/>
  <c r="L232" i="2"/>
  <c r="K232" i="2"/>
  <c r="D231" i="1"/>
  <c r="Q231" i="2"/>
  <c r="C231" i="1"/>
  <c r="P231" i="2"/>
  <c r="O231" i="2"/>
  <c r="L231" i="2"/>
  <c r="K231" i="2"/>
  <c r="D230" i="1"/>
  <c r="Q230" i="2"/>
  <c r="C230" i="1"/>
  <c r="P230" i="2"/>
  <c r="O230" i="2"/>
  <c r="L230" i="2"/>
  <c r="K230" i="2"/>
  <c r="D229" i="1"/>
  <c r="Q229" i="2"/>
  <c r="C229" i="1"/>
  <c r="P229" i="2"/>
  <c r="O229" i="2"/>
  <c r="L229" i="2"/>
  <c r="K229" i="2"/>
  <c r="D228" i="1"/>
  <c r="Q228" i="2"/>
  <c r="C228" i="1"/>
  <c r="P228" i="2"/>
  <c r="O228" i="2"/>
  <c r="L228" i="2"/>
  <c r="K228" i="2"/>
  <c r="D227" i="1"/>
  <c r="Q227" i="2"/>
  <c r="C227" i="1"/>
  <c r="P227" i="2"/>
  <c r="O227" i="2"/>
  <c r="L227" i="2"/>
  <c r="K227" i="2"/>
  <c r="D226" i="1"/>
  <c r="Q226" i="2"/>
  <c r="C226" i="1"/>
  <c r="P226" i="2"/>
  <c r="O226" i="2"/>
  <c r="L226" i="2"/>
  <c r="K226" i="2"/>
  <c r="D225" i="1"/>
  <c r="Q225" i="2"/>
  <c r="C225" i="1"/>
  <c r="P225" i="2"/>
  <c r="O225" i="2"/>
  <c r="L225" i="2"/>
  <c r="K225" i="2"/>
  <c r="D224" i="1"/>
  <c r="Q224" i="2"/>
  <c r="C224" i="1"/>
  <c r="P224" i="2"/>
  <c r="O224" i="2"/>
  <c r="L224" i="2"/>
  <c r="K224" i="2"/>
  <c r="D223" i="1"/>
  <c r="Q223" i="2"/>
  <c r="C223" i="1"/>
  <c r="P223" i="2"/>
  <c r="O223" i="2"/>
  <c r="L223" i="2"/>
  <c r="K223" i="2"/>
  <c r="D222" i="1"/>
  <c r="Q222" i="2"/>
  <c r="C222" i="1"/>
  <c r="P222" i="2"/>
  <c r="O222" i="2"/>
  <c r="L222" i="2"/>
  <c r="K222" i="2"/>
  <c r="D221" i="1"/>
  <c r="Q221" i="2"/>
  <c r="C221" i="1"/>
  <c r="P221" i="2"/>
  <c r="O221" i="2"/>
  <c r="L221" i="2"/>
  <c r="K221" i="2"/>
  <c r="D220" i="1"/>
  <c r="Q220" i="2"/>
  <c r="C220" i="1"/>
  <c r="P220" i="2"/>
  <c r="O220" i="2"/>
  <c r="L220" i="2"/>
  <c r="K220" i="2"/>
  <c r="D219" i="1"/>
  <c r="Q219" i="2"/>
  <c r="C219" i="1"/>
  <c r="P219" i="2"/>
  <c r="O219" i="2"/>
  <c r="L219" i="2"/>
  <c r="K219" i="2"/>
  <c r="D218" i="1"/>
  <c r="Q218" i="2"/>
  <c r="C218" i="1"/>
  <c r="P218" i="2"/>
  <c r="O218" i="2"/>
  <c r="L218" i="2"/>
  <c r="K218" i="2"/>
  <c r="D217" i="1"/>
  <c r="Q217" i="2"/>
  <c r="C217" i="1"/>
  <c r="P217" i="2"/>
  <c r="O217" i="2"/>
  <c r="L217" i="2"/>
  <c r="K217" i="2"/>
  <c r="D216" i="1"/>
  <c r="Q216" i="2"/>
  <c r="C216" i="1"/>
  <c r="P216" i="2"/>
  <c r="O216" i="2"/>
  <c r="L216" i="2"/>
  <c r="K216" i="2"/>
  <c r="D215" i="1"/>
  <c r="Q215" i="2"/>
  <c r="C215" i="1"/>
  <c r="P215" i="2"/>
  <c r="O215" i="2"/>
  <c r="L215" i="2"/>
  <c r="K215" i="2"/>
  <c r="D214" i="1"/>
  <c r="Q214" i="2"/>
  <c r="C214" i="1"/>
  <c r="P214" i="2"/>
  <c r="O214" i="2"/>
  <c r="L214" i="2"/>
  <c r="K214" i="2"/>
  <c r="D213" i="1"/>
  <c r="Q213" i="2"/>
  <c r="C213" i="1"/>
  <c r="P213" i="2"/>
  <c r="O213" i="2"/>
  <c r="L213" i="2"/>
  <c r="K213" i="2"/>
  <c r="D212" i="1"/>
  <c r="Q212" i="2"/>
  <c r="C212" i="1"/>
  <c r="P212" i="2"/>
  <c r="O212" i="2"/>
  <c r="L212" i="2"/>
  <c r="K212" i="2"/>
  <c r="D211" i="1"/>
  <c r="Q211" i="2"/>
  <c r="C211" i="1"/>
  <c r="P211" i="2"/>
  <c r="O211" i="2"/>
  <c r="L211" i="2"/>
  <c r="K211" i="2"/>
  <c r="D210" i="1"/>
  <c r="Q210" i="2"/>
  <c r="C210" i="1"/>
  <c r="P210" i="2"/>
  <c r="O210" i="2"/>
  <c r="L210" i="2"/>
  <c r="K210" i="2"/>
  <c r="D209" i="1"/>
  <c r="Q209" i="2"/>
  <c r="C209" i="1"/>
  <c r="P209" i="2"/>
  <c r="O209" i="2"/>
  <c r="L209" i="2"/>
  <c r="K209" i="2"/>
  <c r="D208" i="1"/>
  <c r="Q208" i="2"/>
  <c r="C208" i="1"/>
  <c r="P208" i="2"/>
  <c r="O208" i="2"/>
  <c r="L208" i="2"/>
  <c r="K208" i="2"/>
  <c r="D207" i="1"/>
  <c r="Q207" i="2"/>
  <c r="C207" i="1"/>
  <c r="P207" i="2"/>
  <c r="O207" i="2"/>
  <c r="L207" i="2"/>
  <c r="K207" i="2"/>
  <c r="D206" i="1"/>
  <c r="Q206" i="2"/>
  <c r="C206" i="1"/>
  <c r="P206" i="2"/>
  <c r="O206" i="2"/>
  <c r="L206" i="2"/>
  <c r="K206" i="2"/>
  <c r="D205" i="1"/>
  <c r="Q205" i="2"/>
  <c r="C205" i="1"/>
  <c r="P205" i="2"/>
  <c r="O205" i="2"/>
  <c r="L205" i="2"/>
  <c r="K205" i="2"/>
  <c r="D204" i="1"/>
  <c r="Q204" i="2"/>
  <c r="C204" i="1"/>
  <c r="P204" i="2"/>
  <c r="O204" i="2"/>
  <c r="L204" i="2"/>
  <c r="K204" i="2"/>
  <c r="D203" i="1"/>
  <c r="Q203" i="2"/>
  <c r="C203" i="1"/>
  <c r="P203" i="2"/>
  <c r="O203" i="2"/>
  <c r="L203" i="2"/>
  <c r="K203" i="2"/>
  <c r="D202" i="1"/>
  <c r="Q202" i="2"/>
  <c r="C202" i="1"/>
  <c r="P202" i="2"/>
  <c r="O202" i="2"/>
  <c r="L202" i="2"/>
  <c r="K202" i="2"/>
  <c r="D201" i="1"/>
  <c r="Q201" i="2"/>
  <c r="C201" i="1"/>
  <c r="P201" i="2"/>
  <c r="O201" i="2"/>
  <c r="L201" i="2"/>
  <c r="K201" i="2"/>
  <c r="D200" i="1"/>
  <c r="Q200" i="2"/>
  <c r="C200" i="1"/>
  <c r="P200" i="2"/>
  <c r="O200" i="2"/>
  <c r="L200" i="2"/>
  <c r="K200" i="2"/>
  <c r="D199" i="1"/>
  <c r="Q199" i="2"/>
  <c r="C199" i="1"/>
  <c r="P199" i="2"/>
  <c r="O199" i="2"/>
  <c r="L199" i="2"/>
  <c r="K199" i="2"/>
  <c r="D198" i="1"/>
  <c r="Q198" i="2"/>
  <c r="C198" i="1"/>
  <c r="P198" i="2"/>
  <c r="O198" i="2"/>
  <c r="L198" i="2"/>
  <c r="K198" i="2"/>
  <c r="D197" i="1"/>
  <c r="Q197" i="2"/>
  <c r="C197" i="1"/>
  <c r="P197" i="2"/>
  <c r="O197" i="2"/>
  <c r="L197" i="2"/>
  <c r="K197" i="2"/>
  <c r="D196" i="1"/>
  <c r="Q196" i="2"/>
  <c r="C196" i="1"/>
  <c r="P196" i="2"/>
  <c r="O196" i="2"/>
  <c r="L196" i="2"/>
  <c r="K196" i="2"/>
  <c r="D195" i="1"/>
  <c r="Q195" i="2"/>
  <c r="C195" i="1"/>
  <c r="P195" i="2"/>
  <c r="O195" i="2"/>
  <c r="L195" i="2"/>
  <c r="K195" i="2"/>
  <c r="D194" i="1"/>
  <c r="Q194" i="2"/>
  <c r="C194" i="1"/>
  <c r="P194" i="2"/>
  <c r="O194" i="2"/>
  <c r="L194" i="2"/>
  <c r="K194" i="2"/>
  <c r="D193" i="1"/>
  <c r="Q193" i="2"/>
  <c r="C193" i="1"/>
  <c r="P193" i="2"/>
  <c r="O193" i="2"/>
  <c r="L193" i="2"/>
  <c r="K193" i="2"/>
  <c r="D192" i="1"/>
  <c r="Q192" i="2"/>
  <c r="C192" i="1"/>
  <c r="P192" i="2"/>
  <c r="O192" i="2"/>
  <c r="L192" i="2"/>
  <c r="K192" i="2"/>
  <c r="D191" i="1"/>
  <c r="Q191" i="2"/>
  <c r="C191" i="1"/>
  <c r="P191" i="2"/>
  <c r="O191" i="2"/>
  <c r="L191" i="2"/>
  <c r="K191" i="2"/>
  <c r="D190" i="1"/>
  <c r="Q190" i="2"/>
  <c r="C190" i="1"/>
  <c r="P190" i="2"/>
  <c r="O190" i="2"/>
  <c r="L190" i="2"/>
  <c r="K190" i="2"/>
  <c r="D189" i="1"/>
  <c r="Q189" i="2"/>
  <c r="C189" i="1"/>
  <c r="P189" i="2"/>
  <c r="O189" i="2"/>
  <c r="L189" i="2"/>
  <c r="K189" i="2"/>
  <c r="D188" i="1"/>
  <c r="Q188" i="2"/>
  <c r="C188" i="1"/>
  <c r="P188" i="2"/>
  <c r="O188" i="2"/>
  <c r="L188" i="2"/>
  <c r="K188" i="2"/>
  <c r="D187" i="1"/>
  <c r="Q187" i="2"/>
  <c r="C187" i="1"/>
  <c r="P187" i="2"/>
  <c r="O187" i="2"/>
  <c r="L187" i="2"/>
  <c r="K187" i="2"/>
  <c r="D186" i="1"/>
  <c r="Q186" i="2"/>
  <c r="C186" i="1"/>
  <c r="P186" i="2"/>
  <c r="O186" i="2"/>
  <c r="L186" i="2"/>
  <c r="K186" i="2"/>
  <c r="D185" i="1"/>
  <c r="Q185" i="2"/>
  <c r="C185" i="1"/>
  <c r="P185" i="2"/>
  <c r="O185" i="2"/>
  <c r="L185" i="2"/>
  <c r="K185" i="2"/>
  <c r="D184" i="1"/>
  <c r="Q184" i="2"/>
  <c r="C184" i="1"/>
  <c r="P184" i="2"/>
  <c r="O184" i="2"/>
  <c r="L184" i="2"/>
  <c r="K184" i="2"/>
  <c r="D183" i="1"/>
  <c r="Q183" i="2"/>
  <c r="C183" i="1"/>
  <c r="P183" i="2"/>
  <c r="O183" i="2"/>
  <c r="L183" i="2"/>
  <c r="K183" i="2"/>
  <c r="D182" i="1"/>
  <c r="Q182" i="2"/>
  <c r="C182" i="1"/>
  <c r="P182" i="2"/>
  <c r="O182" i="2"/>
  <c r="L182" i="2"/>
  <c r="K182" i="2"/>
  <c r="D181" i="1"/>
  <c r="Q181" i="2"/>
  <c r="C181" i="1"/>
  <c r="P181" i="2"/>
  <c r="O181" i="2"/>
  <c r="L181" i="2"/>
  <c r="K181" i="2"/>
  <c r="D180" i="1"/>
  <c r="Q180" i="2"/>
  <c r="C180" i="1"/>
  <c r="P180" i="2"/>
  <c r="O180" i="2"/>
  <c r="L180" i="2"/>
  <c r="K180" i="2"/>
  <c r="D179" i="1"/>
  <c r="Q179" i="2"/>
  <c r="C179" i="1"/>
  <c r="P179" i="2"/>
  <c r="O179" i="2"/>
  <c r="L179" i="2"/>
  <c r="K179" i="2"/>
  <c r="D178" i="1"/>
  <c r="Q178" i="2"/>
  <c r="C178" i="1"/>
  <c r="P178" i="2"/>
  <c r="O178" i="2"/>
  <c r="L178" i="2"/>
  <c r="K178" i="2"/>
  <c r="D177" i="1"/>
  <c r="Q177" i="2"/>
  <c r="C177" i="1"/>
  <c r="P177" i="2"/>
  <c r="O177" i="2"/>
  <c r="L177" i="2"/>
  <c r="K177" i="2"/>
  <c r="D176" i="1"/>
  <c r="Q176" i="2"/>
  <c r="C176" i="1"/>
  <c r="P176" i="2"/>
  <c r="O176" i="2"/>
  <c r="L176" i="2"/>
  <c r="K176" i="2"/>
  <c r="D175" i="1"/>
  <c r="Q175" i="2"/>
  <c r="C175" i="1"/>
  <c r="P175" i="2"/>
  <c r="O175" i="2"/>
  <c r="L175" i="2"/>
  <c r="K175" i="2"/>
  <c r="D174" i="1"/>
  <c r="Q174" i="2"/>
  <c r="C174" i="1"/>
  <c r="P174" i="2"/>
  <c r="O174" i="2"/>
  <c r="L174" i="2"/>
  <c r="K174" i="2"/>
  <c r="D173" i="1"/>
  <c r="Q173" i="2"/>
  <c r="C173" i="1"/>
  <c r="P173" i="2"/>
  <c r="O173" i="2"/>
  <c r="L173" i="2"/>
  <c r="K173" i="2"/>
  <c r="D172" i="1"/>
  <c r="Q172" i="2"/>
  <c r="C172" i="1"/>
  <c r="P172" i="2"/>
  <c r="O172" i="2"/>
  <c r="L172" i="2"/>
  <c r="K172" i="2"/>
  <c r="D171" i="1"/>
  <c r="Q171" i="2"/>
  <c r="C171" i="1"/>
  <c r="P171" i="2"/>
  <c r="O171" i="2"/>
  <c r="L171" i="2"/>
  <c r="K171" i="2"/>
  <c r="D170" i="1"/>
  <c r="Q170" i="2"/>
  <c r="C170" i="1"/>
  <c r="P170" i="2"/>
  <c r="O170" i="2"/>
  <c r="L170" i="2"/>
  <c r="K170" i="2"/>
  <c r="D169" i="1"/>
  <c r="Q169" i="2"/>
  <c r="C169" i="1"/>
  <c r="P169" i="2"/>
  <c r="O169" i="2"/>
  <c r="L169" i="2"/>
  <c r="K169" i="2"/>
  <c r="D168" i="1"/>
  <c r="Q168" i="2"/>
  <c r="C168" i="1"/>
  <c r="P168" i="2"/>
  <c r="O168" i="2"/>
  <c r="L168" i="2"/>
  <c r="K168" i="2"/>
  <c r="D167" i="1"/>
  <c r="Q167" i="2"/>
  <c r="C167" i="1"/>
  <c r="P167" i="2"/>
  <c r="O167" i="2"/>
  <c r="L167" i="2"/>
  <c r="K167" i="2"/>
  <c r="D166" i="1"/>
  <c r="Q166" i="2"/>
  <c r="C166" i="1"/>
  <c r="P166" i="2"/>
  <c r="O166" i="2"/>
  <c r="L166" i="2"/>
  <c r="K166" i="2"/>
  <c r="D165" i="1"/>
  <c r="Q165" i="2"/>
  <c r="C165" i="1"/>
  <c r="P165" i="2"/>
  <c r="O165" i="2"/>
  <c r="L165" i="2"/>
  <c r="K165" i="2"/>
  <c r="D164" i="1"/>
  <c r="Q164" i="2"/>
  <c r="C164" i="1"/>
  <c r="P164" i="2"/>
  <c r="O164" i="2"/>
  <c r="L164" i="2"/>
  <c r="K164" i="2"/>
  <c r="D163" i="1"/>
  <c r="Q163" i="2"/>
  <c r="C163" i="1"/>
  <c r="P163" i="2"/>
  <c r="O163" i="2"/>
  <c r="L163" i="2"/>
  <c r="K163" i="2"/>
  <c r="D162" i="1"/>
  <c r="Q162" i="2"/>
  <c r="C162" i="1"/>
  <c r="P162" i="2"/>
  <c r="O162" i="2"/>
  <c r="L162" i="2"/>
  <c r="K162" i="2"/>
  <c r="D161" i="1"/>
  <c r="Q161" i="2"/>
  <c r="C161" i="1"/>
  <c r="P161" i="2"/>
  <c r="O161" i="2"/>
  <c r="L161" i="2"/>
  <c r="K161" i="2"/>
  <c r="D160" i="1"/>
  <c r="Q160" i="2"/>
  <c r="C160" i="1"/>
  <c r="P160" i="2"/>
  <c r="O160" i="2"/>
  <c r="L160" i="2"/>
  <c r="K160" i="2"/>
  <c r="D159" i="1"/>
  <c r="Q159" i="2"/>
  <c r="C159" i="1"/>
  <c r="P159" i="2"/>
  <c r="O159" i="2"/>
  <c r="L159" i="2"/>
  <c r="K159" i="2"/>
  <c r="D158" i="1"/>
  <c r="Q158" i="2"/>
  <c r="C158" i="1"/>
  <c r="P158" i="2"/>
  <c r="O158" i="2"/>
  <c r="L158" i="2"/>
  <c r="K158" i="2"/>
  <c r="D157" i="1"/>
  <c r="Q157" i="2"/>
  <c r="C157" i="1"/>
  <c r="P157" i="2"/>
  <c r="O157" i="2"/>
  <c r="L157" i="2"/>
  <c r="K157" i="2"/>
  <c r="D156" i="1"/>
  <c r="Q156" i="2"/>
  <c r="C156" i="1"/>
  <c r="P156" i="2"/>
  <c r="O156" i="2"/>
  <c r="L156" i="2"/>
  <c r="K156" i="2"/>
  <c r="D155" i="1"/>
  <c r="Q155" i="2"/>
  <c r="C155" i="1"/>
  <c r="P155" i="2"/>
  <c r="O155" i="2"/>
  <c r="L155" i="2"/>
  <c r="K155" i="2"/>
  <c r="D154" i="1"/>
  <c r="Q154" i="2"/>
  <c r="C154" i="1"/>
  <c r="P154" i="2"/>
  <c r="O154" i="2"/>
  <c r="L154" i="2"/>
  <c r="K154" i="2"/>
  <c r="D153" i="1"/>
  <c r="Q153" i="2"/>
  <c r="C153" i="1"/>
  <c r="P153" i="2"/>
  <c r="O153" i="2"/>
  <c r="L153" i="2"/>
  <c r="K153" i="2"/>
  <c r="D152" i="1"/>
  <c r="Q152" i="2"/>
  <c r="C152" i="1"/>
  <c r="P152" i="2"/>
  <c r="O152" i="2"/>
  <c r="L152" i="2"/>
  <c r="K152" i="2"/>
  <c r="D151" i="1"/>
  <c r="Q151" i="2"/>
  <c r="C151" i="1"/>
  <c r="P151" i="2"/>
  <c r="O151" i="2"/>
  <c r="L151" i="2"/>
  <c r="K151" i="2"/>
  <c r="D150" i="1"/>
  <c r="Q150" i="2"/>
  <c r="C150" i="1"/>
  <c r="P150" i="2"/>
  <c r="O150" i="2"/>
  <c r="L150" i="2"/>
  <c r="K150" i="2"/>
  <c r="D149" i="1"/>
  <c r="Q149" i="2"/>
  <c r="C149" i="1"/>
  <c r="P149" i="2"/>
  <c r="O149" i="2"/>
  <c r="L149" i="2"/>
  <c r="K149" i="2"/>
  <c r="D148" i="1"/>
  <c r="Q148" i="2"/>
  <c r="C148" i="1"/>
  <c r="P148" i="2"/>
  <c r="O148" i="2"/>
  <c r="L148" i="2"/>
  <c r="K148" i="2"/>
  <c r="D147" i="1"/>
  <c r="Q147" i="2"/>
  <c r="C147" i="1"/>
  <c r="P147" i="2"/>
  <c r="O147" i="2"/>
  <c r="L147" i="2"/>
  <c r="K147" i="2"/>
  <c r="D146" i="1"/>
  <c r="Q146" i="2"/>
  <c r="C146" i="1"/>
  <c r="P146" i="2"/>
  <c r="O146" i="2"/>
  <c r="L146" i="2"/>
  <c r="K146" i="2"/>
  <c r="D145" i="1"/>
  <c r="Q145" i="2"/>
  <c r="C145" i="1"/>
  <c r="P145" i="2"/>
  <c r="O145" i="2"/>
  <c r="L145" i="2"/>
  <c r="K145" i="2"/>
  <c r="D144" i="1"/>
  <c r="Q144" i="2"/>
  <c r="C144" i="1"/>
  <c r="P144" i="2"/>
  <c r="O144" i="2"/>
  <c r="L144" i="2"/>
  <c r="K144" i="2"/>
  <c r="D143" i="1"/>
  <c r="Q143" i="2"/>
  <c r="C143" i="1"/>
  <c r="P143" i="2"/>
  <c r="O143" i="2"/>
  <c r="L143" i="2"/>
  <c r="K143" i="2"/>
  <c r="D142" i="1"/>
  <c r="Q142" i="2"/>
  <c r="C142" i="1"/>
  <c r="P142" i="2"/>
  <c r="O142" i="2"/>
  <c r="L142" i="2"/>
  <c r="K142" i="2"/>
  <c r="D141" i="1"/>
  <c r="Q141" i="2"/>
  <c r="C141" i="1"/>
  <c r="P141" i="2"/>
  <c r="O141" i="2"/>
  <c r="L141" i="2"/>
  <c r="K141" i="2"/>
  <c r="D140" i="1"/>
  <c r="Q140" i="2"/>
  <c r="C140" i="1"/>
  <c r="P140" i="2"/>
  <c r="O140" i="2"/>
  <c r="L140" i="2"/>
  <c r="K140" i="2"/>
  <c r="D139" i="1"/>
  <c r="Q139" i="2"/>
  <c r="C139" i="1"/>
  <c r="P139" i="2"/>
  <c r="O139" i="2"/>
  <c r="L139" i="2"/>
  <c r="K139" i="2"/>
  <c r="D138" i="1"/>
  <c r="Q138" i="2"/>
  <c r="C138" i="1"/>
  <c r="P138" i="2"/>
  <c r="O138" i="2"/>
  <c r="L138" i="2"/>
  <c r="K138" i="2"/>
  <c r="D137" i="1"/>
  <c r="Q137" i="2"/>
  <c r="C137" i="1"/>
  <c r="P137" i="2"/>
  <c r="O137" i="2"/>
  <c r="L137" i="2"/>
  <c r="K137" i="2"/>
  <c r="D136" i="1"/>
  <c r="Q136" i="2"/>
  <c r="C136" i="1"/>
  <c r="P136" i="2"/>
  <c r="O136" i="2"/>
  <c r="L136" i="2"/>
  <c r="K136" i="2"/>
  <c r="D135" i="1"/>
  <c r="Q135" i="2"/>
  <c r="C135" i="1"/>
  <c r="P135" i="2"/>
  <c r="O135" i="2"/>
  <c r="L135" i="2"/>
  <c r="K135" i="2"/>
  <c r="D134" i="1"/>
  <c r="Q134" i="2"/>
  <c r="C134" i="1"/>
  <c r="P134" i="2"/>
  <c r="O134" i="2"/>
  <c r="L134" i="2"/>
  <c r="K134" i="2"/>
  <c r="D133" i="1"/>
  <c r="Q133" i="2"/>
  <c r="C133" i="1"/>
  <c r="P133" i="2"/>
  <c r="O133" i="2"/>
  <c r="L133" i="2"/>
  <c r="K133" i="2"/>
  <c r="D132" i="1"/>
  <c r="Q132" i="2"/>
  <c r="C132" i="1"/>
  <c r="P132" i="2"/>
  <c r="O132" i="2"/>
  <c r="L132" i="2"/>
  <c r="K132" i="2"/>
  <c r="D131" i="1"/>
  <c r="Q131" i="2"/>
  <c r="C131" i="1"/>
  <c r="P131" i="2"/>
  <c r="O131" i="2"/>
  <c r="L131" i="2"/>
  <c r="K131" i="2"/>
  <c r="D130" i="1"/>
  <c r="Q130" i="2"/>
  <c r="C130" i="1"/>
  <c r="P130" i="2"/>
  <c r="O130" i="2"/>
  <c r="L130" i="2"/>
  <c r="K130" i="2"/>
  <c r="D129" i="1"/>
  <c r="Q129" i="2"/>
  <c r="C129" i="1"/>
  <c r="P129" i="2"/>
  <c r="O129" i="2"/>
  <c r="L129" i="2"/>
  <c r="K129" i="2"/>
  <c r="D128" i="1"/>
  <c r="Q128" i="2"/>
  <c r="C128" i="1"/>
  <c r="P128" i="2"/>
  <c r="O128" i="2"/>
  <c r="L128" i="2"/>
  <c r="K128" i="2"/>
  <c r="D127" i="1"/>
  <c r="Q127" i="2"/>
  <c r="C127" i="1"/>
  <c r="P127" i="2"/>
  <c r="O127" i="2"/>
  <c r="L127" i="2"/>
  <c r="K127" i="2"/>
  <c r="D126" i="1"/>
  <c r="Q126" i="2"/>
  <c r="C126" i="1"/>
  <c r="P126" i="2"/>
  <c r="O126" i="2"/>
  <c r="L126" i="2"/>
  <c r="K126" i="2"/>
  <c r="D125" i="1"/>
  <c r="Q125" i="2"/>
  <c r="C125" i="1"/>
  <c r="P125" i="2"/>
  <c r="O125" i="2"/>
  <c r="L125" i="2"/>
  <c r="K125" i="2"/>
  <c r="D124" i="1"/>
  <c r="Q124" i="2"/>
  <c r="C124" i="1"/>
  <c r="P124" i="2"/>
  <c r="O124" i="2"/>
  <c r="L124" i="2"/>
  <c r="K124" i="2"/>
  <c r="D123" i="1"/>
  <c r="Q123" i="2"/>
  <c r="C123" i="1"/>
  <c r="P123" i="2"/>
  <c r="O123" i="2"/>
  <c r="L123" i="2"/>
  <c r="K123" i="2"/>
  <c r="D122" i="1"/>
  <c r="Q122" i="2"/>
  <c r="C122" i="1"/>
  <c r="P122" i="2"/>
  <c r="O122" i="2"/>
  <c r="L122" i="2"/>
  <c r="K122" i="2"/>
  <c r="D121" i="1"/>
  <c r="Q121" i="2"/>
  <c r="C121" i="1"/>
  <c r="P121" i="2"/>
  <c r="O121" i="2"/>
  <c r="L121" i="2"/>
  <c r="K121" i="2"/>
  <c r="D120" i="1"/>
  <c r="Q120" i="2"/>
  <c r="C120" i="1"/>
  <c r="P120" i="2"/>
  <c r="O120" i="2"/>
  <c r="L120" i="2"/>
  <c r="K120" i="2"/>
  <c r="D119" i="1"/>
  <c r="Q119" i="2"/>
  <c r="C119" i="1"/>
  <c r="P119" i="2"/>
  <c r="O119" i="2"/>
  <c r="L119" i="2"/>
  <c r="K119" i="2"/>
  <c r="D118" i="1"/>
  <c r="Q118" i="2"/>
  <c r="C118" i="1"/>
  <c r="P118" i="2"/>
  <c r="O118" i="2"/>
  <c r="L118" i="2"/>
  <c r="K118" i="2"/>
  <c r="D117" i="1"/>
  <c r="Q117" i="2"/>
  <c r="C117" i="1"/>
  <c r="P117" i="2"/>
  <c r="O117" i="2"/>
  <c r="L117" i="2"/>
  <c r="K117" i="2"/>
  <c r="D116" i="1"/>
  <c r="Q116" i="2"/>
  <c r="C116" i="1"/>
  <c r="P116" i="2"/>
  <c r="O116" i="2"/>
  <c r="L116" i="2"/>
  <c r="K116" i="2"/>
  <c r="D115" i="1"/>
  <c r="Q115" i="2"/>
  <c r="C115" i="1"/>
  <c r="P115" i="2"/>
  <c r="O115" i="2"/>
  <c r="L115" i="2"/>
  <c r="K115" i="2"/>
  <c r="D114" i="1"/>
  <c r="Q114" i="2"/>
  <c r="C114" i="1"/>
  <c r="P114" i="2"/>
  <c r="O114" i="2"/>
  <c r="L114" i="2"/>
  <c r="K114" i="2"/>
  <c r="D113" i="1"/>
  <c r="Q113" i="2"/>
  <c r="C113" i="1"/>
  <c r="P113" i="2"/>
  <c r="O113" i="2"/>
  <c r="L113" i="2"/>
  <c r="K113" i="2"/>
  <c r="D112" i="1"/>
  <c r="Q112" i="2"/>
  <c r="C112" i="1"/>
  <c r="P112" i="2"/>
  <c r="O112" i="2"/>
  <c r="L112" i="2"/>
  <c r="K112" i="2"/>
  <c r="D111" i="1"/>
  <c r="Q111" i="2"/>
  <c r="C111" i="1"/>
  <c r="P111" i="2"/>
  <c r="O111" i="2"/>
  <c r="L111" i="2"/>
  <c r="K111" i="2"/>
  <c r="D110" i="1"/>
  <c r="Q110" i="2"/>
  <c r="C110" i="1"/>
  <c r="P110" i="2"/>
  <c r="O110" i="2"/>
  <c r="L110" i="2"/>
  <c r="K110" i="2"/>
  <c r="D109" i="1"/>
  <c r="Q109" i="2"/>
  <c r="C109" i="1"/>
  <c r="P109" i="2"/>
  <c r="O109" i="2"/>
  <c r="L109" i="2"/>
  <c r="K109" i="2"/>
  <c r="D108" i="1"/>
  <c r="Q108" i="2"/>
  <c r="C108" i="1"/>
  <c r="P108" i="2"/>
  <c r="O108" i="2"/>
  <c r="L108" i="2"/>
  <c r="K108" i="2"/>
  <c r="D107" i="1"/>
  <c r="Q107" i="2"/>
  <c r="C107" i="1"/>
  <c r="P107" i="2"/>
  <c r="O107" i="2"/>
  <c r="L107" i="2"/>
  <c r="K107" i="2"/>
  <c r="D106" i="1"/>
  <c r="Q106" i="2"/>
  <c r="C106" i="1"/>
  <c r="P106" i="2"/>
  <c r="O106" i="2"/>
  <c r="L106" i="2"/>
  <c r="K106" i="2"/>
  <c r="D105" i="1"/>
  <c r="Q105" i="2"/>
  <c r="C105" i="1"/>
  <c r="P105" i="2"/>
  <c r="O105" i="2"/>
  <c r="L105" i="2"/>
  <c r="K105" i="2"/>
  <c r="D104" i="1"/>
  <c r="Q104" i="2"/>
  <c r="C104" i="1"/>
  <c r="P104" i="2"/>
  <c r="O104" i="2"/>
  <c r="L104" i="2"/>
  <c r="K104" i="2"/>
  <c r="D103" i="1"/>
  <c r="Q103" i="2"/>
  <c r="C103" i="1"/>
  <c r="P103" i="2"/>
  <c r="O103" i="2"/>
  <c r="L103" i="2"/>
  <c r="K103" i="2"/>
  <c r="D102" i="1"/>
  <c r="Q102" i="2"/>
  <c r="C102" i="1"/>
  <c r="P102" i="2"/>
  <c r="O102" i="2"/>
  <c r="L102" i="2"/>
  <c r="K102" i="2"/>
  <c r="D101" i="1"/>
  <c r="Q101" i="2"/>
  <c r="C101" i="1"/>
  <c r="P101" i="2"/>
  <c r="O101" i="2"/>
  <c r="L101" i="2"/>
  <c r="K101" i="2"/>
  <c r="D100" i="1"/>
  <c r="Q100" i="2"/>
  <c r="C100" i="1"/>
  <c r="P100" i="2"/>
  <c r="O100" i="2"/>
  <c r="L100" i="2"/>
  <c r="K100" i="2"/>
  <c r="D99" i="1"/>
  <c r="Q99" i="2"/>
  <c r="C99" i="1"/>
  <c r="P99" i="2"/>
  <c r="O99" i="2"/>
  <c r="L99" i="2"/>
  <c r="K99" i="2"/>
  <c r="D98" i="1"/>
  <c r="Q98" i="2"/>
  <c r="C98" i="1"/>
  <c r="P98" i="2"/>
  <c r="O98" i="2"/>
  <c r="L98" i="2"/>
  <c r="K98" i="2"/>
  <c r="D97" i="1"/>
  <c r="Q97" i="2"/>
  <c r="C97" i="1"/>
  <c r="P97" i="2"/>
  <c r="O97" i="2"/>
  <c r="L97" i="2"/>
  <c r="K97" i="2"/>
  <c r="D96" i="1"/>
  <c r="Q96" i="2"/>
  <c r="C96" i="1"/>
  <c r="P96" i="2"/>
  <c r="O96" i="2"/>
  <c r="L96" i="2"/>
  <c r="K96" i="2"/>
  <c r="D95" i="1"/>
  <c r="Q95" i="2"/>
  <c r="C95" i="1"/>
  <c r="P95" i="2"/>
  <c r="O95" i="2"/>
  <c r="L95" i="2"/>
  <c r="K95" i="2"/>
  <c r="D94" i="1"/>
  <c r="Q94" i="2"/>
  <c r="C94" i="1"/>
  <c r="P94" i="2"/>
  <c r="O94" i="2"/>
  <c r="L94" i="2"/>
  <c r="K94" i="2"/>
  <c r="D93" i="1"/>
  <c r="Q93" i="2"/>
  <c r="C93" i="1"/>
  <c r="P93" i="2"/>
  <c r="O93" i="2"/>
  <c r="L93" i="2"/>
  <c r="K93" i="2"/>
  <c r="D92" i="1"/>
  <c r="Q92" i="2"/>
  <c r="C92" i="1"/>
  <c r="P92" i="2"/>
  <c r="O92" i="2"/>
  <c r="L92" i="2"/>
  <c r="K92" i="2"/>
  <c r="D91" i="1"/>
  <c r="Q91" i="2"/>
  <c r="C91" i="1"/>
  <c r="P91" i="2"/>
  <c r="O91" i="2"/>
  <c r="L91" i="2"/>
  <c r="K91" i="2"/>
  <c r="D90" i="1"/>
  <c r="Q90" i="2"/>
  <c r="C90" i="1"/>
  <c r="P90" i="2"/>
  <c r="O90" i="2"/>
  <c r="L90" i="2"/>
  <c r="K90" i="2"/>
  <c r="D89" i="1"/>
  <c r="Q89" i="2"/>
  <c r="C89" i="1"/>
  <c r="P89" i="2"/>
  <c r="O89" i="2"/>
  <c r="L89" i="2"/>
  <c r="K89" i="2"/>
  <c r="D88" i="1"/>
  <c r="Q88" i="2"/>
  <c r="C88" i="1"/>
  <c r="P88" i="2"/>
  <c r="O88" i="2"/>
  <c r="L88" i="2"/>
  <c r="K88" i="2"/>
  <c r="D87" i="1"/>
  <c r="Q87" i="2"/>
  <c r="C87" i="1"/>
  <c r="P87" i="2"/>
  <c r="O87" i="2"/>
  <c r="L87" i="2"/>
  <c r="K87" i="2"/>
  <c r="D86" i="1"/>
  <c r="Q86" i="2"/>
  <c r="C86" i="1"/>
  <c r="P86" i="2"/>
  <c r="O86" i="2"/>
  <c r="L86" i="2"/>
  <c r="K86" i="2"/>
  <c r="D85" i="1"/>
  <c r="Q85" i="2"/>
  <c r="C85" i="1"/>
  <c r="P85" i="2"/>
  <c r="O85" i="2"/>
  <c r="L85" i="2"/>
  <c r="K85" i="2"/>
  <c r="D84" i="1"/>
  <c r="Q84" i="2"/>
  <c r="C84" i="1"/>
  <c r="P84" i="2"/>
  <c r="O84" i="2"/>
  <c r="L84" i="2"/>
  <c r="K84" i="2"/>
  <c r="D83" i="1"/>
  <c r="Q83" i="2"/>
  <c r="C83" i="1"/>
  <c r="P83" i="2"/>
  <c r="O83" i="2"/>
  <c r="L83" i="2"/>
  <c r="K83" i="2"/>
  <c r="D82" i="1"/>
  <c r="Q82" i="2"/>
  <c r="C82" i="1"/>
  <c r="P82" i="2"/>
  <c r="O82" i="2"/>
  <c r="L82" i="2"/>
  <c r="K82" i="2"/>
  <c r="D81" i="1"/>
  <c r="Q81" i="2"/>
  <c r="C81" i="1"/>
  <c r="P81" i="2"/>
  <c r="O81" i="2"/>
  <c r="L81" i="2"/>
  <c r="K81" i="2"/>
  <c r="D80" i="1"/>
  <c r="Q80" i="2"/>
  <c r="C80" i="1"/>
  <c r="P80" i="2"/>
  <c r="O80" i="2"/>
  <c r="L80" i="2"/>
  <c r="K80" i="2"/>
  <c r="D79" i="1"/>
  <c r="Q79" i="2"/>
  <c r="C79" i="1"/>
  <c r="P79" i="2"/>
  <c r="O79" i="2"/>
  <c r="L79" i="2"/>
  <c r="K79" i="2"/>
  <c r="D78" i="1"/>
  <c r="Q78" i="2"/>
  <c r="C78" i="1"/>
  <c r="P78" i="2"/>
  <c r="O78" i="2"/>
  <c r="L78" i="2"/>
  <c r="K78" i="2"/>
  <c r="D77" i="1"/>
  <c r="Q77" i="2"/>
  <c r="C77" i="1"/>
  <c r="P77" i="2"/>
  <c r="O77" i="2"/>
  <c r="L77" i="2"/>
  <c r="K77" i="2"/>
  <c r="D76" i="1"/>
  <c r="Q76" i="2"/>
  <c r="C76" i="1"/>
  <c r="P76" i="2"/>
  <c r="O76" i="2"/>
  <c r="L76" i="2"/>
  <c r="K76" i="2"/>
  <c r="D75" i="1"/>
  <c r="Q75" i="2"/>
  <c r="C75" i="1"/>
  <c r="P75" i="2"/>
  <c r="O75" i="2"/>
  <c r="L75" i="2"/>
  <c r="K75" i="2"/>
  <c r="D74" i="1"/>
  <c r="Q74" i="2"/>
  <c r="C74" i="1"/>
  <c r="P74" i="2"/>
  <c r="O74" i="2"/>
  <c r="L74" i="2"/>
  <c r="K74" i="2"/>
  <c r="D73" i="1"/>
  <c r="Q73" i="2"/>
  <c r="C73" i="1"/>
  <c r="P73" i="2"/>
  <c r="O73" i="2"/>
  <c r="L73" i="2"/>
  <c r="K73" i="2"/>
  <c r="D72" i="1"/>
  <c r="Q72" i="2"/>
  <c r="C72" i="1"/>
  <c r="P72" i="2"/>
  <c r="O72" i="2"/>
  <c r="L72" i="2"/>
  <c r="K72" i="2"/>
  <c r="D71" i="1"/>
  <c r="Q71" i="2"/>
  <c r="C71" i="1"/>
  <c r="P71" i="2"/>
  <c r="O71" i="2"/>
  <c r="L71" i="2"/>
  <c r="K71" i="2"/>
  <c r="D70" i="1"/>
  <c r="Q70" i="2"/>
  <c r="C70" i="1"/>
  <c r="P70" i="2"/>
  <c r="O70" i="2"/>
  <c r="L70" i="2"/>
  <c r="K70" i="2"/>
  <c r="D69" i="1"/>
  <c r="Q69" i="2"/>
  <c r="C69" i="1"/>
  <c r="P69" i="2"/>
  <c r="O69" i="2"/>
  <c r="L69" i="2"/>
  <c r="K69" i="2"/>
  <c r="D68" i="1"/>
  <c r="Q68" i="2"/>
  <c r="C68" i="1"/>
  <c r="P68" i="2"/>
  <c r="O68" i="2"/>
  <c r="L68" i="2"/>
  <c r="K68" i="2"/>
  <c r="D67" i="1"/>
  <c r="Q67" i="2"/>
  <c r="C67" i="1"/>
  <c r="P67" i="2"/>
  <c r="O67" i="2"/>
  <c r="L67" i="2"/>
  <c r="K67" i="2"/>
  <c r="D66" i="1"/>
  <c r="Q66" i="2"/>
  <c r="C66" i="1"/>
  <c r="P66" i="2"/>
  <c r="O66" i="2"/>
  <c r="L66" i="2"/>
  <c r="K66" i="2"/>
  <c r="D65" i="1"/>
  <c r="Q65" i="2"/>
  <c r="C65" i="1"/>
  <c r="P65" i="2"/>
  <c r="O65" i="2"/>
  <c r="L65" i="2"/>
  <c r="K65" i="2"/>
  <c r="D64" i="1"/>
  <c r="Q64" i="2"/>
  <c r="C64" i="1"/>
  <c r="P64" i="2"/>
  <c r="O64" i="2"/>
  <c r="L64" i="2"/>
  <c r="K64" i="2"/>
  <c r="D63" i="1"/>
  <c r="Q63" i="2"/>
  <c r="C63" i="1"/>
  <c r="P63" i="2"/>
  <c r="O63" i="2"/>
  <c r="L63" i="2"/>
  <c r="K63" i="2"/>
  <c r="D62" i="1"/>
  <c r="Q62" i="2"/>
  <c r="C62" i="1"/>
  <c r="P62" i="2"/>
  <c r="O62" i="2"/>
  <c r="L62" i="2"/>
  <c r="K62" i="2"/>
  <c r="D61" i="1"/>
  <c r="Q61" i="2"/>
  <c r="C61" i="1"/>
  <c r="P61" i="2"/>
  <c r="O61" i="2"/>
  <c r="L61" i="2"/>
  <c r="K61" i="2"/>
  <c r="D60" i="1"/>
  <c r="Q60" i="2"/>
  <c r="C60" i="1"/>
  <c r="P60" i="2"/>
  <c r="O60" i="2"/>
  <c r="L60" i="2"/>
  <c r="K60" i="2"/>
  <c r="D59" i="1"/>
  <c r="Q59" i="2"/>
  <c r="C59" i="1"/>
  <c r="P59" i="2"/>
  <c r="O59" i="2"/>
  <c r="L59" i="2"/>
  <c r="K59" i="2"/>
  <c r="D58" i="1"/>
  <c r="Q58" i="2"/>
  <c r="C58" i="1"/>
  <c r="P58" i="2"/>
  <c r="O58" i="2"/>
  <c r="L58" i="2"/>
  <c r="K58" i="2"/>
  <c r="D57" i="1"/>
  <c r="Q57" i="2"/>
  <c r="C57" i="1"/>
  <c r="P57" i="2"/>
  <c r="O57" i="2"/>
  <c r="L57" i="2"/>
  <c r="K57" i="2"/>
  <c r="D56" i="1"/>
  <c r="Q56" i="2"/>
  <c r="C56" i="1"/>
  <c r="P56" i="2"/>
  <c r="O56" i="2"/>
  <c r="L56" i="2"/>
  <c r="K56" i="2"/>
  <c r="D55" i="1"/>
  <c r="Q55" i="2"/>
  <c r="C55" i="1"/>
  <c r="P55" i="2"/>
  <c r="O55" i="2"/>
  <c r="L55" i="2"/>
  <c r="K55" i="2"/>
  <c r="D54" i="1"/>
  <c r="Q54" i="2"/>
  <c r="C54" i="1"/>
  <c r="P54" i="2"/>
  <c r="O54" i="2"/>
  <c r="L54" i="2"/>
  <c r="K54" i="2"/>
  <c r="D53" i="1"/>
  <c r="Q53" i="2"/>
  <c r="C53" i="1"/>
  <c r="P53" i="2"/>
  <c r="O53" i="2"/>
  <c r="L53" i="2"/>
  <c r="K53" i="2"/>
  <c r="D52" i="1"/>
  <c r="Q52" i="2"/>
  <c r="C52" i="1"/>
  <c r="P52" i="2"/>
  <c r="O52" i="2"/>
  <c r="L52" i="2"/>
  <c r="K52" i="2"/>
  <c r="D51" i="1"/>
  <c r="Q51" i="2"/>
  <c r="C51" i="1"/>
  <c r="P51" i="2"/>
  <c r="O51" i="2"/>
  <c r="L51" i="2"/>
  <c r="K51" i="2"/>
  <c r="D50" i="1"/>
  <c r="Q50" i="2"/>
  <c r="C50" i="1"/>
  <c r="P50" i="2"/>
  <c r="O50" i="2"/>
  <c r="L50" i="2"/>
  <c r="K50" i="2"/>
  <c r="D49" i="1"/>
  <c r="Q49" i="2"/>
  <c r="C49" i="1"/>
  <c r="P49" i="2"/>
  <c r="O49" i="2"/>
  <c r="L49" i="2"/>
  <c r="K49" i="2"/>
  <c r="D48" i="1"/>
  <c r="Q48" i="2"/>
  <c r="C48" i="1"/>
  <c r="P48" i="2"/>
  <c r="O48" i="2"/>
  <c r="L48" i="2"/>
  <c r="K48" i="2"/>
  <c r="D47" i="1"/>
  <c r="Q47" i="2"/>
  <c r="C47" i="1"/>
  <c r="P47" i="2"/>
  <c r="O47" i="2"/>
  <c r="L47" i="2"/>
  <c r="K47" i="2"/>
  <c r="D46" i="1"/>
  <c r="Q46" i="2"/>
  <c r="C46" i="1"/>
  <c r="P46" i="2"/>
  <c r="O46" i="2"/>
  <c r="L46" i="2"/>
  <c r="K46" i="2"/>
  <c r="D45" i="1"/>
  <c r="Q45" i="2"/>
  <c r="C45" i="1"/>
  <c r="P45" i="2"/>
  <c r="O45" i="2"/>
  <c r="L45" i="2"/>
  <c r="K45" i="2"/>
  <c r="D44" i="1"/>
  <c r="Q44" i="2"/>
  <c r="C44" i="1"/>
  <c r="P44" i="2"/>
  <c r="O44" i="2"/>
  <c r="L44" i="2"/>
  <c r="K44" i="2"/>
  <c r="D43" i="1"/>
  <c r="Q43" i="2"/>
  <c r="C43" i="1"/>
  <c r="P43" i="2"/>
  <c r="O43" i="2"/>
  <c r="L43" i="2"/>
  <c r="K43" i="2"/>
  <c r="D42" i="1"/>
  <c r="Q42" i="2"/>
  <c r="C42" i="1"/>
  <c r="P42" i="2"/>
  <c r="O42" i="2"/>
  <c r="L42" i="2"/>
  <c r="K42" i="2"/>
  <c r="D41" i="1"/>
  <c r="Q41" i="2"/>
  <c r="C41" i="1"/>
  <c r="P41" i="2"/>
  <c r="O41" i="2"/>
  <c r="L41" i="2"/>
  <c r="K41" i="2"/>
  <c r="D40" i="1"/>
  <c r="Q40" i="2"/>
  <c r="C40" i="1"/>
  <c r="P40" i="2"/>
  <c r="O40" i="2"/>
  <c r="L40" i="2"/>
  <c r="K40" i="2"/>
  <c r="D39" i="1"/>
  <c r="Q39" i="2"/>
  <c r="C39" i="1"/>
  <c r="P39" i="2"/>
  <c r="O39" i="2"/>
  <c r="L39" i="2"/>
  <c r="K39" i="2"/>
  <c r="D38" i="1"/>
  <c r="Q38" i="2"/>
  <c r="C38" i="1"/>
  <c r="P38" i="2"/>
  <c r="O38" i="2"/>
  <c r="L38" i="2"/>
  <c r="K38" i="2"/>
  <c r="D37" i="1"/>
  <c r="Q37" i="2"/>
  <c r="C37" i="1"/>
  <c r="P37" i="2"/>
  <c r="O37" i="2"/>
  <c r="L37" i="2"/>
  <c r="K37" i="2"/>
  <c r="D36" i="1"/>
  <c r="Q36" i="2"/>
  <c r="C36" i="1"/>
  <c r="P36" i="2"/>
  <c r="O36" i="2"/>
  <c r="L36" i="2"/>
  <c r="K36" i="2"/>
  <c r="D35" i="1"/>
  <c r="Q35" i="2"/>
  <c r="C35" i="1"/>
  <c r="P35" i="2"/>
  <c r="O35" i="2"/>
  <c r="L35" i="2"/>
  <c r="K35" i="2"/>
  <c r="D34" i="1"/>
  <c r="Q34" i="2"/>
  <c r="C34" i="1"/>
  <c r="P34" i="2"/>
  <c r="O34" i="2"/>
  <c r="L34" i="2"/>
  <c r="K34" i="2"/>
  <c r="D33" i="1"/>
  <c r="Q33" i="2"/>
  <c r="C33" i="1"/>
  <c r="P33" i="2"/>
  <c r="O33" i="2"/>
  <c r="L33" i="2"/>
  <c r="K33" i="2"/>
  <c r="D32" i="1"/>
  <c r="Q32" i="2"/>
  <c r="C32" i="1"/>
  <c r="P32" i="2"/>
  <c r="O32" i="2"/>
  <c r="L32" i="2"/>
  <c r="K32" i="2"/>
  <c r="D31" i="1"/>
  <c r="Q31" i="2"/>
  <c r="C31" i="1"/>
  <c r="P31" i="2"/>
  <c r="O31" i="2"/>
  <c r="L31" i="2"/>
  <c r="K31" i="2"/>
  <c r="D30" i="1"/>
  <c r="Q30" i="2"/>
  <c r="C30" i="1"/>
  <c r="P30" i="2"/>
  <c r="O30" i="2"/>
  <c r="L30" i="2"/>
  <c r="K30" i="2"/>
  <c r="D29" i="1"/>
  <c r="Q29" i="2"/>
  <c r="C29" i="1"/>
  <c r="P29" i="2"/>
  <c r="O29" i="2"/>
  <c r="L29" i="2"/>
  <c r="K29" i="2"/>
  <c r="D28" i="1"/>
  <c r="Q28" i="2"/>
  <c r="C28" i="1"/>
  <c r="P28" i="2"/>
  <c r="O28" i="2"/>
  <c r="L28" i="2"/>
  <c r="K28" i="2"/>
  <c r="D27" i="1"/>
  <c r="Q27" i="2"/>
  <c r="C27" i="1"/>
  <c r="P27" i="2"/>
  <c r="O27" i="2"/>
  <c r="L27" i="2"/>
  <c r="K27" i="2"/>
  <c r="D26" i="1"/>
  <c r="Q26" i="2"/>
  <c r="C26" i="1"/>
  <c r="P26" i="2"/>
  <c r="O26" i="2"/>
  <c r="L26" i="2"/>
  <c r="K26" i="2"/>
  <c r="D25" i="1"/>
  <c r="Q25" i="2"/>
  <c r="C25" i="1"/>
  <c r="P25" i="2"/>
  <c r="O25" i="2"/>
  <c r="L25" i="2"/>
  <c r="K25" i="2"/>
  <c r="D24" i="1"/>
  <c r="Q24" i="2"/>
  <c r="C24" i="1"/>
  <c r="P24" i="2"/>
  <c r="O24" i="2"/>
  <c r="L24" i="2"/>
  <c r="K24" i="2"/>
  <c r="D23" i="1"/>
  <c r="Q23" i="2"/>
  <c r="C23" i="1"/>
  <c r="P23" i="2"/>
  <c r="O23" i="2"/>
  <c r="L23" i="2"/>
  <c r="K23" i="2"/>
  <c r="D22" i="1"/>
  <c r="Q22" i="2"/>
  <c r="C22" i="1"/>
  <c r="P22" i="2"/>
  <c r="O22" i="2"/>
  <c r="L22" i="2"/>
  <c r="K22" i="2"/>
  <c r="D21" i="1"/>
  <c r="Q21" i="2"/>
  <c r="C21" i="1"/>
  <c r="P21" i="2"/>
  <c r="O21" i="2"/>
  <c r="L21" i="2"/>
  <c r="K21" i="2"/>
  <c r="D20" i="1"/>
  <c r="Q20" i="2"/>
  <c r="C20" i="1"/>
  <c r="P20" i="2"/>
  <c r="O20" i="2"/>
  <c r="L20" i="2"/>
  <c r="K20" i="2"/>
  <c r="D19" i="1"/>
  <c r="Q19" i="2"/>
  <c r="C19" i="1"/>
  <c r="P19" i="2"/>
  <c r="O19" i="2"/>
  <c r="L19" i="2"/>
  <c r="K19" i="2"/>
  <c r="D18" i="1"/>
  <c r="Q18" i="2"/>
  <c r="C18" i="1"/>
  <c r="P18" i="2"/>
  <c r="O18" i="2"/>
  <c r="L18" i="2"/>
  <c r="K18" i="2"/>
  <c r="D17" i="1"/>
  <c r="Q17" i="2"/>
  <c r="C17" i="1"/>
  <c r="P17" i="2"/>
  <c r="O17" i="2"/>
  <c r="L17" i="2"/>
  <c r="K17" i="2"/>
  <c r="D16" i="1"/>
  <c r="Q16" i="2"/>
  <c r="C16" i="1"/>
  <c r="P16" i="2"/>
  <c r="O16" i="2"/>
  <c r="L16" i="2"/>
  <c r="K16" i="2"/>
  <c r="D15" i="1"/>
  <c r="Q15" i="2"/>
  <c r="C15" i="1"/>
  <c r="P15" i="2"/>
  <c r="O15" i="2"/>
  <c r="L15" i="2"/>
  <c r="K15" i="2"/>
  <c r="D14" i="1"/>
  <c r="Q14" i="2"/>
  <c r="C14" i="1"/>
  <c r="P14" i="2"/>
  <c r="O14" i="2"/>
  <c r="L14" i="2"/>
  <c r="K14" i="2"/>
  <c r="D13" i="1"/>
  <c r="Q13" i="2"/>
  <c r="C13" i="1"/>
  <c r="P13" i="2"/>
  <c r="O13" i="2"/>
  <c r="L13" i="2"/>
  <c r="K13" i="2"/>
  <c r="D12" i="1"/>
  <c r="Q12" i="2"/>
  <c r="C12" i="1"/>
  <c r="P12" i="2"/>
  <c r="O12" i="2"/>
  <c r="L12" i="2"/>
  <c r="K12" i="2"/>
  <c r="D11" i="1"/>
  <c r="Q11" i="2"/>
  <c r="C11" i="1"/>
  <c r="P11" i="2"/>
  <c r="O11" i="2"/>
  <c r="L11" i="2"/>
  <c r="K11" i="2"/>
  <c r="D10" i="1"/>
  <c r="Q10" i="2"/>
  <c r="C10" i="1"/>
  <c r="P10" i="2"/>
  <c r="O10" i="2"/>
  <c r="L10" i="2"/>
  <c r="K10" i="2"/>
  <c r="D9" i="1"/>
  <c r="Q9" i="2"/>
  <c r="C9" i="1"/>
  <c r="P9" i="2"/>
  <c r="O9" i="2"/>
  <c r="L9" i="2"/>
  <c r="K9" i="2"/>
  <c r="D8" i="1"/>
  <c r="Q8" i="2"/>
  <c r="C8" i="1"/>
  <c r="P8" i="2"/>
  <c r="O8" i="2"/>
  <c r="L8" i="2"/>
  <c r="K8" i="2"/>
  <c r="D7" i="1"/>
  <c r="Q7" i="2"/>
  <c r="C7" i="1"/>
  <c r="P7" i="2"/>
  <c r="O7" i="2"/>
  <c r="L7" i="2"/>
  <c r="K7" i="2"/>
  <c r="D6" i="1"/>
  <c r="Q6" i="2"/>
  <c r="C6" i="1"/>
  <c r="P6" i="2"/>
  <c r="O6" i="2"/>
  <c r="L6" i="2"/>
  <c r="K6" i="2"/>
  <c r="D5" i="1"/>
  <c r="Q5" i="2"/>
  <c r="C5" i="1"/>
  <c r="P5" i="2"/>
  <c r="O5" i="2"/>
  <c r="L5" i="2"/>
  <c r="K5" i="2"/>
  <c r="D4" i="1"/>
  <c r="Q4" i="2"/>
  <c r="C4" i="1"/>
  <c r="P4" i="2"/>
  <c r="O4" i="2"/>
  <c r="L4" i="2"/>
  <c r="K4" i="2"/>
  <c r="D3" i="1"/>
  <c r="Q3" i="2"/>
  <c r="C3" i="1"/>
  <c r="P3" i="2"/>
  <c r="O3" i="2"/>
  <c r="L3" i="2"/>
  <c r="K3" i="2"/>
  <c r="D2" i="1"/>
  <c r="Q2" i="2"/>
  <c r="C2" i="1"/>
  <c r="P2" i="2"/>
  <c r="O2" i="2"/>
  <c r="M2" i="2" a="1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L2" i="2"/>
  <c r="K2" i="2"/>
  <c r="J2" i="2" a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2" i="2"/>
  <c r="I2" i="2" a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2" i="2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H2" i="2" a="1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O1003" i="2" a="1"/>
  <c r="O1003" i="2"/>
  <c r="P1003" i="2" a="1"/>
  <c r="P1003" i="2"/>
  <c r="Q1003" i="2" a="1"/>
  <c r="Q1003" i="2"/>
  <c r="O1005" i="2" a="1"/>
  <c r="P1005" i="2"/>
  <c r="Q1005" i="2"/>
  <c r="O1005" i="2"/>
  <c r="O1006" i="2" a="1"/>
  <c r="O1006" i="2"/>
  <c r="P1006" i="2"/>
  <c r="Q1006" i="2"/>
  <c r="D1001" i="2"/>
  <c r="C1001" i="2"/>
  <c r="B1001" i="2"/>
  <c r="A1001" i="2"/>
  <c r="D1000" i="2"/>
  <c r="C1000" i="2"/>
  <c r="B1000" i="2"/>
  <c r="A1000" i="2"/>
  <c r="D999" i="2"/>
  <c r="C999" i="2"/>
  <c r="B999" i="2"/>
  <c r="A999" i="2"/>
  <c r="D998" i="2"/>
  <c r="C998" i="2"/>
  <c r="B998" i="2"/>
  <c r="A998" i="2"/>
  <c r="D997" i="2"/>
  <c r="C997" i="2"/>
  <c r="B997" i="2"/>
  <c r="A997" i="2"/>
  <c r="D996" i="2"/>
  <c r="C996" i="2"/>
  <c r="B996" i="2"/>
  <c r="A996" i="2"/>
  <c r="D995" i="2"/>
  <c r="C995" i="2"/>
  <c r="B995" i="2"/>
  <c r="A995" i="2"/>
  <c r="D994" i="2"/>
  <c r="C994" i="2"/>
  <c r="B994" i="2"/>
  <c r="A994" i="2"/>
  <c r="D993" i="2"/>
  <c r="C993" i="2"/>
  <c r="B993" i="2"/>
  <c r="A993" i="2"/>
  <c r="D992" i="2"/>
  <c r="C992" i="2"/>
  <c r="B992" i="2"/>
  <c r="A992" i="2"/>
  <c r="D991" i="2"/>
  <c r="C991" i="2"/>
  <c r="B991" i="2"/>
  <c r="A991" i="2"/>
  <c r="D990" i="2"/>
  <c r="C990" i="2"/>
  <c r="B990" i="2"/>
  <c r="A990" i="2"/>
  <c r="D989" i="2"/>
  <c r="C989" i="2"/>
  <c r="B989" i="2"/>
  <c r="A989" i="2"/>
  <c r="D988" i="2"/>
  <c r="C988" i="2"/>
  <c r="B988" i="2"/>
  <c r="A988" i="2"/>
  <c r="D987" i="2"/>
  <c r="C987" i="2"/>
  <c r="B987" i="2"/>
  <c r="A987" i="2"/>
  <c r="D986" i="2"/>
  <c r="C986" i="2"/>
  <c r="B986" i="2"/>
  <c r="A986" i="2"/>
  <c r="D985" i="2"/>
  <c r="C985" i="2"/>
  <c r="B985" i="2"/>
  <c r="A985" i="2"/>
  <c r="D984" i="2"/>
  <c r="C984" i="2"/>
  <c r="B984" i="2"/>
  <c r="A984" i="2"/>
  <c r="D983" i="2"/>
  <c r="C983" i="2"/>
  <c r="B983" i="2"/>
  <c r="A983" i="2"/>
  <c r="D982" i="2"/>
  <c r="C982" i="2"/>
  <c r="B982" i="2"/>
  <c r="A982" i="2"/>
  <c r="D981" i="2"/>
  <c r="C981" i="2"/>
  <c r="B981" i="2"/>
  <c r="A981" i="2"/>
  <c r="D980" i="2"/>
  <c r="C980" i="2"/>
  <c r="B980" i="2"/>
  <c r="A980" i="2"/>
  <c r="D979" i="2"/>
  <c r="C979" i="2"/>
  <c r="B979" i="2"/>
  <c r="A979" i="2"/>
  <c r="D978" i="2"/>
  <c r="C978" i="2"/>
  <c r="B978" i="2"/>
  <c r="A978" i="2"/>
  <c r="D977" i="2"/>
  <c r="C977" i="2"/>
  <c r="B977" i="2"/>
  <c r="A977" i="2"/>
  <c r="D976" i="2"/>
  <c r="C976" i="2"/>
  <c r="B976" i="2"/>
  <c r="A976" i="2"/>
  <c r="D975" i="2"/>
  <c r="C975" i="2"/>
  <c r="B975" i="2"/>
  <c r="A975" i="2"/>
  <c r="D974" i="2"/>
  <c r="C974" i="2"/>
  <c r="B974" i="2"/>
  <c r="A974" i="2"/>
  <c r="D973" i="2"/>
  <c r="C973" i="2"/>
  <c r="B973" i="2"/>
  <c r="A973" i="2"/>
  <c r="D972" i="2"/>
  <c r="C972" i="2"/>
  <c r="B972" i="2"/>
  <c r="A972" i="2"/>
  <c r="D971" i="2"/>
  <c r="C971" i="2"/>
  <c r="B971" i="2"/>
  <c r="A971" i="2"/>
  <c r="D970" i="2"/>
  <c r="C970" i="2"/>
  <c r="B970" i="2"/>
  <c r="A970" i="2"/>
  <c r="D969" i="2"/>
  <c r="C969" i="2"/>
  <c r="B969" i="2"/>
  <c r="A969" i="2"/>
  <c r="D968" i="2"/>
  <c r="C968" i="2"/>
  <c r="B968" i="2"/>
  <c r="A968" i="2"/>
  <c r="D967" i="2"/>
  <c r="C967" i="2"/>
  <c r="B967" i="2"/>
  <c r="A967" i="2"/>
  <c r="D966" i="2"/>
  <c r="C966" i="2"/>
  <c r="B966" i="2"/>
  <c r="A966" i="2"/>
  <c r="D965" i="2"/>
  <c r="C965" i="2"/>
  <c r="B965" i="2"/>
  <c r="A965" i="2"/>
  <c r="D964" i="2"/>
  <c r="C964" i="2"/>
  <c r="B964" i="2"/>
  <c r="A964" i="2"/>
  <c r="D963" i="2"/>
  <c r="C963" i="2"/>
  <c r="B963" i="2"/>
  <c r="A963" i="2"/>
  <c r="D962" i="2"/>
  <c r="C962" i="2"/>
  <c r="B962" i="2"/>
  <c r="A962" i="2"/>
  <c r="D961" i="2"/>
  <c r="C961" i="2"/>
  <c r="B961" i="2"/>
  <c r="A961" i="2"/>
  <c r="D960" i="2"/>
  <c r="C960" i="2"/>
  <c r="B960" i="2"/>
  <c r="A960" i="2"/>
  <c r="D959" i="2"/>
  <c r="C959" i="2"/>
  <c r="B959" i="2"/>
  <c r="A959" i="2"/>
  <c r="D958" i="2"/>
  <c r="C958" i="2"/>
  <c r="B958" i="2"/>
  <c r="A958" i="2"/>
  <c r="D957" i="2"/>
  <c r="C957" i="2"/>
  <c r="B957" i="2"/>
  <c r="A957" i="2"/>
  <c r="D956" i="2"/>
  <c r="C956" i="2"/>
  <c r="B956" i="2"/>
  <c r="A956" i="2"/>
  <c r="D955" i="2"/>
  <c r="C955" i="2"/>
  <c r="B955" i="2"/>
  <c r="A955" i="2"/>
  <c r="D954" i="2"/>
  <c r="C954" i="2"/>
  <c r="B954" i="2"/>
  <c r="A954" i="2"/>
  <c r="D953" i="2"/>
  <c r="C953" i="2"/>
  <c r="B953" i="2"/>
  <c r="A953" i="2"/>
  <c r="D952" i="2"/>
  <c r="C952" i="2"/>
  <c r="B952" i="2"/>
  <c r="A952" i="2"/>
  <c r="D951" i="2"/>
  <c r="C951" i="2"/>
  <c r="B951" i="2"/>
  <c r="A951" i="2"/>
  <c r="D950" i="2"/>
  <c r="C950" i="2"/>
  <c r="B950" i="2"/>
  <c r="A950" i="2"/>
  <c r="D949" i="2"/>
  <c r="C949" i="2"/>
  <c r="B949" i="2"/>
  <c r="A949" i="2"/>
  <c r="D948" i="2"/>
  <c r="C948" i="2"/>
  <c r="B948" i="2"/>
  <c r="A948" i="2"/>
  <c r="D947" i="2"/>
  <c r="C947" i="2"/>
  <c r="B947" i="2"/>
  <c r="A947" i="2"/>
  <c r="D946" i="2"/>
  <c r="C946" i="2"/>
  <c r="B946" i="2"/>
  <c r="A946" i="2"/>
  <c r="D945" i="2"/>
  <c r="C945" i="2"/>
  <c r="B945" i="2"/>
  <c r="A945" i="2"/>
  <c r="D944" i="2"/>
  <c r="C944" i="2"/>
  <c r="B944" i="2"/>
  <c r="A944" i="2"/>
  <c r="D943" i="2"/>
  <c r="C943" i="2"/>
  <c r="B943" i="2"/>
  <c r="A943" i="2"/>
  <c r="D942" i="2"/>
  <c r="C942" i="2"/>
  <c r="B942" i="2"/>
  <c r="A942" i="2"/>
  <c r="D941" i="2"/>
  <c r="C941" i="2"/>
  <c r="B941" i="2"/>
  <c r="A941" i="2"/>
  <c r="D940" i="2"/>
  <c r="C940" i="2"/>
  <c r="B940" i="2"/>
  <c r="A940" i="2"/>
  <c r="D939" i="2"/>
  <c r="C939" i="2"/>
  <c r="B939" i="2"/>
  <c r="A939" i="2"/>
  <c r="D938" i="2"/>
  <c r="C938" i="2"/>
  <c r="B938" i="2"/>
  <c r="A938" i="2"/>
  <c r="D937" i="2"/>
  <c r="C937" i="2"/>
  <c r="B937" i="2"/>
  <c r="A937" i="2"/>
  <c r="D936" i="2"/>
  <c r="C936" i="2"/>
  <c r="B936" i="2"/>
  <c r="A936" i="2"/>
  <c r="D935" i="2"/>
  <c r="C935" i="2"/>
  <c r="B935" i="2"/>
  <c r="A935" i="2"/>
  <c r="D934" i="2"/>
  <c r="C934" i="2"/>
  <c r="B934" i="2"/>
  <c r="A934" i="2"/>
  <c r="D933" i="2"/>
  <c r="C933" i="2"/>
  <c r="B933" i="2"/>
  <c r="A933" i="2"/>
  <c r="D932" i="2"/>
  <c r="C932" i="2"/>
  <c r="B932" i="2"/>
  <c r="A932" i="2"/>
  <c r="D931" i="2"/>
  <c r="C931" i="2"/>
  <c r="B931" i="2"/>
  <c r="A931" i="2"/>
  <c r="D930" i="2"/>
  <c r="C930" i="2"/>
  <c r="B930" i="2"/>
  <c r="A930" i="2"/>
  <c r="D929" i="2"/>
  <c r="C929" i="2"/>
  <c r="B929" i="2"/>
  <c r="A929" i="2"/>
  <c r="D928" i="2"/>
  <c r="C928" i="2"/>
  <c r="B928" i="2"/>
  <c r="A928" i="2"/>
  <c r="D927" i="2"/>
  <c r="C927" i="2"/>
  <c r="B927" i="2"/>
  <c r="A927" i="2"/>
  <c r="D926" i="2"/>
  <c r="C926" i="2"/>
  <c r="B926" i="2"/>
  <c r="A926" i="2"/>
  <c r="D925" i="2"/>
  <c r="C925" i="2"/>
  <c r="B925" i="2"/>
  <c r="A925" i="2"/>
  <c r="D924" i="2"/>
  <c r="C924" i="2"/>
  <c r="B924" i="2"/>
  <c r="A924" i="2"/>
  <c r="D923" i="2"/>
  <c r="C923" i="2"/>
  <c r="B923" i="2"/>
  <c r="A923" i="2"/>
  <c r="D922" i="2"/>
  <c r="C922" i="2"/>
  <c r="B922" i="2"/>
  <c r="A922" i="2"/>
  <c r="D921" i="2"/>
  <c r="C921" i="2"/>
  <c r="B921" i="2"/>
  <c r="A921" i="2"/>
  <c r="D920" i="2"/>
  <c r="C920" i="2"/>
  <c r="B920" i="2"/>
  <c r="A920" i="2"/>
  <c r="D919" i="2"/>
  <c r="C919" i="2"/>
  <c r="B919" i="2"/>
  <c r="A919" i="2"/>
  <c r="D918" i="2"/>
  <c r="C918" i="2"/>
  <c r="B918" i="2"/>
  <c r="A918" i="2"/>
  <c r="D917" i="2"/>
  <c r="C917" i="2"/>
  <c r="B917" i="2"/>
  <c r="A917" i="2"/>
  <c r="D916" i="2"/>
  <c r="C916" i="2"/>
  <c r="B916" i="2"/>
  <c r="A916" i="2"/>
  <c r="D915" i="2"/>
  <c r="C915" i="2"/>
  <c r="B915" i="2"/>
  <c r="A915" i="2"/>
  <c r="D914" i="2"/>
  <c r="C914" i="2"/>
  <c r="B914" i="2"/>
  <c r="A914" i="2"/>
  <c r="D913" i="2"/>
  <c r="C913" i="2"/>
  <c r="B913" i="2"/>
  <c r="A913" i="2"/>
  <c r="D912" i="2"/>
  <c r="C912" i="2"/>
  <c r="B912" i="2"/>
  <c r="A912" i="2"/>
  <c r="D911" i="2"/>
  <c r="C911" i="2"/>
  <c r="B911" i="2"/>
  <c r="A911" i="2"/>
  <c r="D910" i="2"/>
  <c r="C910" i="2"/>
  <c r="B910" i="2"/>
  <c r="A910" i="2"/>
  <c r="D909" i="2"/>
  <c r="C909" i="2"/>
  <c r="B909" i="2"/>
  <c r="A909" i="2"/>
  <c r="D908" i="2"/>
  <c r="C908" i="2"/>
  <c r="B908" i="2"/>
  <c r="A908" i="2"/>
  <c r="D907" i="2"/>
  <c r="C907" i="2"/>
  <c r="B907" i="2"/>
  <c r="A907" i="2"/>
  <c r="D906" i="2"/>
  <c r="C906" i="2"/>
  <c r="B906" i="2"/>
  <c r="A906" i="2"/>
  <c r="D905" i="2"/>
  <c r="C905" i="2"/>
  <c r="B905" i="2"/>
  <c r="A905" i="2"/>
  <c r="D904" i="2"/>
  <c r="C904" i="2"/>
  <c r="B904" i="2"/>
  <c r="A904" i="2"/>
  <c r="D903" i="2"/>
  <c r="C903" i="2"/>
  <c r="B903" i="2"/>
  <c r="A903" i="2"/>
  <c r="D902" i="2"/>
  <c r="C902" i="2"/>
  <c r="B902" i="2"/>
  <c r="A902" i="2"/>
  <c r="D901" i="2"/>
  <c r="C901" i="2"/>
  <c r="B901" i="2"/>
  <c r="A901" i="2"/>
  <c r="D900" i="2"/>
  <c r="C900" i="2"/>
  <c r="B900" i="2"/>
  <c r="A900" i="2"/>
  <c r="D899" i="2"/>
  <c r="C899" i="2"/>
  <c r="B899" i="2"/>
  <c r="A899" i="2"/>
  <c r="D898" i="2"/>
  <c r="C898" i="2"/>
  <c r="B898" i="2"/>
  <c r="A898" i="2"/>
  <c r="D897" i="2"/>
  <c r="C897" i="2"/>
  <c r="B897" i="2"/>
  <c r="A897" i="2"/>
  <c r="D896" i="2"/>
  <c r="C896" i="2"/>
  <c r="B896" i="2"/>
  <c r="A896" i="2"/>
  <c r="D895" i="2"/>
  <c r="C895" i="2"/>
  <c r="B895" i="2"/>
  <c r="A895" i="2"/>
  <c r="D894" i="2"/>
  <c r="C894" i="2"/>
  <c r="B894" i="2"/>
  <c r="A894" i="2"/>
  <c r="D893" i="2"/>
  <c r="C893" i="2"/>
  <c r="B893" i="2"/>
  <c r="A893" i="2"/>
  <c r="D892" i="2"/>
  <c r="C892" i="2"/>
  <c r="B892" i="2"/>
  <c r="A892" i="2"/>
  <c r="D891" i="2"/>
  <c r="C891" i="2"/>
  <c r="B891" i="2"/>
  <c r="A891" i="2"/>
  <c r="D890" i="2"/>
  <c r="C890" i="2"/>
  <c r="B890" i="2"/>
  <c r="A890" i="2"/>
  <c r="D889" i="2"/>
  <c r="C889" i="2"/>
  <c r="B889" i="2"/>
  <c r="A889" i="2"/>
  <c r="D888" i="2"/>
  <c r="C888" i="2"/>
  <c r="B888" i="2"/>
  <c r="A888" i="2"/>
  <c r="D887" i="2"/>
  <c r="C887" i="2"/>
  <c r="B887" i="2"/>
  <c r="A887" i="2"/>
  <c r="D886" i="2"/>
  <c r="C886" i="2"/>
  <c r="B886" i="2"/>
  <c r="A886" i="2"/>
  <c r="D885" i="2"/>
  <c r="C885" i="2"/>
  <c r="B885" i="2"/>
  <c r="A885" i="2"/>
  <c r="D884" i="2"/>
  <c r="C884" i="2"/>
  <c r="B884" i="2"/>
  <c r="A884" i="2"/>
  <c r="D883" i="2"/>
  <c r="C883" i="2"/>
  <c r="B883" i="2"/>
  <c r="A883" i="2"/>
  <c r="D882" i="2"/>
  <c r="C882" i="2"/>
  <c r="B882" i="2"/>
  <c r="A882" i="2"/>
  <c r="D881" i="2"/>
  <c r="C881" i="2"/>
  <c r="B881" i="2"/>
  <c r="A881" i="2"/>
  <c r="D880" i="2"/>
  <c r="C880" i="2"/>
  <c r="B880" i="2"/>
  <c r="A880" i="2"/>
  <c r="D879" i="2"/>
  <c r="C879" i="2"/>
  <c r="B879" i="2"/>
  <c r="A879" i="2"/>
  <c r="D878" i="2"/>
  <c r="C878" i="2"/>
  <c r="B878" i="2"/>
  <c r="A878" i="2"/>
  <c r="D877" i="2"/>
  <c r="C877" i="2"/>
  <c r="B877" i="2"/>
  <c r="A877" i="2"/>
  <c r="D876" i="2"/>
  <c r="C876" i="2"/>
  <c r="B876" i="2"/>
  <c r="A876" i="2"/>
  <c r="D875" i="2"/>
  <c r="C875" i="2"/>
  <c r="B875" i="2"/>
  <c r="A875" i="2"/>
  <c r="D874" i="2"/>
  <c r="C874" i="2"/>
  <c r="B874" i="2"/>
  <c r="A874" i="2"/>
  <c r="D873" i="2"/>
  <c r="C873" i="2"/>
  <c r="B873" i="2"/>
  <c r="A873" i="2"/>
  <c r="D872" i="2"/>
  <c r="C872" i="2"/>
  <c r="B872" i="2"/>
  <c r="A872" i="2"/>
  <c r="D871" i="2"/>
  <c r="C871" i="2"/>
  <c r="B871" i="2"/>
  <c r="A871" i="2"/>
  <c r="D870" i="2"/>
  <c r="C870" i="2"/>
  <c r="B870" i="2"/>
  <c r="A870" i="2"/>
  <c r="D869" i="2"/>
  <c r="C869" i="2"/>
  <c r="B869" i="2"/>
  <c r="A869" i="2"/>
  <c r="D868" i="2"/>
  <c r="C868" i="2"/>
  <c r="B868" i="2"/>
  <c r="A868" i="2"/>
  <c r="D867" i="2"/>
  <c r="C867" i="2"/>
  <c r="B867" i="2"/>
  <c r="A867" i="2"/>
  <c r="D866" i="2"/>
  <c r="C866" i="2"/>
  <c r="B866" i="2"/>
  <c r="A866" i="2"/>
  <c r="D865" i="2"/>
  <c r="C865" i="2"/>
  <c r="B865" i="2"/>
  <c r="A865" i="2"/>
  <c r="D864" i="2"/>
  <c r="C864" i="2"/>
  <c r="B864" i="2"/>
  <c r="A864" i="2"/>
  <c r="D863" i="2"/>
  <c r="C863" i="2"/>
  <c r="B863" i="2"/>
  <c r="A863" i="2"/>
  <c r="D862" i="2"/>
  <c r="C862" i="2"/>
  <c r="B862" i="2"/>
  <c r="A862" i="2"/>
  <c r="D861" i="2"/>
  <c r="C861" i="2"/>
  <c r="B861" i="2"/>
  <c r="A861" i="2"/>
  <c r="D860" i="2"/>
  <c r="C860" i="2"/>
  <c r="B860" i="2"/>
  <c r="A860" i="2"/>
  <c r="D859" i="2"/>
  <c r="C859" i="2"/>
  <c r="B859" i="2"/>
  <c r="A859" i="2"/>
  <c r="D858" i="2"/>
  <c r="C858" i="2"/>
  <c r="B858" i="2"/>
  <c r="A858" i="2"/>
  <c r="D857" i="2"/>
  <c r="C857" i="2"/>
  <c r="B857" i="2"/>
  <c r="A857" i="2"/>
  <c r="D856" i="2"/>
  <c r="C856" i="2"/>
  <c r="B856" i="2"/>
  <c r="A856" i="2"/>
  <c r="D855" i="2"/>
  <c r="C855" i="2"/>
  <c r="B855" i="2"/>
  <c r="A855" i="2"/>
  <c r="D854" i="2"/>
  <c r="C854" i="2"/>
  <c r="B854" i="2"/>
  <c r="A854" i="2"/>
  <c r="D853" i="2"/>
  <c r="C853" i="2"/>
  <c r="B853" i="2"/>
  <c r="A853" i="2"/>
  <c r="D852" i="2"/>
  <c r="C852" i="2"/>
  <c r="B852" i="2"/>
  <c r="A852" i="2"/>
  <c r="D851" i="2"/>
  <c r="C851" i="2"/>
  <c r="B851" i="2"/>
  <c r="A851" i="2"/>
  <c r="D850" i="2"/>
  <c r="C850" i="2"/>
  <c r="B850" i="2"/>
  <c r="A850" i="2"/>
  <c r="D849" i="2"/>
  <c r="C849" i="2"/>
  <c r="B849" i="2"/>
  <c r="A849" i="2"/>
  <c r="D848" i="2"/>
  <c r="C848" i="2"/>
  <c r="B848" i="2"/>
  <c r="A848" i="2"/>
  <c r="D847" i="2"/>
  <c r="C847" i="2"/>
  <c r="B847" i="2"/>
  <c r="A847" i="2"/>
  <c r="D846" i="2"/>
  <c r="C846" i="2"/>
  <c r="B846" i="2"/>
  <c r="A846" i="2"/>
  <c r="D845" i="2"/>
  <c r="C845" i="2"/>
  <c r="B845" i="2"/>
  <c r="A845" i="2"/>
  <c r="D844" i="2"/>
  <c r="C844" i="2"/>
  <c r="B844" i="2"/>
  <c r="A844" i="2"/>
  <c r="D843" i="2"/>
  <c r="C843" i="2"/>
  <c r="B843" i="2"/>
  <c r="A843" i="2"/>
  <c r="D842" i="2"/>
  <c r="C842" i="2"/>
  <c r="B842" i="2"/>
  <c r="A842" i="2"/>
  <c r="D841" i="2"/>
  <c r="C841" i="2"/>
  <c r="B841" i="2"/>
  <c r="A841" i="2"/>
  <c r="D840" i="2"/>
  <c r="C840" i="2"/>
  <c r="B840" i="2"/>
  <c r="A840" i="2"/>
  <c r="D839" i="2"/>
  <c r="C839" i="2"/>
  <c r="B839" i="2"/>
  <c r="A839" i="2"/>
  <c r="D838" i="2"/>
  <c r="C838" i="2"/>
  <c r="B838" i="2"/>
  <c r="A838" i="2"/>
  <c r="D837" i="2"/>
  <c r="C837" i="2"/>
  <c r="B837" i="2"/>
  <c r="A837" i="2"/>
  <c r="D836" i="2"/>
  <c r="C836" i="2"/>
  <c r="B836" i="2"/>
  <c r="A836" i="2"/>
  <c r="D835" i="2"/>
  <c r="C835" i="2"/>
  <c r="B835" i="2"/>
  <c r="A835" i="2"/>
  <c r="D834" i="2"/>
  <c r="C834" i="2"/>
  <c r="B834" i="2"/>
  <c r="A834" i="2"/>
  <c r="D833" i="2"/>
  <c r="C833" i="2"/>
  <c r="B833" i="2"/>
  <c r="A833" i="2"/>
  <c r="D832" i="2"/>
  <c r="C832" i="2"/>
  <c r="B832" i="2"/>
  <c r="A832" i="2"/>
  <c r="D831" i="2"/>
  <c r="C831" i="2"/>
  <c r="B831" i="2"/>
  <c r="A831" i="2"/>
  <c r="D830" i="2"/>
  <c r="C830" i="2"/>
  <c r="B830" i="2"/>
  <c r="A830" i="2"/>
  <c r="D829" i="2"/>
  <c r="C829" i="2"/>
  <c r="B829" i="2"/>
  <c r="A829" i="2"/>
  <c r="D828" i="2"/>
  <c r="C828" i="2"/>
  <c r="B828" i="2"/>
  <c r="A828" i="2"/>
  <c r="D827" i="2"/>
  <c r="C827" i="2"/>
  <c r="B827" i="2"/>
  <c r="A827" i="2"/>
  <c r="D826" i="2"/>
  <c r="C826" i="2"/>
  <c r="B826" i="2"/>
  <c r="A826" i="2"/>
  <c r="D825" i="2"/>
  <c r="C825" i="2"/>
  <c r="B825" i="2"/>
  <c r="A825" i="2"/>
  <c r="D824" i="2"/>
  <c r="C824" i="2"/>
  <c r="B824" i="2"/>
  <c r="A824" i="2"/>
  <c r="D823" i="2"/>
  <c r="C823" i="2"/>
  <c r="B823" i="2"/>
  <c r="A823" i="2"/>
  <c r="D822" i="2"/>
  <c r="C822" i="2"/>
  <c r="B822" i="2"/>
  <c r="A822" i="2"/>
  <c r="D821" i="2"/>
  <c r="C821" i="2"/>
  <c r="B821" i="2"/>
  <c r="A821" i="2"/>
  <c r="D820" i="2"/>
  <c r="C820" i="2"/>
  <c r="B820" i="2"/>
  <c r="A820" i="2"/>
  <c r="D819" i="2"/>
  <c r="C819" i="2"/>
  <c r="B819" i="2"/>
  <c r="A819" i="2"/>
  <c r="D818" i="2"/>
  <c r="C818" i="2"/>
  <c r="B818" i="2"/>
  <c r="A818" i="2"/>
  <c r="D817" i="2"/>
  <c r="C817" i="2"/>
  <c r="B817" i="2"/>
  <c r="A817" i="2"/>
  <c r="D816" i="2"/>
  <c r="C816" i="2"/>
  <c r="B816" i="2"/>
  <c r="A816" i="2"/>
  <c r="D815" i="2"/>
  <c r="C815" i="2"/>
  <c r="B815" i="2"/>
  <c r="A815" i="2"/>
  <c r="D814" i="2"/>
  <c r="C814" i="2"/>
  <c r="B814" i="2"/>
  <c r="A814" i="2"/>
  <c r="D813" i="2"/>
  <c r="C813" i="2"/>
  <c r="B813" i="2"/>
  <c r="A813" i="2"/>
  <c r="D812" i="2"/>
  <c r="C812" i="2"/>
  <c r="B812" i="2"/>
  <c r="A812" i="2"/>
  <c r="D811" i="2"/>
  <c r="C811" i="2"/>
  <c r="B811" i="2"/>
  <c r="A811" i="2"/>
  <c r="D810" i="2"/>
  <c r="C810" i="2"/>
  <c r="B810" i="2"/>
  <c r="A810" i="2"/>
  <c r="D809" i="2"/>
  <c r="C809" i="2"/>
  <c r="B809" i="2"/>
  <c r="A809" i="2"/>
  <c r="D808" i="2"/>
  <c r="C808" i="2"/>
  <c r="B808" i="2"/>
  <c r="A808" i="2"/>
  <c r="D807" i="2"/>
  <c r="C807" i="2"/>
  <c r="B807" i="2"/>
  <c r="A807" i="2"/>
  <c r="D806" i="2"/>
  <c r="C806" i="2"/>
  <c r="B806" i="2"/>
  <c r="A806" i="2"/>
  <c r="D805" i="2"/>
  <c r="C805" i="2"/>
  <c r="B805" i="2"/>
  <c r="A805" i="2"/>
  <c r="D804" i="2"/>
  <c r="C804" i="2"/>
  <c r="B804" i="2"/>
  <c r="A804" i="2"/>
  <c r="D803" i="2"/>
  <c r="C803" i="2"/>
  <c r="B803" i="2"/>
  <c r="A803" i="2"/>
  <c r="D802" i="2"/>
  <c r="C802" i="2"/>
  <c r="B802" i="2"/>
  <c r="A802" i="2"/>
  <c r="D801" i="2"/>
  <c r="C801" i="2"/>
  <c r="B801" i="2"/>
  <c r="A801" i="2"/>
  <c r="D800" i="2"/>
  <c r="C800" i="2"/>
  <c r="B800" i="2"/>
  <c r="A800" i="2"/>
  <c r="D799" i="2"/>
  <c r="C799" i="2"/>
  <c r="B799" i="2"/>
  <c r="A799" i="2"/>
  <c r="D798" i="2"/>
  <c r="C798" i="2"/>
  <c r="B798" i="2"/>
  <c r="A798" i="2"/>
  <c r="D797" i="2"/>
  <c r="C797" i="2"/>
  <c r="B797" i="2"/>
  <c r="A797" i="2"/>
  <c r="D796" i="2"/>
  <c r="C796" i="2"/>
  <c r="B796" i="2"/>
  <c r="A796" i="2"/>
  <c r="D795" i="2"/>
  <c r="C795" i="2"/>
  <c r="B795" i="2"/>
  <c r="A795" i="2"/>
  <c r="D794" i="2"/>
  <c r="C794" i="2"/>
  <c r="B794" i="2"/>
  <c r="A794" i="2"/>
  <c r="D793" i="2"/>
  <c r="C793" i="2"/>
  <c r="B793" i="2"/>
  <c r="A793" i="2"/>
  <c r="D792" i="2"/>
  <c r="C792" i="2"/>
  <c r="B792" i="2"/>
  <c r="A792" i="2"/>
  <c r="D791" i="2"/>
  <c r="C791" i="2"/>
  <c r="B791" i="2"/>
  <c r="A791" i="2"/>
  <c r="D790" i="2"/>
  <c r="C790" i="2"/>
  <c r="B790" i="2"/>
  <c r="A790" i="2"/>
  <c r="D789" i="2"/>
  <c r="C789" i="2"/>
  <c r="B789" i="2"/>
  <c r="A789" i="2"/>
  <c r="D788" i="2"/>
  <c r="C788" i="2"/>
  <c r="B788" i="2"/>
  <c r="A788" i="2"/>
  <c r="D787" i="2"/>
  <c r="C787" i="2"/>
  <c r="B787" i="2"/>
  <c r="A787" i="2"/>
  <c r="D786" i="2"/>
  <c r="C786" i="2"/>
  <c r="B786" i="2"/>
  <c r="A786" i="2"/>
  <c r="D785" i="2"/>
  <c r="C785" i="2"/>
  <c r="B785" i="2"/>
  <c r="A785" i="2"/>
  <c r="D784" i="2"/>
  <c r="C784" i="2"/>
  <c r="B784" i="2"/>
  <c r="A784" i="2"/>
  <c r="D783" i="2"/>
  <c r="C783" i="2"/>
  <c r="B783" i="2"/>
  <c r="A783" i="2"/>
  <c r="D782" i="2"/>
  <c r="C782" i="2"/>
  <c r="B782" i="2"/>
  <c r="A782" i="2"/>
  <c r="D781" i="2"/>
  <c r="C781" i="2"/>
  <c r="B781" i="2"/>
  <c r="A781" i="2"/>
  <c r="D780" i="2"/>
  <c r="C780" i="2"/>
  <c r="B780" i="2"/>
  <c r="A780" i="2"/>
  <c r="D779" i="2"/>
  <c r="C779" i="2"/>
  <c r="B779" i="2"/>
  <c r="A779" i="2"/>
  <c r="D778" i="2"/>
  <c r="C778" i="2"/>
  <c r="B778" i="2"/>
  <c r="A778" i="2"/>
  <c r="D777" i="2"/>
  <c r="C777" i="2"/>
  <c r="B777" i="2"/>
  <c r="A777" i="2"/>
  <c r="D776" i="2"/>
  <c r="C776" i="2"/>
  <c r="B776" i="2"/>
  <c r="A776" i="2"/>
  <c r="D775" i="2"/>
  <c r="C775" i="2"/>
  <c r="B775" i="2"/>
  <c r="A775" i="2"/>
  <c r="D774" i="2"/>
  <c r="C774" i="2"/>
  <c r="B774" i="2"/>
  <c r="A774" i="2"/>
  <c r="D773" i="2"/>
  <c r="C773" i="2"/>
  <c r="B773" i="2"/>
  <c r="A773" i="2"/>
  <c r="D772" i="2"/>
  <c r="C772" i="2"/>
  <c r="B772" i="2"/>
  <c r="A772" i="2"/>
  <c r="D771" i="2"/>
  <c r="C771" i="2"/>
  <c r="B771" i="2"/>
  <c r="A771" i="2"/>
  <c r="D770" i="2"/>
  <c r="C770" i="2"/>
  <c r="B770" i="2"/>
  <c r="A770" i="2"/>
  <c r="D769" i="2"/>
  <c r="C769" i="2"/>
  <c r="B769" i="2"/>
  <c r="A769" i="2"/>
  <c r="D768" i="2"/>
  <c r="C768" i="2"/>
  <c r="B768" i="2"/>
  <c r="A768" i="2"/>
  <c r="D767" i="2"/>
  <c r="C767" i="2"/>
  <c r="B767" i="2"/>
  <c r="A767" i="2"/>
  <c r="D766" i="2"/>
  <c r="C766" i="2"/>
  <c r="B766" i="2"/>
  <c r="A766" i="2"/>
  <c r="D765" i="2"/>
  <c r="C765" i="2"/>
  <c r="B765" i="2"/>
  <c r="A765" i="2"/>
  <c r="D764" i="2"/>
  <c r="C764" i="2"/>
  <c r="B764" i="2"/>
  <c r="A764" i="2"/>
  <c r="D763" i="2"/>
  <c r="C763" i="2"/>
  <c r="B763" i="2"/>
  <c r="A763" i="2"/>
  <c r="D762" i="2"/>
  <c r="C762" i="2"/>
  <c r="B762" i="2"/>
  <c r="A762" i="2"/>
  <c r="D761" i="2"/>
  <c r="C761" i="2"/>
  <c r="B761" i="2"/>
  <c r="A761" i="2"/>
  <c r="D760" i="2"/>
  <c r="C760" i="2"/>
  <c r="B760" i="2"/>
  <c r="A760" i="2"/>
  <c r="D759" i="2"/>
  <c r="C759" i="2"/>
  <c r="B759" i="2"/>
  <c r="A759" i="2"/>
  <c r="D758" i="2"/>
  <c r="C758" i="2"/>
  <c r="B758" i="2"/>
  <c r="A758" i="2"/>
  <c r="D757" i="2"/>
  <c r="C757" i="2"/>
  <c r="B757" i="2"/>
  <c r="A757" i="2"/>
  <c r="D756" i="2"/>
  <c r="C756" i="2"/>
  <c r="B756" i="2"/>
  <c r="A756" i="2"/>
  <c r="D755" i="2"/>
  <c r="C755" i="2"/>
  <c r="B755" i="2"/>
  <c r="A755" i="2"/>
  <c r="D754" i="2"/>
  <c r="C754" i="2"/>
  <c r="B754" i="2"/>
  <c r="A754" i="2"/>
  <c r="D753" i="2"/>
  <c r="C753" i="2"/>
  <c r="B753" i="2"/>
  <c r="A753" i="2"/>
  <c r="D752" i="2"/>
  <c r="C752" i="2"/>
  <c r="B752" i="2"/>
  <c r="A752" i="2"/>
  <c r="D751" i="2"/>
  <c r="C751" i="2"/>
  <c r="B751" i="2"/>
  <c r="A751" i="2"/>
  <c r="D750" i="2"/>
  <c r="C750" i="2"/>
  <c r="B750" i="2"/>
  <c r="A750" i="2"/>
  <c r="D749" i="2"/>
  <c r="C749" i="2"/>
  <c r="B749" i="2"/>
  <c r="A749" i="2"/>
  <c r="D748" i="2"/>
  <c r="C748" i="2"/>
  <c r="B748" i="2"/>
  <c r="A748" i="2"/>
  <c r="D747" i="2"/>
  <c r="C747" i="2"/>
  <c r="B747" i="2"/>
  <c r="A747" i="2"/>
  <c r="D746" i="2"/>
  <c r="C746" i="2"/>
  <c r="B746" i="2"/>
  <c r="A746" i="2"/>
  <c r="D745" i="2"/>
  <c r="C745" i="2"/>
  <c r="B745" i="2"/>
  <c r="A745" i="2"/>
  <c r="D744" i="2"/>
  <c r="C744" i="2"/>
  <c r="B744" i="2"/>
  <c r="A744" i="2"/>
  <c r="D743" i="2"/>
  <c r="C743" i="2"/>
  <c r="B743" i="2"/>
  <c r="A743" i="2"/>
  <c r="D742" i="2"/>
  <c r="C742" i="2"/>
  <c r="B742" i="2"/>
  <c r="A742" i="2"/>
  <c r="D741" i="2"/>
  <c r="C741" i="2"/>
  <c r="B741" i="2"/>
  <c r="A741" i="2"/>
  <c r="D740" i="2"/>
  <c r="C740" i="2"/>
  <c r="B740" i="2"/>
  <c r="A740" i="2"/>
  <c r="D739" i="2"/>
  <c r="C739" i="2"/>
  <c r="B739" i="2"/>
  <c r="A739" i="2"/>
  <c r="D738" i="2"/>
  <c r="C738" i="2"/>
  <c r="B738" i="2"/>
  <c r="A738" i="2"/>
  <c r="D737" i="2"/>
  <c r="C737" i="2"/>
  <c r="B737" i="2"/>
  <c r="A737" i="2"/>
  <c r="D736" i="2"/>
  <c r="C736" i="2"/>
  <c r="B736" i="2"/>
  <c r="A736" i="2"/>
  <c r="D735" i="2"/>
  <c r="C735" i="2"/>
  <c r="B735" i="2"/>
  <c r="A735" i="2"/>
  <c r="D734" i="2"/>
  <c r="C734" i="2"/>
  <c r="B734" i="2"/>
  <c r="A734" i="2"/>
  <c r="D733" i="2"/>
  <c r="C733" i="2"/>
  <c r="B733" i="2"/>
  <c r="A733" i="2"/>
  <c r="D732" i="2"/>
  <c r="C732" i="2"/>
  <c r="B732" i="2"/>
  <c r="A732" i="2"/>
  <c r="D731" i="2"/>
  <c r="C731" i="2"/>
  <c r="B731" i="2"/>
  <c r="A731" i="2"/>
  <c r="D730" i="2"/>
  <c r="C730" i="2"/>
  <c r="B730" i="2"/>
  <c r="A730" i="2"/>
  <c r="D729" i="2"/>
  <c r="C729" i="2"/>
  <c r="B729" i="2"/>
  <c r="A729" i="2"/>
  <c r="D728" i="2"/>
  <c r="C728" i="2"/>
  <c r="B728" i="2"/>
  <c r="A728" i="2"/>
  <c r="D727" i="2"/>
  <c r="C727" i="2"/>
  <c r="B727" i="2"/>
  <c r="A727" i="2"/>
  <c r="D726" i="2"/>
  <c r="C726" i="2"/>
  <c r="B726" i="2"/>
  <c r="A726" i="2"/>
  <c r="D725" i="2"/>
  <c r="C725" i="2"/>
  <c r="B725" i="2"/>
  <c r="A725" i="2"/>
  <c r="D724" i="2"/>
  <c r="C724" i="2"/>
  <c r="B724" i="2"/>
  <c r="A724" i="2"/>
  <c r="D723" i="2"/>
  <c r="C723" i="2"/>
  <c r="B723" i="2"/>
  <c r="A723" i="2"/>
  <c r="D722" i="2"/>
  <c r="C722" i="2"/>
  <c r="B722" i="2"/>
  <c r="A722" i="2"/>
  <c r="D721" i="2"/>
  <c r="C721" i="2"/>
  <c r="B721" i="2"/>
  <c r="A721" i="2"/>
  <c r="D720" i="2"/>
  <c r="C720" i="2"/>
  <c r="B720" i="2"/>
  <c r="A720" i="2"/>
  <c r="D719" i="2"/>
  <c r="C719" i="2"/>
  <c r="B719" i="2"/>
  <c r="A719" i="2"/>
  <c r="D718" i="2"/>
  <c r="C718" i="2"/>
  <c r="B718" i="2"/>
  <c r="A718" i="2"/>
  <c r="D717" i="2"/>
  <c r="C717" i="2"/>
  <c r="B717" i="2"/>
  <c r="A717" i="2"/>
  <c r="D716" i="2"/>
  <c r="C716" i="2"/>
  <c r="B716" i="2"/>
  <c r="A716" i="2"/>
  <c r="D715" i="2"/>
  <c r="C715" i="2"/>
  <c r="B715" i="2"/>
  <c r="A715" i="2"/>
  <c r="D714" i="2"/>
  <c r="C714" i="2"/>
  <c r="B714" i="2"/>
  <c r="A714" i="2"/>
  <c r="D713" i="2"/>
  <c r="C713" i="2"/>
  <c r="B713" i="2"/>
  <c r="A713" i="2"/>
  <c r="D712" i="2"/>
  <c r="C712" i="2"/>
  <c r="B712" i="2"/>
  <c r="A712" i="2"/>
  <c r="D711" i="2"/>
  <c r="C711" i="2"/>
  <c r="B711" i="2"/>
  <c r="A711" i="2"/>
  <c r="D710" i="2"/>
  <c r="C710" i="2"/>
  <c r="B710" i="2"/>
  <c r="A710" i="2"/>
  <c r="D709" i="2"/>
  <c r="C709" i="2"/>
  <c r="B709" i="2"/>
  <c r="A709" i="2"/>
  <c r="D708" i="2"/>
  <c r="C708" i="2"/>
  <c r="B708" i="2"/>
  <c r="A708" i="2"/>
  <c r="D707" i="2"/>
  <c r="C707" i="2"/>
  <c r="B707" i="2"/>
  <c r="A707" i="2"/>
  <c r="D706" i="2"/>
  <c r="C706" i="2"/>
  <c r="B706" i="2"/>
  <c r="A706" i="2"/>
  <c r="D705" i="2"/>
  <c r="C705" i="2"/>
  <c r="B705" i="2"/>
  <c r="A705" i="2"/>
  <c r="D704" i="2"/>
  <c r="C704" i="2"/>
  <c r="B704" i="2"/>
  <c r="A704" i="2"/>
  <c r="D703" i="2"/>
  <c r="C703" i="2"/>
  <c r="B703" i="2"/>
  <c r="A703" i="2"/>
  <c r="D702" i="2"/>
  <c r="C702" i="2"/>
  <c r="B702" i="2"/>
  <c r="A702" i="2"/>
  <c r="D701" i="2"/>
  <c r="C701" i="2"/>
  <c r="B701" i="2"/>
  <c r="A701" i="2"/>
  <c r="D700" i="2"/>
  <c r="C700" i="2"/>
  <c r="B700" i="2"/>
  <c r="A700" i="2"/>
  <c r="D699" i="2"/>
  <c r="C699" i="2"/>
  <c r="B699" i="2"/>
  <c r="A699" i="2"/>
  <c r="D698" i="2"/>
  <c r="C698" i="2"/>
  <c r="B698" i="2"/>
  <c r="A698" i="2"/>
  <c r="D697" i="2"/>
  <c r="C697" i="2"/>
  <c r="B697" i="2"/>
  <c r="A697" i="2"/>
  <c r="D696" i="2"/>
  <c r="C696" i="2"/>
  <c r="B696" i="2"/>
  <c r="A696" i="2"/>
  <c r="D695" i="2"/>
  <c r="C695" i="2"/>
  <c r="B695" i="2"/>
  <c r="A695" i="2"/>
  <c r="D694" i="2"/>
  <c r="C694" i="2"/>
  <c r="B694" i="2"/>
  <c r="A694" i="2"/>
  <c r="D693" i="2"/>
  <c r="C693" i="2"/>
  <c r="B693" i="2"/>
  <c r="A693" i="2"/>
  <c r="D692" i="2"/>
  <c r="C692" i="2"/>
  <c r="B692" i="2"/>
  <c r="A692" i="2"/>
  <c r="D691" i="2"/>
  <c r="C691" i="2"/>
  <c r="B691" i="2"/>
  <c r="A691" i="2"/>
  <c r="D690" i="2"/>
  <c r="C690" i="2"/>
  <c r="B690" i="2"/>
  <c r="A690" i="2"/>
  <c r="D689" i="2"/>
  <c r="C689" i="2"/>
  <c r="B689" i="2"/>
  <c r="A689" i="2"/>
  <c r="D688" i="2"/>
  <c r="C688" i="2"/>
  <c r="B688" i="2"/>
  <c r="A688" i="2"/>
  <c r="D687" i="2"/>
  <c r="C687" i="2"/>
  <c r="B687" i="2"/>
  <c r="A687" i="2"/>
  <c r="D686" i="2"/>
  <c r="C686" i="2"/>
  <c r="B686" i="2"/>
  <c r="A686" i="2"/>
  <c r="D685" i="2"/>
  <c r="C685" i="2"/>
  <c r="B685" i="2"/>
  <c r="A685" i="2"/>
  <c r="D684" i="2"/>
  <c r="C684" i="2"/>
  <c r="B684" i="2"/>
  <c r="A684" i="2"/>
  <c r="D683" i="2"/>
  <c r="C683" i="2"/>
  <c r="B683" i="2"/>
  <c r="A683" i="2"/>
  <c r="D682" i="2"/>
  <c r="C682" i="2"/>
  <c r="B682" i="2"/>
  <c r="A682" i="2"/>
  <c r="D681" i="2"/>
  <c r="C681" i="2"/>
  <c r="B681" i="2"/>
  <c r="A681" i="2"/>
  <c r="D680" i="2"/>
  <c r="C680" i="2"/>
  <c r="B680" i="2"/>
  <c r="A680" i="2"/>
  <c r="D679" i="2"/>
  <c r="C679" i="2"/>
  <c r="B679" i="2"/>
  <c r="A679" i="2"/>
  <c r="D678" i="2"/>
  <c r="C678" i="2"/>
  <c r="B678" i="2"/>
  <c r="A678" i="2"/>
  <c r="D677" i="2"/>
  <c r="C677" i="2"/>
  <c r="B677" i="2"/>
  <c r="A677" i="2"/>
  <c r="D676" i="2"/>
  <c r="C676" i="2"/>
  <c r="B676" i="2"/>
  <c r="A676" i="2"/>
  <c r="D675" i="2"/>
  <c r="C675" i="2"/>
  <c r="B675" i="2"/>
  <c r="A675" i="2"/>
  <c r="D674" i="2"/>
  <c r="C674" i="2"/>
  <c r="B674" i="2"/>
  <c r="A674" i="2"/>
  <c r="D673" i="2"/>
  <c r="C673" i="2"/>
  <c r="B673" i="2"/>
  <c r="A673" i="2"/>
  <c r="D672" i="2"/>
  <c r="C672" i="2"/>
  <c r="B672" i="2"/>
  <c r="A672" i="2"/>
  <c r="D671" i="2"/>
  <c r="C671" i="2"/>
  <c r="B671" i="2"/>
  <c r="A671" i="2"/>
  <c r="D670" i="2"/>
  <c r="C670" i="2"/>
  <c r="B670" i="2"/>
  <c r="A670" i="2"/>
  <c r="D669" i="2"/>
  <c r="C669" i="2"/>
  <c r="B669" i="2"/>
  <c r="A669" i="2"/>
  <c r="D668" i="2"/>
  <c r="C668" i="2"/>
  <c r="B668" i="2"/>
  <c r="A668" i="2"/>
  <c r="D667" i="2"/>
  <c r="C667" i="2"/>
  <c r="B667" i="2"/>
  <c r="A667" i="2"/>
  <c r="D666" i="2"/>
  <c r="C666" i="2"/>
  <c r="B666" i="2"/>
  <c r="A666" i="2"/>
  <c r="D665" i="2"/>
  <c r="C665" i="2"/>
  <c r="B665" i="2"/>
  <c r="A665" i="2"/>
  <c r="D664" i="2"/>
  <c r="C664" i="2"/>
  <c r="B664" i="2"/>
  <c r="A664" i="2"/>
  <c r="D663" i="2"/>
  <c r="C663" i="2"/>
  <c r="B663" i="2"/>
  <c r="A663" i="2"/>
  <c r="D662" i="2"/>
  <c r="C662" i="2"/>
  <c r="B662" i="2"/>
  <c r="A662" i="2"/>
  <c r="D661" i="2"/>
  <c r="C661" i="2"/>
  <c r="B661" i="2"/>
  <c r="A661" i="2"/>
  <c r="D660" i="2"/>
  <c r="C660" i="2"/>
  <c r="B660" i="2"/>
  <c r="A660" i="2"/>
  <c r="D659" i="2"/>
  <c r="C659" i="2"/>
  <c r="B659" i="2"/>
  <c r="A659" i="2"/>
  <c r="D658" i="2"/>
  <c r="C658" i="2"/>
  <c r="B658" i="2"/>
  <c r="A658" i="2"/>
  <c r="D657" i="2"/>
  <c r="C657" i="2"/>
  <c r="B657" i="2"/>
  <c r="A657" i="2"/>
  <c r="D656" i="2"/>
  <c r="C656" i="2"/>
  <c r="B656" i="2"/>
  <c r="A656" i="2"/>
  <c r="D655" i="2"/>
  <c r="C655" i="2"/>
  <c r="B655" i="2"/>
  <c r="A655" i="2"/>
  <c r="D654" i="2"/>
  <c r="C654" i="2"/>
  <c r="B654" i="2"/>
  <c r="A654" i="2"/>
  <c r="D653" i="2"/>
  <c r="C653" i="2"/>
  <c r="B653" i="2"/>
  <c r="A653" i="2"/>
  <c r="D652" i="2"/>
  <c r="C652" i="2"/>
  <c r="B652" i="2"/>
  <c r="A652" i="2"/>
  <c r="D651" i="2"/>
  <c r="C651" i="2"/>
  <c r="B651" i="2"/>
  <c r="A651" i="2"/>
  <c r="D650" i="2"/>
  <c r="C650" i="2"/>
  <c r="B650" i="2"/>
  <c r="A650" i="2"/>
  <c r="D649" i="2"/>
  <c r="C649" i="2"/>
  <c r="B649" i="2"/>
  <c r="A649" i="2"/>
  <c r="D648" i="2"/>
  <c r="C648" i="2"/>
  <c r="B648" i="2"/>
  <c r="A648" i="2"/>
  <c r="D647" i="2"/>
  <c r="C647" i="2"/>
  <c r="B647" i="2"/>
  <c r="A647" i="2"/>
  <c r="D646" i="2"/>
  <c r="C646" i="2"/>
  <c r="B646" i="2"/>
  <c r="A646" i="2"/>
  <c r="D645" i="2"/>
  <c r="C645" i="2"/>
  <c r="B645" i="2"/>
  <c r="A645" i="2"/>
  <c r="D644" i="2"/>
  <c r="C644" i="2"/>
  <c r="B644" i="2"/>
  <c r="A644" i="2"/>
  <c r="D643" i="2"/>
  <c r="C643" i="2"/>
  <c r="B643" i="2"/>
  <c r="A643" i="2"/>
  <c r="D642" i="2"/>
  <c r="C642" i="2"/>
  <c r="B642" i="2"/>
  <c r="A642" i="2"/>
  <c r="D641" i="2"/>
  <c r="C641" i="2"/>
  <c r="B641" i="2"/>
  <c r="A641" i="2"/>
  <c r="D640" i="2"/>
  <c r="C640" i="2"/>
  <c r="B640" i="2"/>
  <c r="A640" i="2"/>
  <c r="D639" i="2"/>
  <c r="C639" i="2"/>
  <c r="B639" i="2"/>
  <c r="A639" i="2"/>
  <c r="D638" i="2"/>
  <c r="C638" i="2"/>
  <c r="B638" i="2"/>
  <c r="A638" i="2"/>
  <c r="D637" i="2"/>
  <c r="C637" i="2"/>
  <c r="B637" i="2"/>
  <c r="A637" i="2"/>
  <c r="D636" i="2"/>
  <c r="C636" i="2"/>
  <c r="B636" i="2"/>
  <c r="A636" i="2"/>
  <c r="D635" i="2"/>
  <c r="C635" i="2"/>
  <c r="B635" i="2"/>
  <c r="A635" i="2"/>
  <c r="D634" i="2"/>
  <c r="C634" i="2"/>
  <c r="B634" i="2"/>
  <c r="A634" i="2"/>
  <c r="D633" i="2"/>
  <c r="C633" i="2"/>
  <c r="B633" i="2"/>
  <c r="A633" i="2"/>
  <c r="D632" i="2"/>
  <c r="C632" i="2"/>
  <c r="B632" i="2"/>
  <c r="A632" i="2"/>
  <c r="D631" i="2"/>
  <c r="C631" i="2"/>
  <c r="B631" i="2"/>
  <c r="A631" i="2"/>
  <c r="D630" i="2"/>
  <c r="C630" i="2"/>
  <c r="B630" i="2"/>
  <c r="A630" i="2"/>
  <c r="D629" i="2"/>
  <c r="C629" i="2"/>
  <c r="B629" i="2"/>
  <c r="A629" i="2"/>
  <c r="D628" i="2"/>
  <c r="C628" i="2"/>
  <c r="B628" i="2"/>
  <c r="A628" i="2"/>
  <c r="D627" i="2"/>
  <c r="C627" i="2"/>
  <c r="B627" i="2"/>
  <c r="A627" i="2"/>
  <c r="D626" i="2"/>
  <c r="C626" i="2"/>
  <c r="B626" i="2"/>
  <c r="A626" i="2"/>
  <c r="D625" i="2"/>
  <c r="C625" i="2"/>
  <c r="B625" i="2"/>
  <c r="A625" i="2"/>
  <c r="D624" i="2"/>
  <c r="C624" i="2"/>
  <c r="B624" i="2"/>
  <c r="A624" i="2"/>
  <c r="D623" i="2"/>
  <c r="C623" i="2"/>
  <c r="B623" i="2"/>
  <c r="A623" i="2"/>
  <c r="D622" i="2"/>
  <c r="C622" i="2"/>
  <c r="B622" i="2"/>
  <c r="A622" i="2"/>
  <c r="D621" i="2"/>
  <c r="C621" i="2"/>
  <c r="B621" i="2"/>
  <c r="A621" i="2"/>
  <c r="D620" i="2"/>
  <c r="C620" i="2"/>
  <c r="B620" i="2"/>
  <c r="A620" i="2"/>
  <c r="D619" i="2"/>
  <c r="C619" i="2"/>
  <c r="B619" i="2"/>
  <c r="A619" i="2"/>
  <c r="D618" i="2"/>
  <c r="C618" i="2"/>
  <c r="B618" i="2"/>
  <c r="A618" i="2"/>
  <c r="D617" i="2"/>
  <c r="C617" i="2"/>
  <c r="B617" i="2"/>
  <c r="A617" i="2"/>
  <c r="D616" i="2"/>
  <c r="C616" i="2"/>
  <c r="B616" i="2"/>
  <c r="A616" i="2"/>
  <c r="D615" i="2"/>
  <c r="C615" i="2"/>
  <c r="B615" i="2"/>
  <c r="A615" i="2"/>
  <c r="D614" i="2"/>
  <c r="C614" i="2"/>
  <c r="B614" i="2"/>
  <c r="A614" i="2"/>
  <c r="D613" i="2"/>
  <c r="C613" i="2"/>
  <c r="B613" i="2"/>
  <c r="A613" i="2"/>
  <c r="D612" i="2"/>
  <c r="C612" i="2"/>
  <c r="B612" i="2"/>
  <c r="A612" i="2"/>
  <c r="D611" i="2"/>
  <c r="C611" i="2"/>
  <c r="B611" i="2"/>
  <c r="A611" i="2"/>
  <c r="D610" i="2"/>
  <c r="C610" i="2"/>
  <c r="B610" i="2"/>
  <c r="A610" i="2"/>
  <c r="D609" i="2"/>
  <c r="C609" i="2"/>
  <c r="B609" i="2"/>
  <c r="A609" i="2"/>
  <c r="D608" i="2"/>
  <c r="C608" i="2"/>
  <c r="B608" i="2"/>
  <c r="A608" i="2"/>
  <c r="D607" i="2"/>
  <c r="C607" i="2"/>
  <c r="B607" i="2"/>
  <c r="A607" i="2"/>
  <c r="D606" i="2"/>
  <c r="C606" i="2"/>
  <c r="B606" i="2"/>
  <c r="A606" i="2"/>
  <c r="D605" i="2"/>
  <c r="C605" i="2"/>
  <c r="B605" i="2"/>
  <c r="A605" i="2"/>
  <c r="D604" i="2"/>
  <c r="C604" i="2"/>
  <c r="B604" i="2"/>
  <c r="A604" i="2"/>
  <c r="D603" i="2"/>
  <c r="C603" i="2"/>
  <c r="B603" i="2"/>
  <c r="A603" i="2"/>
  <c r="D602" i="2"/>
  <c r="C602" i="2"/>
  <c r="B602" i="2"/>
  <c r="A602" i="2"/>
  <c r="D601" i="2"/>
  <c r="C601" i="2"/>
  <c r="B601" i="2"/>
  <c r="A601" i="2"/>
  <c r="D600" i="2"/>
  <c r="C600" i="2"/>
  <c r="B600" i="2"/>
  <c r="A600" i="2"/>
  <c r="D599" i="2"/>
  <c r="C599" i="2"/>
  <c r="B599" i="2"/>
  <c r="A599" i="2"/>
  <c r="D598" i="2"/>
  <c r="C598" i="2"/>
  <c r="B598" i="2"/>
  <c r="A598" i="2"/>
  <c r="D597" i="2"/>
  <c r="C597" i="2"/>
  <c r="B597" i="2"/>
  <c r="A597" i="2"/>
  <c r="D596" i="2"/>
  <c r="C596" i="2"/>
  <c r="B596" i="2"/>
  <c r="A596" i="2"/>
  <c r="D595" i="2"/>
  <c r="C595" i="2"/>
  <c r="B595" i="2"/>
  <c r="A595" i="2"/>
  <c r="D594" i="2"/>
  <c r="C594" i="2"/>
  <c r="B594" i="2"/>
  <c r="A594" i="2"/>
  <c r="D593" i="2"/>
  <c r="C593" i="2"/>
  <c r="B593" i="2"/>
  <c r="A593" i="2"/>
  <c r="D592" i="2"/>
  <c r="C592" i="2"/>
  <c r="B592" i="2"/>
  <c r="A592" i="2"/>
  <c r="D591" i="2"/>
  <c r="C591" i="2"/>
  <c r="B591" i="2"/>
  <c r="A591" i="2"/>
  <c r="D590" i="2"/>
  <c r="C590" i="2"/>
  <c r="B590" i="2"/>
  <c r="A590" i="2"/>
  <c r="D589" i="2"/>
  <c r="C589" i="2"/>
  <c r="B589" i="2"/>
  <c r="A589" i="2"/>
  <c r="D588" i="2"/>
  <c r="C588" i="2"/>
  <c r="B588" i="2"/>
  <c r="A588" i="2"/>
  <c r="D587" i="2"/>
  <c r="C587" i="2"/>
  <c r="B587" i="2"/>
  <c r="A587" i="2"/>
  <c r="D586" i="2"/>
  <c r="C586" i="2"/>
  <c r="B586" i="2"/>
  <c r="A586" i="2"/>
  <c r="D585" i="2"/>
  <c r="C585" i="2"/>
  <c r="B585" i="2"/>
  <c r="A585" i="2"/>
  <c r="D584" i="2"/>
  <c r="C584" i="2"/>
  <c r="B584" i="2"/>
  <c r="A584" i="2"/>
  <c r="D583" i="2"/>
  <c r="C583" i="2"/>
  <c r="B583" i="2"/>
  <c r="A583" i="2"/>
  <c r="D582" i="2"/>
  <c r="C582" i="2"/>
  <c r="B582" i="2"/>
  <c r="A582" i="2"/>
  <c r="D581" i="2"/>
  <c r="C581" i="2"/>
  <c r="B581" i="2"/>
  <c r="A581" i="2"/>
  <c r="D580" i="2"/>
  <c r="C580" i="2"/>
  <c r="B580" i="2"/>
  <c r="A580" i="2"/>
  <c r="D579" i="2"/>
  <c r="C579" i="2"/>
  <c r="B579" i="2"/>
  <c r="A579" i="2"/>
  <c r="D578" i="2"/>
  <c r="C578" i="2"/>
  <c r="B578" i="2"/>
  <c r="A578" i="2"/>
  <c r="D577" i="2"/>
  <c r="C577" i="2"/>
  <c r="B577" i="2"/>
  <c r="A577" i="2"/>
  <c r="D576" i="2"/>
  <c r="C576" i="2"/>
  <c r="B576" i="2"/>
  <c r="A576" i="2"/>
  <c r="D575" i="2"/>
  <c r="C575" i="2"/>
  <c r="B575" i="2"/>
  <c r="A575" i="2"/>
  <c r="D574" i="2"/>
  <c r="C574" i="2"/>
  <c r="B574" i="2"/>
  <c r="A574" i="2"/>
  <c r="D573" i="2"/>
  <c r="C573" i="2"/>
  <c r="B573" i="2"/>
  <c r="A573" i="2"/>
  <c r="D572" i="2"/>
  <c r="C572" i="2"/>
  <c r="B572" i="2"/>
  <c r="A572" i="2"/>
  <c r="D571" i="2"/>
  <c r="C571" i="2"/>
  <c r="B571" i="2"/>
  <c r="A571" i="2"/>
  <c r="D570" i="2"/>
  <c r="C570" i="2"/>
  <c r="B570" i="2"/>
  <c r="A570" i="2"/>
  <c r="D569" i="2"/>
  <c r="C569" i="2"/>
  <c r="B569" i="2"/>
  <c r="A569" i="2"/>
  <c r="D568" i="2"/>
  <c r="C568" i="2"/>
  <c r="B568" i="2"/>
  <c r="A568" i="2"/>
  <c r="D567" i="2"/>
  <c r="C567" i="2"/>
  <c r="B567" i="2"/>
  <c r="A567" i="2"/>
  <c r="D566" i="2"/>
  <c r="C566" i="2"/>
  <c r="B566" i="2"/>
  <c r="A566" i="2"/>
  <c r="D565" i="2"/>
  <c r="C565" i="2"/>
  <c r="B565" i="2"/>
  <c r="A565" i="2"/>
  <c r="D564" i="2"/>
  <c r="C564" i="2"/>
  <c r="B564" i="2"/>
  <c r="A564" i="2"/>
  <c r="D563" i="2"/>
  <c r="C563" i="2"/>
  <c r="B563" i="2"/>
  <c r="A563" i="2"/>
  <c r="D562" i="2"/>
  <c r="C562" i="2"/>
  <c r="B562" i="2"/>
  <c r="A562" i="2"/>
  <c r="D561" i="2"/>
  <c r="C561" i="2"/>
  <c r="B561" i="2"/>
  <c r="A561" i="2"/>
  <c r="D560" i="2"/>
  <c r="C560" i="2"/>
  <c r="B560" i="2"/>
  <c r="A560" i="2"/>
  <c r="D559" i="2"/>
  <c r="C559" i="2"/>
  <c r="B559" i="2"/>
  <c r="A559" i="2"/>
  <c r="D558" i="2"/>
  <c r="C558" i="2"/>
  <c r="B558" i="2"/>
  <c r="A558" i="2"/>
  <c r="D557" i="2"/>
  <c r="C557" i="2"/>
  <c r="B557" i="2"/>
  <c r="A557" i="2"/>
  <c r="D556" i="2"/>
  <c r="C556" i="2"/>
  <c r="B556" i="2"/>
  <c r="A556" i="2"/>
  <c r="D555" i="2"/>
  <c r="C555" i="2"/>
  <c r="B555" i="2"/>
  <c r="A555" i="2"/>
  <c r="D554" i="2"/>
  <c r="C554" i="2"/>
  <c r="B554" i="2"/>
  <c r="A554" i="2"/>
  <c r="D553" i="2"/>
  <c r="C553" i="2"/>
  <c r="B553" i="2"/>
  <c r="A553" i="2"/>
  <c r="D552" i="2"/>
  <c r="C552" i="2"/>
  <c r="B552" i="2"/>
  <c r="A552" i="2"/>
  <c r="D551" i="2"/>
  <c r="C551" i="2"/>
  <c r="B551" i="2"/>
  <c r="A551" i="2"/>
  <c r="D550" i="2"/>
  <c r="C550" i="2"/>
  <c r="B550" i="2"/>
  <c r="A550" i="2"/>
  <c r="D549" i="2"/>
  <c r="C549" i="2"/>
  <c r="B549" i="2"/>
  <c r="A549" i="2"/>
  <c r="D548" i="2"/>
  <c r="C548" i="2"/>
  <c r="B548" i="2"/>
  <c r="A548" i="2"/>
  <c r="D547" i="2"/>
  <c r="C547" i="2"/>
  <c r="B547" i="2"/>
  <c r="A547" i="2"/>
  <c r="D546" i="2"/>
  <c r="C546" i="2"/>
  <c r="B546" i="2"/>
  <c r="A546" i="2"/>
  <c r="D545" i="2"/>
  <c r="C545" i="2"/>
  <c r="B545" i="2"/>
  <c r="A545" i="2"/>
  <c r="D544" i="2"/>
  <c r="C544" i="2"/>
  <c r="B544" i="2"/>
  <c r="A544" i="2"/>
  <c r="D543" i="2"/>
  <c r="C543" i="2"/>
  <c r="B543" i="2"/>
  <c r="A543" i="2"/>
  <c r="D542" i="2"/>
  <c r="C542" i="2"/>
  <c r="B542" i="2"/>
  <c r="A542" i="2"/>
  <c r="D541" i="2"/>
  <c r="C541" i="2"/>
  <c r="B541" i="2"/>
  <c r="A541" i="2"/>
  <c r="D540" i="2"/>
  <c r="C540" i="2"/>
  <c r="B540" i="2"/>
  <c r="A540" i="2"/>
  <c r="D539" i="2"/>
  <c r="C539" i="2"/>
  <c r="B539" i="2"/>
  <c r="A539" i="2"/>
  <c r="D538" i="2"/>
  <c r="C538" i="2"/>
  <c r="B538" i="2"/>
  <c r="A538" i="2"/>
  <c r="D537" i="2"/>
  <c r="C537" i="2"/>
  <c r="B537" i="2"/>
  <c r="A537" i="2"/>
  <c r="D536" i="2"/>
  <c r="C536" i="2"/>
  <c r="B536" i="2"/>
  <c r="A536" i="2"/>
  <c r="D535" i="2"/>
  <c r="C535" i="2"/>
  <c r="B535" i="2"/>
  <c r="A535" i="2"/>
  <c r="D534" i="2"/>
  <c r="C534" i="2"/>
  <c r="B534" i="2"/>
  <c r="A534" i="2"/>
  <c r="D533" i="2"/>
  <c r="C533" i="2"/>
  <c r="B533" i="2"/>
  <c r="A533" i="2"/>
  <c r="D532" i="2"/>
  <c r="C532" i="2"/>
  <c r="B532" i="2"/>
  <c r="A532" i="2"/>
  <c r="D531" i="2"/>
  <c r="C531" i="2"/>
  <c r="B531" i="2"/>
  <c r="A531" i="2"/>
  <c r="D530" i="2"/>
  <c r="C530" i="2"/>
  <c r="B530" i="2"/>
  <c r="A530" i="2"/>
  <c r="D529" i="2"/>
  <c r="C529" i="2"/>
  <c r="B529" i="2"/>
  <c r="A529" i="2"/>
  <c r="D528" i="2"/>
  <c r="C528" i="2"/>
  <c r="B528" i="2"/>
  <c r="A528" i="2"/>
  <c r="D527" i="2"/>
  <c r="C527" i="2"/>
  <c r="B527" i="2"/>
  <c r="A527" i="2"/>
  <c r="D526" i="2"/>
  <c r="C526" i="2"/>
  <c r="B526" i="2"/>
  <c r="A526" i="2"/>
  <c r="D525" i="2"/>
  <c r="C525" i="2"/>
  <c r="B525" i="2"/>
  <c r="A525" i="2"/>
  <c r="D524" i="2"/>
  <c r="C524" i="2"/>
  <c r="B524" i="2"/>
  <c r="A524" i="2"/>
  <c r="D523" i="2"/>
  <c r="C523" i="2"/>
  <c r="B523" i="2"/>
  <c r="A523" i="2"/>
  <c r="D522" i="2"/>
  <c r="C522" i="2"/>
  <c r="B522" i="2"/>
  <c r="A522" i="2"/>
  <c r="D521" i="2"/>
  <c r="C521" i="2"/>
  <c r="B521" i="2"/>
  <c r="A521" i="2"/>
  <c r="D520" i="2"/>
  <c r="C520" i="2"/>
  <c r="B520" i="2"/>
  <c r="A520" i="2"/>
  <c r="D519" i="2"/>
  <c r="C519" i="2"/>
  <c r="B519" i="2"/>
  <c r="A519" i="2"/>
  <c r="D518" i="2"/>
  <c r="C518" i="2"/>
  <c r="B518" i="2"/>
  <c r="A518" i="2"/>
  <c r="D517" i="2"/>
  <c r="C517" i="2"/>
  <c r="B517" i="2"/>
  <c r="A517" i="2"/>
  <c r="D516" i="2"/>
  <c r="C516" i="2"/>
  <c r="B516" i="2"/>
  <c r="A516" i="2"/>
  <c r="D515" i="2"/>
  <c r="C515" i="2"/>
  <c r="B515" i="2"/>
  <c r="A515" i="2"/>
  <c r="D514" i="2"/>
  <c r="C514" i="2"/>
  <c r="B514" i="2"/>
  <c r="A514" i="2"/>
  <c r="D513" i="2"/>
  <c r="C513" i="2"/>
  <c r="B513" i="2"/>
  <c r="A513" i="2"/>
  <c r="D512" i="2"/>
  <c r="C512" i="2"/>
  <c r="B512" i="2"/>
  <c r="A512" i="2"/>
  <c r="D511" i="2"/>
  <c r="C511" i="2"/>
  <c r="B511" i="2"/>
  <c r="A511" i="2"/>
  <c r="D510" i="2"/>
  <c r="C510" i="2"/>
  <c r="B510" i="2"/>
  <c r="A510" i="2"/>
  <c r="D509" i="2"/>
  <c r="C509" i="2"/>
  <c r="B509" i="2"/>
  <c r="A509" i="2"/>
  <c r="D508" i="2"/>
  <c r="C508" i="2"/>
  <c r="B508" i="2"/>
  <c r="A508" i="2"/>
  <c r="D507" i="2"/>
  <c r="C507" i="2"/>
  <c r="B507" i="2"/>
  <c r="A507" i="2"/>
  <c r="D506" i="2"/>
  <c r="C506" i="2"/>
  <c r="B506" i="2"/>
  <c r="A506" i="2"/>
  <c r="D505" i="2"/>
  <c r="C505" i="2"/>
  <c r="B505" i="2"/>
  <c r="A505" i="2"/>
  <c r="D504" i="2"/>
  <c r="C504" i="2"/>
  <c r="B504" i="2"/>
  <c r="A504" i="2"/>
  <c r="D503" i="2"/>
  <c r="C503" i="2"/>
  <c r="B503" i="2"/>
  <c r="A503" i="2"/>
  <c r="D502" i="2"/>
  <c r="C502" i="2"/>
  <c r="B502" i="2"/>
  <c r="A502" i="2"/>
  <c r="D501" i="2"/>
  <c r="C501" i="2"/>
  <c r="B501" i="2"/>
  <c r="A501" i="2"/>
  <c r="D500" i="2"/>
  <c r="C500" i="2"/>
  <c r="B500" i="2"/>
  <c r="A500" i="2"/>
  <c r="D499" i="2"/>
  <c r="C499" i="2"/>
  <c r="B499" i="2"/>
  <c r="A499" i="2"/>
  <c r="D498" i="2"/>
  <c r="C498" i="2"/>
  <c r="B498" i="2"/>
  <c r="A498" i="2"/>
  <c r="D497" i="2"/>
  <c r="C497" i="2"/>
  <c r="B497" i="2"/>
  <c r="A497" i="2"/>
  <c r="D496" i="2"/>
  <c r="C496" i="2"/>
  <c r="B496" i="2"/>
  <c r="A496" i="2"/>
  <c r="D495" i="2"/>
  <c r="C495" i="2"/>
  <c r="B495" i="2"/>
  <c r="A495" i="2"/>
  <c r="D494" i="2"/>
  <c r="C494" i="2"/>
  <c r="B494" i="2"/>
  <c r="A494" i="2"/>
  <c r="D493" i="2"/>
  <c r="C493" i="2"/>
  <c r="B493" i="2"/>
  <c r="A493" i="2"/>
  <c r="D492" i="2"/>
  <c r="C492" i="2"/>
  <c r="B492" i="2"/>
  <c r="A492" i="2"/>
  <c r="D491" i="2"/>
  <c r="C491" i="2"/>
  <c r="B491" i="2"/>
  <c r="A491" i="2"/>
  <c r="D490" i="2"/>
  <c r="C490" i="2"/>
  <c r="B490" i="2"/>
  <c r="A490" i="2"/>
  <c r="D489" i="2"/>
  <c r="C489" i="2"/>
  <c r="B489" i="2"/>
  <c r="A489" i="2"/>
  <c r="D488" i="2"/>
  <c r="C488" i="2"/>
  <c r="B488" i="2"/>
  <c r="A488" i="2"/>
  <c r="D487" i="2"/>
  <c r="C487" i="2"/>
  <c r="B487" i="2"/>
  <c r="A487" i="2"/>
  <c r="D486" i="2"/>
  <c r="C486" i="2"/>
  <c r="B486" i="2"/>
  <c r="A486" i="2"/>
  <c r="D485" i="2"/>
  <c r="C485" i="2"/>
  <c r="B485" i="2"/>
  <c r="A485" i="2"/>
  <c r="D484" i="2"/>
  <c r="C484" i="2"/>
  <c r="B484" i="2"/>
  <c r="A484" i="2"/>
  <c r="D483" i="2"/>
  <c r="C483" i="2"/>
  <c r="B483" i="2"/>
  <c r="A483" i="2"/>
  <c r="D482" i="2"/>
  <c r="C482" i="2"/>
  <c r="B482" i="2"/>
  <c r="A482" i="2"/>
  <c r="D481" i="2"/>
  <c r="C481" i="2"/>
  <c r="B481" i="2"/>
  <c r="A481" i="2"/>
  <c r="D480" i="2"/>
  <c r="C480" i="2"/>
  <c r="B480" i="2"/>
  <c r="A480" i="2"/>
  <c r="D479" i="2"/>
  <c r="C479" i="2"/>
  <c r="B479" i="2"/>
  <c r="A479" i="2"/>
  <c r="D478" i="2"/>
  <c r="C478" i="2"/>
  <c r="B478" i="2"/>
  <c r="A478" i="2"/>
  <c r="D477" i="2"/>
  <c r="C477" i="2"/>
  <c r="B477" i="2"/>
  <c r="A477" i="2"/>
  <c r="D476" i="2"/>
  <c r="C476" i="2"/>
  <c r="B476" i="2"/>
  <c r="A476" i="2"/>
  <c r="D475" i="2"/>
  <c r="C475" i="2"/>
  <c r="B475" i="2"/>
  <c r="A475" i="2"/>
  <c r="D474" i="2"/>
  <c r="C474" i="2"/>
  <c r="B474" i="2"/>
  <c r="A474" i="2"/>
  <c r="D473" i="2"/>
  <c r="C473" i="2"/>
  <c r="B473" i="2"/>
  <c r="A473" i="2"/>
  <c r="D472" i="2"/>
  <c r="C472" i="2"/>
  <c r="B472" i="2"/>
  <c r="A472" i="2"/>
  <c r="D471" i="2"/>
  <c r="C471" i="2"/>
  <c r="B471" i="2"/>
  <c r="A471" i="2"/>
  <c r="D470" i="2"/>
  <c r="C470" i="2"/>
  <c r="B470" i="2"/>
  <c r="A470" i="2"/>
  <c r="D469" i="2"/>
  <c r="C469" i="2"/>
  <c r="B469" i="2"/>
  <c r="A469" i="2"/>
  <c r="D468" i="2"/>
  <c r="C468" i="2"/>
  <c r="B468" i="2"/>
  <c r="A468" i="2"/>
  <c r="D467" i="2"/>
  <c r="C467" i="2"/>
  <c r="B467" i="2"/>
  <c r="A467" i="2"/>
  <c r="D466" i="2"/>
  <c r="C466" i="2"/>
  <c r="B466" i="2"/>
  <c r="A466" i="2"/>
  <c r="D465" i="2"/>
  <c r="C465" i="2"/>
  <c r="B465" i="2"/>
  <c r="A465" i="2"/>
  <c r="D464" i="2"/>
  <c r="C464" i="2"/>
  <c r="B464" i="2"/>
  <c r="A464" i="2"/>
  <c r="D463" i="2"/>
  <c r="C463" i="2"/>
  <c r="B463" i="2"/>
  <c r="A463" i="2"/>
  <c r="D462" i="2"/>
  <c r="C462" i="2"/>
  <c r="B462" i="2"/>
  <c r="A462" i="2"/>
  <c r="D461" i="2"/>
  <c r="C461" i="2"/>
  <c r="B461" i="2"/>
  <c r="A461" i="2"/>
  <c r="D460" i="2"/>
  <c r="C460" i="2"/>
  <c r="B460" i="2"/>
  <c r="A460" i="2"/>
  <c r="D459" i="2"/>
  <c r="C459" i="2"/>
  <c r="B459" i="2"/>
  <c r="A459" i="2"/>
  <c r="D458" i="2"/>
  <c r="C458" i="2"/>
  <c r="B458" i="2"/>
  <c r="A458" i="2"/>
  <c r="D457" i="2"/>
  <c r="C457" i="2"/>
  <c r="B457" i="2"/>
  <c r="A457" i="2"/>
  <c r="D456" i="2"/>
  <c r="C456" i="2"/>
  <c r="B456" i="2"/>
  <c r="A456" i="2"/>
  <c r="D455" i="2"/>
  <c r="C455" i="2"/>
  <c r="B455" i="2"/>
  <c r="A455" i="2"/>
  <c r="D454" i="2"/>
  <c r="C454" i="2"/>
  <c r="B454" i="2"/>
  <c r="A454" i="2"/>
  <c r="D453" i="2"/>
  <c r="C453" i="2"/>
  <c r="B453" i="2"/>
  <c r="A453" i="2"/>
  <c r="D452" i="2"/>
  <c r="C452" i="2"/>
  <c r="B452" i="2"/>
  <c r="A452" i="2"/>
  <c r="D451" i="2"/>
  <c r="C451" i="2"/>
  <c r="B451" i="2"/>
  <c r="A451" i="2"/>
  <c r="D450" i="2"/>
  <c r="C450" i="2"/>
  <c r="B450" i="2"/>
  <c r="A450" i="2"/>
  <c r="D449" i="2"/>
  <c r="C449" i="2"/>
  <c r="B449" i="2"/>
  <c r="A449" i="2"/>
  <c r="D448" i="2"/>
  <c r="C448" i="2"/>
  <c r="B448" i="2"/>
  <c r="A448" i="2"/>
  <c r="D447" i="2"/>
  <c r="C447" i="2"/>
  <c r="B447" i="2"/>
  <c r="A447" i="2"/>
  <c r="D446" i="2"/>
  <c r="C446" i="2"/>
  <c r="B446" i="2"/>
  <c r="A446" i="2"/>
  <c r="D445" i="2"/>
  <c r="C445" i="2"/>
  <c r="B445" i="2"/>
  <c r="A445" i="2"/>
  <c r="D444" i="2"/>
  <c r="C444" i="2"/>
  <c r="B444" i="2"/>
  <c r="A444" i="2"/>
  <c r="D443" i="2"/>
  <c r="C443" i="2"/>
  <c r="B443" i="2"/>
  <c r="A443" i="2"/>
  <c r="D442" i="2"/>
  <c r="C442" i="2"/>
  <c r="B442" i="2"/>
  <c r="A442" i="2"/>
  <c r="D441" i="2"/>
  <c r="C441" i="2"/>
  <c r="B441" i="2"/>
  <c r="A441" i="2"/>
  <c r="D440" i="2"/>
  <c r="C440" i="2"/>
  <c r="B440" i="2"/>
  <c r="A440" i="2"/>
  <c r="D439" i="2"/>
  <c r="C439" i="2"/>
  <c r="B439" i="2"/>
  <c r="A439" i="2"/>
  <c r="D438" i="2"/>
  <c r="C438" i="2"/>
  <c r="B438" i="2"/>
  <c r="A438" i="2"/>
  <c r="D437" i="2"/>
  <c r="C437" i="2"/>
  <c r="B437" i="2"/>
  <c r="A437" i="2"/>
  <c r="D436" i="2"/>
  <c r="C436" i="2"/>
  <c r="B436" i="2"/>
  <c r="A436" i="2"/>
  <c r="D435" i="2"/>
  <c r="C435" i="2"/>
  <c r="B435" i="2"/>
  <c r="A435" i="2"/>
  <c r="D434" i="2"/>
  <c r="C434" i="2"/>
  <c r="B434" i="2"/>
  <c r="A434" i="2"/>
  <c r="D433" i="2"/>
  <c r="C433" i="2"/>
  <c r="B433" i="2"/>
  <c r="A433" i="2"/>
  <c r="D432" i="2"/>
  <c r="C432" i="2"/>
  <c r="B432" i="2"/>
  <c r="A432" i="2"/>
  <c r="D431" i="2"/>
  <c r="C431" i="2"/>
  <c r="B431" i="2"/>
  <c r="A431" i="2"/>
  <c r="D430" i="2"/>
  <c r="C430" i="2"/>
  <c r="B430" i="2"/>
  <c r="A430" i="2"/>
  <c r="D429" i="2"/>
  <c r="C429" i="2"/>
  <c r="B429" i="2"/>
  <c r="A429" i="2"/>
  <c r="D428" i="2"/>
  <c r="C428" i="2"/>
  <c r="B428" i="2"/>
  <c r="A428" i="2"/>
  <c r="D427" i="2"/>
  <c r="C427" i="2"/>
  <c r="B427" i="2"/>
  <c r="A427" i="2"/>
  <c r="D426" i="2"/>
  <c r="C426" i="2"/>
  <c r="B426" i="2"/>
  <c r="A426" i="2"/>
  <c r="D425" i="2"/>
  <c r="C425" i="2"/>
  <c r="B425" i="2"/>
  <c r="A425" i="2"/>
  <c r="D424" i="2"/>
  <c r="C424" i="2"/>
  <c r="B424" i="2"/>
  <c r="A424" i="2"/>
  <c r="D423" i="2"/>
  <c r="C423" i="2"/>
  <c r="B423" i="2"/>
  <c r="A423" i="2"/>
  <c r="D422" i="2"/>
  <c r="C422" i="2"/>
  <c r="B422" i="2"/>
  <c r="A422" i="2"/>
  <c r="D421" i="2"/>
  <c r="C421" i="2"/>
  <c r="B421" i="2"/>
  <c r="A421" i="2"/>
  <c r="D420" i="2"/>
  <c r="C420" i="2"/>
  <c r="B420" i="2"/>
  <c r="A420" i="2"/>
  <c r="D419" i="2"/>
  <c r="C419" i="2"/>
  <c r="B419" i="2"/>
  <c r="A419" i="2"/>
  <c r="D418" i="2"/>
  <c r="C418" i="2"/>
  <c r="B418" i="2"/>
  <c r="A418" i="2"/>
  <c r="D417" i="2"/>
  <c r="C417" i="2"/>
  <c r="B417" i="2"/>
  <c r="A417" i="2"/>
  <c r="D416" i="2"/>
  <c r="C416" i="2"/>
  <c r="B416" i="2"/>
  <c r="A416" i="2"/>
  <c r="D415" i="2"/>
  <c r="C415" i="2"/>
  <c r="B415" i="2"/>
  <c r="A415" i="2"/>
  <c r="D414" i="2"/>
  <c r="C414" i="2"/>
  <c r="B414" i="2"/>
  <c r="A414" i="2"/>
  <c r="D413" i="2"/>
  <c r="C413" i="2"/>
  <c r="B413" i="2"/>
  <c r="A413" i="2"/>
  <c r="D412" i="2"/>
  <c r="C412" i="2"/>
  <c r="B412" i="2"/>
  <c r="A412" i="2"/>
  <c r="D411" i="2"/>
  <c r="C411" i="2"/>
  <c r="B411" i="2"/>
  <c r="A411" i="2"/>
  <c r="D410" i="2"/>
  <c r="C410" i="2"/>
  <c r="B410" i="2"/>
  <c r="A410" i="2"/>
  <c r="D409" i="2"/>
  <c r="C409" i="2"/>
  <c r="B409" i="2"/>
  <c r="A409" i="2"/>
  <c r="D408" i="2"/>
  <c r="C408" i="2"/>
  <c r="B408" i="2"/>
  <c r="A408" i="2"/>
  <c r="D407" i="2"/>
  <c r="C407" i="2"/>
  <c r="B407" i="2"/>
  <c r="A407" i="2"/>
  <c r="D406" i="2"/>
  <c r="C406" i="2"/>
  <c r="B406" i="2"/>
  <c r="A406" i="2"/>
  <c r="D405" i="2"/>
  <c r="C405" i="2"/>
  <c r="B405" i="2"/>
  <c r="A405" i="2"/>
  <c r="D404" i="2"/>
  <c r="C404" i="2"/>
  <c r="B404" i="2"/>
  <c r="A404" i="2"/>
  <c r="D403" i="2"/>
  <c r="C403" i="2"/>
  <c r="B403" i="2"/>
  <c r="A403" i="2"/>
  <c r="D402" i="2"/>
  <c r="C402" i="2"/>
  <c r="B402" i="2"/>
  <c r="A402" i="2"/>
  <c r="D401" i="2"/>
  <c r="C401" i="2"/>
  <c r="B401" i="2"/>
  <c r="A401" i="2"/>
  <c r="D400" i="2"/>
  <c r="C400" i="2"/>
  <c r="B400" i="2"/>
  <c r="A400" i="2"/>
  <c r="D399" i="2"/>
  <c r="C399" i="2"/>
  <c r="B399" i="2"/>
  <c r="A399" i="2"/>
  <c r="D398" i="2"/>
  <c r="C398" i="2"/>
  <c r="B398" i="2"/>
  <c r="A398" i="2"/>
  <c r="D397" i="2"/>
  <c r="C397" i="2"/>
  <c r="B397" i="2"/>
  <c r="A397" i="2"/>
  <c r="D396" i="2"/>
  <c r="C396" i="2"/>
  <c r="B396" i="2"/>
  <c r="A396" i="2"/>
  <c r="D395" i="2"/>
  <c r="C395" i="2"/>
  <c r="B395" i="2"/>
  <c r="A395" i="2"/>
  <c r="D394" i="2"/>
  <c r="C394" i="2"/>
  <c r="B394" i="2"/>
  <c r="A394" i="2"/>
  <c r="D393" i="2"/>
  <c r="C393" i="2"/>
  <c r="B393" i="2"/>
  <c r="A393" i="2"/>
  <c r="D392" i="2"/>
  <c r="C392" i="2"/>
  <c r="B392" i="2"/>
  <c r="A392" i="2"/>
  <c r="D391" i="2"/>
  <c r="C391" i="2"/>
  <c r="B391" i="2"/>
  <c r="A391" i="2"/>
  <c r="D390" i="2"/>
  <c r="C390" i="2"/>
  <c r="B390" i="2"/>
  <c r="A390" i="2"/>
  <c r="D389" i="2"/>
  <c r="C389" i="2"/>
  <c r="B389" i="2"/>
  <c r="A389" i="2"/>
  <c r="D388" i="2"/>
  <c r="C388" i="2"/>
  <c r="B388" i="2"/>
  <c r="A388" i="2"/>
  <c r="D387" i="2"/>
  <c r="C387" i="2"/>
  <c r="B387" i="2"/>
  <c r="A387" i="2"/>
  <c r="D386" i="2"/>
  <c r="C386" i="2"/>
  <c r="B386" i="2"/>
  <c r="A386" i="2"/>
  <c r="D385" i="2"/>
  <c r="C385" i="2"/>
  <c r="B385" i="2"/>
  <c r="A385" i="2"/>
  <c r="D384" i="2"/>
  <c r="C384" i="2"/>
  <c r="B384" i="2"/>
  <c r="A384" i="2"/>
  <c r="D383" i="2"/>
  <c r="C383" i="2"/>
  <c r="B383" i="2"/>
  <c r="A383" i="2"/>
  <c r="D382" i="2"/>
  <c r="C382" i="2"/>
  <c r="B382" i="2"/>
  <c r="A382" i="2"/>
  <c r="D381" i="2"/>
  <c r="C381" i="2"/>
  <c r="B381" i="2"/>
  <c r="A381" i="2"/>
  <c r="D380" i="2"/>
  <c r="C380" i="2"/>
  <c r="B380" i="2"/>
  <c r="A380" i="2"/>
  <c r="D379" i="2"/>
  <c r="C379" i="2"/>
  <c r="B379" i="2"/>
  <c r="A379" i="2"/>
  <c r="D378" i="2"/>
  <c r="C378" i="2"/>
  <c r="B378" i="2"/>
  <c r="A378" i="2"/>
  <c r="D377" i="2"/>
  <c r="C377" i="2"/>
  <c r="B377" i="2"/>
  <c r="A377" i="2"/>
  <c r="D376" i="2"/>
  <c r="C376" i="2"/>
  <c r="B376" i="2"/>
  <c r="A376" i="2"/>
  <c r="D375" i="2"/>
  <c r="C375" i="2"/>
  <c r="B375" i="2"/>
  <c r="A375" i="2"/>
  <c r="D374" i="2"/>
  <c r="C374" i="2"/>
  <c r="B374" i="2"/>
  <c r="A374" i="2"/>
  <c r="D373" i="2"/>
  <c r="C373" i="2"/>
  <c r="B373" i="2"/>
  <c r="A373" i="2"/>
  <c r="D372" i="2"/>
  <c r="C372" i="2"/>
  <c r="B372" i="2"/>
  <c r="A372" i="2"/>
  <c r="D371" i="2"/>
  <c r="C371" i="2"/>
  <c r="B371" i="2"/>
  <c r="A371" i="2"/>
  <c r="D370" i="2"/>
  <c r="C370" i="2"/>
  <c r="B370" i="2"/>
  <c r="A370" i="2"/>
  <c r="D369" i="2"/>
  <c r="C369" i="2"/>
  <c r="B369" i="2"/>
  <c r="A369" i="2"/>
  <c r="D368" i="2"/>
  <c r="C368" i="2"/>
  <c r="B368" i="2"/>
  <c r="A368" i="2"/>
  <c r="D367" i="2"/>
  <c r="C367" i="2"/>
  <c r="B367" i="2"/>
  <c r="A367" i="2"/>
  <c r="D366" i="2"/>
  <c r="C366" i="2"/>
  <c r="B366" i="2"/>
  <c r="A366" i="2"/>
  <c r="D365" i="2"/>
  <c r="C365" i="2"/>
  <c r="B365" i="2"/>
  <c r="A365" i="2"/>
  <c r="D364" i="2"/>
  <c r="C364" i="2"/>
  <c r="B364" i="2"/>
  <c r="A364" i="2"/>
  <c r="D363" i="2"/>
  <c r="C363" i="2"/>
  <c r="B363" i="2"/>
  <c r="A363" i="2"/>
  <c r="D362" i="2"/>
  <c r="C362" i="2"/>
  <c r="B362" i="2"/>
  <c r="A362" i="2"/>
  <c r="D361" i="2"/>
  <c r="C361" i="2"/>
  <c r="B361" i="2"/>
  <c r="A361" i="2"/>
  <c r="D360" i="2"/>
  <c r="C360" i="2"/>
  <c r="B360" i="2"/>
  <c r="A360" i="2"/>
  <c r="D359" i="2"/>
  <c r="C359" i="2"/>
  <c r="B359" i="2"/>
  <c r="A359" i="2"/>
  <c r="D358" i="2"/>
  <c r="C358" i="2"/>
  <c r="B358" i="2"/>
  <c r="A358" i="2"/>
  <c r="D357" i="2"/>
  <c r="C357" i="2"/>
  <c r="B357" i="2"/>
  <c r="A357" i="2"/>
  <c r="D356" i="2"/>
  <c r="C356" i="2"/>
  <c r="B356" i="2"/>
  <c r="A356" i="2"/>
  <c r="D355" i="2"/>
  <c r="C355" i="2"/>
  <c r="B355" i="2"/>
  <c r="A355" i="2"/>
  <c r="D354" i="2"/>
  <c r="C354" i="2"/>
  <c r="B354" i="2"/>
  <c r="A354" i="2"/>
  <c r="D353" i="2"/>
  <c r="C353" i="2"/>
  <c r="B353" i="2"/>
  <c r="A353" i="2"/>
  <c r="D352" i="2"/>
  <c r="C352" i="2"/>
  <c r="B352" i="2"/>
  <c r="A352" i="2"/>
  <c r="D351" i="2"/>
  <c r="C351" i="2"/>
  <c r="B351" i="2"/>
  <c r="A351" i="2"/>
  <c r="D350" i="2"/>
  <c r="C350" i="2"/>
  <c r="B350" i="2"/>
  <c r="A350" i="2"/>
  <c r="D349" i="2"/>
  <c r="C349" i="2"/>
  <c r="B349" i="2"/>
  <c r="A349" i="2"/>
  <c r="D348" i="2"/>
  <c r="C348" i="2"/>
  <c r="B348" i="2"/>
  <c r="A348" i="2"/>
  <c r="D347" i="2"/>
  <c r="C347" i="2"/>
  <c r="B347" i="2"/>
  <c r="A347" i="2"/>
  <c r="D346" i="2"/>
  <c r="C346" i="2"/>
  <c r="B346" i="2"/>
  <c r="A346" i="2"/>
  <c r="D345" i="2"/>
  <c r="C345" i="2"/>
  <c r="B345" i="2"/>
  <c r="A345" i="2"/>
  <c r="D344" i="2"/>
  <c r="C344" i="2"/>
  <c r="B344" i="2"/>
  <c r="A344" i="2"/>
  <c r="D343" i="2"/>
  <c r="C343" i="2"/>
  <c r="B343" i="2"/>
  <c r="A343" i="2"/>
  <c r="D342" i="2"/>
  <c r="C342" i="2"/>
  <c r="B342" i="2"/>
  <c r="A342" i="2"/>
  <c r="D341" i="2"/>
  <c r="C341" i="2"/>
  <c r="B341" i="2"/>
  <c r="A341" i="2"/>
  <c r="D340" i="2"/>
  <c r="C340" i="2"/>
  <c r="B340" i="2"/>
  <c r="A340" i="2"/>
  <c r="D339" i="2"/>
  <c r="C339" i="2"/>
  <c r="B339" i="2"/>
  <c r="A339" i="2"/>
  <c r="D338" i="2"/>
  <c r="C338" i="2"/>
  <c r="B338" i="2"/>
  <c r="A338" i="2"/>
  <c r="D337" i="2"/>
  <c r="C337" i="2"/>
  <c r="B337" i="2"/>
  <c r="A337" i="2"/>
  <c r="D336" i="2"/>
  <c r="C336" i="2"/>
  <c r="B336" i="2"/>
  <c r="A336" i="2"/>
  <c r="D335" i="2"/>
  <c r="C335" i="2"/>
  <c r="B335" i="2"/>
  <c r="A335" i="2"/>
  <c r="D334" i="2"/>
  <c r="C334" i="2"/>
  <c r="B334" i="2"/>
  <c r="A334" i="2"/>
  <c r="D333" i="2"/>
  <c r="C333" i="2"/>
  <c r="B333" i="2"/>
  <c r="A333" i="2"/>
  <c r="D332" i="2"/>
  <c r="C332" i="2"/>
  <c r="B332" i="2"/>
  <c r="A332" i="2"/>
  <c r="D331" i="2"/>
  <c r="C331" i="2"/>
  <c r="B331" i="2"/>
  <c r="A331" i="2"/>
  <c r="D330" i="2"/>
  <c r="C330" i="2"/>
  <c r="B330" i="2"/>
  <c r="A330" i="2"/>
  <c r="D329" i="2"/>
  <c r="C329" i="2"/>
  <c r="B329" i="2"/>
  <c r="A329" i="2"/>
  <c r="D328" i="2"/>
  <c r="C328" i="2"/>
  <c r="B328" i="2"/>
  <c r="A328" i="2"/>
  <c r="D327" i="2"/>
  <c r="C327" i="2"/>
  <c r="B327" i="2"/>
  <c r="A327" i="2"/>
  <c r="D326" i="2"/>
  <c r="C326" i="2"/>
  <c r="B326" i="2"/>
  <c r="A326" i="2"/>
  <c r="D325" i="2"/>
  <c r="C325" i="2"/>
  <c r="B325" i="2"/>
  <c r="A325" i="2"/>
  <c r="D324" i="2"/>
  <c r="C324" i="2"/>
  <c r="B324" i="2"/>
  <c r="A324" i="2"/>
  <c r="D323" i="2"/>
  <c r="C323" i="2"/>
  <c r="B323" i="2"/>
  <c r="A323" i="2"/>
  <c r="D322" i="2"/>
  <c r="C322" i="2"/>
  <c r="B322" i="2"/>
  <c r="A322" i="2"/>
  <c r="D321" i="2"/>
  <c r="C321" i="2"/>
  <c r="B321" i="2"/>
  <c r="A321" i="2"/>
  <c r="D320" i="2"/>
  <c r="C320" i="2"/>
  <c r="B320" i="2"/>
  <c r="A320" i="2"/>
  <c r="D319" i="2"/>
  <c r="C319" i="2"/>
  <c r="B319" i="2"/>
  <c r="A319" i="2"/>
  <c r="D318" i="2"/>
  <c r="C318" i="2"/>
  <c r="B318" i="2"/>
  <c r="A318" i="2"/>
  <c r="D317" i="2"/>
  <c r="C317" i="2"/>
  <c r="B317" i="2"/>
  <c r="A317" i="2"/>
  <c r="D316" i="2"/>
  <c r="C316" i="2"/>
  <c r="B316" i="2"/>
  <c r="A316" i="2"/>
  <c r="D315" i="2"/>
  <c r="C315" i="2"/>
  <c r="B315" i="2"/>
  <c r="A315" i="2"/>
  <c r="D314" i="2"/>
  <c r="C314" i="2"/>
  <c r="B314" i="2"/>
  <c r="A314" i="2"/>
  <c r="D313" i="2"/>
  <c r="C313" i="2"/>
  <c r="B313" i="2"/>
  <c r="A313" i="2"/>
  <c r="D312" i="2"/>
  <c r="C312" i="2"/>
  <c r="B312" i="2"/>
  <c r="A312" i="2"/>
  <c r="D311" i="2"/>
  <c r="C311" i="2"/>
  <c r="B311" i="2"/>
  <c r="A311" i="2"/>
  <c r="D310" i="2"/>
  <c r="C310" i="2"/>
  <c r="B310" i="2"/>
  <c r="A310" i="2"/>
  <c r="D309" i="2"/>
  <c r="C309" i="2"/>
  <c r="B309" i="2"/>
  <c r="A309" i="2"/>
  <c r="D308" i="2"/>
  <c r="C308" i="2"/>
  <c r="B308" i="2"/>
  <c r="A308" i="2"/>
  <c r="D307" i="2"/>
  <c r="C307" i="2"/>
  <c r="B307" i="2"/>
  <c r="A307" i="2"/>
  <c r="D306" i="2"/>
  <c r="C306" i="2"/>
  <c r="B306" i="2"/>
  <c r="A306" i="2"/>
  <c r="D305" i="2"/>
  <c r="C305" i="2"/>
  <c r="B305" i="2"/>
  <c r="A305" i="2"/>
  <c r="D304" i="2"/>
  <c r="C304" i="2"/>
  <c r="B304" i="2"/>
  <c r="A304" i="2"/>
  <c r="D303" i="2"/>
  <c r="C303" i="2"/>
  <c r="B303" i="2"/>
  <c r="A303" i="2"/>
  <c r="D302" i="2"/>
  <c r="C302" i="2"/>
  <c r="B302" i="2"/>
  <c r="A302" i="2"/>
  <c r="D301" i="2"/>
  <c r="C301" i="2"/>
  <c r="B301" i="2"/>
  <c r="A301" i="2"/>
  <c r="D300" i="2"/>
  <c r="C300" i="2"/>
  <c r="B300" i="2"/>
  <c r="A300" i="2"/>
  <c r="D299" i="2"/>
  <c r="C299" i="2"/>
  <c r="B299" i="2"/>
  <c r="A299" i="2"/>
  <c r="D298" i="2"/>
  <c r="C298" i="2"/>
  <c r="B298" i="2"/>
  <c r="A298" i="2"/>
  <c r="D297" i="2"/>
  <c r="C297" i="2"/>
  <c r="B297" i="2"/>
  <c r="A297" i="2"/>
  <c r="D296" i="2"/>
  <c r="C296" i="2"/>
  <c r="B296" i="2"/>
  <c r="A296" i="2"/>
  <c r="D295" i="2"/>
  <c r="C295" i="2"/>
  <c r="B295" i="2"/>
  <c r="A295" i="2"/>
  <c r="D294" i="2"/>
  <c r="C294" i="2"/>
  <c r="B294" i="2"/>
  <c r="A294" i="2"/>
  <c r="D293" i="2"/>
  <c r="C293" i="2"/>
  <c r="B293" i="2"/>
  <c r="A293" i="2"/>
  <c r="D292" i="2"/>
  <c r="C292" i="2"/>
  <c r="B292" i="2"/>
  <c r="A292" i="2"/>
  <c r="D291" i="2"/>
  <c r="C291" i="2"/>
  <c r="B291" i="2"/>
  <c r="A291" i="2"/>
  <c r="D290" i="2"/>
  <c r="C290" i="2"/>
  <c r="B290" i="2"/>
  <c r="A290" i="2"/>
  <c r="D289" i="2"/>
  <c r="C289" i="2"/>
  <c r="B289" i="2"/>
  <c r="A289" i="2"/>
  <c r="D288" i="2"/>
  <c r="C288" i="2"/>
  <c r="B288" i="2"/>
  <c r="A288" i="2"/>
  <c r="D287" i="2"/>
  <c r="C287" i="2"/>
  <c r="B287" i="2"/>
  <c r="A287" i="2"/>
  <c r="D286" i="2"/>
  <c r="C286" i="2"/>
  <c r="B286" i="2"/>
  <c r="A286" i="2"/>
  <c r="D285" i="2"/>
  <c r="C285" i="2"/>
  <c r="B285" i="2"/>
  <c r="A285" i="2"/>
  <c r="D284" i="2"/>
  <c r="C284" i="2"/>
  <c r="B284" i="2"/>
  <c r="A284" i="2"/>
  <c r="D283" i="2"/>
  <c r="C283" i="2"/>
  <c r="B283" i="2"/>
  <c r="A283" i="2"/>
  <c r="D282" i="2"/>
  <c r="C282" i="2"/>
  <c r="B282" i="2"/>
  <c r="A282" i="2"/>
  <c r="D281" i="2"/>
  <c r="C281" i="2"/>
  <c r="B281" i="2"/>
  <c r="A281" i="2"/>
  <c r="D280" i="2"/>
  <c r="C280" i="2"/>
  <c r="B280" i="2"/>
  <c r="A280" i="2"/>
  <c r="D279" i="2"/>
  <c r="C279" i="2"/>
  <c r="B279" i="2"/>
  <c r="A279" i="2"/>
  <c r="D278" i="2"/>
  <c r="C278" i="2"/>
  <c r="B278" i="2"/>
  <c r="A278" i="2"/>
  <c r="D277" i="2"/>
  <c r="C277" i="2"/>
  <c r="B277" i="2"/>
  <c r="A277" i="2"/>
  <c r="D276" i="2"/>
  <c r="C276" i="2"/>
  <c r="B276" i="2"/>
  <c r="A276" i="2"/>
  <c r="D275" i="2"/>
  <c r="C275" i="2"/>
  <c r="B275" i="2"/>
  <c r="A275" i="2"/>
  <c r="D274" i="2"/>
  <c r="C274" i="2"/>
  <c r="B274" i="2"/>
  <c r="A274" i="2"/>
  <c r="D273" i="2"/>
  <c r="C273" i="2"/>
  <c r="B273" i="2"/>
  <c r="A273" i="2"/>
  <c r="D272" i="2"/>
  <c r="C272" i="2"/>
  <c r="B272" i="2"/>
  <c r="A272" i="2"/>
  <c r="D271" i="2"/>
  <c r="C271" i="2"/>
  <c r="B271" i="2"/>
  <c r="A271" i="2"/>
  <c r="D270" i="2"/>
  <c r="C270" i="2"/>
  <c r="B270" i="2"/>
  <c r="A270" i="2"/>
  <c r="D269" i="2"/>
  <c r="C269" i="2"/>
  <c r="B269" i="2"/>
  <c r="A269" i="2"/>
  <c r="D268" i="2"/>
  <c r="C268" i="2"/>
  <c r="B268" i="2"/>
  <c r="A268" i="2"/>
  <c r="D267" i="2"/>
  <c r="C267" i="2"/>
  <c r="B267" i="2"/>
  <c r="A267" i="2"/>
  <c r="D266" i="2"/>
  <c r="C266" i="2"/>
  <c r="B266" i="2"/>
  <c r="A266" i="2"/>
  <c r="D265" i="2"/>
  <c r="C265" i="2"/>
  <c r="B265" i="2"/>
  <c r="A265" i="2"/>
  <c r="D264" i="2"/>
  <c r="C264" i="2"/>
  <c r="B264" i="2"/>
  <c r="A264" i="2"/>
  <c r="D263" i="2"/>
  <c r="C263" i="2"/>
  <c r="B263" i="2"/>
  <c r="A263" i="2"/>
  <c r="D262" i="2"/>
  <c r="C262" i="2"/>
  <c r="B262" i="2"/>
  <c r="A262" i="2"/>
  <c r="D261" i="2"/>
  <c r="C261" i="2"/>
  <c r="B261" i="2"/>
  <c r="A261" i="2"/>
  <c r="D260" i="2"/>
  <c r="C260" i="2"/>
  <c r="B260" i="2"/>
  <c r="A260" i="2"/>
  <c r="D259" i="2"/>
  <c r="C259" i="2"/>
  <c r="B259" i="2"/>
  <c r="A259" i="2"/>
  <c r="D258" i="2"/>
  <c r="C258" i="2"/>
  <c r="B258" i="2"/>
  <c r="A258" i="2"/>
  <c r="D257" i="2"/>
  <c r="C257" i="2"/>
  <c r="B257" i="2"/>
  <c r="A257" i="2"/>
  <c r="D256" i="2"/>
  <c r="C256" i="2"/>
  <c r="B256" i="2"/>
  <c r="A256" i="2"/>
  <c r="D255" i="2"/>
  <c r="C255" i="2"/>
  <c r="B255" i="2"/>
  <c r="A255" i="2"/>
  <c r="D254" i="2"/>
  <c r="C254" i="2"/>
  <c r="B254" i="2"/>
  <c r="A254" i="2"/>
  <c r="D253" i="2"/>
  <c r="C253" i="2"/>
  <c r="B253" i="2"/>
  <c r="A253" i="2"/>
  <c r="D252" i="2"/>
  <c r="C252" i="2"/>
  <c r="B252" i="2"/>
  <c r="A252" i="2"/>
  <c r="D251" i="2"/>
  <c r="C251" i="2"/>
  <c r="B251" i="2"/>
  <c r="A251" i="2"/>
  <c r="D250" i="2"/>
  <c r="C250" i="2"/>
  <c r="B250" i="2"/>
  <c r="A250" i="2"/>
  <c r="D249" i="2"/>
  <c r="C249" i="2"/>
  <c r="B249" i="2"/>
  <c r="A249" i="2"/>
  <c r="D248" i="2"/>
  <c r="C248" i="2"/>
  <c r="B248" i="2"/>
  <c r="A248" i="2"/>
  <c r="D247" i="2"/>
  <c r="C247" i="2"/>
  <c r="B247" i="2"/>
  <c r="A247" i="2"/>
  <c r="D246" i="2"/>
  <c r="C246" i="2"/>
  <c r="B246" i="2"/>
  <c r="A246" i="2"/>
  <c r="D245" i="2"/>
  <c r="C245" i="2"/>
  <c r="B245" i="2"/>
  <c r="A245" i="2"/>
  <c r="D244" i="2"/>
  <c r="C244" i="2"/>
  <c r="B244" i="2"/>
  <c r="A244" i="2"/>
  <c r="D243" i="2"/>
  <c r="C243" i="2"/>
  <c r="B243" i="2"/>
  <c r="A243" i="2"/>
  <c r="D242" i="2"/>
  <c r="C242" i="2"/>
  <c r="B242" i="2"/>
  <c r="A242" i="2"/>
  <c r="D241" i="2"/>
  <c r="C241" i="2"/>
  <c r="B241" i="2"/>
  <c r="A241" i="2"/>
  <c r="D240" i="2"/>
  <c r="C240" i="2"/>
  <c r="B240" i="2"/>
  <c r="A240" i="2"/>
  <c r="D239" i="2"/>
  <c r="C239" i="2"/>
  <c r="B239" i="2"/>
  <c r="A239" i="2"/>
  <c r="D238" i="2"/>
  <c r="C238" i="2"/>
  <c r="B238" i="2"/>
  <c r="A238" i="2"/>
  <c r="D237" i="2"/>
  <c r="C237" i="2"/>
  <c r="B237" i="2"/>
  <c r="A237" i="2"/>
  <c r="D236" i="2"/>
  <c r="C236" i="2"/>
  <c r="B236" i="2"/>
  <c r="A236" i="2"/>
  <c r="D235" i="2"/>
  <c r="C235" i="2"/>
  <c r="B235" i="2"/>
  <c r="A235" i="2"/>
  <c r="D234" i="2"/>
  <c r="C234" i="2"/>
  <c r="B234" i="2"/>
  <c r="A234" i="2"/>
  <c r="D233" i="2"/>
  <c r="C233" i="2"/>
  <c r="B233" i="2"/>
  <c r="A233" i="2"/>
  <c r="D232" i="2"/>
  <c r="C232" i="2"/>
  <c r="B232" i="2"/>
  <c r="A232" i="2"/>
  <c r="D231" i="2"/>
  <c r="C231" i="2"/>
  <c r="B231" i="2"/>
  <c r="A231" i="2"/>
  <c r="D230" i="2"/>
  <c r="C230" i="2"/>
  <c r="B230" i="2"/>
  <c r="A230" i="2"/>
  <c r="D229" i="2"/>
  <c r="C229" i="2"/>
  <c r="B229" i="2"/>
  <c r="A229" i="2"/>
  <c r="D228" i="2"/>
  <c r="C228" i="2"/>
  <c r="B228" i="2"/>
  <c r="A228" i="2"/>
  <c r="D227" i="2"/>
  <c r="C227" i="2"/>
  <c r="B227" i="2"/>
  <c r="A227" i="2"/>
  <c r="D226" i="2"/>
  <c r="C226" i="2"/>
  <c r="B226" i="2"/>
  <c r="A226" i="2"/>
  <c r="D225" i="2"/>
  <c r="C225" i="2"/>
  <c r="B225" i="2"/>
  <c r="A225" i="2"/>
  <c r="D224" i="2"/>
  <c r="C224" i="2"/>
  <c r="B224" i="2"/>
  <c r="A224" i="2"/>
  <c r="D223" i="2"/>
  <c r="C223" i="2"/>
  <c r="B223" i="2"/>
  <c r="A223" i="2"/>
  <c r="D222" i="2"/>
  <c r="C222" i="2"/>
  <c r="B222" i="2"/>
  <c r="A222" i="2"/>
  <c r="D221" i="2"/>
  <c r="C221" i="2"/>
  <c r="B221" i="2"/>
  <c r="A221" i="2"/>
  <c r="D220" i="2"/>
  <c r="C220" i="2"/>
  <c r="B220" i="2"/>
  <c r="A220" i="2"/>
  <c r="D219" i="2"/>
  <c r="C219" i="2"/>
  <c r="B219" i="2"/>
  <c r="A219" i="2"/>
  <c r="D218" i="2"/>
  <c r="C218" i="2"/>
  <c r="B218" i="2"/>
  <c r="A218" i="2"/>
  <c r="D217" i="2"/>
  <c r="C217" i="2"/>
  <c r="B217" i="2"/>
  <c r="A217" i="2"/>
  <c r="D216" i="2"/>
  <c r="C216" i="2"/>
  <c r="B216" i="2"/>
  <c r="A216" i="2"/>
  <c r="D215" i="2"/>
  <c r="C215" i="2"/>
  <c r="B215" i="2"/>
  <c r="A215" i="2"/>
  <c r="D214" i="2"/>
  <c r="C214" i="2"/>
  <c r="B214" i="2"/>
  <c r="A214" i="2"/>
  <c r="D213" i="2"/>
  <c r="C213" i="2"/>
  <c r="B213" i="2"/>
  <c r="A213" i="2"/>
  <c r="D212" i="2"/>
  <c r="C212" i="2"/>
  <c r="B212" i="2"/>
  <c r="A212" i="2"/>
  <c r="D211" i="2"/>
  <c r="C211" i="2"/>
  <c r="B211" i="2"/>
  <c r="A211" i="2"/>
  <c r="D210" i="2"/>
  <c r="C210" i="2"/>
  <c r="B210" i="2"/>
  <c r="A210" i="2"/>
  <c r="D209" i="2"/>
  <c r="C209" i="2"/>
  <c r="B209" i="2"/>
  <c r="A209" i="2"/>
  <c r="D208" i="2"/>
  <c r="C208" i="2"/>
  <c r="B208" i="2"/>
  <c r="A208" i="2"/>
  <c r="D207" i="2"/>
  <c r="C207" i="2"/>
  <c r="B207" i="2"/>
  <c r="A207" i="2"/>
  <c r="D206" i="2"/>
  <c r="C206" i="2"/>
  <c r="B206" i="2"/>
  <c r="A206" i="2"/>
  <c r="D205" i="2"/>
  <c r="C205" i="2"/>
  <c r="B205" i="2"/>
  <c r="A205" i="2"/>
  <c r="D204" i="2"/>
  <c r="C204" i="2"/>
  <c r="B204" i="2"/>
  <c r="A204" i="2"/>
  <c r="D203" i="2"/>
  <c r="C203" i="2"/>
  <c r="B203" i="2"/>
  <c r="A203" i="2"/>
  <c r="D202" i="2"/>
  <c r="C202" i="2"/>
  <c r="B202" i="2"/>
  <c r="A202" i="2"/>
  <c r="D201" i="2"/>
  <c r="C201" i="2"/>
  <c r="B201" i="2"/>
  <c r="A201" i="2"/>
  <c r="D200" i="2"/>
  <c r="C200" i="2"/>
  <c r="B200" i="2"/>
  <c r="A200" i="2"/>
  <c r="D199" i="2"/>
  <c r="C199" i="2"/>
  <c r="B199" i="2"/>
  <c r="A199" i="2"/>
  <c r="D198" i="2"/>
  <c r="C198" i="2"/>
  <c r="B198" i="2"/>
  <c r="A198" i="2"/>
  <c r="D197" i="2"/>
  <c r="C197" i="2"/>
  <c r="B197" i="2"/>
  <c r="A197" i="2"/>
  <c r="D196" i="2"/>
  <c r="C196" i="2"/>
  <c r="B196" i="2"/>
  <c r="A196" i="2"/>
  <c r="D195" i="2"/>
  <c r="C195" i="2"/>
  <c r="B195" i="2"/>
  <c r="A195" i="2"/>
  <c r="D194" i="2"/>
  <c r="C194" i="2"/>
  <c r="B194" i="2"/>
  <c r="A194" i="2"/>
  <c r="D193" i="2"/>
  <c r="C193" i="2"/>
  <c r="B193" i="2"/>
  <c r="A193" i="2"/>
  <c r="D192" i="2"/>
  <c r="C192" i="2"/>
  <c r="B192" i="2"/>
  <c r="A192" i="2"/>
  <c r="D191" i="2"/>
  <c r="C191" i="2"/>
  <c r="B191" i="2"/>
  <c r="A191" i="2"/>
  <c r="D190" i="2"/>
  <c r="C190" i="2"/>
  <c r="B190" i="2"/>
  <c r="A190" i="2"/>
  <c r="D189" i="2"/>
  <c r="C189" i="2"/>
  <c r="B189" i="2"/>
  <c r="A189" i="2"/>
  <c r="D188" i="2"/>
  <c r="C188" i="2"/>
  <c r="B188" i="2"/>
  <c r="A188" i="2"/>
  <c r="D187" i="2"/>
  <c r="C187" i="2"/>
  <c r="B187" i="2"/>
  <c r="A187" i="2"/>
  <c r="D186" i="2"/>
  <c r="C186" i="2"/>
  <c r="B186" i="2"/>
  <c r="A186" i="2"/>
  <c r="D185" i="2"/>
  <c r="C185" i="2"/>
  <c r="B185" i="2"/>
  <c r="A185" i="2"/>
  <c r="D184" i="2"/>
  <c r="C184" i="2"/>
  <c r="B184" i="2"/>
  <c r="A184" i="2"/>
  <c r="D183" i="2"/>
  <c r="C183" i="2"/>
  <c r="B183" i="2"/>
  <c r="A183" i="2"/>
  <c r="D182" i="2"/>
  <c r="C182" i="2"/>
  <c r="B182" i="2"/>
  <c r="A182" i="2"/>
  <c r="D181" i="2"/>
  <c r="C181" i="2"/>
  <c r="B181" i="2"/>
  <c r="A181" i="2"/>
  <c r="D180" i="2"/>
  <c r="C180" i="2"/>
  <c r="B180" i="2"/>
  <c r="A180" i="2"/>
  <c r="D179" i="2"/>
  <c r="C179" i="2"/>
  <c r="B179" i="2"/>
  <c r="A179" i="2"/>
  <c r="D178" i="2"/>
  <c r="C178" i="2"/>
  <c r="B178" i="2"/>
  <c r="A178" i="2"/>
  <c r="D177" i="2"/>
  <c r="C177" i="2"/>
  <c r="B177" i="2"/>
  <c r="A177" i="2"/>
  <c r="D176" i="2"/>
  <c r="C176" i="2"/>
  <c r="B176" i="2"/>
  <c r="A176" i="2"/>
  <c r="D175" i="2"/>
  <c r="C175" i="2"/>
  <c r="B175" i="2"/>
  <c r="A175" i="2"/>
  <c r="D174" i="2"/>
  <c r="C174" i="2"/>
  <c r="B174" i="2"/>
  <c r="A174" i="2"/>
  <c r="D173" i="2"/>
  <c r="C173" i="2"/>
  <c r="B173" i="2"/>
  <c r="A173" i="2"/>
  <c r="D172" i="2"/>
  <c r="C172" i="2"/>
  <c r="B172" i="2"/>
  <c r="A172" i="2"/>
  <c r="D171" i="2"/>
  <c r="C171" i="2"/>
  <c r="B171" i="2"/>
  <c r="A171" i="2"/>
  <c r="D170" i="2"/>
  <c r="C170" i="2"/>
  <c r="B170" i="2"/>
  <c r="A170" i="2"/>
  <c r="D169" i="2"/>
  <c r="C169" i="2"/>
  <c r="B169" i="2"/>
  <c r="A169" i="2"/>
  <c r="D168" i="2"/>
  <c r="C168" i="2"/>
  <c r="B168" i="2"/>
  <c r="A168" i="2"/>
  <c r="D167" i="2"/>
  <c r="C167" i="2"/>
  <c r="B167" i="2"/>
  <c r="A167" i="2"/>
  <c r="D166" i="2"/>
  <c r="C166" i="2"/>
  <c r="B166" i="2"/>
  <c r="A166" i="2"/>
  <c r="D165" i="2"/>
  <c r="C165" i="2"/>
  <c r="B165" i="2"/>
  <c r="A165" i="2"/>
  <c r="D164" i="2"/>
  <c r="C164" i="2"/>
  <c r="B164" i="2"/>
  <c r="A164" i="2"/>
  <c r="D163" i="2"/>
  <c r="C163" i="2"/>
  <c r="B163" i="2"/>
  <c r="A163" i="2"/>
  <c r="D162" i="2"/>
  <c r="C162" i="2"/>
  <c r="B162" i="2"/>
  <c r="A162" i="2"/>
  <c r="D161" i="2"/>
  <c r="C161" i="2"/>
  <c r="B161" i="2"/>
  <c r="A161" i="2"/>
  <c r="D160" i="2"/>
  <c r="C160" i="2"/>
  <c r="B160" i="2"/>
  <c r="A160" i="2"/>
  <c r="D159" i="2"/>
  <c r="C159" i="2"/>
  <c r="B159" i="2"/>
  <c r="A159" i="2"/>
  <c r="D158" i="2"/>
  <c r="C158" i="2"/>
  <c r="B158" i="2"/>
  <c r="A158" i="2"/>
  <c r="D157" i="2"/>
  <c r="C157" i="2"/>
  <c r="B157" i="2"/>
  <c r="A157" i="2"/>
  <c r="D156" i="2"/>
  <c r="C156" i="2"/>
  <c r="B156" i="2"/>
  <c r="A156" i="2"/>
  <c r="D155" i="2"/>
  <c r="C155" i="2"/>
  <c r="B155" i="2"/>
  <c r="A155" i="2"/>
  <c r="D154" i="2"/>
  <c r="C154" i="2"/>
  <c r="B154" i="2"/>
  <c r="A154" i="2"/>
  <c r="D153" i="2"/>
  <c r="C153" i="2"/>
  <c r="B153" i="2"/>
  <c r="A153" i="2"/>
  <c r="D152" i="2"/>
  <c r="C152" i="2"/>
  <c r="B152" i="2"/>
  <c r="A152" i="2"/>
  <c r="D151" i="2"/>
  <c r="C151" i="2"/>
  <c r="B151" i="2"/>
  <c r="A151" i="2"/>
  <c r="D150" i="2"/>
  <c r="C150" i="2"/>
  <c r="B150" i="2"/>
  <c r="A150" i="2"/>
  <c r="D149" i="2"/>
  <c r="C149" i="2"/>
  <c r="B149" i="2"/>
  <c r="A149" i="2"/>
  <c r="D148" i="2"/>
  <c r="C148" i="2"/>
  <c r="B148" i="2"/>
  <c r="A148" i="2"/>
  <c r="D147" i="2"/>
  <c r="C147" i="2"/>
  <c r="B147" i="2"/>
  <c r="A147" i="2"/>
  <c r="D146" i="2"/>
  <c r="C146" i="2"/>
  <c r="B146" i="2"/>
  <c r="A146" i="2"/>
  <c r="D145" i="2"/>
  <c r="C145" i="2"/>
  <c r="B145" i="2"/>
  <c r="A145" i="2"/>
  <c r="D144" i="2"/>
  <c r="C144" i="2"/>
  <c r="B144" i="2"/>
  <c r="A144" i="2"/>
  <c r="D143" i="2"/>
  <c r="C143" i="2"/>
  <c r="B143" i="2"/>
  <c r="A143" i="2"/>
  <c r="D142" i="2"/>
  <c r="C142" i="2"/>
  <c r="B142" i="2"/>
  <c r="A142" i="2"/>
  <c r="D141" i="2"/>
  <c r="C141" i="2"/>
  <c r="B141" i="2"/>
  <c r="A141" i="2"/>
  <c r="D140" i="2"/>
  <c r="C140" i="2"/>
  <c r="B140" i="2"/>
  <c r="A140" i="2"/>
  <c r="D139" i="2"/>
  <c r="C139" i="2"/>
  <c r="B139" i="2"/>
  <c r="A139" i="2"/>
  <c r="D138" i="2"/>
  <c r="C138" i="2"/>
  <c r="B138" i="2"/>
  <c r="A138" i="2"/>
  <c r="D137" i="2"/>
  <c r="C137" i="2"/>
  <c r="B137" i="2"/>
  <c r="A137" i="2"/>
  <c r="D136" i="2"/>
  <c r="C136" i="2"/>
  <c r="B136" i="2"/>
  <c r="A136" i="2"/>
  <c r="D135" i="2"/>
  <c r="C135" i="2"/>
  <c r="B135" i="2"/>
  <c r="A135" i="2"/>
  <c r="D134" i="2"/>
  <c r="C134" i="2"/>
  <c r="B134" i="2"/>
  <c r="A134" i="2"/>
  <c r="D133" i="2"/>
  <c r="C133" i="2"/>
  <c r="B133" i="2"/>
  <c r="A133" i="2"/>
  <c r="D132" i="2"/>
  <c r="C132" i="2"/>
  <c r="B132" i="2"/>
  <c r="A132" i="2"/>
  <c r="D131" i="2"/>
  <c r="C131" i="2"/>
  <c r="B131" i="2"/>
  <c r="A131" i="2"/>
  <c r="D130" i="2"/>
  <c r="C130" i="2"/>
  <c r="B130" i="2"/>
  <c r="A130" i="2"/>
  <c r="D129" i="2"/>
  <c r="C129" i="2"/>
  <c r="B129" i="2"/>
  <c r="A129" i="2"/>
  <c r="D128" i="2"/>
  <c r="C128" i="2"/>
  <c r="B128" i="2"/>
  <c r="A128" i="2"/>
  <c r="D127" i="2"/>
  <c r="C127" i="2"/>
  <c r="B127" i="2"/>
  <c r="A127" i="2"/>
  <c r="D126" i="2"/>
  <c r="C126" i="2"/>
  <c r="B126" i="2"/>
  <c r="A126" i="2"/>
  <c r="D125" i="2"/>
  <c r="C125" i="2"/>
  <c r="B125" i="2"/>
  <c r="A125" i="2"/>
  <c r="D124" i="2"/>
  <c r="C124" i="2"/>
  <c r="B124" i="2"/>
  <c r="A124" i="2"/>
  <c r="D123" i="2"/>
  <c r="C123" i="2"/>
  <c r="B123" i="2"/>
  <c r="A123" i="2"/>
  <c r="D122" i="2"/>
  <c r="C122" i="2"/>
  <c r="B122" i="2"/>
  <c r="A122" i="2"/>
  <c r="D121" i="2"/>
  <c r="C121" i="2"/>
  <c r="B121" i="2"/>
  <c r="A121" i="2"/>
  <c r="D120" i="2"/>
  <c r="C120" i="2"/>
  <c r="B120" i="2"/>
  <c r="A120" i="2"/>
  <c r="D119" i="2"/>
  <c r="C119" i="2"/>
  <c r="B119" i="2"/>
  <c r="A119" i="2"/>
  <c r="D118" i="2"/>
  <c r="C118" i="2"/>
  <c r="B118" i="2"/>
  <c r="A118" i="2"/>
  <c r="D117" i="2"/>
  <c r="C117" i="2"/>
  <c r="B117" i="2"/>
  <c r="A117" i="2"/>
  <c r="D116" i="2"/>
  <c r="C116" i="2"/>
  <c r="B116" i="2"/>
  <c r="A116" i="2"/>
  <c r="D115" i="2"/>
  <c r="C115" i="2"/>
  <c r="B115" i="2"/>
  <c r="A115" i="2"/>
  <c r="D114" i="2"/>
  <c r="C114" i="2"/>
  <c r="B114" i="2"/>
  <c r="A114" i="2"/>
  <c r="D113" i="2"/>
  <c r="C113" i="2"/>
  <c r="B113" i="2"/>
  <c r="A113" i="2"/>
  <c r="D112" i="2"/>
  <c r="C112" i="2"/>
  <c r="B112" i="2"/>
  <c r="A112" i="2"/>
  <c r="D111" i="2"/>
  <c r="C111" i="2"/>
  <c r="B111" i="2"/>
  <c r="A111" i="2"/>
  <c r="D110" i="2"/>
  <c r="C110" i="2"/>
  <c r="B110" i="2"/>
  <c r="A110" i="2"/>
  <c r="D109" i="2"/>
  <c r="C109" i="2"/>
  <c r="B109" i="2"/>
  <c r="A109" i="2"/>
  <c r="D108" i="2"/>
  <c r="C108" i="2"/>
  <c r="B108" i="2"/>
  <c r="A108" i="2"/>
  <c r="D107" i="2"/>
  <c r="C107" i="2"/>
  <c r="B107" i="2"/>
  <c r="A107" i="2"/>
  <c r="D106" i="2"/>
  <c r="C106" i="2"/>
  <c r="B106" i="2"/>
  <c r="A106" i="2"/>
  <c r="D105" i="2"/>
  <c r="C105" i="2"/>
  <c r="B105" i="2"/>
  <c r="A105" i="2"/>
  <c r="D104" i="2"/>
  <c r="C104" i="2"/>
  <c r="B104" i="2"/>
  <c r="A104" i="2"/>
  <c r="D103" i="2"/>
  <c r="C103" i="2"/>
  <c r="B103" i="2"/>
  <c r="A103" i="2"/>
  <c r="D102" i="2"/>
  <c r="C102" i="2"/>
  <c r="B102" i="2"/>
  <c r="A102" i="2"/>
  <c r="D101" i="2"/>
  <c r="C101" i="2"/>
  <c r="B101" i="2"/>
  <c r="A101" i="2"/>
  <c r="D100" i="2"/>
  <c r="C100" i="2"/>
  <c r="B100" i="2"/>
  <c r="A100" i="2"/>
  <c r="D99" i="2"/>
  <c r="C99" i="2"/>
  <c r="B99" i="2"/>
  <c r="A99" i="2"/>
  <c r="D98" i="2"/>
  <c r="C98" i="2"/>
  <c r="B98" i="2"/>
  <c r="A98" i="2"/>
  <c r="D97" i="2"/>
  <c r="C97" i="2"/>
  <c r="B97" i="2"/>
  <c r="A97" i="2"/>
  <c r="D96" i="2"/>
  <c r="C96" i="2"/>
  <c r="B96" i="2"/>
  <c r="A96" i="2"/>
  <c r="D95" i="2"/>
  <c r="C95" i="2"/>
  <c r="B95" i="2"/>
  <c r="A95" i="2"/>
  <c r="D94" i="2"/>
  <c r="C94" i="2"/>
  <c r="B94" i="2"/>
  <c r="A94" i="2"/>
  <c r="D93" i="2"/>
  <c r="C93" i="2"/>
  <c r="B93" i="2"/>
  <c r="A93" i="2"/>
  <c r="D92" i="2"/>
  <c r="C92" i="2"/>
  <c r="B92" i="2"/>
  <c r="A92" i="2"/>
  <c r="D91" i="2"/>
  <c r="C91" i="2"/>
  <c r="B91" i="2"/>
  <c r="A91" i="2"/>
  <c r="D90" i="2"/>
  <c r="C90" i="2"/>
  <c r="B90" i="2"/>
  <c r="A90" i="2"/>
  <c r="D89" i="2"/>
  <c r="C89" i="2"/>
  <c r="B89" i="2"/>
  <c r="A89" i="2"/>
  <c r="D88" i="2"/>
  <c r="C88" i="2"/>
  <c r="B88" i="2"/>
  <c r="A88" i="2"/>
  <c r="D87" i="2"/>
  <c r="C87" i="2"/>
  <c r="B87" i="2"/>
  <c r="A87" i="2"/>
  <c r="D86" i="2"/>
  <c r="C86" i="2"/>
  <c r="B86" i="2"/>
  <c r="A86" i="2"/>
  <c r="D85" i="2"/>
  <c r="C85" i="2"/>
  <c r="B85" i="2"/>
  <c r="A85" i="2"/>
  <c r="D84" i="2"/>
  <c r="C84" i="2"/>
  <c r="B84" i="2"/>
  <c r="A84" i="2"/>
  <c r="D83" i="2"/>
  <c r="C83" i="2"/>
  <c r="B83" i="2"/>
  <c r="A83" i="2"/>
  <c r="D82" i="2"/>
  <c r="C82" i="2"/>
  <c r="B82" i="2"/>
  <c r="A82" i="2"/>
  <c r="D81" i="2"/>
  <c r="C81" i="2"/>
  <c r="B81" i="2"/>
  <c r="A81" i="2"/>
  <c r="D80" i="2"/>
  <c r="C80" i="2"/>
  <c r="B80" i="2"/>
  <c r="A80" i="2"/>
  <c r="D79" i="2"/>
  <c r="C79" i="2"/>
  <c r="B79" i="2"/>
  <c r="A79" i="2"/>
  <c r="D78" i="2"/>
  <c r="C78" i="2"/>
  <c r="B78" i="2"/>
  <c r="A78" i="2"/>
  <c r="D77" i="2"/>
  <c r="C77" i="2"/>
  <c r="B77" i="2"/>
  <c r="A77" i="2"/>
  <c r="D76" i="2"/>
  <c r="C76" i="2"/>
  <c r="B76" i="2"/>
  <c r="A76" i="2"/>
  <c r="D75" i="2"/>
  <c r="C75" i="2"/>
  <c r="B75" i="2"/>
  <c r="A75" i="2"/>
  <c r="D74" i="2"/>
  <c r="C74" i="2"/>
  <c r="B74" i="2"/>
  <c r="A74" i="2"/>
  <c r="D73" i="2"/>
  <c r="C73" i="2"/>
  <c r="B73" i="2"/>
  <c r="A73" i="2"/>
  <c r="D72" i="2"/>
  <c r="C72" i="2"/>
  <c r="B72" i="2"/>
  <c r="A72" i="2"/>
  <c r="D71" i="2"/>
  <c r="C71" i="2"/>
  <c r="B71" i="2"/>
  <c r="A71" i="2"/>
  <c r="D70" i="2"/>
  <c r="C70" i="2"/>
  <c r="B70" i="2"/>
  <c r="A70" i="2"/>
  <c r="D69" i="2"/>
  <c r="C69" i="2"/>
  <c r="B69" i="2"/>
  <c r="A69" i="2"/>
  <c r="D68" i="2"/>
  <c r="C68" i="2"/>
  <c r="B68" i="2"/>
  <c r="A68" i="2"/>
  <c r="D67" i="2"/>
  <c r="C67" i="2"/>
  <c r="B67" i="2"/>
  <c r="A67" i="2"/>
  <c r="D66" i="2"/>
  <c r="C66" i="2"/>
  <c r="B66" i="2"/>
  <c r="A66" i="2"/>
  <c r="D65" i="2"/>
  <c r="C65" i="2"/>
  <c r="B65" i="2"/>
  <c r="A65" i="2"/>
  <c r="D64" i="2"/>
  <c r="C64" i="2"/>
  <c r="B64" i="2"/>
  <c r="A64" i="2"/>
  <c r="D63" i="2"/>
  <c r="C63" i="2"/>
  <c r="B63" i="2"/>
  <c r="A63" i="2"/>
  <c r="D62" i="2"/>
  <c r="C62" i="2"/>
  <c r="B62" i="2"/>
  <c r="A62" i="2"/>
  <c r="D61" i="2"/>
  <c r="C61" i="2"/>
  <c r="B61" i="2"/>
  <c r="A61" i="2"/>
  <c r="D60" i="2"/>
  <c r="C60" i="2"/>
  <c r="B60" i="2"/>
  <c r="A60" i="2"/>
  <c r="D59" i="2"/>
  <c r="C59" i="2"/>
  <c r="B59" i="2"/>
  <c r="A59" i="2"/>
  <c r="D58" i="2"/>
  <c r="C58" i="2"/>
  <c r="B58" i="2"/>
  <c r="A58" i="2"/>
  <c r="D57" i="2"/>
  <c r="C57" i="2"/>
  <c r="B57" i="2"/>
  <c r="A57" i="2"/>
  <c r="D56" i="2"/>
  <c r="C56" i="2"/>
  <c r="B56" i="2"/>
  <c r="A56" i="2"/>
  <c r="D55" i="2"/>
  <c r="C55" i="2"/>
  <c r="B55" i="2"/>
  <c r="A55" i="2"/>
  <c r="D54" i="2"/>
  <c r="C54" i="2"/>
  <c r="B54" i="2"/>
  <c r="A54" i="2"/>
  <c r="D53" i="2"/>
  <c r="C53" i="2"/>
  <c r="B53" i="2"/>
  <c r="A53" i="2"/>
  <c r="D52" i="2"/>
  <c r="C52" i="2"/>
  <c r="B52" i="2"/>
  <c r="A52" i="2"/>
  <c r="D51" i="2"/>
  <c r="C51" i="2"/>
  <c r="B51" i="2"/>
  <c r="A51" i="2"/>
  <c r="D50" i="2"/>
  <c r="C50" i="2"/>
  <c r="B50" i="2"/>
  <c r="A50" i="2"/>
  <c r="D49" i="2"/>
  <c r="C49" i="2"/>
  <c r="B49" i="2"/>
  <c r="A49" i="2"/>
  <c r="D48" i="2"/>
  <c r="C48" i="2"/>
  <c r="B48" i="2"/>
  <c r="A48" i="2"/>
  <c r="D47" i="2"/>
  <c r="C47" i="2"/>
  <c r="B47" i="2"/>
  <c r="A47" i="2"/>
  <c r="D46" i="2"/>
  <c r="C46" i="2"/>
  <c r="B46" i="2"/>
  <c r="A46" i="2"/>
  <c r="D45" i="2"/>
  <c r="C45" i="2"/>
  <c r="B45" i="2"/>
  <c r="A45" i="2"/>
  <c r="D44" i="2"/>
  <c r="C44" i="2"/>
  <c r="B44" i="2"/>
  <c r="A44" i="2"/>
  <c r="D43" i="2"/>
  <c r="C43" i="2"/>
  <c r="B43" i="2"/>
  <c r="A43" i="2"/>
  <c r="D42" i="2"/>
  <c r="C42" i="2"/>
  <c r="B42" i="2"/>
  <c r="A42" i="2"/>
  <c r="D41" i="2"/>
  <c r="C41" i="2"/>
  <c r="B41" i="2"/>
  <c r="A41" i="2"/>
  <c r="D40" i="2"/>
  <c r="C40" i="2"/>
  <c r="B40" i="2"/>
  <c r="A40" i="2"/>
  <c r="D39" i="2"/>
  <c r="C39" i="2"/>
  <c r="B39" i="2"/>
  <c r="A39" i="2"/>
  <c r="D38" i="2"/>
  <c r="C38" i="2"/>
  <c r="B38" i="2"/>
  <c r="A38" i="2"/>
  <c r="D37" i="2"/>
  <c r="C37" i="2"/>
  <c r="B37" i="2"/>
  <c r="A37" i="2"/>
  <c r="D36" i="2"/>
  <c r="C36" i="2"/>
  <c r="B36" i="2"/>
  <c r="A36" i="2"/>
  <c r="D35" i="2"/>
  <c r="C35" i="2"/>
  <c r="B35" i="2"/>
  <c r="A35" i="2"/>
  <c r="D34" i="2"/>
  <c r="C34" i="2"/>
  <c r="B34" i="2"/>
  <c r="A34" i="2"/>
  <c r="D33" i="2"/>
  <c r="C33" i="2"/>
  <c r="B33" i="2"/>
  <c r="A33" i="2"/>
  <c r="D32" i="2"/>
  <c r="C32" i="2"/>
  <c r="B32" i="2"/>
  <c r="A32" i="2"/>
  <c r="D31" i="2"/>
  <c r="C31" i="2"/>
  <c r="B31" i="2"/>
  <c r="A31" i="2"/>
  <c r="D30" i="2"/>
  <c r="C30" i="2"/>
  <c r="B30" i="2"/>
  <c r="A30" i="2"/>
  <c r="D29" i="2"/>
  <c r="C29" i="2"/>
  <c r="B29" i="2"/>
  <c r="A29" i="2"/>
  <c r="D28" i="2"/>
  <c r="C28" i="2"/>
  <c r="B28" i="2"/>
  <c r="A28" i="2"/>
  <c r="D27" i="2"/>
  <c r="C27" i="2"/>
  <c r="B27" i="2"/>
  <c r="A27" i="2"/>
  <c r="D26" i="2"/>
  <c r="C26" i="2"/>
  <c r="B26" i="2"/>
  <c r="A26" i="2"/>
  <c r="D25" i="2"/>
  <c r="C25" i="2"/>
  <c r="B25" i="2"/>
  <c r="A25" i="2"/>
  <c r="D24" i="2"/>
  <c r="C24" i="2"/>
  <c r="B24" i="2"/>
  <c r="A24" i="2"/>
  <c r="D23" i="2"/>
  <c r="C23" i="2"/>
  <c r="B23" i="2"/>
  <c r="A23" i="2"/>
  <c r="D22" i="2"/>
  <c r="C22" i="2"/>
  <c r="B22" i="2"/>
  <c r="A22" i="2"/>
  <c r="D21" i="2"/>
  <c r="C21" i="2"/>
  <c r="B21" i="2"/>
  <c r="A21" i="2"/>
  <c r="D20" i="2"/>
  <c r="C20" i="2"/>
  <c r="B20" i="2"/>
  <c r="A20" i="2"/>
  <c r="D19" i="2"/>
  <c r="C19" i="2"/>
  <c r="B19" i="2"/>
  <c r="A19" i="2"/>
  <c r="D18" i="2"/>
  <c r="C18" i="2"/>
  <c r="B18" i="2"/>
  <c r="A18" i="2"/>
  <c r="D17" i="2"/>
  <c r="C17" i="2"/>
  <c r="B17" i="2"/>
  <c r="A17" i="2"/>
  <c r="D16" i="2"/>
  <c r="C16" i="2"/>
  <c r="B16" i="2"/>
  <c r="A16" i="2"/>
  <c r="D15" i="2"/>
  <c r="C15" i="2"/>
  <c r="B15" i="2"/>
  <c r="A15" i="2"/>
  <c r="D14" i="2"/>
  <c r="C14" i="2"/>
  <c r="B14" i="2"/>
  <c r="A14" i="2"/>
  <c r="D13" i="2"/>
  <c r="C13" i="2"/>
  <c r="B13" i="2"/>
  <c r="A13" i="2"/>
  <c r="D12" i="2"/>
  <c r="C12" i="2"/>
  <c r="B12" i="2"/>
  <c r="A12" i="2"/>
  <c r="D11" i="2"/>
  <c r="C11" i="2"/>
  <c r="B11" i="2"/>
  <c r="A11" i="2"/>
  <c r="D10" i="2"/>
  <c r="C10" i="2"/>
  <c r="B10" i="2"/>
  <c r="A10" i="2"/>
  <c r="D9" i="2"/>
  <c r="C9" i="2"/>
  <c r="B9" i="2"/>
  <c r="A9" i="2"/>
  <c r="D8" i="2"/>
  <c r="C8" i="2"/>
  <c r="B8" i="2"/>
  <c r="A8" i="2"/>
  <c r="D7" i="2"/>
  <c r="C7" i="2"/>
  <c r="B7" i="2"/>
  <c r="A7" i="2"/>
  <c r="D6" i="2"/>
  <c r="C6" i="2"/>
  <c r="B6" i="2"/>
  <c r="A6" i="2"/>
  <c r="D5" i="2"/>
  <c r="C5" i="2"/>
  <c r="B5" i="2"/>
  <c r="A5" i="2"/>
  <c r="D4" i="2"/>
  <c r="C4" i="2"/>
  <c r="B4" i="2"/>
  <c r="A4" i="2"/>
  <c r="D3" i="2"/>
  <c r="C3" i="2"/>
  <c r="B3" i="2"/>
  <c r="A3" i="2"/>
  <c r="B2" i="2"/>
  <c r="A2" i="2"/>
  <c r="D2" i="2"/>
  <c r="D1" i="2"/>
  <c r="C2" i="2"/>
  <c r="C1" i="2"/>
  <c r="B1" i="2"/>
</calcChain>
</file>

<file path=xl/sharedStrings.xml><?xml version="1.0" encoding="utf-8"?>
<sst xmlns="http://schemas.openxmlformats.org/spreadsheetml/2006/main" count="30" uniqueCount="22">
  <si>
    <t>sample_id</t>
  </si>
  <si>
    <t>sample_name</t>
  </si>
  <si>
    <t>No more than 1000 samples can be entered in this worksheet.  If you need to submit metadata for &gt;1000 samples, please contact CMI directly.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</si>
  <si>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</si>
  <si>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</si>
  <si>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</si>
  <si>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</si>
  <si>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</si>
  <si>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</si>
  <si>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</si>
  <si>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</si>
  <si>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</si>
  <si>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</si>
  <si>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</si>
  <si>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</si>
  <si>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</si>
  <si>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</si>
  <si>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"mouse gut metagenome". The default value is mouse gut metagenome.</t>
  </si>
  <si>
    <t>The value must be a string and must equal "410661". The default value is 410661.</t>
  </si>
  <si>
    <t xml:space="preserve">sample_name:
  empty: false
  is_phi: false
  regex: ^[a-zA-Z0-9\.]+$
  required: true
  type: string
  unique: true
scientific_name:
  allowed:
  - mouse gut metagenome
  default: mouse gut metagenome
  empty: false
  is_phi: false
  required: true
  type: string
taxon_id:
  allowed:
  - '410661'
  default: '410661'
  empty: false
  is_phi: false
  required: true
  type: string
</t>
  </si>
  <si>
    <t xml:space="preserve">0:
  categorical_default_select: mouse gut metagenome
  categorical_values: mouse gut metagenome
  default_value: categorical_default
  field_name: scientific_name
  field_type: categorical
1:
  categorical_default_select: '410661'
  categorical_values: '410661'
  default_value: categorical_default
  field_name: taxon_id
  field_type: categorical
</t>
  </si>
  <si>
    <t>This file was created by the Metadata Wizard v0.3 at 2018-01-05 19:13:38.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</si>
</sst>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u/>
        <color rgb="FF9C0006"/>
      </font>
      <fill>
        <patternFill>
          <bgColor rgb="FFFFC7CE"/>
        </patternFill>
      </fill>
    </dxf>
    <dxf>
      <font>
        <color rgb="FFC6EFCE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5" zeroHeight="1" x14ac:dyDescent="0.2"/>
  <cols>
    <col min="1" max="1" width="0" hidden="1" customWidth="1"/>
    <col min="2" max="4" width="8.83203125" style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">
      <c r="A2" t="str">
        <f>IF(COUNTBLANK(B2:D2)&lt;&gt;COLUMNS(B2:D2),1,"")</f>
        <v/>
      </c>
      <c r="C2" s="1" t="str">
        <f t="shared" ref="C2:C65" si="0">IF(B2="", "", "mouse gut metagenome")</f>
        <v/>
      </c>
      <c r="D2" s="1" t="str">
        <f t="shared" ref="D2:D65" si="1">IF(B2="", "", "410661")</f>
        <v/>
      </c>
    </row>
    <row r="3" spans="1:4" x14ac:dyDescent="0.2">
      <c r="A3" t="str">
        <f>IF(COUNTBLANK(B3:D3)&lt;&gt;COLUMNS(B3:D3),2,"")</f>
        <v/>
      </c>
      <c r="C3" s="1" t="str">
        <f t="shared" si="0"/>
        <v/>
      </c>
      <c r="D3" s="1" t="str">
        <f t="shared" si="1"/>
        <v/>
      </c>
    </row>
    <row r="4" spans="1:4" x14ac:dyDescent="0.2">
      <c r="A4" t="str">
        <f>IF(COUNTBLANK(B4:D4)&lt;&gt;COLUMNS(B4:D4),3,"")</f>
        <v/>
      </c>
      <c r="C4" s="1" t="str">
        <f t="shared" si="0"/>
        <v/>
      </c>
      <c r="D4" s="1" t="str">
        <f t="shared" si="1"/>
        <v/>
      </c>
    </row>
    <row r="5" spans="1:4" x14ac:dyDescent="0.2">
      <c r="A5" t="str">
        <f>IF(COUNTBLANK(B5:D5)&lt;&gt;COLUMNS(B5:D5),4,"")</f>
        <v/>
      </c>
      <c r="C5" s="1" t="str">
        <f t="shared" si="0"/>
        <v/>
      </c>
      <c r="D5" s="1" t="str">
        <f t="shared" si="1"/>
        <v/>
      </c>
    </row>
    <row r="6" spans="1:4" x14ac:dyDescent="0.2">
      <c r="A6" t="str">
        <f>IF(COUNTBLANK(B6:D6)&lt;&gt;COLUMNS(B6:D6),5,"")</f>
        <v/>
      </c>
      <c r="C6" s="1" t="str">
        <f t="shared" si="0"/>
        <v/>
      </c>
      <c r="D6" s="1" t="str">
        <f t="shared" si="1"/>
        <v/>
      </c>
    </row>
    <row r="7" spans="1:4" x14ac:dyDescent="0.2">
      <c r="A7" t="str">
        <f>IF(COUNTBLANK(B7:D7)&lt;&gt;COLUMNS(B7:D7),6,"")</f>
        <v/>
      </c>
      <c r="C7" s="1" t="str">
        <f t="shared" si="0"/>
        <v/>
      </c>
      <c r="D7" s="1" t="str">
        <f t="shared" si="1"/>
        <v/>
      </c>
    </row>
    <row r="8" spans="1:4" x14ac:dyDescent="0.2">
      <c r="A8" t="str">
        <f>IF(COUNTBLANK(B8:D8)&lt;&gt;COLUMNS(B8:D8),7,"")</f>
        <v/>
      </c>
      <c r="C8" s="1" t="str">
        <f t="shared" si="0"/>
        <v/>
      </c>
      <c r="D8" s="1" t="str">
        <f t="shared" si="1"/>
        <v/>
      </c>
    </row>
    <row r="9" spans="1:4" x14ac:dyDescent="0.2">
      <c r="A9" t="str">
        <f>IF(COUNTBLANK(B9:D9)&lt;&gt;COLUMNS(B9:D9),8,"")</f>
        <v/>
      </c>
      <c r="C9" s="1" t="str">
        <f t="shared" si="0"/>
        <v/>
      </c>
      <c r="D9" s="1" t="str">
        <f t="shared" si="1"/>
        <v/>
      </c>
    </row>
    <row r="10" spans="1:4" x14ac:dyDescent="0.2">
      <c r="A10" t="str">
        <f>IF(COUNTBLANK(B10:D10)&lt;&gt;COLUMNS(B10:D10),9,"")</f>
        <v/>
      </c>
      <c r="C10" s="1" t="str">
        <f t="shared" si="0"/>
        <v/>
      </c>
      <c r="D10" s="1" t="str">
        <f t="shared" si="1"/>
        <v/>
      </c>
    </row>
    <row r="11" spans="1:4" x14ac:dyDescent="0.2">
      <c r="A11" t="str">
        <f>IF(COUNTBLANK(B11:D11)&lt;&gt;COLUMNS(B11:D11),10,"")</f>
        <v/>
      </c>
      <c r="C11" s="1" t="str">
        <f t="shared" si="0"/>
        <v/>
      </c>
      <c r="D11" s="1" t="str">
        <f t="shared" si="1"/>
        <v/>
      </c>
    </row>
    <row r="12" spans="1:4" x14ac:dyDescent="0.2">
      <c r="A12" t="str">
        <f>IF(COUNTBLANK(B12:D12)&lt;&gt;COLUMNS(B12:D12),11,"")</f>
        <v/>
      </c>
      <c r="C12" s="1" t="str">
        <f t="shared" si="0"/>
        <v/>
      </c>
      <c r="D12" s="1" t="str">
        <f t="shared" si="1"/>
        <v/>
      </c>
    </row>
    <row r="13" spans="1:4" x14ac:dyDescent="0.2">
      <c r="A13" t="str">
        <f>IF(COUNTBLANK(B13:D13)&lt;&gt;COLUMNS(B13:D13),12,"")</f>
        <v/>
      </c>
      <c r="C13" s="1" t="str">
        <f t="shared" si="0"/>
        <v/>
      </c>
      <c r="D13" s="1" t="str">
        <f t="shared" si="1"/>
        <v/>
      </c>
    </row>
    <row r="14" spans="1:4" x14ac:dyDescent="0.2">
      <c r="A14" t="str">
        <f>IF(COUNTBLANK(B14:D14)&lt;&gt;COLUMNS(B14:D14),13,"")</f>
        <v/>
      </c>
      <c r="C14" s="1" t="str">
        <f t="shared" si="0"/>
        <v/>
      </c>
      <c r="D14" s="1" t="str">
        <f t="shared" si="1"/>
        <v/>
      </c>
    </row>
    <row r="15" spans="1:4" x14ac:dyDescent="0.2">
      <c r="A15" t="str">
        <f>IF(COUNTBLANK(B15:D15)&lt;&gt;COLUMNS(B15:D15),14,"")</f>
        <v/>
      </c>
      <c r="C15" s="1" t="str">
        <f t="shared" si="0"/>
        <v/>
      </c>
      <c r="D15" s="1" t="str">
        <f t="shared" si="1"/>
        <v/>
      </c>
    </row>
    <row r="16" spans="1:4" x14ac:dyDescent="0.2">
      <c r="A16" t="str">
        <f>IF(COUNTBLANK(B16:D16)&lt;&gt;COLUMNS(B16:D16),15,"")</f>
        <v/>
      </c>
      <c r="C16" s="1" t="str">
        <f t="shared" si="0"/>
        <v/>
      </c>
      <c r="D16" s="1" t="str">
        <f t="shared" si="1"/>
        <v/>
      </c>
    </row>
    <row r="17" spans="1:4" x14ac:dyDescent="0.2">
      <c r="A17" t="str">
        <f>IF(COUNTBLANK(B17:D17)&lt;&gt;COLUMNS(B17:D17),16,"")</f>
        <v/>
      </c>
      <c r="C17" s="1" t="str">
        <f t="shared" si="0"/>
        <v/>
      </c>
      <c r="D17" s="1" t="str">
        <f t="shared" si="1"/>
        <v/>
      </c>
    </row>
    <row r="18" spans="1:4" x14ac:dyDescent="0.2">
      <c r="A18" t="str">
        <f>IF(COUNTBLANK(B18:D18)&lt;&gt;COLUMNS(B18:D18),17,"")</f>
        <v/>
      </c>
      <c r="C18" s="1" t="str">
        <f t="shared" si="0"/>
        <v/>
      </c>
      <c r="D18" s="1" t="str">
        <f t="shared" si="1"/>
        <v/>
      </c>
    </row>
    <row r="19" spans="1:4" x14ac:dyDescent="0.2">
      <c r="A19" t="str">
        <f>IF(COUNTBLANK(B19:D19)&lt;&gt;COLUMNS(B19:D19),18,"")</f>
        <v/>
      </c>
      <c r="C19" s="1" t="str">
        <f t="shared" si="0"/>
        <v/>
      </c>
      <c r="D19" s="1" t="str">
        <f t="shared" si="1"/>
        <v/>
      </c>
    </row>
    <row r="20" spans="1:4" x14ac:dyDescent="0.2">
      <c r="A20" t="str">
        <f>IF(COUNTBLANK(B20:D20)&lt;&gt;COLUMNS(B20:D20),19,"")</f>
        <v/>
      </c>
      <c r="C20" s="1" t="str">
        <f t="shared" si="0"/>
        <v/>
      </c>
      <c r="D20" s="1" t="str">
        <f t="shared" si="1"/>
        <v/>
      </c>
    </row>
    <row r="21" spans="1:4" x14ac:dyDescent="0.2">
      <c r="A21" t="str">
        <f>IF(COUNTBLANK(B21:D21)&lt;&gt;COLUMNS(B21:D21),20,"")</f>
        <v/>
      </c>
      <c r="C21" s="1" t="str">
        <f t="shared" si="0"/>
        <v/>
      </c>
      <c r="D21" s="1" t="str">
        <f t="shared" si="1"/>
        <v/>
      </c>
    </row>
    <row r="22" spans="1:4" x14ac:dyDescent="0.2">
      <c r="A22" t="str">
        <f>IF(COUNTBLANK(B22:D22)&lt;&gt;COLUMNS(B22:D22),21,"")</f>
        <v/>
      </c>
      <c r="C22" s="1" t="str">
        <f t="shared" si="0"/>
        <v/>
      </c>
      <c r="D22" s="1" t="str">
        <f t="shared" si="1"/>
        <v/>
      </c>
    </row>
    <row r="23" spans="1:4" x14ac:dyDescent="0.2">
      <c r="A23" t="str">
        <f>IF(COUNTBLANK(B23:D23)&lt;&gt;COLUMNS(B23:D23),22,"")</f>
        <v/>
      </c>
      <c r="C23" s="1" t="str">
        <f t="shared" si="0"/>
        <v/>
      </c>
      <c r="D23" s="1" t="str">
        <f t="shared" si="1"/>
        <v/>
      </c>
    </row>
    <row r="24" spans="1:4" x14ac:dyDescent="0.2">
      <c r="A24" t="str">
        <f>IF(COUNTBLANK(B24:D24)&lt;&gt;COLUMNS(B24:D24),23,"")</f>
        <v/>
      </c>
      <c r="C24" s="1" t="str">
        <f t="shared" si="0"/>
        <v/>
      </c>
      <c r="D24" s="1" t="str">
        <f t="shared" si="1"/>
        <v/>
      </c>
    </row>
    <row r="25" spans="1:4" x14ac:dyDescent="0.2">
      <c r="A25" t="str">
        <f>IF(COUNTBLANK(B25:D25)&lt;&gt;COLUMNS(B25:D25),24,"")</f>
        <v/>
      </c>
      <c r="C25" s="1" t="str">
        <f t="shared" si="0"/>
        <v/>
      </c>
      <c r="D25" s="1" t="str">
        <f t="shared" si="1"/>
        <v/>
      </c>
    </row>
    <row r="26" spans="1:4" x14ac:dyDescent="0.2">
      <c r="A26" t="str">
        <f>IF(COUNTBLANK(B26:D26)&lt;&gt;COLUMNS(B26:D26),25,"")</f>
        <v/>
      </c>
      <c r="C26" s="1" t="str">
        <f t="shared" si="0"/>
        <v/>
      </c>
      <c r="D26" s="1" t="str">
        <f t="shared" si="1"/>
        <v/>
      </c>
    </row>
    <row r="27" spans="1:4" x14ac:dyDescent="0.2">
      <c r="A27" t="str">
        <f>IF(COUNTBLANK(B27:D27)&lt;&gt;COLUMNS(B27:D27),26,"")</f>
        <v/>
      </c>
      <c r="C27" s="1" t="str">
        <f t="shared" si="0"/>
        <v/>
      </c>
      <c r="D27" s="1" t="str">
        <f t="shared" si="1"/>
        <v/>
      </c>
    </row>
    <row r="28" spans="1:4" x14ac:dyDescent="0.2">
      <c r="A28" t="str">
        <f>IF(COUNTBLANK(B28:D28)&lt;&gt;COLUMNS(B28:D28),27,"")</f>
        <v/>
      </c>
      <c r="C28" s="1" t="str">
        <f t="shared" si="0"/>
        <v/>
      </c>
      <c r="D28" s="1" t="str">
        <f t="shared" si="1"/>
        <v/>
      </c>
    </row>
    <row r="29" spans="1:4" x14ac:dyDescent="0.2">
      <c r="A29" t="str">
        <f>IF(COUNTBLANK(B29:D29)&lt;&gt;COLUMNS(B29:D29),28,"")</f>
        <v/>
      </c>
      <c r="C29" s="1" t="str">
        <f t="shared" si="0"/>
        <v/>
      </c>
      <c r="D29" s="1" t="str">
        <f t="shared" si="1"/>
        <v/>
      </c>
    </row>
    <row r="30" spans="1:4" x14ac:dyDescent="0.2">
      <c r="A30" t="str">
        <f>IF(COUNTBLANK(B30:D30)&lt;&gt;COLUMNS(B30:D30),29,"")</f>
        <v/>
      </c>
      <c r="C30" s="1" t="str">
        <f t="shared" si="0"/>
        <v/>
      </c>
      <c r="D30" s="1" t="str">
        <f t="shared" si="1"/>
        <v/>
      </c>
    </row>
    <row r="31" spans="1:4" x14ac:dyDescent="0.2">
      <c r="A31" t="str">
        <f>IF(COUNTBLANK(B31:D31)&lt;&gt;COLUMNS(B31:D31),30,"")</f>
        <v/>
      </c>
      <c r="C31" s="1" t="str">
        <f t="shared" si="0"/>
        <v/>
      </c>
      <c r="D31" s="1" t="str">
        <f t="shared" si="1"/>
        <v/>
      </c>
    </row>
    <row r="32" spans="1:4" x14ac:dyDescent="0.2">
      <c r="A32" t="str">
        <f>IF(COUNTBLANK(B32:D32)&lt;&gt;COLUMNS(B32:D32),31,"")</f>
        <v/>
      </c>
      <c r="C32" s="1" t="str">
        <f t="shared" si="0"/>
        <v/>
      </c>
      <c r="D32" s="1" t="str">
        <f t="shared" si="1"/>
        <v/>
      </c>
    </row>
    <row r="33" spans="1:4" x14ac:dyDescent="0.2">
      <c r="A33" t="str">
        <f>IF(COUNTBLANK(B33:D33)&lt;&gt;COLUMNS(B33:D33),32,"")</f>
        <v/>
      </c>
      <c r="C33" s="1" t="str">
        <f t="shared" si="0"/>
        <v/>
      </c>
      <c r="D33" s="1" t="str">
        <f t="shared" si="1"/>
        <v/>
      </c>
    </row>
    <row r="34" spans="1:4" x14ac:dyDescent="0.2">
      <c r="A34" t="str">
        <f>IF(COUNTBLANK(B34:D34)&lt;&gt;COLUMNS(B34:D34),33,"")</f>
        <v/>
      </c>
      <c r="C34" s="1" t="str">
        <f t="shared" si="0"/>
        <v/>
      </c>
      <c r="D34" s="1" t="str">
        <f t="shared" si="1"/>
        <v/>
      </c>
    </row>
    <row r="35" spans="1:4" x14ac:dyDescent="0.2">
      <c r="A35" t="str">
        <f>IF(COUNTBLANK(B35:D35)&lt;&gt;COLUMNS(B35:D35),34,"")</f>
        <v/>
      </c>
      <c r="C35" s="1" t="str">
        <f t="shared" si="0"/>
        <v/>
      </c>
      <c r="D35" s="1" t="str">
        <f t="shared" si="1"/>
        <v/>
      </c>
    </row>
    <row r="36" spans="1:4" x14ac:dyDescent="0.2">
      <c r="A36" t="str">
        <f>IF(COUNTBLANK(B36:D36)&lt;&gt;COLUMNS(B36:D36),35,"")</f>
        <v/>
      </c>
      <c r="C36" s="1" t="str">
        <f t="shared" si="0"/>
        <v/>
      </c>
      <c r="D36" s="1" t="str">
        <f t="shared" si="1"/>
        <v/>
      </c>
    </row>
    <row r="37" spans="1:4" x14ac:dyDescent="0.2">
      <c r="A37" t="str">
        <f>IF(COUNTBLANK(B37:D37)&lt;&gt;COLUMNS(B37:D37),36,"")</f>
        <v/>
      </c>
      <c r="C37" s="1" t="str">
        <f t="shared" si="0"/>
        <v/>
      </c>
      <c r="D37" s="1" t="str">
        <f t="shared" si="1"/>
        <v/>
      </c>
    </row>
    <row r="38" spans="1:4" x14ac:dyDescent="0.2">
      <c r="A38" t="str">
        <f>IF(COUNTBLANK(B38:D38)&lt;&gt;COLUMNS(B38:D38),37,"")</f>
        <v/>
      </c>
      <c r="C38" s="1" t="str">
        <f t="shared" si="0"/>
        <v/>
      </c>
      <c r="D38" s="1" t="str">
        <f t="shared" si="1"/>
        <v/>
      </c>
    </row>
    <row r="39" spans="1:4" x14ac:dyDescent="0.2">
      <c r="A39" t="str">
        <f>IF(COUNTBLANK(B39:D39)&lt;&gt;COLUMNS(B39:D39),38,"")</f>
        <v/>
      </c>
      <c r="C39" s="1" t="str">
        <f t="shared" si="0"/>
        <v/>
      </c>
      <c r="D39" s="1" t="str">
        <f t="shared" si="1"/>
        <v/>
      </c>
    </row>
    <row r="40" spans="1:4" x14ac:dyDescent="0.2">
      <c r="A40" t="str">
        <f>IF(COUNTBLANK(B40:D40)&lt;&gt;COLUMNS(B40:D40),39,"")</f>
        <v/>
      </c>
      <c r="C40" s="1" t="str">
        <f t="shared" si="0"/>
        <v/>
      </c>
      <c r="D40" s="1" t="str">
        <f t="shared" si="1"/>
        <v/>
      </c>
    </row>
    <row r="41" spans="1:4" x14ac:dyDescent="0.2">
      <c r="A41" t="str">
        <f>IF(COUNTBLANK(B41:D41)&lt;&gt;COLUMNS(B41:D41),40,"")</f>
        <v/>
      </c>
      <c r="C41" s="1" t="str">
        <f t="shared" si="0"/>
        <v/>
      </c>
      <c r="D41" s="1" t="str">
        <f t="shared" si="1"/>
        <v/>
      </c>
    </row>
    <row r="42" spans="1:4" x14ac:dyDescent="0.2">
      <c r="A42" t="str">
        <f>IF(COUNTBLANK(B42:D42)&lt;&gt;COLUMNS(B42:D42),41,"")</f>
        <v/>
      </c>
      <c r="C42" s="1" t="str">
        <f t="shared" si="0"/>
        <v/>
      </c>
      <c r="D42" s="1" t="str">
        <f t="shared" si="1"/>
        <v/>
      </c>
    </row>
    <row r="43" spans="1:4" x14ac:dyDescent="0.2">
      <c r="A43" t="str">
        <f>IF(COUNTBLANK(B43:D43)&lt;&gt;COLUMNS(B43:D43),42,"")</f>
        <v/>
      </c>
      <c r="C43" s="1" t="str">
        <f t="shared" si="0"/>
        <v/>
      </c>
      <c r="D43" s="1" t="str">
        <f t="shared" si="1"/>
        <v/>
      </c>
    </row>
    <row r="44" spans="1:4" x14ac:dyDescent="0.2">
      <c r="A44" t="str">
        <f>IF(COUNTBLANK(B44:D44)&lt;&gt;COLUMNS(B44:D44),43,"")</f>
        <v/>
      </c>
      <c r="C44" s="1" t="str">
        <f t="shared" si="0"/>
        <v/>
      </c>
      <c r="D44" s="1" t="str">
        <f t="shared" si="1"/>
        <v/>
      </c>
    </row>
    <row r="45" spans="1:4" x14ac:dyDescent="0.2">
      <c r="A45" t="str">
        <f>IF(COUNTBLANK(B45:D45)&lt;&gt;COLUMNS(B45:D45),44,"")</f>
        <v/>
      </c>
      <c r="C45" s="1" t="str">
        <f t="shared" si="0"/>
        <v/>
      </c>
      <c r="D45" s="1" t="str">
        <f t="shared" si="1"/>
        <v/>
      </c>
    </row>
    <row r="46" spans="1:4" x14ac:dyDescent="0.2">
      <c r="A46" t="str">
        <f>IF(COUNTBLANK(B46:D46)&lt;&gt;COLUMNS(B46:D46),45,"")</f>
        <v/>
      </c>
      <c r="C46" s="1" t="str">
        <f t="shared" si="0"/>
        <v/>
      </c>
      <c r="D46" s="1" t="str">
        <f t="shared" si="1"/>
        <v/>
      </c>
    </row>
    <row r="47" spans="1:4" x14ac:dyDescent="0.2">
      <c r="A47" t="str">
        <f>IF(COUNTBLANK(B47:D47)&lt;&gt;COLUMNS(B47:D47),46,"")</f>
        <v/>
      </c>
      <c r="C47" s="1" t="str">
        <f t="shared" si="0"/>
        <v/>
      </c>
      <c r="D47" s="1" t="str">
        <f t="shared" si="1"/>
        <v/>
      </c>
    </row>
    <row r="48" spans="1:4" x14ac:dyDescent="0.2">
      <c r="A48" t="str">
        <f>IF(COUNTBLANK(B48:D48)&lt;&gt;COLUMNS(B48:D48),47,"")</f>
        <v/>
      </c>
      <c r="C48" s="1" t="str">
        <f t="shared" si="0"/>
        <v/>
      </c>
      <c r="D48" s="1" t="str">
        <f t="shared" si="1"/>
        <v/>
      </c>
    </row>
    <row r="49" spans="1:4" x14ac:dyDescent="0.2">
      <c r="A49" t="str">
        <f>IF(COUNTBLANK(B49:D49)&lt;&gt;COLUMNS(B49:D49),48,"")</f>
        <v/>
      </c>
      <c r="C49" s="1" t="str">
        <f t="shared" si="0"/>
        <v/>
      </c>
      <c r="D49" s="1" t="str">
        <f t="shared" si="1"/>
        <v/>
      </c>
    </row>
    <row r="50" spans="1:4" x14ac:dyDescent="0.2">
      <c r="A50" t="str">
        <f>IF(COUNTBLANK(B50:D50)&lt;&gt;COLUMNS(B50:D50),49,"")</f>
        <v/>
      </c>
      <c r="C50" s="1" t="str">
        <f t="shared" si="0"/>
        <v/>
      </c>
      <c r="D50" s="1" t="str">
        <f t="shared" si="1"/>
        <v/>
      </c>
    </row>
    <row r="51" spans="1:4" x14ac:dyDescent="0.2">
      <c r="A51" t="str">
        <f>IF(COUNTBLANK(B51:D51)&lt;&gt;COLUMNS(B51:D51),50,"")</f>
        <v/>
      </c>
      <c r="C51" s="1" t="str">
        <f t="shared" si="0"/>
        <v/>
      </c>
      <c r="D51" s="1" t="str">
        <f t="shared" si="1"/>
        <v/>
      </c>
    </row>
    <row r="52" spans="1:4" x14ac:dyDescent="0.2">
      <c r="A52" t="str">
        <f>IF(COUNTBLANK(B52:D52)&lt;&gt;COLUMNS(B52:D52),51,"")</f>
        <v/>
      </c>
      <c r="C52" s="1" t="str">
        <f t="shared" si="0"/>
        <v/>
      </c>
      <c r="D52" s="1" t="str">
        <f t="shared" si="1"/>
        <v/>
      </c>
    </row>
    <row r="53" spans="1:4" x14ac:dyDescent="0.2">
      <c r="A53" t="str">
        <f>IF(COUNTBLANK(B53:D53)&lt;&gt;COLUMNS(B53:D53),52,"")</f>
        <v/>
      </c>
      <c r="C53" s="1" t="str">
        <f t="shared" si="0"/>
        <v/>
      </c>
      <c r="D53" s="1" t="str">
        <f t="shared" si="1"/>
        <v/>
      </c>
    </row>
    <row r="54" spans="1:4" x14ac:dyDescent="0.2">
      <c r="A54" t="str">
        <f>IF(COUNTBLANK(B54:D54)&lt;&gt;COLUMNS(B54:D54),53,"")</f>
        <v/>
      </c>
      <c r="C54" s="1" t="str">
        <f t="shared" si="0"/>
        <v/>
      </c>
      <c r="D54" s="1" t="str">
        <f t="shared" si="1"/>
        <v/>
      </c>
    </row>
    <row r="55" spans="1:4" x14ac:dyDescent="0.2">
      <c r="A55" t="str">
        <f>IF(COUNTBLANK(B55:D55)&lt;&gt;COLUMNS(B55:D55),54,"")</f>
        <v/>
      </c>
      <c r="C55" s="1" t="str">
        <f t="shared" si="0"/>
        <v/>
      </c>
      <c r="D55" s="1" t="str">
        <f t="shared" si="1"/>
        <v/>
      </c>
    </row>
    <row r="56" spans="1:4" x14ac:dyDescent="0.2">
      <c r="A56" t="str">
        <f>IF(COUNTBLANK(B56:D56)&lt;&gt;COLUMNS(B56:D56),55,"")</f>
        <v/>
      </c>
      <c r="C56" s="1" t="str">
        <f t="shared" si="0"/>
        <v/>
      </c>
      <c r="D56" s="1" t="str">
        <f t="shared" si="1"/>
        <v/>
      </c>
    </row>
    <row r="57" spans="1:4" x14ac:dyDescent="0.2">
      <c r="A57" t="str">
        <f>IF(COUNTBLANK(B57:D57)&lt;&gt;COLUMNS(B57:D57),56,"")</f>
        <v/>
      </c>
      <c r="C57" s="1" t="str">
        <f t="shared" si="0"/>
        <v/>
      </c>
      <c r="D57" s="1" t="str">
        <f t="shared" si="1"/>
        <v/>
      </c>
    </row>
    <row r="58" spans="1:4" x14ac:dyDescent="0.2">
      <c r="A58" t="str">
        <f>IF(COUNTBLANK(B58:D58)&lt;&gt;COLUMNS(B58:D58),57,"")</f>
        <v/>
      </c>
      <c r="C58" s="1" t="str">
        <f t="shared" si="0"/>
        <v/>
      </c>
      <c r="D58" s="1" t="str">
        <f t="shared" si="1"/>
        <v/>
      </c>
    </row>
    <row r="59" spans="1:4" x14ac:dyDescent="0.2">
      <c r="A59" t="str">
        <f>IF(COUNTBLANK(B59:D59)&lt;&gt;COLUMNS(B59:D59),58,"")</f>
        <v/>
      </c>
      <c r="C59" s="1" t="str">
        <f t="shared" si="0"/>
        <v/>
      </c>
      <c r="D59" s="1" t="str">
        <f t="shared" si="1"/>
        <v/>
      </c>
    </row>
    <row r="60" spans="1:4" x14ac:dyDescent="0.2">
      <c r="A60" t="str">
        <f>IF(COUNTBLANK(B60:D60)&lt;&gt;COLUMNS(B60:D60),59,"")</f>
        <v/>
      </c>
      <c r="C60" s="1" t="str">
        <f t="shared" si="0"/>
        <v/>
      </c>
      <c r="D60" s="1" t="str">
        <f t="shared" si="1"/>
        <v/>
      </c>
    </row>
    <row r="61" spans="1:4" x14ac:dyDescent="0.2">
      <c r="A61" t="str">
        <f>IF(COUNTBLANK(B61:D61)&lt;&gt;COLUMNS(B61:D61),60,"")</f>
        <v/>
      </c>
      <c r="C61" s="1" t="str">
        <f t="shared" si="0"/>
        <v/>
      </c>
      <c r="D61" s="1" t="str">
        <f t="shared" si="1"/>
        <v/>
      </c>
    </row>
    <row r="62" spans="1:4" x14ac:dyDescent="0.2">
      <c r="A62" t="str">
        <f>IF(COUNTBLANK(B62:D62)&lt;&gt;COLUMNS(B62:D62),61,"")</f>
        <v/>
      </c>
      <c r="C62" s="1" t="str">
        <f t="shared" si="0"/>
        <v/>
      </c>
      <c r="D62" s="1" t="str">
        <f t="shared" si="1"/>
        <v/>
      </c>
    </row>
    <row r="63" spans="1:4" x14ac:dyDescent="0.2">
      <c r="A63" t="str">
        <f>IF(COUNTBLANK(B63:D63)&lt;&gt;COLUMNS(B63:D63),62,"")</f>
        <v/>
      </c>
      <c r="C63" s="1" t="str">
        <f t="shared" si="0"/>
        <v/>
      </c>
      <c r="D63" s="1" t="str">
        <f t="shared" si="1"/>
        <v/>
      </c>
    </row>
    <row r="64" spans="1:4" x14ac:dyDescent="0.2">
      <c r="A64" t="str">
        <f>IF(COUNTBLANK(B64:D64)&lt;&gt;COLUMNS(B64:D64),63,"")</f>
        <v/>
      </c>
      <c r="C64" s="1" t="str">
        <f t="shared" si="0"/>
        <v/>
      </c>
      <c r="D64" s="1" t="str">
        <f t="shared" si="1"/>
        <v/>
      </c>
    </row>
    <row r="65" spans="1:4" x14ac:dyDescent="0.2">
      <c r="A65" t="str">
        <f>IF(COUNTBLANK(B65:D65)&lt;&gt;COLUMNS(B65:D65),64,"")</f>
        <v/>
      </c>
      <c r="C65" s="1" t="str">
        <f t="shared" si="0"/>
        <v/>
      </c>
      <c r="D65" s="1" t="str">
        <f t="shared" si="1"/>
        <v/>
      </c>
    </row>
    <row r="66" spans="1:4" x14ac:dyDescent="0.2">
      <c r="A66" t="str">
        <f>IF(COUNTBLANK(B66:D66)&lt;&gt;COLUMNS(B66:D66),65,"")</f>
        <v/>
      </c>
      <c r="C66" s="1" t="str">
        <f t="shared" ref="C66:C129" si="2">IF(B66="", "", "mouse gut metagenome")</f>
        <v/>
      </c>
      <c r="D66" s="1" t="str">
        <f t="shared" ref="D66:D129" si="3">IF(B66="", "", "410661")</f>
        <v/>
      </c>
    </row>
    <row r="67" spans="1:4" x14ac:dyDescent="0.2">
      <c r="A67" t="str">
        <f>IF(COUNTBLANK(B67:D67)&lt;&gt;COLUMNS(B67:D67),66,"")</f>
        <v/>
      </c>
      <c r="C67" s="1" t="str">
        <f t="shared" si="2"/>
        <v/>
      </c>
      <c r="D67" s="1" t="str">
        <f t="shared" si="3"/>
        <v/>
      </c>
    </row>
    <row r="68" spans="1:4" x14ac:dyDescent="0.2">
      <c r="A68" t="str">
        <f>IF(COUNTBLANK(B68:D68)&lt;&gt;COLUMNS(B68:D68),67,"")</f>
        <v/>
      </c>
      <c r="C68" s="1" t="str">
        <f t="shared" si="2"/>
        <v/>
      </c>
      <c r="D68" s="1" t="str">
        <f t="shared" si="3"/>
        <v/>
      </c>
    </row>
    <row r="69" spans="1:4" x14ac:dyDescent="0.2">
      <c r="A69" t="str">
        <f>IF(COUNTBLANK(B69:D69)&lt;&gt;COLUMNS(B69:D69),68,"")</f>
        <v/>
      </c>
      <c r="C69" s="1" t="str">
        <f t="shared" si="2"/>
        <v/>
      </c>
      <c r="D69" s="1" t="str">
        <f t="shared" si="3"/>
        <v/>
      </c>
    </row>
    <row r="70" spans="1:4" x14ac:dyDescent="0.2">
      <c r="A70" t="str">
        <f>IF(COUNTBLANK(B70:D70)&lt;&gt;COLUMNS(B70:D70),69,"")</f>
        <v/>
      </c>
      <c r="C70" s="1" t="str">
        <f t="shared" si="2"/>
        <v/>
      </c>
      <c r="D70" s="1" t="str">
        <f t="shared" si="3"/>
        <v/>
      </c>
    </row>
    <row r="71" spans="1:4" x14ac:dyDescent="0.2">
      <c r="A71" t="str">
        <f>IF(COUNTBLANK(B71:D71)&lt;&gt;COLUMNS(B71:D71),70,"")</f>
        <v/>
      </c>
      <c r="C71" s="1" t="str">
        <f t="shared" si="2"/>
        <v/>
      </c>
      <c r="D71" s="1" t="str">
        <f t="shared" si="3"/>
        <v/>
      </c>
    </row>
    <row r="72" spans="1:4" x14ac:dyDescent="0.2">
      <c r="A72" t="str">
        <f>IF(COUNTBLANK(B72:D72)&lt;&gt;COLUMNS(B72:D72),71,"")</f>
        <v/>
      </c>
      <c r="C72" s="1" t="str">
        <f t="shared" si="2"/>
        <v/>
      </c>
      <c r="D72" s="1" t="str">
        <f t="shared" si="3"/>
        <v/>
      </c>
    </row>
    <row r="73" spans="1:4" x14ac:dyDescent="0.2">
      <c r="A73" t="str">
        <f>IF(COUNTBLANK(B73:D73)&lt;&gt;COLUMNS(B73:D73),72,"")</f>
        <v/>
      </c>
      <c r="C73" s="1" t="str">
        <f t="shared" si="2"/>
        <v/>
      </c>
      <c r="D73" s="1" t="str">
        <f t="shared" si="3"/>
        <v/>
      </c>
    </row>
    <row r="74" spans="1:4" x14ac:dyDescent="0.2">
      <c r="A74" t="str">
        <f>IF(COUNTBLANK(B74:D74)&lt;&gt;COLUMNS(B74:D74),73,"")</f>
        <v/>
      </c>
      <c r="C74" s="1" t="str">
        <f t="shared" si="2"/>
        <v/>
      </c>
      <c r="D74" s="1" t="str">
        <f t="shared" si="3"/>
        <v/>
      </c>
    </row>
    <row r="75" spans="1:4" x14ac:dyDescent="0.2">
      <c r="A75" t="str">
        <f>IF(COUNTBLANK(B75:D75)&lt;&gt;COLUMNS(B75:D75),74,"")</f>
        <v/>
      </c>
      <c r="C75" s="1" t="str">
        <f t="shared" si="2"/>
        <v/>
      </c>
      <c r="D75" s="1" t="str">
        <f t="shared" si="3"/>
        <v/>
      </c>
    </row>
    <row r="76" spans="1:4" x14ac:dyDescent="0.2">
      <c r="A76" t="str">
        <f>IF(COUNTBLANK(B76:D76)&lt;&gt;COLUMNS(B76:D76),75,"")</f>
        <v/>
      </c>
      <c r="C76" s="1" t="str">
        <f t="shared" si="2"/>
        <v/>
      </c>
      <c r="D76" s="1" t="str">
        <f t="shared" si="3"/>
        <v/>
      </c>
    </row>
    <row r="77" spans="1:4" x14ac:dyDescent="0.2">
      <c r="A77" t="str">
        <f>IF(COUNTBLANK(B77:D77)&lt;&gt;COLUMNS(B77:D77),76,"")</f>
        <v/>
      </c>
      <c r="C77" s="1" t="str">
        <f t="shared" si="2"/>
        <v/>
      </c>
      <c r="D77" s="1" t="str">
        <f t="shared" si="3"/>
        <v/>
      </c>
    </row>
    <row r="78" spans="1:4" x14ac:dyDescent="0.2">
      <c r="A78" t="str">
        <f>IF(COUNTBLANK(B78:D78)&lt;&gt;COLUMNS(B78:D78),77,"")</f>
        <v/>
      </c>
      <c r="C78" s="1" t="str">
        <f t="shared" si="2"/>
        <v/>
      </c>
      <c r="D78" s="1" t="str">
        <f t="shared" si="3"/>
        <v/>
      </c>
    </row>
    <row r="79" spans="1:4" x14ac:dyDescent="0.2">
      <c r="A79" t="str">
        <f>IF(COUNTBLANK(B79:D79)&lt;&gt;COLUMNS(B79:D79),78,"")</f>
        <v/>
      </c>
      <c r="C79" s="1" t="str">
        <f t="shared" si="2"/>
        <v/>
      </c>
      <c r="D79" s="1" t="str">
        <f t="shared" si="3"/>
        <v/>
      </c>
    </row>
    <row r="80" spans="1:4" x14ac:dyDescent="0.2">
      <c r="A80" t="str">
        <f>IF(COUNTBLANK(B80:D80)&lt;&gt;COLUMNS(B80:D80),79,"")</f>
        <v/>
      </c>
      <c r="C80" s="1" t="str">
        <f t="shared" si="2"/>
        <v/>
      </c>
      <c r="D80" s="1" t="str">
        <f t="shared" si="3"/>
        <v/>
      </c>
    </row>
    <row r="81" spans="1:4" x14ac:dyDescent="0.2">
      <c r="A81" t="str">
        <f>IF(COUNTBLANK(B81:D81)&lt;&gt;COLUMNS(B81:D81),80,"")</f>
        <v/>
      </c>
      <c r="C81" s="1" t="str">
        <f t="shared" si="2"/>
        <v/>
      </c>
      <c r="D81" s="1" t="str">
        <f t="shared" si="3"/>
        <v/>
      </c>
    </row>
    <row r="82" spans="1:4" x14ac:dyDescent="0.2">
      <c r="A82" t="str">
        <f>IF(COUNTBLANK(B82:D82)&lt;&gt;COLUMNS(B82:D82),81,"")</f>
        <v/>
      </c>
      <c r="C82" s="1" t="str">
        <f t="shared" si="2"/>
        <v/>
      </c>
      <c r="D82" s="1" t="str">
        <f t="shared" si="3"/>
        <v/>
      </c>
    </row>
    <row r="83" spans="1:4" x14ac:dyDescent="0.2">
      <c r="A83" t="str">
        <f>IF(COUNTBLANK(B83:D83)&lt;&gt;COLUMNS(B83:D83),82,"")</f>
        <v/>
      </c>
      <c r="C83" s="1" t="str">
        <f t="shared" si="2"/>
        <v/>
      </c>
      <c r="D83" s="1" t="str">
        <f t="shared" si="3"/>
        <v/>
      </c>
    </row>
    <row r="84" spans="1:4" x14ac:dyDescent="0.2">
      <c r="A84" t="str">
        <f>IF(COUNTBLANK(B84:D84)&lt;&gt;COLUMNS(B84:D84),83,"")</f>
        <v/>
      </c>
      <c r="C84" s="1" t="str">
        <f t="shared" si="2"/>
        <v/>
      </c>
      <c r="D84" s="1" t="str">
        <f t="shared" si="3"/>
        <v/>
      </c>
    </row>
    <row r="85" spans="1:4" x14ac:dyDescent="0.2">
      <c r="A85" t="str">
        <f>IF(COUNTBLANK(B85:D85)&lt;&gt;COLUMNS(B85:D85),84,"")</f>
        <v/>
      </c>
      <c r="C85" s="1" t="str">
        <f t="shared" si="2"/>
        <v/>
      </c>
      <c r="D85" s="1" t="str">
        <f t="shared" si="3"/>
        <v/>
      </c>
    </row>
    <row r="86" spans="1:4" x14ac:dyDescent="0.2">
      <c r="A86" t="str">
        <f>IF(COUNTBLANK(B86:D86)&lt;&gt;COLUMNS(B86:D86),85,"")</f>
        <v/>
      </c>
      <c r="C86" s="1" t="str">
        <f t="shared" si="2"/>
        <v/>
      </c>
      <c r="D86" s="1" t="str">
        <f t="shared" si="3"/>
        <v/>
      </c>
    </row>
    <row r="87" spans="1:4" x14ac:dyDescent="0.2">
      <c r="A87" t="str">
        <f>IF(COUNTBLANK(B87:D87)&lt;&gt;COLUMNS(B87:D87),86,"")</f>
        <v/>
      </c>
      <c r="C87" s="1" t="str">
        <f t="shared" si="2"/>
        <v/>
      </c>
      <c r="D87" s="1" t="str">
        <f t="shared" si="3"/>
        <v/>
      </c>
    </row>
    <row r="88" spans="1:4" x14ac:dyDescent="0.2">
      <c r="A88" t="str">
        <f>IF(COUNTBLANK(B88:D88)&lt;&gt;COLUMNS(B88:D88),87,"")</f>
        <v/>
      </c>
      <c r="C88" s="1" t="str">
        <f t="shared" si="2"/>
        <v/>
      </c>
      <c r="D88" s="1" t="str">
        <f t="shared" si="3"/>
        <v/>
      </c>
    </row>
    <row r="89" spans="1:4" x14ac:dyDescent="0.2">
      <c r="A89" t="str">
        <f>IF(COUNTBLANK(B89:D89)&lt;&gt;COLUMNS(B89:D89),88,"")</f>
        <v/>
      </c>
      <c r="C89" s="1" t="str">
        <f t="shared" si="2"/>
        <v/>
      </c>
      <c r="D89" s="1" t="str">
        <f t="shared" si="3"/>
        <v/>
      </c>
    </row>
    <row r="90" spans="1:4" x14ac:dyDescent="0.2">
      <c r="A90" t="str">
        <f>IF(COUNTBLANK(B90:D90)&lt;&gt;COLUMNS(B90:D90),89,"")</f>
        <v/>
      </c>
      <c r="C90" s="1" t="str">
        <f t="shared" si="2"/>
        <v/>
      </c>
      <c r="D90" s="1" t="str">
        <f t="shared" si="3"/>
        <v/>
      </c>
    </row>
    <row r="91" spans="1:4" x14ac:dyDescent="0.2">
      <c r="A91" t="str">
        <f>IF(COUNTBLANK(B91:D91)&lt;&gt;COLUMNS(B91:D91),90,"")</f>
        <v/>
      </c>
      <c r="C91" s="1" t="str">
        <f t="shared" si="2"/>
        <v/>
      </c>
      <c r="D91" s="1" t="str">
        <f t="shared" si="3"/>
        <v/>
      </c>
    </row>
    <row r="92" spans="1:4" x14ac:dyDescent="0.2">
      <c r="A92" t="str">
        <f>IF(COUNTBLANK(B92:D92)&lt;&gt;COLUMNS(B92:D92),91,"")</f>
        <v/>
      </c>
      <c r="C92" s="1" t="str">
        <f t="shared" si="2"/>
        <v/>
      </c>
      <c r="D92" s="1" t="str">
        <f t="shared" si="3"/>
        <v/>
      </c>
    </row>
    <row r="93" spans="1:4" x14ac:dyDescent="0.2">
      <c r="A93" t="str">
        <f>IF(COUNTBLANK(B93:D93)&lt;&gt;COLUMNS(B93:D93),92,"")</f>
        <v/>
      </c>
      <c r="C93" s="1" t="str">
        <f t="shared" si="2"/>
        <v/>
      </c>
      <c r="D93" s="1" t="str">
        <f t="shared" si="3"/>
        <v/>
      </c>
    </row>
    <row r="94" spans="1:4" x14ac:dyDescent="0.2">
      <c r="A94" t="str">
        <f>IF(COUNTBLANK(B94:D94)&lt;&gt;COLUMNS(B94:D94),93,"")</f>
        <v/>
      </c>
      <c r="C94" s="1" t="str">
        <f t="shared" si="2"/>
        <v/>
      </c>
      <c r="D94" s="1" t="str">
        <f t="shared" si="3"/>
        <v/>
      </c>
    </row>
    <row r="95" spans="1:4" x14ac:dyDescent="0.2">
      <c r="A95" t="str">
        <f>IF(COUNTBLANK(B95:D95)&lt;&gt;COLUMNS(B95:D95),94,"")</f>
        <v/>
      </c>
      <c r="C95" s="1" t="str">
        <f t="shared" si="2"/>
        <v/>
      </c>
      <c r="D95" s="1" t="str">
        <f t="shared" si="3"/>
        <v/>
      </c>
    </row>
    <row r="96" spans="1:4" x14ac:dyDescent="0.2">
      <c r="A96" t="str">
        <f>IF(COUNTBLANK(B96:D96)&lt;&gt;COLUMNS(B96:D96),95,"")</f>
        <v/>
      </c>
      <c r="C96" s="1" t="str">
        <f t="shared" si="2"/>
        <v/>
      </c>
      <c r="D96" s="1" t="str">
        <f t="shared" si="3"/>
        <v/>
      </c>
    </row>
    <row r="97" spans="1:4" x14ac:dyDescent="0.2">
      <c r="A97" t="str">
        <f>IF(COUNTBLANK(B97:D97)&lt;&gt;COLUMNS(B97:D97),96,"")</f>
        <v/>
      </c>
      <c r="C97" s="1" t="str">
        <f t="shared" si="2"/>
        <v/>
      </c>
      <c r="D97" s="1" t="str">
        <f t="shared" si="3"/>
        <v/>
      </c>
    </row>
    <row r="98" spans="1:4" x14ac:dyDescent="0.2">
      <c r="A98" t="str">
        <f>IF(COUNTBLANK(B98:D98)&lt;&gt;COLUMNS(B98:D98),97,"")</f>
        <v/>
      </c>
      <c r="C98" s="1" t="str">
        <f t="shared" si="2"/>
        <v/>
      </c>
      <c r="D98" s="1" t="str">
        <f t="shared" si="3"/>
        <v/>
      </c>
    </row>
    <row r="99" spans="1:4" x14ac:dyDescent="0.2">
      <c r="A99" t="str">
        <f>IF(COUNTBLANK(B99:D99)&lt;&gt;COLUMNS(B99:D99),98,"")</f>
        <v/>
      </c>
      <c r="C99" s="1" t="str">
        <f t="shared" si="2"/>
        <v/>
      </c>
      <c r="D99" s="1" t="str">
        <f t="shared" si="3"/>
        <v/>
      </c>
    </row>
    <row r="100" spans="1:4" x14ac:dyDescent="0.2">
      <c r="A100" t="str">
        <f>IF(COUNTBLANK(B100:D100)&lt;&gt;COLUMNS(B100:D100),99,"")</f>
        <v/>
      </c>
      <c r="C100" s="1" t="str">
        <f t="shared" si="2"/>
        <v/>
      </c>
      <c r="D100" s="1" t="str">
        <f t="shared" si="3"/>
        <v/>
      </c>
    </row>
    <row r="101" spans="1:4" x14ac:dyDescent="0.2">
      <c r="A101" t="str">
        <f>IF(COUNTBLANK(B101:D101)&lt;&gt;COLUMNS(B101:D101),100,"")</f>
        <v/>
      </c>
      <c r="C101" s="1" t="str">
        <f t="shared" si="2"/>
        <v/>
      </c>
      <c r="D101" s="1" t="str">
        <f t="shared" si="3"/>
        <v/>
      </c>
    </row>
    <row r="102" spans="1:4" x14ac:dyDescent="0.2">
      <c r="A102" t="str">
        <f>IF(COUNTBLANK(B102:D102)&lt;&gt;COLUMNS(B102:D102),101,"")</f>
        <v/>
      </c>
      <c r="C102" s="1" t="str">
        <f t="shared" si="2"/>
        <v/>
      </c>
      <c r="D102" s="1" t="str">
        <f t="shared" si="3"/>
        <v/>
      </c>
    </row>
    <row r="103" spans="1:4" x14ac:dyDescent="0.2">
      <c r="A103" t="str">
        <f>IF(COUNTBLANK(B103:D103)&lt;&gt;COLUMNS(B103:D103),102,"")</f>
        <v/>
      </c>
      <c r="C103" s="1" t="str">
        <f t="shared" si="2"/>
        <v/>
      </c>
      <c r="D103" s="1" t="str">
        <f t="shared" si="3"/>
        <v/>
      </c>
    </row>
    <row r="104" spans="1:4" x14ac:dyDescent="0.2">
      <c r="A104" t="str">
        <f>IF(COUNTBLANK(B104:D104)&lt;&gt;COLUMNS(B104:D104),103,"")</f>
        <v/>
      </c>
      <c r="C104" s="1" t="str">
        <f t="shared" si="2"/>
        <v/>
      </c>
      <c r="D104" s="1" t="str">
        <f t="shared" si="3"/>
        <v/>
      </c>
    </row>
    <row r="105" spans="1:4" x14ac:dyDescent="0.2">
      <c r="A105" t="str">
        <f>IF(COUNTBLANK(B105:D105)&lt;&gt;COLUMNS(B105:D105),104,"")</f>
        <v/>
      </c>
      <c r="C105" s="1" t="str">
        <f t="shared" si="2"/>
        <v/>
      </c>
      <c r="D105" s="1" t="str">
        <f t="shared" si="3"/>
        <v/>
      </c>
    </row>
    <row r="106" spans="1:4" x14ac:dyDescent="0.2">
      <c r="A106" t="str">
        <f>IF(COUNTBLANK(B106:D106)&lt;&gt;COLUMNS(B106:D106),105,"")</f>
        <v/>
      </c>
      <c r="C106" s="1" t="str">
        <f t="shared" si="2"/>
        <v/>
      </c>
      <c r="D106" s="1" t="str">
        <f t="shared" si="3"/>
        <v/>
      </c>
    </row>
    <row r="107" spans="1:4" x14ac:dyDescent="0.2">
      <c r="A107" t="str">
        <f>IF(COUNTBLANK(B107:D107)&lt;&gt;COLUMNS(B107:D107),106,"")</f>
        <v/>
      </c>
      <c r="C107" s="1" t="str">
        <f t="shared" si="2"/>
        <v/>
      </c>
      <c r="D107" s="1" t="str">
        <f t="shared" si="3"/>
        <v/>
      </c>
    </row>
    <row r="108" spans="1:4" x14ac:dyDescent="0.2">
      <c r="A108" t="str">
        <f>IF(COUNTBLANK(B108:D108)&lt;&gt;COLUMNS(B108:D108),107,"")</f>
        <v/>
      </c>
      <c r="C108" s="1" t="str">
        <f t="shared" si="2"/>
        <v/>
      </c>
      <c r="D108" s="1" t="str">
        <f t="shared" si="3"/>
        <v/>
      </c>
    </row>
    <row r="109" spans="1:4" x14ac:dyDescent="0.2">
      <c r="A109" t="str">
        <f>IF(COUNTBLANK(B109:D109)&lt;&gt;COLUMNS(B109:D109),108,"")</f>
        <v/>
      </c>
      <c r="C109" s="1" t="str">
        <f t="shared" si="2"/>
        <v/>
      </c>
      <c r="D109" s="1" t="str">
        <f t="shared" si="3"/>
        <v/>
      </c>
    </row>
    <row r="110" spans="1:4" x14ac:dyDescent="0.2">
      <c r="A110" t="str">
        <f>IF(COUNTBLANK(B110:D110)&lt;&gt;COLUMNS(B110:D110),109,"")</f>
        <v/>
      </c>
      <c r="C110" s="1" t="str">
        <f t="shared" si="2"/>
        <v/>
      </c>
      <c r="D110" s="1" t="str">
        <f t="shared" si="3"/>
        <v/>
      </c>
    </row>
    <row r="111" spans="1:4" x14ac:dyDescent="0.2">
      <c r="A111" t="str">
        <f>IF(COUNTBLANK(B111:D111)&lt;&gt;COLUMNS(B111:D111),110,"")</f>
        <v/>
      </c>
      <c r="C111" s="1" t="str">
        <f t="shared" si="2"/>
        <v/>
      </c>
      <c r="D111" s="1" t="str">
        <f t="shared" si="3"/>
        <v/>
      </c>
    </row>
    <row r="112" spans="1:4" x14ac:dyDescent="0.2">
      <c r="A112" t="str">
        <f>IF(COUNTBLANK(B112:D112)&lt;&gt;COLUMNS(B112:D112),111,"")</f>
        <v/>
      </c>
      <c r="C112" s="1" t="str">
        <f t="shared" si="2"/>
        <v/>
      </c>
      <c r="D112" s="1" t="str">
        <f t="shared" si="3"/>
        <v/>
      </c>
    </row>
    <row r="113" spans="1:4" x14ac:dyDescent="0.2">
      <c r="A113" t="str">
        <f>IF(COUNTBLANK(B113:D113)&lt;&gt;COLUMNS(B113:D113),112,"")</f>
        <v/>
      </c>
      <c r="C113" s="1" t="str">
        <f t="shared" si="2"/>
        <v/>
      </c>
      <c r="D113" s="1" t="str">
        <f t="shared" si="3"/>
        <v/>
      </c>
    </row>
    <row r="114" spans="1:4" x14ac:dyDescent="0.2">
      <c r="A114" t="str">
        <f>IF(COUNTBLANK(B114:D114)&lt;&gt;COLUMNS(B114:D114),113,"")</f>
        <v/>
      </c>
      <c r="C114" s="1" t="str">
        <f t="shared" si="2"/>
        <v/>
      </c>
      <c r="D114" s="1" t="str">
        <f t="shared" si="3"/>
        <v/>
      </c>
    </row>
    <row r="115" spans="1:4" x14ac:dyDescent="0.2">
      <c r="A115" t="str">
        <f>IF(COUNTBLANK(B115:D115)&lt;&gt;COLUMNS(B115:D115),114,"")</f>
        <v/>
      </c>
      <c r="C115" s="1" t="str">
        <f t="shared" si="2"/>
        <v/>
      </c>
      <c r="D115" s="1" t="str">
        <f t="shared" si="3"/>
        <v/>
      </c>
    </row>
    <row r="116" spans="1:4" x14ac:dyDescent="0.2">
      <c r="A116" t="str">
        <f>IF(COUNTBLANK(B116:D116)&lt;&gt;COLUMNS(B116:D116),115,"")</f>
        <v/>
      </c>
      <c r="C116" s="1" t="str">
        <f t="shared" si="2"/>
        <v/>
      </c>
      <c r="D116" s="1" t="str">
        <f t="shared" si="3"/>
        <v/>
      </c>
    </row>
    <row r="117" spans="1:4" x14ac:dyDescent="0.2">
      <c r="A117" t="str">
        <f>IF(COUNTBLANK(B117:D117)&lt;&gt;COLUMNS(B117:D117),116,"")</f>
        <v/>
      </c>
      <c r="C117" s="1" t="str">
        <f t="shared" si="2"/>
        <v/>
      </c>
      <c r="D117" s="1" t="str">
        <f t="shared" si="3"/>
        <v/>
      </c>
    </row>
    <row r="118" spans="1:4" x14ac:dyDescent="0.2">
      <c r="A118" t="str">
        <f>IF(COUNTBLANK(B118:D118)&lt;&gt;COLUMNS(B118:D118),117,"")</f>
        <v/>
      </c>
      <c r="C118" s="1" t="str">
        <f t="shared" si="2"/>
        <v/>
      </c>
      <c r="D118" s="1" t="str">
        <f t="shared" si="3"/>
        <v/>
      </c>
    </row>
    <row r="119" spans="1:4" x14ac:dyDescent="0.2">
      <c r="A119" t="str">
        <f>IF(COUNTBLANK(B119:D119)&lt;&gt;COLUMNS(B119:D119),118,"")</f>
        <v/>
      </c>
      <c r="C119" s="1" t="str">
        <f t="shared" si="2"/>
        <v/>
      </c>
      <c r="D119" s="1" t="str">
        <f t="shared" si="3"/>
        <v/>
      </c>
    </row>
    <row r="120" spans="1:4" x14ac:dyDescent="0.2">
      <c r="A120" t="str">
        <f>IF(COUNTBLANK(B120:D120)&lt;&gt;COLUMNS(B120:D120),119,"")</f>
        <v/>
      </c>
      <c r="C120" s="1" t="str">
        <f t="shared" si="2"/>
        <v/>
      </c>
      <c r="D120" s="1" t="str">
        <f t="shared" si="3"/>
        <v/>
      </c>
    </row>
    <row r="121" spans="1:4" x14ac:dyDescent="0.2">
      <c r="A121" t="str">
        <f>IF(COUNTBLANK(B121:D121)&lt;&gt;COLUMNS(B121:D121),120,"")</f>
        <v/>
      </c>
      <c r="C121" s="1" t="str">
        <f t="shared" si="2"/>
        <v/>
      </c>
      <c r="D121" s="1" t="str">
        <f t="shared" si="3"/>
        <v/>
      </c>
    </row>
    <row r="122" spans="1:4" x14ac:dyDescent="0.2">
      <c r="A122" t="str">
        <f>IF(COUNTBLANK(B122:D122)&lt;&gt;COLUMNS(B122:D122),121,"")</f>
        <v/>
      </c>
      <c r="C122" s="1" t="str">
        <f t="shared" si="2"/>
        <v/>
      </c>
      <c r="D122" s="1" t="str">
        <f t="shared" si="3"/>
        <v/>
      </c>
    </row>
    <row r="123" spans="1:4" x14ac:dyDescent="0.2">
      <c r="A123" t="str">
        <f>IF(COUNTBLANK(B123:D123)&lt;&gt;COLUMNS(B123:D123),122,"")</f>
        <v/>
      </c>
      <c r="C123" s="1" t="str">
        <f t="shared" si="2"/>
        <v/>
      </c>
      <c r="D123" s="1" t="str">
        <f t="shared" si="3"/>
        <v/>
      </c>
    </row>
    <row r="124" spans="1:4" x14ac:dyDescent="0.2">
      <c r="A124" t="str">
        <f>IF(COUNTBLANK(B124:D124)&lt;&gt;COLUMNS(B124:D124),123,"")</f>
        <v/>
      </c>
      <c r="C124" s="1" t="str">
        <f t="shared" si="2"/>
        <v/>
      </c>
      <c r="D124" s="1" t="str">
        <f t="shared" si="3"/>
        <v/>
      </c>
    </row>
    <row r="125" spans="1:4" x14ac:dyDescent="0.2">
      <c r="A125" t="str">
        <f>IF(COUNTBLANK(B125:D125)&lt;&gt;COLUMNS(B125:D125),124,"")</f>
        <v/>
      </c>
      <c r="C125" s="1" t="str">
        <f t="shared" si="2"/>
        <v/>
      </c>
      <c r="D125" s="1" t="str">
        <f t="shared" si="3"/>
        <v/>
      </c>
    </row>
    <row r="126" spans="1:4" x14ac:dyDescent="0.2">
      <c r="A126" t="str">
        <f>IF(COUNTBLANK(B126:D126)&lt;&gt;COLUMNS(B126:D126),125,"")</f>
        <v/>
      </c>
      <c r="C126" s="1" t="str">
        <f t="shared" si="2"/>
        <v/>
      </c>
      <c r="D126" s="1" t="str">
        <f t="shared" si="3"/>
        <v/>
      </c>
    </row>
    <row r="127" spans="1:4" x14ac:dyDescent="0.2">
      <c r="A127" t="str">
        <f>IF(COUNTBLANK(B127:D127)&lt;&gt;COLUMNS(B127:D127),126,"")</f>
        <v/>
      </c>
      <c r="C127" s="1" t="str">
        <f t="shared" si="2"/>
        <v/>
      </c>
      <c r="D127" s="1" t="str">
        <f t="shared" si="3"/>
        <v/>
      </c>
    </row>
    <row r="128" spans="1:4" x14ac:dyDescent="0.2">
      <c r="A128" t="str">
        <f>IF(COUNTBLANK(B128:D128)&lt;&gt;COLUMNS(B128:D128),127,"")</f>
        <v/>
      </c>
      <c r="C128" s="1" t="str">
        <f t="shared" si="2"/>
        <v/>
      </c>
      <c r="D128" s="1" t="str">
        <f t="shared" si="3"/>
        <v/>
      </c>
    </row>
    <row r="129" spans="1:4" x14ac:dyDescent="0.2">
      <c r="A129" t="str">
        <f>IF(COUNTBLANK(B129:D129)&lt;&gt;COLUMNS(B129:D129),128,"")</f>
        <v/>
      </c>
      <c r="C129" s="1" t="str">
        <f t="shared" si="2"/>
        <v/>
      </c>
      <c r="D129" s="1" t="str">
        <f t="shared" si="3"/>
        <v/>
      </c>
    </row>
    <row r="130" spans="1:4" x14ac:dyDescent="0.2">
      <c r="A130" t="str">
        <f>IF(COUNTBLANK(B130:D130)&lt;&gt;COLUMNS(B130:D130),129,"")</f>
        <v/>
      </c>
      <c r="C130" s="1" t="str">
        <f t="shared" ref="C130:C193" si="4">IF(B130="", "", "mouse gut metagenome")</f>
        <v/>
      </c>
      <c r="D130" s="1" t="str">
        <f t="shared" ref="D130:D193" si="5">IF(B130="", "", "410661")</f>
        <v/>
      </c>
    </row>
    <row r="131" spans="1:4" x14ac:dyDescent="0.2">
      <c r="A131" t="str">
        <f>IF(COUNTBLANK(B131:D131)&lt;&gt;COLUMNS(B131:D131),130,"")</f>
        <v/>
      </c>
      <c r="C131" s="1" t="str">
        <f t="shared" si="4"/>
        <v/>
      </c>
      <c r="D131" s="1" t="str">
        <f t="shared" si="5"/>
        <v/>
      </c>
    </row>
    <row r="132" spans="1:4" x14ac:dyDescent="0.2">
      <c r="A132" t="str">
        <f>IF(COUNTBLANK(B132:D132)&lt;&gt;COLUMNS(B132:D132),131,"")</f>
        <v/>
      </c>
      <c r="C132" s="1" t="str">
        <f t="shared" si="4"/>
        <v/>
      </c>
      <c r="D132" s="1" t="str">
        <f t="shared" si="5"/>
        <v/>
      </c>
    </row>
    <row r="133" spans="1:4" x14ac:dyDescent="0.2">
      <c r="A133" t="str">
        <f>IF(COUNTBLANK(B133:D133)&lt;&gt;COLUMNS(B133:D133),132,"")</f>
        <v/>
      </c>
      <c r="C133" s="1" t="str">
        <f t="shared" si="4"/>
        <v/>
      </c>
      <c r="D133" s="1" t="str">
        <f t="shared" si="5"/>
        <v/>
      </c>
    </row>
    <row r="134" spans="1:4" x14ac:dyDescent="0.2">
      <c r="A134" t="str">
        <f>IF(COUNTBLANK(B134:D134)&lt;&gt;COLUMNS(B134:D134),133,"")</f>
        <v/>
      </c>
      <c r="C134" s="1" t="str">
        <f t="shared" si="4"/>
        <v/>
      </c>
      <c r="D134" s="1" t="str">
        <f t="shared" si="5"/>
        <v/>
      </c>
    </row>
    <row r="135" spans="1:4" x14ac:dyDescent="0.2">
      <c r="A135" t="str">
        <f>IF(COUNTBLANK(B135:D135)&lt;&gt;COLUMNS(B135:D135),134,"")</f>
        <v/>
      </c>
      <c r="C135" s="1" t="str">
        <f t="shared" si="4"/>
        <v/>
      </c>
      <c r="D135" s="1" t="str">
        <f t="shared" si="5"/>
        <v/>
      </c>
    </row>
    <row r="136" spans="1:4" x14ac:dyDescent="0.2">
      <c r="A136" t="str">
        <f>IF(COUNTBLANK(B136:D136)&lt;&gt;COLUMNS(B136:D136),135,"")</f>
        <v/>
      </c>
      <c r="C136" s="1" t="str">
        <f t="shared" si="4"/>
        <v/>
      </c>
      <c r="D136" s="1" t="str">
        <f t="shared" si="5"/>
        <v/>
      </c>
    </row>
    <row r="137" spans="1:4" x14ac:dyDescent="0.2">
      <c r="A137" t="str">
        <f>IF(COUNTBLANK(B137:D137)&lt;&gt;COLUMNS(B137:D137),136,"")</f>
        <v/>
      </c>
      <c r="C137" s="1" t="str">
        <f t="shared" si="4"/>
        <v/>
      </c>
      <c r="D137" s="1" t="str">
        <f t="shared" si="5"/>
        <v/>
      </c>
    </row>
    <row r="138" spans="1:4" x14ac:dyDescent="0.2">
      <c r="A138" t="str">
        <f>IF(COUNTBLANK(B138:D138)&lt;&gt;COLUMNS(B138:D138),137,"")</f>
        <v/>
      </c>
      <c r="C138" s="1" t="str">
        <f t="shared" si="4"/>
        <v/>
      </c>
      <c r="D138" s="1" t="str">
        <f t="shared" si="5"/>
        <v/>
      </c>
    </row>
    <row r="139" spans="1:4" x14ac:dyDescent="0.2">
      <c r="A139" t="str">
        <f>IF(COUNTBLANK(B139:D139)&lt;&gt;COLUMNS(B139:D139),138,"")</f>
        <v/>
      </c>
      <c r="C139" s="1" t="str">
        <f t="shared" si="4"/>
        <v/>
      </c>
      <c r="D139" s="1" t="str">
        <f t="shared" si="5"/>
        <v/>
      </c>
    </row>
    <row r="140" spans="1:4" x14ac:dyDescent="0.2">
      <c r="A140" t="str">
        <f>IF(COUNTBLANK(B140:D140)&lt;&gt;COLUMNS(B140:D140),139,"")</f>
        <v/>
      </c>
      <c r="C140" s="1" t="str">
        <f t="shared" si="4"/>
        <v/>
      </c>
      <c r="D140" s="1" t="str">
        <f t="shared" si="5"/>
        <v/>
      </c>
    </row>
    <row r="141" spans="1:4" x14ac:dyDescent="0.2">
      <c r="A141" t="str">
        <f>IF(COUNTBLANK(B141:D141)&lt;&gt;COLUMNS(B141:D141),140,"")</f>
        <v/>
      </c>
      <c r="C141" s="1" t="str">
        <f t="shared" si="4"/>
        <v/>
      </c>
      <c r="D141" s="1" t="str">
        <f t="shared" si="5"/>
        <v/>
      </c>
    </row>
    <row r="142" spans="1:4" x14ac:dyDescent="0.2">
      <c r="A142" t="str">
        <f>IF(COUNTBLANK(B142:D142)&lt;&gt;COLUMNS(B142:D142),141,"")</f>
        <v/>
      </c>
      <c r="C142" s="1" t="str">
        <f t="shared" si="4"/>
        <v/>
      </c>
      <c r="D142" s="1" t="str">
        <f t="shared" si="5"/>
        <v/>
      </c>
    </row>
    <row r="143" spans="1:4" x14ac:dyDescent="0.2">
      <c r="A143" t="str">
        <f>IF(COUNTBLANK(B143:D143)&lt;&gt;COLUMNS(B143:D143),142,"")</f>
        <v/>
      </c>
      <c r="C143" s="1" t="str">
        <f t="shared" si="4"/>
        <v/>
      </c>
      <c r="D143" s="1" t="str">
        <f t="shared" si="5"/>
        <v/>
      </c>
    </row>
    <row r="144" spans="1:4" x14ac:dyDescent="0.2">
      <c r="A144" t="str">
        <f>IF(COUNTBLANK(B144:D144)&lt;&gt;COLUMNS(B144:D144),143,"")</f>
        <v/>
      </c>
      <c r="C144" s="1" t="str">
        <f t="shared" si="4"/>
        <v/>
      </c>
      <c r="D144" s="1" t="str">
        <f t="shared" si="5"/>
        <v/>
      </c>
    </row>
    <row r="145" spans="1:4" x14ac:dyDescent="0.2">
      <c r="A145" t="str">
        <f>IF(COUNTBLANK(B145:D145)&lt;&gt;COLUMNS(B145:D145),144,"")</f>
        <v/>
      </c>
      <c r="C145" s="1" t="str">
        <f t="shared" si="4"/>
        <v/>
      </c>
      <c r="D145" s="1" t="str">
        <f t="shared" si="5"/>
        <v/>
      </c>
    </row>
    <row r="146" spans="1:4" x14ac:dyDescent="0.2">
      <c r="A146" t="str">
        <f>IF(COUNTBLANK(B146:D146)&lt;&gt;COLUMNS(B146:D146),145,"")</f>
        <v/>
      </c>
      <c r="C146" s="1" t="str">
        <f t="shared" si="4"/>
        <v/>
      </c>
      <c r="D146" s="1" t="str">
        <f t="shared" si="5"/>
        <v/>
      </c>
    </row>
    <row r="147" spans="1:4" x14ac:dyDescent="0.2">
      <c r="A147" t="str">
        <f>IF(COUNTBLANK(B147:D147)&lt;&gt;COLUMNS(B147:D147),146,"")</f>
        <v/>
      </c>
      <c r="C147" s="1" t="str">
        <f t="shared" si="4"/>
        <v/>
      </c>
      <c r="D147" s="1" t="str">
        <f t="shared" si="5"/>
        <v/>
      </c>
    </row>
    <row r="148" spans="1:4" x14ac:dyDescent="0.2">
      <c r="A148" t="str">
        <f>IF(COUNTBLANK(B148:D148)&lt;&gt;COLUMNS(B148:D148),147,"")</f>
        <v/>
      </c>
      <c r="C148" s="1" t="str">
        <f t="shared" si="4"/>
        <v/>
      </c>
      <c r="D148" s="1" t="str">
        <f t="shared" si="5"/>
        <v/>
      </c>
    </row>
    <row r="149" spans="1:4" x14ac:dyDescent="0.2">
      <c r="A149" t="str">
        <f>IF(COUNTBLANK(B149:D149)&lt;&gt;COLUMNS(B149:D149),148,"")</f>
        <v/>
      </c>
      <c r="C149" s="1" t="str">
        <f t="shared" si="4"/>
        <v/>
      </c>
      <c r="D149" s="1" t="str">
        <f t="shared" si="5"/>
        <v/>
      </c>
    </row>
    <row r="150" spans="1:4" x14ac:dyDescent="0.2">
      <c r="A150" t="str">
        <f>IF(COUNTBLANK(B150:D150)&lt;&gt;COLUMNS(B150:D150),149,"")</f>
        <v/>
      </c>
      <c r="C150" s="1" t="str">
        <f t="shared" si="4"/>
        <v/>
      </c>
      <c r="D150" s="1" t="str">
        <f t="shared" si="5"/>
        <v/>
      </c>
    </row>
    <row r="151" spans="1:4" x14ac:dyDescent="0.2">
      <c r="A151" t="str">
        <f>IF(COUNTBLANK(B151:D151)&lt;&gt;COLUMNS(B151:D151),150,"")</f>
        <v/>
      </c>
      <c r="C151" s="1" t="str">
        <f t="shared" si="4"/>
        <v/>
      </c>
      <c r="D151" s="1" t="str">
        <f t="shared" si="5"/>
        <v/>
      </c>
    </row>
    <row r="152" spans="1:4" x14ac:dyDescent="0.2">
      <c r="A152" t="str">
        <f>IF(COUNTBLANK(B152:D152)&lt;&gt;COLUMNS(B152:D152),151,"")</f>
        <v/>
      </c>
      <c r="C152" s="1" t="str">
        <f t="shared" si="4"/>
        <v/>
      </c>
      <c r="D152" s="1" t="str">
        <f t="shared" si="5"/>
        <v/>
      </c>
    </row>
    <row r="153" spans="1:4" x14ac:dyDescent="0.2">
      <c r="A153" t="str">
        <f>IF(COUNTBLANK(B153:D153)&lt;&gt;COLUMNS(B153:D153),152,"")</f>
        <v/>
      </c>
      <c r="C153" s="1" t="str">
        <f t="shared" si="4"/>
        <v/>
      </c>
      <c r="D153" s="1" t="str">
        <f t="shared" si="5"/>
        <v/>
      </c>
    </row>
    <row r="154" spans="1:4" x14ac:dyDescent="0.2">
      <c r="A154" t="str">
        <f>IF(COUNTBLANK(B154:D154)&lt;&gt;COLUMNS(B154:D154),153,"")</f>
        <v/>
      </c>
      <c r="C154" s="1" t="str">
        <f t="shared" si="4"/>
        <v/>
      </c>
      <c r="D154" s="1" t="str">
        <f t="shared" si="5"/>
        <v/>
      </c>
    </row>
    <row r="155" spans="1:4" x14ac:dyDescent="0.2">
      <c r="A155" t="str">
        <f>IF(COUNTBLANK(B155:D155)&lt;&gt;COLUMNS(B155:D155),154,"")</f>
        <v/>
      </c>
      <c r="C155" s="1" t="str">
        <f t="shared" si="4"/>
        <v/>
      </c>
      <c r="D155" s="1" t="str">
        <f t="shared" si="5"/>
        <v/>
      </c>
    </row>
    <row r="156" spans="1:4" x14ac:dyDescent="0.2">
      <c r="A156" t="str">
        <f>IF(COUNTBLANK(B156:D156)&lt;&gt;COLUMNS(B156:D156),155,"")</f>
        <v/>
      </c>
      <c r="C156" s="1" t="str">
        <f t="shared" si="4"/>
        <v/>
      </c>
      <c r="D156" s="1" t="str">
        <f t="shared" si="5"/>
        <v/>
      </c>
    </row>
    <row r="157" spans="1:4" x14ac:dyDescent="0.2">
      <c r="A157" t="str">
        <f>IF(COUNTBLANK(B157:D157)&lt;&gt;COLUMNS(B157:D157),156,"")</f>
        <v/>
      </c>
      <c r="C157" s="1" t="str">
        <f t="shared" si="4"/>
        <v/>
      </c>
      <c r="D157" s="1" t="str">
        <f t="shared" si="5"/>
        <v/>
      </c>
    </row>
    <row r="158" spans="1:4" x14ac:dyDescent="0.2">
      <c r="A158" t="str">
        <f>IF(COUNTBLANK(B158:D158)&lt;&gt;COLUMNS(B158:D158),157,"")</f>
        <v/>
      </c>
      <c r="C158" s="1" t="str">
        <f t="shared" si="4"/>
        <v/>
      </c>
      <c r="D158" s="1" t="str">
        <f t="shared" si="5"/>
        <v/>
      </c>
    </row>
    <row r="159" spans="1:4" x14ac:dyDescent="0.2">
      <c r="A159" t="str">
        <f>IF(COUNTBLANK(B159:D159)&lt;&gt;COLUMNS(B159:D159),158,"")</f>
        <v/>
      </c>
      <c r="C159" s="1" t="str">
        <f t="shared" si="4"/>
        <v/>
      </c>
      <c r="D159" s="1" t="str">
        <f t="shared" si="5"/>
        <v/>
      </c>
    </row>
    <row r="160" spans="1:4" x14ac:dyDescent="0.2">
      <c r="A160" t="str">
        <f>IF(COUNTBLANK(B160:D160)&lt;&gt;COLUMNS(B160:D160),159,"")</f>
        <v/>
      </c>
      <c r="C160" s="1" t="str">
        <f t="shared" si="4"/>
        <v/>
      </c>
      <c r="D160" s="1" t="str">
        <f t="shared" si="5"/>
        <v/>
      </c>
    </row>
    <row r="161" spans="1:4" x14ac:dyDescent="0.2">
      <c r="A161" t="str">
        <f>IF(COUNTBLANK(B161:D161)&lt;&gt;COLUMNS(B161:D161),160,"")</f>
        <v/>
      </c>
      <c r="C161" s="1" t="str">
        <f t="shared" si="4"/>
        <v/>
      </c>
      <c r="D161" s="1" t="str">
        <f t="shared" si="5"/>
        <v/>
      </c>
    </row>
    <row r="162" spans="1:4" x14ac:dyDescent="0.2">
      <c r="A162" t="str">
        <f>IF(COUNTBLANK(B162:D162)&lt;&gt;COLUMNS(B162:D162),161,"")</f>
        <v/>
      </c>
      <c r="C162" s="1" t="str">
        <f t="shared" si="4"/>
        <v/>
      </c>
      <c r="D162" s="1" t="str">
        <f t="shared" si="5"/>
        <v/>
      </c>
    </row>
    <row r="163" spans="1:4" x14ac:dyDescent="0.2">
      <c r="A163" t="str">
        <f>IF(COUNTBLANK(B163:D163)&lt;&gt;COLUMNS(B163:D163),162,"")</f>
        <v/>
      </c>
      <c r="C163" s="1" t="str">
        <f t="shared" si="4"/>
        <v/>
      </c>
      <c r="D163" s="1" t="str">
        <f t="shared" si="5"/>
        <v/>
      </c>
    </row>
    <row r="164" spans="1:4" x14ac:dyDescent="0.2">
      <c r="A164" t="str">
        <f>IF(COUNTBLANK(B164:D164)&lt;&gt;COLUMNS(B164:D164),163,"")</f>
        <v/>
      </c>
      <c r="C164" s="1" t="str">
        <f t="shared" si="4"/>
        <v/>
      </c>
      <c r="D164" s="1" t="str">
        <f t="shared" si="5"/>
        <v/>
      </c>
    </row>
    <row r="165" spans="1:4" x14ac:dyDescent="0.2">
      <c r="A165" t="str">
        <f>IF(COUNTBLANK(B165:D165)&lt;&gt;COLUMNS(B165:D165),164,"")</f>
        <v/>
      </c>
      <c r="C165" s="1" t="str">
        <f t="shared" si="4"/>
        <v/>
      </c>
      <c r="D165" s="1" t="str">
        <f t="shared" si="5"/>
        <v/>
      </c>
    </row>
    <row r="166" spans="1:4" x14ac:dyDescent="0.2">
      <c r="A166" t="str">
        <f>IF(COUNTBLANK(B166:D166)&lt;&gt;COLUMNS(B166:D166),165,"")</f>
        <v/>
      </c>
      <c r="C166" s="1" t="str">
        <f t="shared" si="4"/>
        <v/>
      </c>
      <c r="D166" s="1" t="str">
        <f t="shared" si="5"/>
        <v/>
      </c>
    </row>
    <row r="167" spans="1:4" x14ac:dyDescent="0.2">
      <c r="A167" t="str">
        <f>IF(COUNTBLANK(B167:D167)&lt;&gt;COLUMNS(B167:D167),166,"")</f>
        <v/>
      </c>
      <c r="C167" s="1" t="str">
        <f t="shared" si="4"/>
        <v/>
      </c>
      <c r="D167" s="1" t="str">
        <f t="shared" si="5"/>
        <v/>
      </c>
    </row>
    <row r="168" spans="1:4" x14ac:dyDescent="0.2">
      <c r="A168" t="str">
        <f>IF(COUNTBLANK(B168:D168)&lt;&gt;COLUMNS(B168:D168),167,"")</f>
        <v/>
      </c>
      <c r="C168" s="1" t="str">
        <f t="shared" si="4"/>
        <v/>
      </c>
      <c r="D168" s="1" t="str">
        <f t="shared" si="5"/>
        <v/>
      </c>
    </row>
    <row r="169" spans="1:4" x14ac:dyDescent="0.2">
      <c r="A169" t="str">
        <f>IF(COUNTBLANK(B169:D169)&lt;&gt;COLUMNS(B169:D169),168,"")</f>
        <v/>
      </c>
      <c r="C169" s="1" t="str">
        <f t="shared" si="4"/>
        <v/>
      </c>
      <c r="D169" s="1" t="str">
        <f t="shared" si="5"/>
        <v/>
      </c>
    </row>
    <row r="170" spans="1:4" x14ac:dyDescent="0.2">
      <c r="A170" t="str">
        <f>IF(COUNTBLANK(B170:D170)&lt;&gt;COLUMNS(B170:D170),169,"")</f>
        <v/>
      </c>
      <c r="C170" s="1" t="str">
        <f t="shared" si="4"/>
        <v/>
      </c>
      <c r="D170" s="1" t="str">
        <f t="shared" si="5"/>
        <v/>
      </c>
    </row>
    <row r="171" spans="1:4" x14ac:dyDescent="0.2">
      <c r="A171" t="str">
        <f>IF(COUNTBLANK(B171:D171)&lt;&gt;COLUMNS(B171:D171),170,"")</f>
        <v/>
      </c>
      <c r="C171" s="1" t="str">
        <f t="shared" si="4"/>
        <v/>
      </c>
      <c r="D171" s="1" t="str">
        <f t="shared" si="5"/>
        <v/>
      </c>
    </row>
    <row r="172" spans="1:4" x14ac:dyDescent="0.2">
      <c r="A172" t="str">
        <f>IF(COUNTBLANK(B172:D172)&lt;&gt;COLUMNS(B172:D172),171,"")</f>
        <v/>
      </c>
      <c r="C172" s="1" t="str">
        <f t="shared" si="4"/>
        <v/>
      </c>
      <c r="D172" s="1" t="str">
        <f t="shared" si="5"/>
        <v/>
      </c>
    </row>
    <row r="173" spans="1:4" x14ac:dyDescent="0.2">
      <c r="A173" t="str">
        <f>IF(COUNTBLANK(B173:D173)&lt;&gt;COLUMNS(B173:D173),172,"")</f>
        <v/>
      </c>
      <c r="C173" s="1" t="str">
        <f t="shared" si="4"/>
        <v/>
      </c>
      <c r="D173" s="1" t="str">
        <f t="shared" si="5"/>
        <v/>
      </c>
    </row>
    <row r="174" spans="1:4" x14ac:dyDescent="0.2">
      <c r="A174" t="str">
        <f>IF(COUNTBLANK(B174:D174)&lt;&gt;COLUMNS(B174:D174),173,"")</f>
        <v/>
      </c>
      <c r="C174" s="1" t="str">
        <f t="shared" si="4"/>
        <v/>
      </c>
      <c r="D174" s="1" t="str">
        <f t="shared" si="5"/>
        <v/>
      </c>
    </row>
    <row r="175" spans="1:4" x14ac:dyDescent="0.2">
      <c r="A175" t="str">
        <f>IF(COUNTBLANK(B175:D175)&lt;&gt;COLUMNS(B175:D175),174,"")</f>
        <v/>
      </c>
      <c r="C175" s="1" t="str">
        <f t="shared" si="4"/>
        <v/>
      </c>
      <c r="D175" s="1" t="str">
        <f t="shared" si="5"/>
        <v/>
      </c>
    </row>
    <row r="176" spans="1:4" x14ac:dyDescent="0.2">
      <c r="A176" t="str">
        <f>IF(COUNTBLANK(B176:D176)&lt;&gt;COLUMNS(B176:D176),175,"")</f>
        <v/>
      </c>
      <c r="C176" s="1" t="str">
        <f t="shared" si="4"/>
        <v/>
      </c>
      <c r="D176" s="1" t="str">
        <f t="shared" si="5"/>
        <v/>
      </c>
    </row>
    <row r="177" spans="1:4" x14ac:dyDescent="0.2">
      <c r="A177" t="str">
        <f>IF(COUNTBLANK(B177:D177)&lt;&gt;COLUMNS(B177:D177),176,"")</f>
        <v/>
      </c>
      <c r="C177" s="1" t="str">
        <f t="shared" si="4"/>
        <v/>
      </c>
      <c r="D177" s="1" t="str">
        <f t="shared" si="5"/>
        <v/>
      </c>
    </row>
    <row r="178" spans="1:4" x14ac:dyDescent="0.2">
      <c r="A178" t="str">
        <f>IF(COUNTBLANK(B178:D178)&lt;&gt;COLUMNS(B178:D178),177,"")</f>
        <v/>
      </c>
      <c r="C178" s="1" t="str">
        <f t="shared" si="4"/>
        <v/>
      </c>
      <c r="D178" s="1" t="str">
        <f t="shared" si="5"/>
        <v/>
      </c>
    </row>
    <row r="179" spans="1:4" x14ac:dyDescent="0.2">
      <c r="A179" t="str">
        <f>IF(COUNTBLANK(B179:D179)&lt;&gt;COLUMNS(B179:D179),178,"")</f>
        <v/>
      </c>
      <c r="C179" s="1" t="str">
        <f t="shared" si="4"/>
        <v/>
      </c>
      <c r="D179" s="1" t="str">
        <f t="shared" si="5"/>
        <v/>
      </c>
    </row>
    <row r="180" spans="1:4" x14ac:dyDescent="0.2">
      <c r="A180" t="str">
        <f>IF(COUNTBLANK(B180:D180)&lt;&gt;COLUMNS(B180:D180),179,"")</f>
        <v/>
      </c>
      <c r="C180" s="1" t="str">
        <f t="shared" si="4"/>
        <v/>
      </c>
      <c r="D180" s="1" t="str">
        <f t="shared" si="5"/>
        <v/>
      </c>
    </row>
    <row r="181" spans="1:4" x14ac:dyDescent="0.2">
      <c r="A181" t="str">
        <f>IF(COUNTBLANK(B181:D181)&lt;&gt;COLUMNS(B181:D181),180,"")</f>
        <v/>
      </c>
      <c r="C181" s="1" t="str">
        <f t="shared" si="4"/>
        <v/>
      </c>
      <c r="D181" s="1" t="str">
        <f t="shared" si="5"/>
        <v/>
      </c>
    </row>
    <row r="182" spans="1:4" x14ac:dyDescent="0.2">
      <c r="A182" t="str">
        <f>IF(COUNTBLANK(B182:D182)&lt;&gt;COLUMNS(B182:D182),181,"")</f>
        <v/>
      </c>
      <c r="C182" s="1" t="str">
        <f t="shared" si="4"/>
        <v/>
      </c>
      <c r="D182" s="1" t="str">
        <f t="shared" si="5"/>
        <v/>
      </c>
    </row>
    <row r="183" spans="1:4" x14ac:dyDescent="0.2">
      <c r="A183" t="str">
        <f>IF(COUNTBLANK(B183:D183)&lt;&gt;COLUMNS(B183:D183),182,"")</f>
        <v/>
      </c>
      <c r="C183" s="1" t="str">
        <f t="shared" si="4"/>
        <v/>
      </c>
      <c r="D183" s="1" t="str">
        <f t="shared" si="5"/>
        <v/>
      </c>
    </row>
    <row r="184" spans="1:4" x14ac:dyDescent="0.2">
      <c r="A184" t="str">
        <f>IF(COUNTBLANK(B184:D184)&lt;&gt;COLUMNS(B184:D184),183,"")</f>
        <v/>
      </c>
      <c r="C184" s="1" t="str">
        <f t="shared" si="4"/>
        <v/>
      </c>
      <c r="D184" s="1" t="str">
        <f t="shared" si="5"/>
        <v/>
      </c>
    </row>
    <row r="185" spans="1:4" x14ac:dyDescent="0.2">
      <c r="A185" t="str">
        <f>IF(COUNTBLANK(B185:D185)&lt;&gt;COLUMNS(B185:D185),184,"")</f>
        <v/>
      </c>
      <c r="C185" s="1" t="str">
        <f t="shared" si="4"/>
        <v/>
      </c>
      <c r="D185" s="1" t="str">
        <f t="shared" si="5"/>
        <v/>
      </c>
    </row>
    <row r="186" spans="1:4" x14ac:dyDescent="0.2">
      <c r="A186" t="str">
        <f>IF(COUNTBLANK(B186:D186)&lt;&gt;COLUMNS(B186:D186),185,"")</f>
        <v/>
      </c>
      <c r="C186" s="1" t="str">
        <f t="shared" si="4"/>
        <v/>
      </c>
      <c r="D186" s="1" t="str">
        <f t="shared" si="5"/>
        <v/>
      </c>
    </row>
    <row r="187" spans="1:4" x14ac:dyDescent="0.2">
      <c r="A187" t="str">
        <f>IF(COUNTBLANK(B187:D187)&lt;&gt;COLUMNS(B187:D187),186,"")</f>
        <v/>
      </c>
      <c r="C187" s="1" t="str">
        <f t="shared" si="4"/>
        <v/>
      </c>
      <c r="D187" s="1" t="str">
        <f t="shared" si="5"/>
        <v/>
      </c>
    </row>
    <row r="188" spans="1:4" x14ac:dyDescent="0.2">
      <c r="A188" t="str">
        <f>IF(COUNTBLANK(B188:D188)&lt;&gt;COLUMNS(B188:D188),187,"")</f>
        <v/>
      </c>
      <c r="C188" s="1" t="str">
        <f t="shared" si="4"/>
        <v/>
      </c>
      <c r="D188" s="1" t="str">
        <f t="shared" si="5"/>
        <v/>
      </c>
    </row>
    <row r="189" spans="1:4" x14ac:dyDescent="0.2">
      <c r="A189" t="str">
        <f>IF(COUNTBLANK(B189:D189)&lt;&gt;COLUMNS(B189:D189),188,"")</f>
        <v/>
      </c>
      <c r="C189" s="1" t="str">
        <f t="shared" si="4"/>
        <v/>
      </c>
      <c r="D189" s="1" t="str">
        <f t="shared" si="5"/>
        <v/>
      </c>
    </row>
    <row r="190" spans="1:4" x14ac:dyDescent="0.2">
      <c r="A190" t="str">
        <f>IF(COUNTBLANK(B190:D190)&lt;&gt;COLUMNS(B190:D190),189,"")</f>
        <v/>
      </c>
      <c r="C190" s="1" t="str">
        <f t="shared" si="4"/>
        <v/>
      </c>
      <c r="D190" s="1" t="str">
        <f t="shared" si="5"/>
        <v/>
      </c>
    </row>
    <row r="191" spans="1:4" x14ac:dyDescent="0.2">
      <c r="A191" t="str">
        <f>IF(COUNTBLANK(B191:D191)&lt;&gt;COLUMNS(B191:D191),190,"")</f>
        <v/>
      </c>
      <c r="C191" s="1" t="str">
        <f t="shared" si="4"/>
        <v/>
      </c>
      <c r="D191" s="1" t="str">
        <f t="shared" si="5"/>
        <v/>
      </c>
    </row>
    <row r="192" spans="1:4" x14ac:dyDescent="0.2">
      <c r="A192" t="str">
        <f>IF(COUNTBLANK(B192:D192)&lt;&gt;COLUMNS(B192:D192),191,"")</f>
        <v/>
      </c>
      <c r="C192" s="1" t="str">
        <f t="shared" si="4"/>
        <v/>
      </c>
      <c r="D192" s="1" t="str">
        <f t="shared" si="5"/>
        <v/>
      </c>
    </row>
    <row r="193" spans="1:4" x14ac:dyDescent="0.2">
      <c r="A193" t="str">
        <f>IF(COUNTBLANK(B193:D193)&lt;&gt;COLUMNS(B193:D193),192,"")</f>
        <v/>
      </c>
      <c r="C193" s="1" t="str">
        <f t="shared" si="4"/>
        <v/>
      </c>
      <c r="D193" s="1" t="str">
        <f t="shared" si="5"/>
        <v/>
      </c>
    </row>
    <row r="194" spans="1:4" x14ac:dyDescent="0.2">
      <c r="A194" t="str">
        <f>IF(COUNTBLANK(B194:D194)&lt;&gt;COLUMNS(B194:D194),193,"")</f>
        <v/>
      </c>
      <c r="C194" s="1" t="str">
        <f t="shared" ref="C194:C257" si="6">IF(B194="", "", "mouse gut metagenome")</f>
        <v/>
      </c>
      <c r="D194" s="1" t="str">
        <f t="shared" ref="D194:D257" si="7">IF(B194="", "", "410661")</f>
        <v/>
      </c>
    </row>
    <row r="195" spans="1:4" x14ac:dyDescent="0.2">
      <c r="A195" t="str">
        <f>IF(COUNTBLANK(B195:D195)&lt;&gt;COLUMNS(B195:D195),194,"")</f>
        <v/>
      </c>
      <c r="C195" s="1" t="str">
        <f t="shared" si="6"/>
        <v/>
      </c>
      <c r="D195" s="1" t="str">
        <f t="shared" si="7"/>
        <v/>
      </c>
    </row>
    <row r="196" spans="1:4" x14ac:dyDescent="0.2">
      <c r="A196" t="str">
        <f>IF(COUNTBLANK(B196:D196)&lt;&gt;COLUMNS(B196:D196),195,"")</f>
        <v/>
      </c>
      <c r="C196" s="1" t="str">
        <f t="shared" si="6"/>
        <v/>
      </c>
      <c r="D196" s="1" t="str">
        <f t="shared" si="7"/>
        <v/>
      </c>
    </row>
    <row r="197" spans="1:4" x14ac:dyDescent="0.2">
      <c r="A197" t="str">
        <f>IF(COUNTBLANK(B197:D197)&lt;&gt;COLUMNS(B197:D197),196,"")</f>
        <v/>
      </c>
      <c r="C197" s="1" t="str">
        <f t="shared" si="6"/>
        <v/>
      </c>
      <c r="D197" s="1" t="str">
        <f t="shared" si="7"/>
        <v/>
      </c>
    </row>
    <row r="198" spans="1:4" x14ac:dyDescent="0.2">
      <c r="A198" t="str">
        <f>IF(COUNTBLANK(B198:D198)&lt;&gt;COLUMNS(B198:D198),197,"")</f>
        <v/>
      </c>
      <c r="C198" s="1" t="str">
        <f t="shared" si="6"/>
        <v/>
      </c>
      <c r="D198" s="1" t="str">
        <f t="shared" si="7"/>
        <v/>
      </c>
    </row>
    <row r="199" spans="1:4" x14ac:dyDescent="0.2">
      <c r="A199" t="str">
        <f>IF(COUNTBLANK(B199:D199)&lt;&gt;COLUMNS(B199:D199),198,"")</f>
        <v/>
      </c>
      <c r="C199" s="1" t="str">
        <f t="shared" si="6"/>
        <v/>
      </c>
      <c r="D199" s="1" t="str">
        <f t="shared" si="7"/>
        <v/>
      </c>
    </row>
    <row r="200" spans="1:4" x14ac:dyDescent="0.2">
      <c r="A200" t="str">
        <f>IF(COUNTBLANK(B200:D200)&lt;&gt;COLUMNS(B200:D200),199,"")</f>
        <v/>
      </c>
      <c r="C200" s="1" t="str">
        <f t="shared" si="6"/>
        <v/>
      </c>
      <c r="D200" s="1" t="str">
        <f t="shared" si="7"/>
        <v/>
      </c>
    </row>
    <row r="201" spans="1:4" x14ac:dyDescent="0.2">
      <c r="A201" t="str">
        <f>IF(COUNTBLANK(B201:D201)&lt;&gt;COLUMNS(B201:D201),200,"")</f>
        <v/>
      </c>
      <c r="C201" s="1" t="str">
        <f t="shared" si="6"/>
        <v/>
      </c>
      <c r="D201" s="1" t="str">
        <f t="shared" si="7"/>
        <v/>
      </c>
    </row>
    <row r="202" spans="1:4" x14ac:dyDescent="0.2">
      <c r="A202" t="str">
        <f>IF(COUNTBLANK(B202:D202)&lt;&gt;COLUMNS(B202:D202),201,"")</f>
        <v/>
      </c>
      <c r="C202" s="1" t="str">
        <f t="shared" si="6"/>
        <v/>
      </c>
      <c r="D202" s="1" t="str">
        <f t="shared" si="7"/>
        <v/>
      </c>
    </row>
    <row r="203" spans="1:4" x14ac:dyDescent="0.2">
      <c r="A203" t="str">
        <f>IF(COUNTBLANK(B203:D203)&lt;&gt;COLUMNS(B203:D203),202,"")</f>
        <v/>
      </c>
      <c r="C203" s="1" t="str">
        <f t="shared" si="6"/>
        <v/>
      </c>
      <c r="D203" s="1" t="str">
        <f t="shared" si="7"/>
        <v/>
      </c>
    </row>
    <row r="204" spans="1:4" x14ac:dyDescent="0.2">
      <c r="A204" t="str">
        <f>IF(COUNTBLANK(B204:D204)&lt;&gt;COLUMNS(B204:D204),203,"")</f>
        <v/>
      </c>
      <c r="C204" s="1" t="str">
        <f t="shared" si="6"/>
        <v/>
      </c>
      <c r="D204" s="1" t="str">
        <f t="shared" si="7"/>
        <v/>
      </c>
    </row>
    <row r="205" spans="1:4" x14ac:dyDescent="0.2">
      <c r="A205" t="str">
        <f>IF(COUNTBLANK(B205:D205)&lt;&gt;COLUMNS(B205:D205),204,"")</f>
        <v/>
      </c>
      <c r="C205" s="1" t="str">
        <f t="shared" si="6"/>
        <v/>
      </c>
      <c r="D205" s="1" t="str">
        <f t="shared" si="7"/>
        <v/>
      </c>
    </row>
    <row r="206" spans="1:4" x14ac:dyDescent="0.2">
      <c r="A206" t="str">
        <f>IF(COUNTBLANK(B206:D206)&lt;&gt;COLUMNS(B206:D206),205,"")</f>
        <v/>
      </c>
      <c r="C206" s="1" t="str">
        <f t="shared" si="6"/>
        <v/>
      </c>
      <c r="D206" s="1" t="str">
        <f t="shared" si="7"/>
        <v/>
      </c>
    </row>
    <row r="207" spans="1:4" x14ac:dyDescent="0.2">
      <c r="A207" t="str">
        <f>IF(COUNTBLANK(B207:D207)&lt;&gt;COLUMNS(B207:D207),206,"")</f>
        <v/>
      </c>
      <c r="C207" s="1" t="str">
        <f t="shared" si="6"/>
        <v/>
      </c>
      <c r="D207" s="1" t="str">
        <f t="shared" si="7"/>
        <v/>
      </c>
    </row>
    <row r="208" spans="1:4" x14ac:dyDescent="0.2">
      <c r="A208" t="str">
        <f>IF(COUNTBLANK(B208:D208)&lt;&gt;COLUMNS(B208:D208),207,"")</f>
        <v/>
      </c>
      <c r="C208" s="1" t="str">
        <f t="shared" si="6"/>
        <v/>
      </c>
      <c r="D208" s="1" t="str">
        <f t="shared" si="7"/>
        <v/>
      </c>
    </row>
    <row r="209" spans="1:4" x14ac:dyDescent="0.2">
      <c r="A209" t="str">
        <f>IF(COUNTBLANK(B209:D209)&lt;&gt;COLUMNS(B209:D209),208,"")</f>
        <v/>
      </c>
      <c r="C209" s="1" t="str">
        <f t="shared" si="6"/>
        <v/>
      </c>
      <c r="D209" s="1" t="str">
        <f t="shared" si="7"/>
        <v/>
      </c>
    </row>
    <row r="210" spans="1:4" x14ac:dyDescent="0.2">
      <c r="A210" t="str">
        <f>IF(COUNTBLANK(B210:D210)&lt;&gt;COLUMNS(B210:D210),209,"")</f>
        <v/>
      </c>
      <c r="C210" s="1" t="str">
        <f t="shared" si="6"/>
        <v/>
      </c>
      <c r="D210" s="1" t="str">
        <f t="shared" si="7"/>
        <v/>
      </c>
    </row>
    <row r="211" spans="1:4" x14ac:dyDescent="0.2">
      <c r="A211" t="str">
        <f>IF(COUNTBLANK(B211:D211)&lt;&gt;COLUMNS(B211:D211),210,"")</f>
        <v/>
      </c>
      <c r="C211" s="1" t="str">
        <f t="shared" si="6"/>
        <v/>
      </c>
      <c r="D211" s="1" t="str">
        <f t="shared" si="7"/>
        <v/>
      </c>
    </row>
    <row r="212" spans="1:4" x14ac:dyDescent="0.2">
      <c r="A212" t="str">
        <f>IF(COUNTBLANK(B212:D212)&lt;&gt;COLUMNS(B212:D212),211,"")</f>
        <v/>
      </c>
      <c r="C212" s="1" t="str">
        <f t="shared" si="6"/>
        <v/>
      </c>
      <c r="D212" s="1" t="str">
        <f t="shared" si="7"/>
        <v/>
      </c>
    </row>
    <row r="213" spans="1:4" x14ac:dyDescent="0.2">
      <c r="A213" t="str">
        <f>IF(COUNTBLANK(B213:D213)&lt;&gt;COLUMNS(B213:D213),212,"")</f>
        <v/>
      </c>
      <c r="C213" s="1" t="str">
        <f t="shared" si="6"/>
        <v/>
      </c>
      <c r="D213" s="1" t="str">
        <f t="shared" si="7"/>
        <v/>
      </c>
    </row>
    <row r="214" spans="1:4" x14ac:dyDescent="0.2">
      <c r="A214" t="str">
        <f>IF(COUNTBLANK(B214:D214)&lt;&gt;COLUMNS(B214:D214),213,"")</f>
        <v/>
      </c>
      <c r="C214" s="1" t="str">
        <f t="shared" si="6"/>
        <v/>
      </c>
      <c r="D214" s="1" t="str">
        <f t="shared" si="7"/>
        <v/>
      </c>
    </row>
    <row r="215" spans="1:4" x14ac:dyDescent="0.2">
      <c r="A215" t="str">
        <f>IF(COUNTBLANK(B215:D215)&lt;&gt;COLUMNS(B215:D215),214,"")</f>
        <v/>
      </c>
      <c r="C215" s="1" t="str">
        <f t="shared" si="6"/>
        <v/>
      </c>
      <c r="D215" s="1" t="str">
        <f t="shared" si="7"/>
        <v/>
      </c>
    </row>
    <row r="216" spans="1:4" x14ac:dyDescent="0.2">
      <c r="A216" t="str">
        <f>IF(COUNTBLANK(B216:D216)&lt;&gt;COLUMNS(B216:D216),215,"")</f>
        <v/>
      </c>
      <c r="C216" s="1" t="str">
        <f t="shared" si="6"/>
        <v/>
      </c>
      <c r="D216" s="1" t="str">
        <f t="shared" si="7"/>
        <v/>
      </c>
    </row>
    <row r="217" spans="1:4" x14ac:dyDescent="0.2">
      <c r="A217" t="str">
        <f>IF(COUNTBLANK(B217:D217)&lt;&gt;COLUMNS(B217:D217),216,"")</f>
        <v/>
      </c>
      <c r="C217" s="1" t="str">
        <f t="shared" si="6"/>
        <v/>
      </c>
      <c r="D217" s="1" t="str">
        <f t="shared" si="7"/>
        <v/>
      </c>
    </row>
    <row r="218" spans="1:4" x14ac:dyDescent="0.2">
      <c r="A218" t="str">
        <f>IF(COUNTBLANK(B218:D218)&lt;&gt;COLUMNS(B218:D218),217,"")</f>
        <v/>
      </c>
      <c r="C218" s="1" t="str">
        <f t="shared" si="6"/>
        <v/>
      </c>
      <c r="D218" s="1" t="str">
        <f t="shared" si="7"/>
        <v/>
      </c>
    </row>
    <row r="219" spans="1:4" x14ac:dyDescent="0.2">
      <c r="A219" t="str">
        <f>IF(COUNTBLANK(B219:D219)&lt;&gt;COLUMNS(B219:D219),218,"")</f>
        <v/>
      </c>
      <c r="C219" s="1" t="str">
        <f t="shared" si="6"/>
        <v/>
      </c>
      <c r="D219" s="1" t="str">
        <f t="shared" si="7"/>
        <v/>
      </c>
    </row>
    <row r="220" spans="1:4" x14ac:dyDescent="0.2">
      <c r="A220" t="str">
        <f>IF(COUNTBLANK(B220:D220)&lt;&gt;COLUMNS(B220:D220),219,"")</f>
        <v/>
      </c>
      <c r="C220" s="1" t="str">
        <f t="shared" si="6"/>
        <v/>
      </c>
      <c r="D220" s="1" t="str">
        <f t="shared" si="7"/>
        <v/>
      </c>
    </row>
    <row r="221" spans="1:4" x14ac:dyDescent="0.2">
      <c r="A221" t="str">
        <f>IF(COUNTBLANK(B221:D221)&lt;&gt;COLUMNS(B221:D221),220,"")</f>
        <v/>
      </c>
      <c r="C221" s="1" t="str">
        <f t="shared" si="6"/>
        <v/>
      </c>
      <c r="D221" s="1" t="str">
        <f t="shared" si="7"/>
        <v/>
      </c>
    </row>
    <row r="222" spans="1:4" x14ac:dyDescent="0.2">
      <c r="A222" t="str">
        <f>IF(COUNTBLANK(B222:D222)&lt;&gt;COLUMNS(B222:D222),221,"")</f>
        <v/>
      </c>
      <c r="C222" s="1" t="str">
        <f t="shared" si="6"/>
        <v/>
      </c>
      <c r="D222" s="1" t="str">
        <f t="shared" si="7"/>
        <v/>
      </c>
    </row>
    <row r="223" spans="1:4" x14ac:dyDescent="0.2">
      <c r="A223" t="str">
        <f>IF(COUNTBLANK(B223:D223)&lt;&gt;COLUMNS(B223:D223),222,"")</f>
        <v/>
      </c>
      <c r="C223" s="1" t="str">
        <f t="shared" si="6"/>
        <v/>
      </c>
      <c r="D223" s="1" t="str">
        <f t="shared" si="7"/>
        <v/>
      </c>
    </row>
    <row r="224" spans="1:4" x14ac:dyDescent="0.2">
      <c r="A224" t="str">
        <f>IF(COUNTBLANK(B224:D224)&lt;&gt;COLUMNS(B224:D224),223,"")</f>
        <v/>
      </c>
      <c r="C224" s="1" t="str">
        <f t="shared" si="6"/>
        <v/>
      </c>
      <c r="D224" s="1" t="str">
        <f t="shared" si="7"/>
        <v/>
      </c>
    </row>
    <row r="225" spans="1:4" x14ac:dyDescent="0.2">
      <c r="A225" t="str">
        <f>IF(COUNTBLANK(B225:D225)&lt;&gt;COLUMNS(B225:D225),224,"")</f>
        <v/>
      </c>
      <c r="C225" s="1" t="str">
        <f t="shared" si="6"/>
        <v/>
      </c>
      <c r="D225" s="1" t="str">
        <f t="shared" si="7"/>
        <v/>
      </c>
    </row>
    <row r="226" spans="1:4" x14ac:dyDescent="0.2">
      <c r="A226" t="str">
        <f>IF(COUNTBLANK(B226:D226)&lt;&gt;COLUMNS(B226:D226),225,"")</f>
        <v/>
      </c>
      <c r="C226" s="1" t="str">
        <f t="shared" si="6"/>
        <v/>
      </c>
      <c r="D226" s="1" t="str">
        <f t="shared" si="7"/>
        <v/>
      </c>
    </row>
    <row r="227" spans="1:4" x14ac:dyDescent="0.2">
      <c r="A227" t="str">
        <f>IF(COUNTBLANK(B227:D227)&lt;&gt;COLUMNS(B227:D227),226,"")</f>
        <v/>
      </c>
      <c r="C227" s="1" t="str">
        <f t="shared" si="6"/>
        <v/>
      </c>
      <c r="D227" s="1" t="str">
        <f t="shared" si="7"/>
        <v/>
      </c>
    </row>
    <row r="228" spans="1:4" x14ac:dyDescent="0.2">
      <c r="A228" t="str">
        <f>IF(COUNTBLANK(B228:D228)&lt;&gt;COLUMNS(B228:D228),227,"")</f>
        <v/>
      </c>
      <c r="C228" s="1" t="str">
        <f t="shared" si="6"/>
        <v/>
      </c>
      <c r="D228" s="1" t="str">
        <f t="shared" si="7"/>
        <v/>
      </c>
    </row>
    <row r="229" spans="1:4" x14ac:dyDescent="0.2">
      <c r="A229" t="str">
        <f>IF(COUNTBLANK(B229:D229)&lt;&gt;COLUMNS(B229:D229),228,"")</f>
        <v/>
      </c>
      <c r="C229" s="1" t="str">
        <f t="shared" si="6"/>
        <v/>
      </c>
      <c r="D229" s="1" t="str">
        <f t="shared" si="7"/>
        <v/>
      </c>
    </row>
    <row r="230" spans="1:4" x14ac:dyDescent="0.2">
      <c r="A230" t="str">
        <f>IF(COUNTBLANK(B230:D230)&lt;&gt;COLUMNS(B230:D230),229,"")</f>
        <v/>
      </c>
      <c r="C230" s="1" t="str">
        <f t="shared" si="6"/>
        <v/>
      </c>
      <c r="D230" s="1" t="str">
        <f t="shared" si="7"/>
        <v/>
      </c>
    </row>
    <row r="231" spans="1:4" x14ac:dyDescent="0.2">
      <c r="A231" t="str">
        <f>IF(COUNTBLANK(B231:D231)&lt;&gt;COLUMNS(B231:D231),230,"")</f>
        <v/>
      </c>
      <c r="C231" s="1" t="str">
        <f t="shared" si="6"/>
        <v/>
      </c>
      <c r="D231" s="1" t="str">
        <f t="shared" si="7"/>
        <v/>
      </c>
    </row>
    <row r="232" spans="1:4" x14ac:dyDescent="0.2">
      <c r="A232" t="str">
        <f>IF(COUNTBLANK(B232:D232)&lt;&gt;COLUMNS(B232:D232),231,"")</f>
        <v/>
      </c>
      <c r="C232" s="1" t="str">
        <f t="shared" si="6"/>
        <v/>
      </c>
      <c r="D232" s="1" t="str">
        <f t="shared" si="7"/>
        <v/>
      </c>
    </row>
    <row r="233" spans="1:4" x14ac:dyDescent="0.2">
      <c r="A233" t="str">
        <f>IF(COUNTBLANK(B233:D233)&lt;&gt;COLUMNS(B233:D233),232,"")</f>
        <v/>
      </c>
      <c r="C233" s="1" t="str">
        <f t="shared" si="6"/>
        <v/>
      </c>
      <c r="D233" s="1" t="str">
        <f t="shared" si="7"/>
        <v/>
      </c>
    </row>
    <row r="234" spans="1:4" x14ac:dyDescent="0.2">
      <c r="A234" t="str">
        <f>IF(COUNTBLANK(B234:D234)&lt;&gt;COLUMNS(B234:D234),233,"")</f>
        <v/>
      </c>
      <c r="C234" s="1" t="str">
        <f t="shared" si="6"/>
        <v/>
      </c>
      <c r="D234" s="1" t="str">
        <f t="shared" si="7"/>
        <v/>
      </c>
    </row>
    <row r="235" spans="1:4" x14ac:dyDescent="0.2">
      <c r="A235" t="str">
        <f>IF(COUNTBLANK(B235:D235)&lt;&gt;COLUMNS(B235:D235),234,"")</f>
        <v/>
      </c>
      <c r="C235" s="1" t="str">
        <f t="shared" si="6"/>
        <v/>
      </c>
      <c r="D235" s="1" t="str">
        <f t="shared" si="7"/>
        <v/>
      </c>
    </row>
    <row r="236" spans="1:4" x14ac:dyDescent="0.2">
      <c r="A236" t="str">
        <f>IF(COUNTBLANK(B236:D236)&lt;&gt;COLUMNS(B236:D236),235,"")</f>
        <v/>
      </c>
      <c r="C236" s="1" t="str">
        <f t="shared" si="6"/>
        <v/>
      </c>
      <c r="D236" s="1" t="str">
        <f t="shared" si="7"/>
        <v/>
      </c>
    </row>
    <row r="237" spans="1:4" x14ac:dyDescent="0.2">
      <c r="A237" t="str">
        <f>IF(COUNTBLANK(B237:D237)&lt;&gt;COLUMNS(B237:D237),236,"")</f>
        <v/>
      </c>
      <c r="C237" s="1" t="str">
        <f t="shared" si="6"/>
        <v/>
      </c>
      <c r="D237" s="1" t="str">
        <f t="shared" si="7"/>
        <v/>
      </c>
    </row>
    <row r="238" spans="1:4" x14ac:dyDescent="0.2">
      <c r="A238" t="str">
        <f>IF(COUNTBLANK(B238:D238)&lt;&gt;COLUMNS(B238:D238),237,"")</f>
        <v/>
      </c>
      <c r="C238" s="1" t="str">
        <f t="shared" si="6"/>
        <v/>
      </c>
      <c r="D238" s="1" t="str">
        <f t="shared" si="7"/>
        <v/>
      </c>
    </row>
    <row r="239" spans="1:4" x14ac:dyDescent="0.2">
      <c r="A239" t="str">
        <f>IF(COUNTBLANK(B239:D239)&lt;&gt;COLUMNS(B239:D239),238,"")</f>
        <v/>
      </c>
      <c r="C239" s="1" t="str">
        <f t="shared" si="6"/>
        <v/>
      </c>
      <c r="D239" s="1" t="str">
        <f t="shared" si="7"/>
        <v/>
      </c>
    </row>
    <row r="240" spans="1:4" x14ac:dyDescent="0.2">
      <c r="A240" t="str">
        <f>IF(COUNTBLANK(B240:D240)&lt;&gt;COLUMNS(B240:D240),239,"")</f>
        <v/>
      </c>
      <c r="C240" s="1" t="str">
        <f t="shared" si="6"/>
        <v/>
      </c>
      <c r="D240" s="1" t="str">
        <f t="shared" si="7"/>
        <v/>
      </c>
    </row>
    <row r="241" spans="1:4" x14ac:dyDescent="0.2">
      <c r="A241" t="str">
        <f>IF(COUNTBLANK(B241:D241)&lt;&gt;COLUMNS(B241:D241),240,"")</f>
        <v/>
      </c>
      <c r="C241" s="1" t="str">
        <f t="shared" si="6"/>
        <v/>
      </c>
      <c r="D241" s="1" t="str">
        <f t="shared" si="7"/>
        <v/>
      </c>
    </row>
    <row r="242" spans="1:4" x14ac:dyDescent="0.2">
      <c r="A242" t="str">
        <f>IF(COUNTBLANK(B242:D242)&lt;&gt;COLUMNS(B242:D242),241,"")</f>
        <v/>
      </c>
      <c r="C242" s="1" t="str">
        <f t="shared" si="6"/>
        <v/>
      </c>
      <c r="D242" s="1" t="str">
        <f t="shared" si="7"/>
        <v/>
      </c>
    </row>
    <row r="243" spans="1:4" x14ac:dyDescent="0.2">
      <c r="A243" t="str">
        <f>IF(COUNTBLANK(B243:D243)&lt;&gt;COLUMNS(B243:D243),242,"")</f>
        <v/>
      </c>
      <c r="C243" s="1" t="str">
        <f t="shared" si="6"/>
        <v/>
      </c>
      <c r="D243" s="1" t="str">
        <f t="shared" si="7"/>
        <v/>
      </c>
    </row>
    <row r="244" spans="1:4" x14ac:dyDescent="0.2">
      <c r="A244" t="str">
        <f>IF(COUNTBLANK(B244:D244)&lt;&gt;COLUMNS(B244:D244),243,"")</f>
        <v/>
      </c>
      <c r="C244" s="1" t="str">
        <f t="shared" si="6"/>
        <v/>
      </c>
      <c r="D244" s="1" t="str">
        <f t="shared" si="7"/>
        <v/>
      </c>
    </row>
    <row r="245" spans="1:4" x14ac:dyDescent="0.2">
      <c r="A245" t="str">
        <f>IF(COUNTBLANK(B245:D245)&lt;&gt;COLUMNS(B245:D245),244,"")</f>
        <v/>
      </c>
      <c r="C245" s="1" t="str">
        <f t="shared" si="6"/>
        <v/>
      </c>
      <c r="D245" s="1" t="str">
        <f t="shared" si="7"/>
        <v/>
      </c>
    </row>
    <row r="246" spans="1:4" x14ac:dyDescent="0.2">
      <c r="A246" t="str">
        <f>IF(COUNTBLANK(B246:D246)&lt;&gt;COLUMNS(B246:D246),245,"")</f>
        <v/>
      </c>
      <c r="C246" s="1" t="str">
        <f t="shared" si="6"/>
        <v/>
      </c>
      <c r="D246" s="1" t="str">
        <f t="shared" si="7"/>
        <v/>
      </c>
    </row>
    <row r="247" spans="1:4" x14ac:dyDescent="0.2">
      <c r="A247" t="str">
        <f>IF(COUNTBLANK(B247:D247)&lt;&gt;COLUMNS(B247:D247),246,"")</f>
        <v/>
      </c>
      <c r="C247" s="1" t="str">
        <f t="shared" si="6"/>
        <v/>
      </c>
      <c r="D247" s="1" t="str">
        <f t="shared" si="7"/>
        <v/>
      </c>
    </row>
    <row r="248" spans="1:4" x14ac:dyDescent="0.2">
      <c r="A248" t="str">
        <f>IF(COUNTBLANK(B248:D248)&lt;&gt;COLUMNS(B248:D248),247,"")</f>
        <v/>
      </c>
      <c r="C248" s="1" t="str">
        <f t="shared" si="6"/>
        <v/>
      </c>
      <c r="D248" s="1" t="str">
        <f t="shared" si="7"/>
        <v/>
      </c>
    </row>
    <row r="249" spans="1:4" x14ac:dyDescent="0.2">
      <c r="A249" t="str">
        <f>IF(COUNTBLANK(B249:D249)&lt;&gt;COLUMNS(B249:D249),248,"")</f>
        <v/>
      </c>
      <c r="C249" s="1" t="str">
        <f t="shared" si="6"/>
        <v/>
      </c>
      <c r="D249" s="1" t="str">
        <f t="shared" si="7"/>
        <v/>
      </c>
    </row>
    <row r="250" spans="1:4" x14ac:dyDescent="0.2">
      <c r="A250" t="str">
        <f>IF(COUNTBLANK(B250:D250)&lt;&gt;COLUMNS(B250:D250),249,"")</f>
        <v/>
      </c>
      <c r="C250" s="1" t="str">
        <f t="shared" si="6"/>
        <v/>
      </c>
      <c r="D250" s="1" t="str">
        <f t="shared" si="7"/>
        <v/>
      </c>
    </row>
    <row r="251" spans="1:4" x14ac:dyDescent="0.2">
      <c r="A251" t="str">
        <f>IF(COUNTBLANK(B251:D251)&lt;&gt;COLUMNS(B251:D251),250,"")</f>
        <v/>
      </c>
      <c r="C251" s="1" t="str">
        <f t="shared" si="6"/>
        <v/>
      </c>
      <c r="D251" s="1" t="str">
        <f t="shared" si="7"/>
        <v/>
      </c>
    </row>
    <row r="252" spans="1:4" x14ac:dyDescent="0.2">
      <c r="A252" t="str">
        <f>IF(COUNTBLANK(B252:D252)&lt;&gt;COLUMNS(B252:D252),251,"")</f>
        <v/>
      </c>
      <c r="C252" s="1" t="str">
        <f t="shared" si="6"/>
        <v/>
      </c>
      <c r="D252" s="1" t="str">
        <f t="shared" si="7"/>
        <v/>
      </c>
    </row>
    <row r="253" spans="1:4" x14ac:dyDescent="0.2">
      <c r="A253" t="str">
        <f>IF(COUNTBLANK(B253:D253)&lt;&gt;COLUMNS(B253:D253),252,"")</f>
        <v/>
      </c>
      <c r="C253" s="1" t="str">
        <f t="shared" si="6"/>
        <v/>
      </c>
      <c r="D253" s="1" t="str">
        <f t="shared" si="7"/>
        <v/>
      </c>
    </row>
    <row r="254" spans="1:4" x14ac:dyDescent="0.2">
      <c r="A254" t="str">
        <f>IF(COUNTBLANK(B254:D254)&lt;&gt;COLUMNS(B254:D254),253,"")</f>
        <v/>
      </c>
      <c r="C254" s="1" t="str">
        <f t="shared" si="6"/>
        <v/>
      </c>
      <c r="D254" s="1" t="str">
        <f t="shared" si="7"/>
        <v/>
      </c>
    </row>
    <row r="255" spans="1:4" x14ac:dyDescent="0.2">
      <c r="A255" t="str">
        <f>IF(COUNTBLANK(B255:D255)&lt;&gt;COLUMNS(B255:D255),254,"")</f>
        <v/>
      </c>
      <c r="C255" s="1" t="str">
        <f t="shared" si="6"/>
        <v/>
      </c>
      <c r="D255" s="1" t="str">
        <f t="shared" si="7"/>
        <v/>
      </c>
    </row>
    <row r="256" spans="1:4" x14ac:dyDescent="0.2">
      <c r="A256" t="str">
        <f>IF(COUNTBLANK(B256:D256)&lt;&gt;COLUMNS(B256:D256),255,"")</f>
        <v/>
      </c>
      <c r="C256" s="1" t="str">
        <f t="shared" si="6"/>
        <v/>
      </c>
      <c r="D256" s="1" t="str">
        <f t="shared" si="7"/>
        <v/>
      </c>
    </row>
    <row r="257" spans="1:4" x14ac:dyDescent="0.2">
      <c r="A257" t="str">
        <f>IF(COUNTBLANK(B257:D257)&lt;&gt;COLUMNS(B257:D257),256,"")</f>
        <v/>
      </c>
      <c r="C257" s="1" t="str">
        <f t="shared" si="6"/>
        <v/>
      </c>
      <c r="D257" s="1" t="str">
        <f t="shared" si="7"/>
        <v/>
      </c>
    </row>
    <row r="258" spans="1:4" x14ac:dyDescent="0.2">
      <c r="A258" t="str">
        <f>IF(COUNTBLANK(B258:D258)&lt;&gt;COLUMNS(B258:D258),257,"")</f>
        <v/>
      </c>
      <c r="C258" s="1" t="str">
        <f t="shared" ref="C258:C321" si="8">IF(B258="", "", "mouse gut metagenome")</f>
        <v/>
      </c>
      <c r="D258" s="1" t="str">
        <f t="shared" ref="D258:D321" si="9">IF(B258="", "", "410661")</f>
        <v/>
      </c>
    </row>
    <row r="259" spans="1:4" x14ac:dyDescent="0.2">
      <c r="A259" t="str">
        <f>IF(COUNTBLANK(B259:D259)&lt;&gt;COLUMNS(B259:D259),258,"")</f>
        <v/>
      </c>
      <c r="C259" s="1" t="str">
        <f t="shared" si="8"/>
        <v/>
      </c>
      <c r="D259" s="1" t="str">
        <f t="shared" si="9"/>
        <v/>
      </c>
    </row>
    <row r="260" spans="1:4" x14ac:dyDescent="0.2">
      <c r="A260" t="str">
        <f>IF(COUNTBLANK(B260:D260)&lt;&gt;COLUMNS(B260:D260),259,"")</f>
        <v/>
      </c>
      <c r="C260" s="1" t="str">
        <f t="shared" si="8"/>
        <v/>
      </c>
      <c r="D260" s="1" t="str">
        <f t="shared" si="9"/>
        <v/>
      </c>
    </row>
    <row r="261" spans="1:4" x14ac:dyDescent="0.2">
      <c r="A261" t="str">
        <f>IF(COUNTBLANK(B261:D261)&lt;&gt;COLUMNS(B261:D261),260,"")</f>
        <v/>
      </c>
      <c r="C261" s="1" t="str">
        <f t="shared" si="8"/>
        <v/>
      </c>
      <c r="D261" s="1" t="str">
        <f t="shared" si="9"/>
        <v/>
      </c>
    </row>
    <row r="262" spans="1:4" x14ac:dyDescent="0.2">
      <c r="A262" t="str">
        <f>IF(COUNTBLANK(B262:D262)&lt;&gt;COLUMNS(B262:D262),261,"")</f>
        <v/>
      </c>
      <c r="C262" s="1" t="str">
        <f t="shared" si="8"/>
        <v/>
      </c>
      <c r="D262" s="1" t="str">
        <f t="shared" si="9"/>
        <v/>
      </c>
    </row>
    <row r="263" spans="1:4" x14ac:dyDescent="0.2">
      <c r="A263" t="str">
        <f>IF(COUNTBLANK(B263:D263)&lt;&gt;COLUMNS(B263:D263),262,"")</f>
        <v/>
      </c>
      <c r="C263" s="1" t="str">
        <f t="shared" si="8"/>
        <v/>
      </c>
      <c r="D263" s="1" t="str">
        <f t="shared" si="9"/>
        <v/>
      </c>
    </row>
    <row r="264" spans="1:4" x14ac:dyDescent="0.2">
      <c r="A264" t="str">
        <f>IF(COUNTBLANK(B264:D264)&lt;&gt;COLUMNS(B264:D264),263,"")</f>
        <v/>
      </c>
      <c r="C264" s="1" t="str">
        <f t="shared" si="8"/>
        <v/>
      </c>
      <c r="D264" s="1" t="str">
        <f t="shared" si="9"/>
        <v/>
      </c>
    </row>
    <row r="265" spans="1:4" x14ac:dyDescent="0.2">
      <c r="A265" t="str">
        <f>IF(COUNTBLANK(B265:D265)&lt;&gt;COLUMNS(B265:D265),264,"")</f>
        <v/>
      </c>
      <c r="C265" s="1" t="str">
        <f t="shared" si="8"/>
        <v/>
      </c>
      <c r="D265" s="1" t="str">
        <f t="shared" si="9"/>
        <v/>
      </c>
    </row>
    <row r="266" spans="1:4" x14ac:dyDescent="0.2">
      <c r="A266" t="str">
        <f>IF(COUNTBLANK(B266:D266)&lt;&gt;COLUMNS(B266:D266),265,"")</f>
        <v/>
      </c>
      <c r="C266" s="1" t="str">
        <f t="shared" si="8"/>
        <v/>
      </c>
      <c r="D266" s="1" t="str">
        <f t="shared" si="9"/>
        <v/>
      </c>
    </row>
    <row r="267" spans="1:4" x14ac:dyDescent="0.2">
      <c r="A267" t="str">
        <f>IF(COUNTBLANK(B267:D267)&lt;&gt;COLUMNS(B267:D267),266,"")</f>
        <v/>
      </c>
      <c r="C267" s="1" t="str">
        <f t="shared" si="8"/>
        <v/>
      </c>
      <c r="D267" s="1" t="str">
        <f t="shared" si="9"/>
        <v/>
      </c>
    </row>
    <row r="268" spans="1:4" x14ac:dyDescent="0.2">
      <c r="A268" t="str">
        <f>IF(COUNTBLANK(B268:D268)&lt;&gt;COLUMNS(B268:D268),267,"")</f>
        <v/>
      </c>
      <c r="C268" s="1" t="str">
        <f t="shared" si="8"/>
        <v/>
      </c>
      <c r="D268" s="1" t="str">
        <f t="shared" si="9"/>
        <v/>
      </c>
    </row>
    <row r="269" spans="1:4" x14ac:dyDescent="0.2">
      <c r="A269" t="str">
        <f>IF(COUNTBLANK(B269:D269)&lt;&gt;COLUMNS(B269:D269),268,"")</f>
        <v/>
      </c>
      <c r="C269" s="1" t="str">
        <f t="shared" si="8"/>
        <v/>
      </c>
      <c r="D269" s="1" t="str">
        <f t="shared" si="9"/>
        <v/>
      </c>
    </row>
    <row r="270" spans="1:4" x14ac:dyDescent="0.2">
      <c r="A270" t="str">
        <f>IF(COUNTBLANK(B270:D270)&lt;&gt;COLUMNS(B270:D270),269,"")</f>
        <v/>
      </c>
      <c r="C270" s="1" t="str">
        <f t="shared" si="8"/>
        <v/>
      </c>
      <c r="D270" s="1" t="str">
        <f t="shared" si="9"/>
        <v/>
      </c>
    </row>
    <row r="271" spans="1:4" x14ac:dyDescent="0.2">
      <c r="A271" t="str">
        <f>IF(COUNTBLANK(B271:D271)&lt;&gt;COLUMNS(B271:D271),270,"")</f>
        <v/>
      </c>
      <c r="C271" s="1" t="str">
        <f t="shared" si="8"/>
        <v/>
      </c>
      <c r="D271" s="1" t="str">
        <f t="shared" si="9"/>
        <v/>
      </c>
    </row>
    <row r="272" spans="1:4" x14ac:dyDescent="0.2">
      <c r="A272" t="str">
        <f>IF(COUNTBLANK(B272:D272)&lt;&gt;COLUMNS(B272:D272),271,"")</f>
        <v/>
      </c>
      <c r="C272" s="1" t="str">
        <f t="shared" si="8"/>
        <v/>
      </c>
      <c r="D272" s="1" t="str">
        <f t="shared" si="9"/>
        <v/>
      </c>
    </row>
    <row r="273" spans="1:4" x14ac:dyDescent="0.2">
      <c r="A273" t="str">
        <f>IF(COUNTBLANK(B273:D273)&lt;&gt;COLUMNS(B273:D273),272,"")</f>
        <v/>
      </c>
      <c r="C273" s="1" t="str">
        <f t="shared" si="8"/>
        <v/>
      </c>
      <c r="D273" s="1" t="str">
        <f t="shared" si="9"/>
        <v/>
      </c>
    </row>
    <row r="274" spans="1:4" x14ac:dyDescent="0.2">
      <c r="A274" t="str">
        <f>IF(COUNTBLANK(B274:D274)&lt;&gt;COLUMNS(B274:D274),273,"")</f>
        <v/>
      </c>
      <c r="C274" s="1" t="str">
        <f t="shared" si="8"/>
        <v/>
      </c>
      <c r="D274" s="1" t="str">
        <f t="shared" si="9"/>
        <v/>
      </c>
    </row>
    <row r="275" spans="1:4" x14ac:dyDescent="0.2">
      <c r="A275" t="str">
        <f>IF(COUNTBLANK(B275:D275)&lt;&gt;COLUMNS(B275:D275),274,"")</f>
        <v/>
      </c>
      <c r="C275" s="1" t="str">
        <f t="shared" si="8"/>
        <v/>
      </c>
      <c r="D275" s="1" t="str">
        <f t="shared" si="9"/>
        <v/>
      </c>
    </row>
    <row r="276" spans="1:4" x14ac:dyDescent="0.2">
      <c r="A276" t="str">
        <f>IF(COUNTBLANK(B276:D276)&lt;&gt;COLUMNS(B276:D276),275,"")</f>
        <v/>
      </c>
      <c r="C276" s="1" t="str">
        <f t="shared" si="8"/>
        <v/>
      </c>
      <c r="D276" s="1" t="str">
        <f t="shared" si="9"/>
        <v/>
      </c>
    </row>
    <row r="277" spans="1:4" x14ac:dyDescent="0.2">
      <c r="A277" t="str">
        <f>IF(COUNTBLANK(B277:D277)&lt;&gt;COLUMNS(B277:D277),276,"")</f>
        <v/>
      </c>
      <c r="C277" s="1" t="str">
        <f t="shared" si="8"/>
        <v/>
      </c>
      <c r="D277" s="1" t="str">
        <f t="shared" si="9"/>
        <v/>
      </c>
    </row>
    <row r="278" spans="1:4" x14ac:dyDescent="0.2">
      <c r="A278" t="str">
        <f>IF(COUNTBLANK(B278:D278)&lt;&gt;COLUMNS(B278:D278),277,"")</f>
        <v/>
      </c>
      <c r="C278" s="1" t="str">
        <f t="shared" si="8"/>
        <v/>
      </c>
      <c r="D278" s="1" t="str">
        <f t="shared" si="9"/>
        <v/>
      </c>
    </row>
    <row r="279" spans="1:4" x14ac:dyDescent="0.2">
      <c r="A279" t="str">
        <f>IF(COUNTBLANK(B279:D279)&lt;&gt;COLUMNS(B279:D279),278,"")</f>
        <v/>
      </c>
      <c r="C279" s="1" t="str">
        <f t="shared" si="8"/>
        <v/>
      </c>
      <c r="D279" s="1" t="str">
        <f t="shared" si="9"/>
        <v/>
      </c>
    </row>
    <row r="280" spans="1:4" x14ac:dyDescent="0.2">
      <c r="A280" t="str">
        <f>IF(COUNTBLANK(B280:D280)&lt;&gt;COLUMNS(B280:D280),279,"")</f>
        <v/>
      </c>
      <c r="C280" s="1" t="str">
        <f t="shared" si="8"/>
        <v/>
      </c>
      <c r="D280" s="1" t="str">
        <f t="shared" si="9"/>
        <v/>
      </c>
    </row>
    <row r="281" spans="1:4" x14ac:dyDescent="0.2">
      <c r="A281" t="str">
        <f>IF(COUNTBLANK(B281:D281)&lt;&gt;COLUMNS(B281:D281),280,"")</f>
        <v/>
      </c>
      <c r="C281" s="1" t="str">
        <f t="shared" si="8"/>
        <v/>
      </c>
      <c r="D281" s="1" t="str">
        <f t="shared" si="9"/>
        <v/>
      </c>
    </row>
    <row r="282" spans="1:4" x14ac:dyDescent="0.2">
      <c r="A282" t="str">
        <f>IF(COUNTBLANK(B282:D282)&lt;&gt;COLUMNS(B282:D282),281,"")</f>
        <v/>
      </c>
      <c r="C282" s="1" t="str">
        <f t="shared" si="8"/>
        <v/>
      </c>
      <c r="D282" s="1" t="str">
        <f t="shared" si="9"/>
        <v/>
      </c>
    </row>
    <row r="283" spans="1:4" x14ac:dyDescent="0.2">
      <c r="A283" t="str">
        <f>IF(COUNTBLANK(B283:D283)&lt;&gt;COLUMNS(B283:D283),282,"")</f>
        <v/>
      </c>
      <c r="C283" s="1" t="str">
        <f t="shared" si="8"/>
        <v/>
      </c>
      <c r="D283" s="1" t="str">
        <f t="shared" si="9"/>
        <v/>
      </c>
    </row>
    <row r="284" spans="1:4" x14ac:dyDescent="0.2">
      <c r="A284" t="str">
        <f>IF(COUNTBLANK(B284:D284)&lt;&gt;COLUMNS(B284:D284),283,"")</f>
        <v/>
      </c>
      <c r="C284" s="1" t="str">
        <f t="shared" si="8"/>
        <v/>
      </c>
      <c r="D284" s="1" t="str">
        <f t="shared" si="9"/>
        <v/>
      </c>
    </row>
    <row r="285" spans="1:4" x14ac:dyDescent="0.2">
      <c r="A285" t="str">
        <f>IF(COUNTBLANK(B285:D285)&lt;&gt;COLUMNS(B285:D285),284,"")</f>
        <v/>
      </c>
      <c r="C285" s="1" t="str">
        <f t="shared" si="8"/>
        <v/>
      </c>
      <c r="D285" s="1" t="str">
        <f t="shared" si="9"/>
        <v/>
      </c>
    </row>
    <row r="286" spans="1:4" x14ac:dyDescent="0.2">
      <c r="A286" t="str">
        <f>IF(COUNTBLANK(B286:D286)&lt;&gt;COLUMNS(B286:D286),285,"")</f>
        <v/>
      </c>
      <c r="C286" s="1" t="str">
        <f t="shared" si="8"/>
        <v/>
      </c>
      <c r="D286" s="1" t="str">
        <f t="shared" si="9"/>
        <v/>
      </c>
    </row>
    <row r="287" spans="1:4" x14ac:dyDescent="0.2">
      <c r="A287" t="str">
        <f>IF(COUNTBLANK(B287:D287)&lt;&gt;COLUMNS(B287:D287),286,"")</f>
        <v/>
      </c>
      <c r="C287" s="1" t="str">
        <f t="shared" si="8"/>
        <v/>
      </c>
      <c r="D287" s="1" t="str">
        <f t="shared" si="9"/>
        <v/>
      </c>
    </row>
    <row r="288" spans="1:4" x14ac:dyDescent="0.2">
      <c r="A288" t="str">
        <f>IF(COUNTBLANK(B288:D288)&lt;&gt;COLUMNS(B288:D288),287,"")</f>
        <v/>
      </c>
      <c r="C288" s="1" t="str">
        <f t="shared" si="8"/>
        <v/>
      </c>
      <c r="D288" s="1" t="str">
        <f t="shared" si="9"/>
        <v/>
      </c>
    </row>
    <row r="289" spans="1:4" x14ac:dyDescent="0.2">
      <c r="A289" t="str">
        <f>IF(COUNTBLANK(B289:D289)&lt;&gt;COLUMNS(B289:D289),288,"")</f>
        <v/>
      </c>
      <c r="C289" s="1" t="str">
        <f t="shared" si="8"/>
        <v/>
      </c>
      <c r="D289" s="1" t="str">
        <f t="shared" si="9"/>
        <v/>
      </c>
    </row>
    <row r="290" spans="1:4" x14ac:dyDescent="0.2">
      <c r="A290" t="str">
        <f>IF(COUNTBLANK(B290:D290)&lt;&gt;COLUMNS(B290:D290),289,"")</f>
        <v/>
      </c>
      <c r="C290" s="1" t="str">
        <f t="shared" si="8"/>
        <v/>
      </c>
      <c r="D290" s="1" t="str">
        <f t="shared" si="9"/>
        <v/>
      </c>
    </row>
    <row r="291" spans="1:4" x14ac:dyDescent="0.2">
      <c r="A291" t="str">
        <f>IF(COUNTBLANK(B291:D291)&lt;&gt;COLUMNS(B291:D291),290,"")</f>
        <v/>
      </c>
      <c r="C291" s="1" t="str">
        <f t="shared" si="8"/>
        <v/>
      </c>
      <c r="D291" s="1" t="str">
        <f t="shared" si="9"/>
        <v/>
      </c>
    </row>
    <row r="292" spans="1:4" x14ac:dyDescent="0.2">
      <c r="A292" t="str">
        <f>IF(COUNTBLANK(B292:D292)&lt;&gt;COLUMNS(B292:D292),291,"")</f>
        <v/>
      </c>
      <c r="C292" s="1" t="str">
        <f t="shared" si="8"/>
        <v/>
      </c>
      <c r="D292" s="1" t="str">
        <f t="shared" si="9"/>
        <v/>
      </c>
    </row>
    <row r="293" spans="1:4" x14ac:dyDescent="0.2">
      <c r="A293" t="str">
        <f>IF(COUNTBLANK(B293:D293)&lt;&gt;COLUMNS(B293:D293),292,"")</f>
        <v/>
      </c>
      <c r="C293" s="1" t="str">
        <f t="shared" si="8"/>
        <v/>
      </c>
      <c r="D293" s="1" t="str">
        <f t="shared" si="9"/>
        <v/>
      </c>
    </row>
    <row r="294" spans="1:4" x14ac:dyDescent="0.2">
      <c r="A294" t="str">
        <f>IF(COUNTBLANK(B294:D294)&lt;&gt;COLUMNS(B294:D294),293,"")</f>
        <v/>
      </c>
      <c r="C294" s="1" t="str">
        <f t="shared" si="8"/>
        <v/>
      </c>
      <c r="D294" s="1" t="str">
        <f t="shared" si="9"/>
        <v/>
      </c>
    </row>
    <row r="295" spans="1:4" x14ac:dyDescent="0.2">
      <c r="A295" t="str">
        <f>IF(COUNTBLANK(B295:D295)&lt;&gt;COLUMNS(B295:D295),294,"")</f>
        <v/>
      </c>
      <c r="C295" s="1" t="str">
        <f t="shared" si="8"/>
        <v/>
      </c>
      <c r="D295" s="1" t="str">
        <f t="shared" si="9"/>
        <v/>
      </c>
    </row>
    <row r="296" spans="1:4" x14ac:dyDescent="0.2">
      <c r="A296" t="str">
        <f>IF(COUNTBLANK(B296:D296)&lt;&gt;COLUMNS(B296:D296),295,"")</f>
        <v/>
      </c>
      <c r="C296" s="1" t="str">
        <f t="shared" si="8"/>
        <v/>
      </c>
      <c r="D296" s="1" t="str">
        <f t="shared" si="9"/>
        <v/>
      </c>
    </row>
    <row r="297" spans="1:4" x14ac:dyDescent="0.2">
      <c r="A297" t="str">
        <f>IF(COUNTBLANK(B297:D297)&lt;&gt;COLUMNS(B297:D297),296,"")</f>
        <v/>
      </c>
      <c r="C297" s="1" t="str">
        <f t="shared" si="8"/>
        <v/>
      </c>
      <c r="D297" s="1" t="str">
        <f t="shared" si="9"/>
        <v/>
      </c>
    </row>
    <row r="298" spans="1:4" x14ac:dyDescent="0.2">
      <c r="A298" t="str">
        <f>IF(COUNTBLANK(B298:D298)&lt;&gt;COLUMNS(B298:D298),297,"")</f>
        <v/>
      </c>
      <c r="C298" s="1" t="str">
        <f t="shared" si="8"/>
        <v/>
      </c>
      <c r="D298" s="1" t="str">
        <f t="shared" si="9"/>
        <v/>
      </c>
    </row>
    <row r="299" spans="1:4" x14ac:dyDescent="0.2">
      <c r="A299" t="str">
        <f>IF(COUNTBLANK(B299:D299)&lt;&gt;COLUMNS(B299:D299),298,"")</f>
        <v/>
      </c>
      <c r="C299" s="1" t="str">
        <f t="shared" si="8"/>
        <v/>
      </c>
      <c r="D299" s="1" t="str">
        <f t="shared" si="9"/>
        <v/>
      </c>
    </row>
    <row r="300" spans="1:4" x14ac:dyDescent="0.2">
      <c r="A300" t="str">
        <f>IF(COUNTBLANK(B300:D300)&lt;&gt;COLUMNS(B300:D300),299,"")</f>
        <v/>
      </c>
      <c r="C300" s="1" t="str">
        <f t="shared" si="8"/>
        <v/>
      </c>
      <c r="D300" s="1" t="str">
        <f t="shared" si="9"/>
        <v/>
      </c>
    </row>
    <row r="301" spans="1:4" x14ac:dyDescent="0.2">
      <c r="A301" t="str">
        <f>IF(COUNTBLANK(B301:D301)&lt;&gt;COLUMNS(B301:D301),300,"")</f>
        <v/>
      </c>
      <c r="C301" s="1" t="str">
        <f t="shared" si="8"/>
        <v/>
      </c>
      <c r="D301" s="1" t="str">
        <f t="shared" si="9"/>
        <v/>
      </c>
    </row>
    <row r="302" spans="1:4" x14ac:dyDescent="0.2">
      <c r="A302" t="str">
        <f>IF(COUNTBLANK(B302:D302)&lt;&gt;COLUMNS(B302:D302),301,"")</f>
        <v/>
      </c>
      <c r="C302" s="1" t="str">
        <f t="shared" si="8"/>
        <v/>
      </c>
      <c r="D302" s="1" t="str">
        <f t="shared" si="9"/>
        <v/>
      </c>
    </row>
    <row r="303" spans="1:4" x14ac:dyDescent="0.2">
      <c r="A303" t="str">
        <f>IF(COUNTBLANK(B303:D303)&lt;&gt;COLUMNS(B303:D303),302,"")</f>
        <v/>
      </c>
      <c r="C303" s="1" t="str">
        <f t="shared" si="8"/>
        <v/>
      </c>
      <c r="D303" s="1" t="str">
        <f t="shared" si="9"/>
        <v/>
      </c>
    </row>
    <row r="304" spans="1:4" x14ac:dyDescent="0.2">
      <c r="A304" t="str">
        <f>IF(COUNTBLANK(B304:D304)&lt;&gt;COLUMNS(B304:D304),303,"")</f>
        <v/>
      </c>
      <c r="C304" s="1" t="str">
        <f t="shared" si="8"/>
        <v/>
      </c>
      <c r="D304" s="1" t="str">
        <f t="shared" si="9"/>
        <v/>
      </c>
    </row>
    <row r="305" spans="1:4" x14ac:dyDescent="0.2">
      <c r="A305" t="str">
        <f>IF(COUNTBLANK(B305:D305)&lt;&gt;COLUMNS(B305:D305),304,"")</f>
        <v/>
      </c>
      <c r="C305" s="1" t="str">
        <f t="shared" si="8"/>
        <v/>
      </c>
      <c r="D305" s="1" t="str">
        <f t="shared" si="9"/>
        <v/>
      </c>
    </row>
    <row r="306" spans="1:4" x14ac:dyDescent="0.2">
      <c r="A306" t="str">
        <f>IF(COUNTBLANK(B306:D306)&lt;&gt;COLUMNS(B306:D306),305,"")</f>
        <v/>
      </c>
      <c r="C306" s="1" t="str">
        <f t="shared" si="8"/>
        <v/>
      </c>
      <c r="D306" s="1" t="str">
        <f t="shared" si="9"/>
        <v/>
      </c>
    </row>
    <row r="307" spans="1:4" x14ac:dyDescent="0.2">
      <c r="A307" t="str">
        <f>IF(COUNTBLANK(B307:D307)&lt;&gt;COLUMNS(B307:D307),306,"")</f>
        <v/>
      </c>
      <c r="C307" s="1" t="str">
        <f t="shared" si="8"/>
        <v/>
      </c>
      <c r="D307" s="1" t="str">
        <f t="shared" si="9"/>
        <v/>
      </c>
    </row>
    <row r="308" spans="1:4" x14ac:dyDescent="0.2">
      <c r="A308" t="str">
        <f>IF(COUNTBLANK(B308:D308)&lt;&gt;COLUMNS(B308:D308),307,"")</f>
        <v/>
      </c>
      <c r="C308" s="1" t="str">
        <f t="shared" si="8"/>
        <v/>
      </c>
      <c r="D308" s="1" t="str">
        <f t="shared" si="9"/>
        <v/>
      </c>
    </row>
    <row r="309" spans="1:4" x14ac:dyDescent="0.2">
      <c r="A309" t="str">
        <f>IF(COUNTBLANK(B309:D309)&lt;&gt;COLUMNS(B309:D309),308,"")</f>
        <v/>
      </c>
      <c r="C309" s="1" t="str">
        <f t="shared" si="8"/>
        <v/>
      </c>
      <c r="D309" s="1" t="str">
        <f t="shared" si="9"/>
        <v/>
      </c>
    </row>
    <row r="310" spans="1:4" x14ac:dyDescent="0.2">
      <c r="A310" t="str">
        <f>IF(COUNTBLANK(B310:D310)&lt;&gt;COLUMNS(B310:D310),309,"")</f>
        <v/>
      </c>
      <c r="C310" s="1" t="str">
        <f t="shared" si="8"/>
        <v/>
      </c>
      <c r="D310" s="1" t="str">
        <f t="shared" si="9"/>
        <v/>
      </c>
    </row>
    <row r="311" spans="1:4" x14ac:dyDescent="0.2">
      <c r="A311" t="str">
        <f>IF(COUNTBLANK(B311:D311)&lt;&gt;COLUMNS(B311:D311),310,"")</f>
        <v/>
      </c>
      <c r="C311" s="1" t="str">
        <f t="shared" si="8"/>
        <v/>
      </c>
      <c r="D311" s="1" t="str">
        <f t="shared" si="9"/>
        <v/>
      </c>
    </row>
    <row r="312" spans="1:4" x14ac:dyDescent="0.2">
      <c r="A312" t="str">
        <f>IF(COUNTBLANK(B312:D312)&lt;&gt;COLUMNS(B312:D312),311,"")</f>
        <v/>
      </c>
      <c r="C312" s="1" t="str">
        <f t="shared" si="8"/>
        <v/>
      </c>
      <c r="D312" s="1" t="str">
        <f t="shared" si="9"/>
        <v/>
      </c>
    </row>
    <row r="313" spans="1:4" x14ac:dyDescent="0.2">
      <c r="A313" t="str">
        <f>IF(COUNTBLANK(B313:D313)&lt;&gt;COLUMNS(B313:D313),312,"")</f>
        <v/>
      </c>
      <c r="C313" s="1" t="str">
        <f t="shared" si="8"/>
        <v/>
      </c>
      <c r="D313" s="1" t="str">
        <f t="shared" si="9"/>
        <v/>
      </c>
    </row>
    <row r="314" spans="1:4" x14ac:dyDescent="0.2">
      <c r="A314" t="str">
        <f>IF(COUNTBLANK(B314:D314)&lt;&gt;COLUMNS(B314:D314),313,"")</f>
        <v/>
      </c>
      <c r="C314" s="1" t="str">
        <f t="shared" si="8"/>
        <v/>
      </c>
      <c r="D314" s="1" t="str">
        <f t="shared" si="9"/>
        <v/>
      </c>
    </row>
    <row r="315" spans="1:4" x14ac:dyDescent="0.2">
      <c r="A315" t="str">
        <f>IF(COUNTBLANK(B315:D315)&lt;&gt;COLUMNS(B315:D315),314,"")</f>
        <v/>
      </c>
      <c r="C315" s="1" t="str">
        <f t="shared" si="8"/>
        <v/>
      </c>
      <c r="D315" s="1" t="str">
        <f t="shared" si="9"/>
        <v/>
      </c>
    </row>
    <row r="316" spans="1:4" x14ac:dyDescent="0.2">
      <c r="A316" t="str">
        <f>IF(COUNTBLANK(B316:D316)&lt;&gt;COLUMNS(B316:D316),315,"")</f>
        <v/>
      </c>
      <c r="C316" s="1" t="str">
        <f t="shared" si="8"/>
        <v/>
      </c>
      <c r="D316" s="1" t="str">
        <f t="shared" si="9"/>
        <v/>
      </c>
    </row>
    <row r="317" spans="1:4" x14ac:dyDescent="0.2">
      <c r="A317" t="str">
        <f>IF(COUNTBLANK(B317:D317)&lt;&gt;COLUMNS(B317:D317),316,"")</f>
        <v/>
      </c>
      <c r="C317" s="1" t="str">
        <f t="shared" si="8"/>
        <v/>
      </c>
      <c r="D317" s="1" t="str">
        <f t="shared" si="9"/>
        <v/>
      </c>
    </row>
    <row r="318" spans="1:4" x14ac:dyDescent="0.2">
      <c r="A318" t="str">
        <f>IF(COUNTBLANK(B318:D318)&lt;&gt;COLUMNS(B318:D318),317,"")</f>
        <v/>
      </c>
      <c r="C318" s="1" t="str">
        <f t="shared" si="8"/>
        <v/>
      </c>
      <c r="D318" s="1" t="str">
        <f t="shared" si="9"/>
        <v/>
      </c>
    </row>
    <row r="319" spans="1:4" x14ac:dyDescent="0.2">
      <c r="A319" t="str">
        <f>IF(COUNTBLANK(B319:D319)&lt;&gt;COLUMNS(B319:D319),318,"")</f>
        <v/>
      </c>
      <c r="C319" s="1" t="str">
        <f t="shared" si="8"/>
        <v/>
      </c>
      <c r="D319" s="1" t="str">
        <f t="shared" si="9"/>
        <v/>
      </c>
    </row>
    <row r="320" spans="1:4" x14ac:dyDescent="0.2">
      <c r="A320" t="str">
        <f>IF(COUNTBLANK(B320:D320)&lt;&gt;COLUMNS(B320:D320),319,"")</f>
        <v/>
      </c>
      <c r="C320" s="1" t="str">
        <f t="shared" si="8"/>
        <v/>
      </c>
      <c r="D320" s="1" t="str">
        <f t="shared" si="9"/>
        <v/>
      </c>
    </row>
    <row r="321" spans="1:4" x14ac:dyDescent="0.2">
      <c r="A321" t="str">
        <f>IF(COUNTBLANK(B321:D321)&lt;&gt;COLUMNS(B321:D321),320,"")</f>
        <v/>
      </c>
      <c r="C321" s="1" t="str">
        <f t="shared" si="8"/>
        <v/>
      </c>
      <c r="D321" s="1" t="str">
        <f t="shared" si="9"/>
        <v/>
      </c>
    </row>
    <row r="322" spans="1:4" x14ac:dyDescent="0.2">
      <c r="A322" t="str">
        <f>IF(COUNTBLANK(B322:D322)&lt;&gt;COLUMNS(B322:D322),321,"")</f>
        <v/>
      </c>
      <c r="C322" s="1" t="str">
        <f t="shared" ref="C322:C385" si="10">IF(B322="", "", "mouse gut metagenome")</f>
        <v/>
      </c>
      <c r="D322" s="1" t="str">
        <f t="shared" ref="D322:D385" si="11">IF(B322="", "", "410661")</f>
        <v/>
      </c>
    </row>
    <row r="323" spans="1:4" x14ac:dyDescent="0.2">
      <c r="A323" t="str">
        <f>IF(COUNTBLANK(B323:D323)&lt;&gt;COLUMNS(B323:D323),322,"")</f>
        <v/>
      </c>
      <c r="C323" s="1" t="str">
        <f t="shared" si="10"/>
        <v/>
      </c>
      <c r="D323" s="1" t="str">
        <f t="shared" si="11"/>
        <v/>
      </c>
    </row>
    <row r="324" spans="1:4" x14ac:dyDescent="0.2">
      <c r="A324" t="str">
        <f>IF(COUNTBLANK(B324:D324)&lt;&gt;COLUMNS(B324:D324),323,"")</f>
        <v/>
      </c>
      <c r="C324" s="1" t="str">
        <f t="shared" si="10"/>
        <v/>
      </c>
      <c r="D324" s="1" t="str">
        <f t="shared" si="11"/>
        <v/>
      </c>
    </row>
    <row r="325" spans="1:4" x14ac:dyDescent="0.2">
      <c r="A325" t="str">
        <f>IF(COUNTBLANK(B325:D325)&lt;&gt;COLUMNS(B325:D325),324,"")</f>
        <v/>
      </c>
      <c r="C325" s="1" t="str">
        <f t="shared" si="10"/>
        <v/>
      </c>
      <c r="D325" s="1" t="str">
        <f t="shared" si="11"/>
        <v/>
      </c>
    </row>
    <row r="326" spans="1:4" x14ac:dyDescent="0.2">
      <c r="A326" t="str">
        <f>IF(COUNTBLANK(B326:D326)&lt;&gt;COLUMNS(B326:D326),325,"")</f>
        <v/>
      </c>
      <c r="C326" s="1" t="str">
        <f t="shared" si="10"/>
        <v/>
      </c>
      <c r="D326" s="1" t="str">
        <f t="shared" si="11"/>
        <v/>
      </c>
    </row>
    <row r="327" spans="1:4" x14ac:dyDescent="0.2">
      <c r="A327" t="str">
        <f>IF(COUNTBLANK(B327:D327)&lt;&gt;COLUMNS(B327:D327),326,"")</f>
        <v/>
      </c>
      <c r="C327" s="1" t="str">
        <f t="shared" si="10"/>
        <v/>
      </c>
      <c r="D327" s="1" t="str">
        <f t="shared" si="11"/>
        <v/>
      </c>
    </row>
    <row r="328" spans="1:4" x14ac:dyDescent="0.2">
      <c r="A328" t="str">
        <f>IF(COUNTBLANK(B328:D328)&lt;&gt;COLUMNS(B328:D328),327,"")</f>
        <v/>
      </c>
      <c r="C328" s="1" t="str">
        <f t="shared" si="10"/>
        <v/>
      </c>
      <c r="D328" s="1" t="str">
        <f t="shared" si="11"/>
        <v/>
      </c>
    </row>
    <row r="329" spans="1:4" x14ac:dyDescent="0.2">
      <c r="A329" t="str">
        <f>IF(COUNTBLANK(B329:D329)&lt;&gt;COLUMNS(B329:D329),328,"")</f>
        <v/>
      </c>
      <c r="C329" s="1" t="str">
        <f t="shared" si="10"/>
        <v/>
      </c>
      <c r="D329" s="1" t="str">
        <f t="shared" si="11"/>
        <v/>
      </c>
    </row>
    <row r="330" spans="1:4" x14ac:dyDescent="0.2">
      <c r="A330" t="str">
        <f>IF(COUNTBLANK(B330:D330)&lt;&gt;COLUMNS(B330:D330),329,"")</f>
        <v/>
      </c>
      <c r="C330" s="1" t="str">
        <f t="shared" si="10"/>
        <v/>
      </c>
      <c r="D330" s="1" t="str">
        <f t="shared" si="11"/>
        <v/>
      </c>
    </row>
    <row r="331" spans="1:4" x14ac:dyDescent="0.2">
      <c r="A331" t="str">
        <f>IF(COUNTBLANK(B331:D331)&lt;&gt;COLUMNS(B331:D331),330,"")</f>
        <v/>
      </c>
      <c r="C331" s="1" t="str">
        <f t="shared" si="10"/>
        <v/>
      </c>
      <c r="D331" s="1" t="str">
        <f t="shared" si="11"/>
        <v/>
      </c>
    </row>
    <row r="332" spans="1:4" x14ac:dyDescent="0.2">
      <c r="A332" t="str">
        <f>IF(COUNTBLANK(B332:D332)&lt;&gt;COLUMNS(B332:D332),331,"")</f>
        <v/>
      </c>
      <c r="C332" s="1" t="str">
        <f t="shared" si="10"/>
        <v/>
      </c>
      <c r="D332" s="1" t="str">
        <f t="shared" si="11"/>
        <v/>
      </c>
    </row>
    <row r="333" spans="1:4" x14ac:dyDescent="0.2">
      <c r="A333" t="str">
        <f>IF(COUNTBLANK(B333:D333)&lt;&gt;COLUMNS(B333:D333),332,"")</f>
        <v/>
      </c>
      <c r="C333" s="1" t="str">
        <f t="shared" si="10"/>
        <v/>
      </c>
      <c r="D333" s="1" t="str">
        <f t="shared" si="11"/>
        <v/>
      </c>
    </row>
    <row r="334" spans="1:4" x14ac:dyDescent="0.2">
      <c r="A334" t="str">
        <f>IF(COUNTBLANK(B334:D334)&lt;&gt;COLUMNS(B334:D334),333,"")</f>
        <v/>
      </c>
      <c r="C334" s="1" t="str">
        <f t="shared" si="10"/>
        <v/>
      </c>
      <c r="D334" s="1" t="str">
        <f t="shared" si="11"/>
        <v/>
      </c>
    </row>
    <row r="335" spans="1:4" x14ac:dyDescent="0.2">
      <c r="A335" t="str">
        <f>IF(COUNTBLANK(B335:D335)&lt;&gt;COLUMNS(B335:D335),334,"")</f>
        <v/>
      </c>
      <c r="C335" s="1" t="str">
        <f t="shared" si="10"/>
        <v/>
      </c>
      <c r="D335" s="1" t="str">
        <f t="shared" si="11"/>
        <v/>
      </c>
    </row>
    <row r="336" spans="1:4" x14ac:dyDescent="0.2">
      <c r="A336" t="str">
        <f>IF(COUNTBLANK(B336:D336)&lt;&gt;COLUMNS(B336:D336),335,"")</f>
        <v/>
      </c>
      <c r="C336" s="1" t="str">
        <f t="shared" si="10"/>
        <v/>
      </c>
      <c r="D336" s="1" t="str">
        <f t="shared" si="11"/>
        <v/>
      </c>
    </row>
    <row r="337" spans="1:4" x14ac:dyDescent="0.2">
      <c r="A337" t="str">
        <f>IF(COUNTBLANK(B337:D337)&lt;&gt;COLUMNS(B337:D337),336,"")</f>
        <v/>
      </c>
      <c r="C337" s="1" t="str">
        <f t="shared" si="10"/>
        <v/>
      </c>
      <c r="D337" s="1" t="str">
        <f t="shared" si="11"/>
        <v/>
      </c>
    </row>
    <row r="338" spans="1:4" x14ac:dyDescent="0.2">
      <c r="A338" t="str">
        <f>IF(COUNTBLANK(B338:D338)&lt;&gt;COLUMNS(B338:D338),337,"")</f>
        <v/>
      </c>
      <c r="C338" s="1" t="str">
        <f t="shared" si="10"/>
        <v/>
      </c>
      <c r="D338" s="1" t="str">
        <f t="shared" si="11"/>
        <v/>
      </c>
    </row>
    <row r="339" spans="1:4" x14ac:dyDescent="0.2">
      <c r="A339" t="str">
        <f>IF(COUNTBLANK(B339:D339)&lt;&gt;COLUMNS(B339:D339),338,"")</f>
        <v/>
      </c>
      <c r="C339" s="1" t="str">
        <f t="shared" si="10"/>
        <v/>
      </c>
      <c r="D339" s="1" t="str">
        <f t="shared" si="11"/>
        <v/>
      </c>
    </row>
    <row r="340" spans="1:4" x14ac:dyDescent="0.2">
      <c r="A340" t="str">
        <f>IF(COUNTBLANK(B340:D340)&lt;&gt;COLUMNS(B340:D340),339,"")</f>
        <v/>
      </c>
      <c r="C340" s="1" t="str">
        <f t="shared" si="10"/>
        <v/>
      </c>
      <c r="D340" s="1" t="str">
        <f t="shared" si="11"/>
        <v/>
      </c>
    </row>
    <row r="341" spans="1:4" x14ac:dyDescent="0.2">
      <c r="A341" t="str">
        <f>IF(COUNTBLANK(B341:D341)&lt;&gt;COLUMNS(B341:D341),340,"")</f>
        <v/>
      </c>
      <c r="C341" s="1" t="str">
        <f t="shared" si="10"/>
        <v/>
      </c>
      <c r="D341" s="1" t="str">
        <f t="shared" si="11"/>
        <v/>
      </c>
    </row>
    <row r="342" spans="1:4" x14ac:dyDescent="0.2">
      <c r="A342" t="str">
        <f>IF(COUNTBLANK(B342:D342)&lt;&gt;COLUMNS(B342:D342),341,"")</f>
        <v/>
      </c>
      <c r="C342" s="1" t="str">
        <f t="shared" si="10"/>
        <v/>
      </c>
      <c r="D342" s="1" t="str">
        <f t="shared" si="11"/>
        <v/>
      </c>
    </row>
    <row r="343" spans="1:4" x14ac:dyDescent="0.2">
      <c r="A343" t="str">
        <f>IF(COUNTBLANK(B343:D343)&lt;&gt;COLUMNS(B343:D343),342,"")</f>
        <v/>
      </c>
      <c r="C343" s="1" t="str">
        <f t="shared" si="10"/>
        <v/>
      </c>
      <c r="D343" s="1" t="str">
        <f t="shared" si="11"/>
        <v/>
      </c>
    </row>
    <row r="344" spans="1:4" x14ac:dyDescent="0.2">
      <c r="A344" t="str">
        <f>IF(COUNTBLANK(B344:D344)&lt;&gt;COLUMNS(B344:D344),343,"")</f>
        <v/>
      </c>
      <c r="C344" s="1" t="str">
        <f t="shared" si="10"/>
        <v/>
      </c>
      <c r="D344" s="1" t="str">
        <f t="shared" si="11"/>
        <v/>
      </c>
    </row>
    <row r="345" spans="1:4" x14ac:dyDescent="0.2">
      <c r="A345" t="str">
        <f>IF(COUNTBLANK(B345:D345)&lt;&gt;COLUMNS(B345:D345),344,"")</f>
        <v/>
      </c>
      <c r="C345" s="1" t="str">
        <f t="shared" si="10"/>
        <v/>
      </c>
      <c r="D345" s="1" t="str">
        <f t="shared" si="11"/>
        <v/>
      </c>
    </row>
    <row r="346" spans="1:4" x14ac:dyDescent="0.2">
      <c r="A346" t="str">
        <f>IF(COUNTBLANK(B346:D346)&lt;&gt;COLUMNS(B346:D346),345,"")</f>
        <v/>
      </c>
      <c r="C346" s="1" t="str">
        <f t="shared" si="10"/>
        <v/>
      </c>
      <c r="D346" s="1" t="str">
        <f t="shared" si="11"/>
        <v/>
      </c>
    </row>
    <row r="347" spans="1:4" x14ac:dyDescent="0.2">
      <c r="A347" t="str">
        <f>IF(COUNTBLANK(B347:D347)&lt;&gt;COLUMNS(B347:D347),346,"")</f>
        <v/>
      </c>
      <c r="C347" s="1" t="str">
        <f t="shared" si="10"/>
        <v/>
      </c>
      <c r="D347" s="1" t="str">
        <f t="shared" si="11"/>
        <v/>
      </c>
    </row>
    <row r="348" spans="1:4" x14ac:dyDescent="0.2">
      <c r="A348" t="str">
        <f>IF(COUNTBLANK(B348:D348)&lt;&gt;COLUMNS(B348:D348),347,"")</f>
        <v/>
      </c>
      <c r="C348" s="1" t="str">
        <f t="shared" si="10"/>
        <v/>
      </c>
      <c r="D348" s="1" t="str">
        <f t="shared" si="11"/>
        <v/>
      </c>
    </row>
    <row r="349" spans="1:4" x14ac:dyDescent="0.2">
      <c r="A349" t="str">
        <f>IF(COUNTBLANK(B349:D349)&lt;&gt;COLUMNS(B349:D349),348,"")</f>
        <v/>
      </c>
      <c r="C349" s="1" t="str">
        <f t="shared" si="10"/>
        <v/>
      </c>
      <c r="D349" s="1" t="str">
        <f t="shared" si="11"/>
        <v/>
      </c>
    </row>
    <row r="350" spans="1:4" x14ac:dyDescent="0.2">
      <c r="A350" t="str">
        <f>IF(COUNTBLANK(B350:D350)&lt;&gt;COLUMNS(B350:D350),349,"")</f>
        <v/>
      </c>
      <c r="C350" s="1" t="str">
        <f t="shared" si="10"/>
        <v/>
      </c>
      <c r="D350" s="1" t="str">
        <f t="shared" si="11"/>
        <v/>
      </c>
    </row>
    <row r="351" spans="1:4" x14ac:dyDescent="0.2">
      <c r="A351" t="str">
        <f>IF(COUNTBLANK(B351:D351)&lt;&gt;COLUMNS(B351:D351),350,"")</f>
        <v/>
      </c>
      <c r="C351" s="1" t="str">
        <f t="shared" si="10"/>
        <v/>
      </c>
      <c r="D351" s="1" t="str">
        <f t="shared" si="11"/>
        <v/>
      </c>
    </row>
    <row r="352" spans="1:4" x14ac:dyDescent="0.2">
      <c r="A352" t="str">
        <f>IF(COUNTBLANK(B352:D352)&lt;&gt;COLUMNS(B352:D352),351,"")</f>
        <v/>
      </c>
      <c r="C352" s="1" t="str">
        <f t="shared" si="10"/>
        <v/>
      </c>
      <c r="D352" s="1" t="str">
        <f t="shared" si="11"/>
        <v/>
      </c>
    </row>
    <row r="353" spans="1:4" x14ac:dyDescent="0.2">
      <c r="A353" t="str">
        <f>IF(COUNTBLANK(B353:D353)&lt;&gt;COLUMNS(B353:D353),352,"")</f>
        <v/>
      </c>
      <c r="C353" s="1" t="str">
        <f t="shared" si="10"/>
        <v/>
      </c>
      <c r="D353" s="1" t="str">
        <f t="shared" si="11"/>
        <v/>
      </c>
    </row>
    <row r="354" spans="1:4" x14ac:dyDescent="0.2">
      <c r="A354" t="str">
        <f>IF(COUNTBLANK(B354:D354)&lt;&gt;COLUMNS(B354:D354),353,"")</f>
        <v/>
      </c>
      <c r="C354" s="1" t="str">
        <f t="shared" si="10"/>
        <v/>
      </c>
      <c r="D354" s="1" t="str">
        <f t="shared" si="11"/>
        <v/>
      </c>
    </row>
    <row r="355" spans="1:4" x14ac:dyDescent="0.2">
      <c r="A355" t="str">
        <f>IF(COUNTBLANK(B355:D355)&lt;&gt;COLUMNS(B355:D355),354,"")</f>
        <v/>
      </c>
      <c r="C355" s="1" t="str">
        <f t="shared" si="10"/>
        <v/>
      </c>
      <c r="D355" s="1" t="str">
        <f t="shared" si="11"/>
        <v/>
      </c>
    </row>
    <row r="356" spans="1:4" x14ac:dyDescent="0.2">
      <c r="A356" t="str">
        <f>IF(COUNTBLANK(B356:D356)&lt;&gt;COLUMNS(B356:D356),355,"")</f>
        <v/>
      </c>
      <c r="C356" s="1" t="str">
        <f t="shared" si="10"/>
        <v/>
      </c>
      <c r="D356" s="1" t="str">
        <f t="shared" si="11"/>
        <v/>
      </c>
    </row>
    <row r="357" spans="1:4" x14ac:dyDescent="0.2">
      <c r="A357" t="str">
        <f>IF(COUNTBLANK(B357:D357)&lt;&gt;COLUMNS(B357:D357),356,"")</f>
        <v/>
      </c>
      <c r="C357" s="1" t="str">
        <f t="shared" si="10"/>
        <v/>
      </c>
      <c r="D357" s="1" t="str">
        <f t="shared" si="11"/>
        <v/>
      </c>
    </row>
    <row r="358" spans="1:4" x14ac:dyDescent="0.2">
      <c r="A358" t="str">
        <f>IF(COUNTBLANK(B358:D358)&lt;&gt;COLUMNS(B358:D358),357,"")</f>
        <v/>
      </c>
      <c r="C358" s="1" t="str">
        <f t="shared" si="10"/>
        <v/>
      </c>
      <c r="D358" s="1" t="str">
        <f t="shared" si="11"/>
        <v/>
      </c>
    </row>
    <row r="359" spans="1:4" x14ac:dyDescent="0.2">
      <c r="A359" t="str">
        <f>IF(COUNTBLANK(B359:D359)&lt;&gt;COLUMNS(B359:D359),358,"")</f>
        <v/>
      </c>
      <c r="C359" s="1" t="str">
        <f t="shared" si="10"/>
        <v/>
      </c>
      <c r="D359" s="1" t="str">
        <f t="shared" si="11"/>
        <v/>
      </c>
    </row>
    <row r="360" spans="1:4" x14ac:dyDescent="0.2">
      <c r="A360" t="str">
        <f>IF(COUNTBLANK(B360:D360)&lt;&gt;COLUMNS(B360:D360),359,"")</f>
        <v/>
      </c>
      <c r="C360" s="1" t="str">
        <f t="shared" si="10"/>
        <v/>
      </c>
      <c r="D360" s="1" t="str">
        <f t="shared" si="11"/>
        <v/>
      </c>
    </row>
    <row r="361" spans="1:4" x14ac:dyDescent="0.2">
      <c r="A361" t="str">
        <f>IF(COUNTBLANK(B361:D361)&lt;&gt;COLUMNS(B361:D361),360,"")</f>
        <v/>
      </c>
      <c r="C361" s="1" t="str">
        <f t="shared" si="10"/>
        <v/>
      </c>
      <c r="D361" s="1" t="str">
        <f t="shared" si="11"/>
        <v/>
      </c>
    </row>
    <row r="362" spans="1:4" x14ac:dyDescent="0.2">
      <c r="A362" t="str">
        <f>IF(COUNTBLANK(B362:D362)&lt;&gt;COLUMNS(B362:D362),361,"")</f>
        <v/>
      </c>
      <c r="C362" s="1" t="str">
        <f t="shared" si="10"/>
        <v/>
      </c>
      <c r="D362" s="1" t="str">
        <f t="shared" si="11"/>
        <v/>
      </c>
    </row>
    <row r="363" spans="1:4" x14ac:dyDescent="0.2">
      <c r="A363" t="str">
        <f>IF(COUNTBLANK(B363:D363)&lt;&gt;COLUMNS(B363:D363),362,"")</f>
        <v/>
      </c>
      <c r="C363" s="1" t="str">
        <f t="shared" si="10"/>
        <v/>
      </c>
      <c r="D363" s="1" t="str">
        <f t="shared" si="11"/>
        <v/>
      </c>
    </row>
    <row r="364" spans="1:4" x14ac:dyDescent="0.2">
      <c r="A364" t="str">
        <f>IF(COUNTBLANK(B364:D364)&lt;&gt;COLUMNS(B364:D364),363,"")</f>
        <v/>
      </c>
      <c r="C364" s="1" t="str">
        <f t="shared" si="10"/>
        <v/>
      </c>
      <c r="D364" s="1" t="str">
        <f t="shared" si="11"/>
        <v/>
      </c>
    </row>
    <row r="365" spans="1:4" x14ac:dyDescent="0.2">
      <c r="A365" t="str">
        <f>IF(COUNTBLANK(B365:D365)&lt;&gt;COLUMNS(B365:D365),364,"")</f>
        <v/>
      </c>
      <c r="C365" s="1" t="str">
        <f t="shared" si="10"/>
        <v/>
      </c>
      <c r="D365" s="1" t="str">
        <f t="shared" si="11"/>
        <v/>
      </c>
    </row>
    <row r="366" spans="1:4" x14ac:dyDescent="0.2">
      <c r="A366" t="str">
        <f>IF(COUNTBLANK(B366:D366)&lt;&gt;COLUMNS(B366:D366),365,"")</f>
        <v/>
      </c>
      <c r="C366" s="1" t="str">
        <f t="shared" si="10"/>
        <v/>
      </c>
      <c r="D366" s="1" t="str">
        <f t="shared" si="11"/>
        <v/>
      </c>
    </row>
    <row r="367" spans="1:4" x14ac:dyDescent="0.2">
      <c r="A367" t="str">
        <f>IF(COUNTBLANK(B367:D367)&lt;&gt;COLUMNS(B367:D367),366,"")</f>
        <v/>
      </c>
      <c r="C367" s="1" t="str">
        <f t="shared" si="10"/>
        <v/>
      </c>
      <c r="D367" s="1" t="str">
        <f t="shared" si="11"/>
        <v/>
      </c>
    </row>
    <row r="368" spans="1:4" x14ac:dyDescent="0.2">
      <c r="A368" t="str">
        <f>IF(COUNTBLANK(B368:D368)&lt;&gt;COLUMNS(B368:D368),367,"")</f>
        <v/>
      </c>
      <c r="C368" s="1" t="str">
        <f t="shared" si="10"/>
        <v/>
      </c>
      <c r="D368" s="1" t="str">
        <f t="shared" si="11"/>
        <v/>
      </c>
    </row>
    <row r="369" spans="1:4" x14ac:dyDescent="0.2">
      <c r="A369" t="str">
        <f>IF(COUNTBLANK(B369:D369)&lt;&gt;COLUMNS(B369:D369),368,"")</f>
        <v/>
      </c>
      <c r="C369" s="1" t="str">
        <f t="shared" si="10"/>
        <v/>
      </c>
      <c r="D369" s="1" t="str">
        <f t="shared" si="11"/>
        <v/>
      </c>
    </row>
    <row r="370" spans="1:4" x14ac:dyDescent="0.2">
      <c r="A370" t="str">
        <f>IF(COUNTBLANK(B370:D370)&lt;&gt;COLUMNS(B370:D370),369,"")</f>
        <v/>
      </c>
      <c r="C370" s="1" t="str">
        <f t="shared" si="10"/>
        <v/>
      </c>
      <c r="D370" s="1" t="str">
        <f t="shared" si="11"/>
        <v/>
      </c>
    </row>
    <row r="371" spans="1:4" x14ac:dyDescent="0.2">
      <c r="A371" t="str">
        <f>IF(COUNTBLANK(B371:D371)&lt;&gt;COLUMNS(B371:D371),370,"")</f>
        <v/>
      </c>
      <c r="C371" s="1" t="str">
        <f t="shared" si="10"/>
        <v/>
      </c>
      <c r="D371" s="1" t="str">
        <f t="shared" si="11"/>
        <v/>
      </c>
    </row>
    <row r="372" spans="1:4" x14ac:dyDescent="0.2">
      <c r="A372" t="str">
        <f>IF(COUNTBLANK(B372:D372)&lt;&gt;COLUMNS(B372:D372),371,"")</f>
        <v/>
      </c>
      <c r="C372" s="1" t="str">
        <f t="shared" si="10"/>
        <v/>
      </c>
      <c r="D372" s="1" t="str">
        <f t="shared" si="11"/>
        <v/>
      </c>
    </row>
    <row r="373" spans="1:4" x14ac:dyDescent="0.2">
      <c r="A373" t="str">
        <f>IF(COUNTBLANK(B373:D373)&lt;&gt;COLUMNS(B373:D373),372,"")</f>
        <v/>
      </c>
      <c r="C373" s="1" t="str">
        <f t="shared" si="10"/>
        <v/>
      </c>
      <c r="D373" s="1" t="str">
        <f t="shared" si="11"/>
        <v/>
      </c>
    </row>
    <row r="374" spans="1:4" x14ac:dyDescent="0.2">
      <c r="A374" t="str">
        <f>IF(COUNTBLANK(B374:D374)&lt;&gt;COLUMNS(B374:D374),373,"")</f>
        <v/>
      </c>
      <c r="C374" s="1" t="str">
        <f t="shared" si="10"/>
        <v/>
      </c>
      <c r="D374" s="1" t="str">
        <f t="shared" si="11"/>
        <v/>
      </c>
    </row>
    <row r="375" spans="1:4" x14ac:dyDescent="0.2">
      <c r="A375" t="str">
        <f>IF(COUNTBLANK(B375:D375)&lt;&gt;COLUMNS(B375:D375),374,"")</f>
        <v/>
      </c>
      <c r="C375" s="1" t="str">
        <f t="shared" si="10"/>
        <v/>
      </c>
      <c r="D375" s="1" t="str">
        <f t="shared" si="11"/>
        <v/>
      </c>
    </row>
    <row r="376" spans="1:4" x14ac:dyDescent="0.2">
      <c r="A376" t="str">
        <f>IF(COUNTBLANK(B376:D376)&lt;&gt;COLUMNS(B376:D376),375,"")</f>
        <v/>
      </c>
      <c r="C376" s="1" t="str">
        <f t="shared" si="10"/>
        <v/>
      </c>
      <c r="D376" s="1" t="str">
        <f t="shared" si="11"/>
        <v/>
      </c>
    </row>
    <row r="377" spans="1:4" x14ac:dyDescent="0.2">
      <c r="A377" t="str">
        <f>IF(COUNTBLANK(B377:D377)&lt;&gt;COLUMNS(B377:D377),376,"")</f>
        <v/>
      </c>
      <c r="C377" s="1" t="str">
        <f t="shared" si="10"/>
        <v/>
      </c>
      <c r="D377" s="1" t="str">
        <f t="shared" si="11"/>
        <v/>
      </c>
    </row>
    <row r="378" spans="1:4" x14ac:dyDescent="0.2">
      <c r="A378" t="str">
        <f>IF(COUNTBLANK(B378:D378)&lt;&gt;COLUMNS(B378:D378),377,"")</f>
        <v/>
      </c>
      <c r="C378" s="1" t="str">
        <f t="shared" si="10"/>
        <v/>
      </c>
      <c r="D378" s="1" t="str">
        <f t="shared" si="11"/>
        <v/>
      </c>
    </row>
    <row r="379" spans="1:4" x14ac:dyDescent="0.2">
      <c r="A379" t="str">
        <f>IF(COUNTBLANK(B379:D379)&lt;&gt;COLUMNS(B379:D379),378,"")</f>
        <v/>
      </c>
      <c r="C379" s="1" t="str">
        <f t="shared" si="10"/>
        <v/>
      </c>
      <c r="D379" s="1" t="str">
        <f t="shared" si="11"/>
        <v/>
      </c>
    </row>
    <row r="380" spans="1:4" x14ac:dyDescent="0.2">
      <c r="A380" t="str">
        <f>IF(COUNTBLANK(B380:D380)&lt;&gt;COLUMNS(B380:D380),379,"")</f>
        <v/>
      </c>
      <c r="C380" s="1" t="str">
        <f t="shared" si="10"/>
        <v/>
      </c>
      <c r="D380" s="1" t="str">
        <f t="shared" si="11"/>
        <v/>
      </c>
    </row>
    <row r="381" spans="1:4" x14ac:dyDescent="0.2">
      <c r="A381" t="str">
        <f>IF(COUNTBLANK(B381:D381)&lt;&gt;COLUMNS(B381:D381),380,"")</f>
        <v/>
      </c>
      <c r="C381" s="1" t="str">
        <f t="shared" si="10"/>
        <v/>
      </c>
      <c r="D381" s="1" t="str">
        <f t="shared" si="11"/>
        <v/>
      </c>
    </row>
    <row r="382" spans="1:4" x14ac:dyDescent="0.2">
      <c r="A382" t="str">
        <f>IF(COUNTBLANK(B382:D382)&lt;&gt;COLUMNS(B382:D382),381,"")</f>
        <v/>
      </c>
      <c r="C382" s="1" t="str">
        <f t="shared" si="10"/>
        <v/>
      </c>
      <c r="D382" s="1" t="str">
        <f t="shared" si="11"/>
        <v/>
      </c>
    </row>
    <row r="383" spans="1:4" x14ac:dyDescent="0.2">
      <c r="A383" t="str">
        <f>IF(COUNTBLANK(B383:D383)&lt;&gt;COLUMNS(B383:D383),382,"")</f>
        <v/>
      </c>
      <c r="C383" s="1" t="str">
        <f t="shared" si="10"/>
        <v/>
      </c>
      <c r="D383" s="1" t="str">
        <f t="shared" si="11"/>
        <v/>
      </c>
    </row>
    <row r="384" spans="1:4" x14ac:dyDescent="0.2">
      <c r="A384" t="str">
        <f>IF(COUNTBLANK(B384:D384)&lt;&gt;COLUMNS(B384:D384),383,"")</f>
        <v/>
      </c>
      <c r="C384" s="1" t="str">
        <f t="shared" si="10"/>
        <v/>
      </c>
      <c r="D384" s="1" t="str">
        <f t="shared" si="11"/>
        <v/>
      </c>
    </row>
    <row r="385" spans="1:4" x14ac:dyDescent="0.2">
      <c r="A385" t="str">
        <f>IF(COUNTBLANK(B385:D385)&lt;&gt;COLUMNS(B385:D385),384,"")</f>
        <v/>
      </c>
      <c r="C385" s="1" t="str">
        <f t="shared" si="10"/>
        <v/>
      </c>
      <c r="D385" s="1" t="str">
        <f t="shared" si="11"/>
        <v/>
      </c>
    </row>
    <row r="386" spans="1:4" x14ac:dyDescent="0.2">
      <c r="A386" t="str">
        <f>IF(COUNTBLANK(B386:D386)&lt;&gt;COLUMNS(B386:D386),385,"")</f>
        <v/>
      </c>
      <c r="C386" s="1" t="str">
        <f t="shared" ref="C386:C449" si="12">IF(B386="", "", "mouse gut metagenome")</f>
        <v/>
      </c>
      <c r="D386" s="1" t="str">
        <f t="shared" ref="D386:D449" si="13">IF(B386="", "", "410661")</f>
        <v/>
      </c>
    </row>
    <row r="387" spans="1:4" x14ac:dyDescent="0.2">
      <c r="A387" t="str">
        <f>IF(COUNTBLANK(B387:D387)&lt;&gt;COLUMNS(B387:D387),386,"")</f>
        <v/>
      </c>
      <c r="C387" s="1" t="str">
        <f t="shared" si="12"/>
        <v/>
      </c>
      <c r="D387" s="1" t="str">
        <f t="shared" si="13"/>
        <v/>
      </c>
    </row>
    <row r="388" spans="1:4" x14ac:dyDescent="0.2">
      <c r="A388" t="str">
        <f>IF(COUNTBLANK(B388:D388)&lt;&gt;COLUMNS(B388:D388),387,"")</f>
        <v/>
      </c>
      <c r="C388" s="1" t="str">
        <f t="shared" si="12"/>
        <v/>
      </c>
      <c r="D388" s="1" t="str">
        <f t="shared" si="13"/>
        <v/>
      </c>
    </row>
    <row r="389" spans="1:4" x14ac:dyDescent="0.2">
      <c r="A389" t="str">
        <f>IF(COUNTBLANK(B389:D389)&lt;&gt;COLUMNS(B389:D389),388,"")</f>
        <v/>
      </c>
      <c r="C389" s="1" t="str">
        <f t="shared" si="12"/>
        <v/>
      </c>
      <c r="D389" s="1" t="str">
        <f t="shared" si="13"/>
        <v/>
      </c>
    </row>
    <row r="390" spans="1:4" x14ac:dyDescent="0.2">
      <c r="A390" t="str">
        <f>IF(COUNTBLANK(B390:D390)&lt;&gt;COLUMNS(B390:D390),389,"")</f>
        <v/>
      </c>
      <c r="C390" s="1" t="str">
        <f t="shared" si="12"/>
        <v/>
      </c>
      <c r="D390" s="1" t="str">
        <f t="shared" si="13"/>
        <v/>
      </c>
    </row>
    <row r="391" spans="1:4" x14ac:dyDescent="0.2">
      <c r="A391" t="str">
        <f>IF(COUNTBLANK(B391:D391)&lt;&gt;COLUMNS(B391:D391),390,"")</f>
        <v/>
      </c>
      <c r="C391" s="1" t="str">
        <f t="shared" si="12"/>
        <v/>
      </c>
      <c r="D391" s="1" t="str">
        <f t="shared" si="13"/>
        <v/>
      </c>
    </row>
    <row r="392" spans="1:4" x14ac:dyDescent="0.2">
      <c r="A392" t="str">
        <f>IF(COUNTBLANK(B392:D392)&lt;&gt;COLUMNS(B392:D392),391,"")</f>
        <v/>
      </c>
      <c r="C392" s="1" t="str">
        <f t="shared" si="12"/>
        <v/>
      </c>
      <c r="D392" s="1" t="str">
        <f t="shared" si="13"/>
        <v/>
      </c>
    </row>
    <row r="393" spans="1:4" x14ac:dyDescent="0.2">
      <c r="A393" t="str">
        <f>IF(COUNTBLANK(B393:D393)&lt;&gt;COLUMNS(B393:D393),392,"")</f>
        <v/>
      </c>
      <c r="C393" s="1" t="str">
        <f t="shared" si="12"/>
        <v/>
      </c>
      <c r="D393" s="1" t="str">
        <f t="shared" si="13"/>
        <v/>
      </c>
    </row>
    <row r="394" spans="1:4" x14ac:dyDescent="0.2">
      <c r="A394" t="str">
        <f>IF(COUNTBLANK(B394:D394)&lt;&gt;COLUMNS(B394:D394),393,"")</f>
        <v/>
      </c>
      <c r="C394" s="1" t="str">
        <f t="shared" si="12"/>
        <v/>
      </c>
      <c r="D394" s="1" t="str">
        <f t="shared" si="13"/>
        <v/>
      </c>
    </row>
    <row r="395" spans="1:4" x14ac:dyDescent="0.2">
      <c r="A395" t="str">
        <f>IF(COUNTBLANK(B395:D395)&lt;&gt;COLUMNS(B395:D395),394,"")</f>
        <v/>
      </c>
      <c r="C395" s="1" t="str">
        <f t="shared" si="12"/>
        <v/>
      </c>
      <c r="D395" s="1" t="str">
        <f t="shared" si="13"/>
        <v/>
      </c>
    </row>
    <row r="396" spans="1:4" x14ac:dyDescent="0.2">
      <c r="A396" t="str">
        <f>IF(COUNTBLANK(B396:D396)&lt;&gt;COLUMNS(B396:D396),395,"")</f>
        <v/>
      </c>
      <c r="C396" s="1" t="str">
        <f t="shared" si="12"/>
        <v/>
      </c>
      <c r="D396" s="1" t="str">
        <f t="shared" si="13"/>
        <v/>
      </c>
    </row>
    <row r="397" spans="1:4" x14ac:dyDescent="0.2">
      <c r="A397" t="str">
        <f>IF(COUNTBLANK(B397:D397)&lt;&gt;COLUMNS(B397:D397),396,"")</f>
        <v/>
      </c>
      <c r="C397" s="1" t="str">
        <f t="shared" si="12"/>
        <v/>
      </c>
      <c r="D397" s="1" t="str">
        <f t="shared" si="13"/>
        <v/>
      </c>
    </row>
    <row r="398" spans="1:4" x14ac:dyDescent="0.2">
      <c r="A398" t="str">
        <f>IF(COUNTBLANK(B398:D398)&lt;&gt;COLUMNS(B398:D398),397,"")</f>
        <v/>
      </c>
      <c r="C398" s="1" t="str">
        <f t="shared" si="12"/>
        <v/>
      </c>
      <c r="D398" s="1" t="str">
        <f t="shared" si="13"/>
        <v/>
      </c>
    </row>
    <row r="399" spans="1:4" x14ac:dyDescent="0.2">
      <c r="A399" t="str">
        <f>IF(COUNTBLANK(B399:D399)&lt;&gt;COLUMNS(B399:D399),398,"")</f>
        <v/>
      </c>
      <c r="C399" s="1" t="str">
        <f t="shared" si="12"/>
        <v/>
      </c>
      <c r="D399" s="1" t="str">
        <f t="shared" si="13"/>
        <v/>
      </c>
    </row>
    <row r="400" spans="1:4" x14ac:dyDescent="0.2">
      <c r="A400" t="str">
        <f>IF(COUNTBLANK(B400:D400)&lt;&gt;COLUMNS(B400:D400),399,"")</f>
        <v/>
      </c>
      <c r="C400" s="1" t="str">
        <f t="shared" si="12"/>
        <v/>
      </c>
      <c r="D400" s="1" t="str">
        <f t="shared" si="13"/>
        <v/>
      </c>
    </row>
    <row r="401" spans="1:4" x14ac:dyDescent="0.2">
      <c r="A401" t="str">
        <f>IF(COUNTBLANK(B401:D401)&lt;&gt;COLUMNS(B401:D401),400,"")</f>
        <v/>
      </c>
      <c r="C401" s="1" t="str">
        <f t="shared" si="12"/>
        <v/>
      </c>
      <c r="D401" s="1" t="str">
        <f t="shared" si="13"/>
        <v/>
      </c>
    </row>
    <row r="402" spans="1:4" x14ac:dyDescent="0.2">
      <c r="A402" t="str">
        <f>IF(COUNTBLANK(B402:D402)&lt;&gt;COLUMNS(B402:D402),401,"")</f>
        <v/>
      </c>
      <c r="C402" s="1" t="str">
        <f t="shared" si="12"/>
        <v/>
      </c>
      <c r="D402" s="1" t="str">
        <f t="shared" si="13"/>
        <v/>
      </c>
    </row>
    <row r="403" spans="1:4" x14ac:dyDescent="0.2">
      <c r="A403" t="str">
        <f>IF(COUNTBLANK(B403:D403)&lt;&gt;COLUMNS(B403:D403),402,"")</f>
        <v/>
      </c>
      <c r="C403" s="1" t="str">
        <f t="shared" si="12"/>
        <v/>
      </c>
      <c r="D403" s="1" t="str">
        <f t="shared" si="13"/>
        <v/>
      </c>
    </row>
    <row r="404" spans="1:4" x14ac:dyDescent="0.2">
      <c r="A404" t="str">
        <f>IF(COUNTBLANK(B404:D404)&lt;&gt;COLUMNS(B404:D404),403,"")</f>
        <v/>
      </c>
      <c r="C404" s="1" t="str">
        <f t="shared" si="12"/>
        <v/>
      </c>
      <c r="D404" s="1" t="str">
        <f t="shared" si="13"/>
        <v/>
      </c>
    </row>
    <row r="405" spans="1:4" x14ac:dyDescent="0.2">
      <c r="A405" t="str">
        <f>IF(COUNTBLANK(B405:D405)&lt;&gt;COLUMNS(B405:D405),404,"")</f>
        <v/>
      </c>
      <c r="C405" s="1" t="str">
        <f t="shared" si="12"/>
        <v/>
      </c>
      <c r="D405" s="1" t="str">
        <f t="shared" si="13"/>
        <v/>
      </c>
    </row>
    <row r="406" spans="1:4" x14ac:dyDescent="0.2">
      <c r="A406" t="str">
        <f>IF(COUNTBLANK(B406:D406)&lt;&gt;COLUMNS(B406:D406),405,"")</f>
        <v/>
      </c>
      <c r="C406" s="1" t="str">
        <f t="shared" si="12"/>
        <v/>
      </c>
      <c r="D406" s="1" t="str">
        <f t="shared" si="13"/>
        <v/>
      </c>
    </row>
    <row r="407" spans="1:4" x14ac:dyDescent="0.2">
      <c r="A407" t="str">
        <f>IF(COUNTBLANK(B407:D407)&lt;&gt;COLUMNS(B407:D407),406,"")</f>
        <v/>
      </c>
      <c r="C407" s="1" t="str">
        <f t="shared" si="12"/>
        <v/>
      </c>
      <c r="D407" s="1" t="str">
        <f t="shared" si="13"/>
        <v/>
      </c>
    </row>
    <row r="408" spans="1:4" x14ac:dyDescent="0.2">
      <c r="A408" t="str">
        <f>IF(COUNTBLANK(B408:D408)&lt;&gt;COLUMNS(B408:D408),407,"")</f>
        <v/>
      </c>
      <c r="C408" s="1" t="str">
        <f t="shared" si="12"/>
        <v/>
      </c>
      <c r="D408" s="1" t="str">
        <f t="shared" si="13"/>
        <v/>
      </c>
    </row>
    <row r="409" spans="1:4" x14ac:dyDescent="0.2">
      <c r="A409" t="str">
        <f>IF(COUNTBLANK(B409:D409)&lt;&gt;COLUMNS(B409:D409),408,"")</f>
        <v/>
      </c>
      <c r="C409" s="1" t="str">
        <f t="shared" si="12"/>
        <v/>
      </c>
      <c r="D409" s="1" t="str">
        <f t="shared" si="13"/>
        <v/>
      </c>
    </row>
    <row r="410" spans="1:4" x14ac:dyDescent="0.2">
      <c r="A410" t="str">
        <f>IF(COUNTBLANK(B410:D410)&lt;&gt;COLUMNS(B410:D410),409,"")</f>
        <v/>
      </c>
      <c r="C410" s="1" t="str">
        <f t="shared" si="12"/>
        <v/>
      </c>
      <c r="D410" s="1" t="str">
        <f t="shared" si="13"/>
        <v/>
      </c>
    </row>
    <row r="411" spans="1:4" x14ac:dyDescent="0.2">
      <c r="A411" t="str">
        <f>IF(COUNTBLANK(B411:D411)&lt;&gt;COLUMNS(B411:D411),410,"")</f>
        <v/>
      </c>
      <c r="C411" s="1" t="str">
        <f t="shared" si="12"/>
        <v/>
      </c>
      <c r="D411" s="1" t="str">
        <f t="shared" si="13"/>
        <v/>
      </c>
    </row>
    <row r="412" spans="1:4" x14ac:dyDescent="0.2">
      <c r="A412" t="str">
        <f>IF(COUNTBLANK(B412:D412)&lt;&gt;COLUMNS(B412:D412),411,"")</f>
        <v/>
      </c>
      <c r="C412" s="1" t="str">
        <f t="shared" si="12"/>
        <v/>
      </c>
      <c r="D412" s="1" t="str">
        <f t="shared" si="13"/>
        <v/>
      </c>
    </row>
    <row r="413" spans="1:4" x14ac:dyDescent="0.2">
      <c r="A413" t="str">
        <f>IF(COUNTBLANK(B413:D413)&lt;&gt;COLUMNS(B413:D413),412,"")</f>
        <v/>
      </c>
      <c r="C413" s="1" t="str">
        <f t="shared" si="12"/>
        <v/>
      </c>
      <c r="D413" s="1" t="str">
        <f t="shared" si="13"/>
        <v/>
      </c>
    </row>
    <row r="414" spans="1:4" x14ac:dyDescent="0.2">
      <c r="A414" t="str">
        <f>IF(COUNTBLANK(B414:D414)&lt;&gt;COLUMNS(B414:D414),413,"")</f>
        <v/>
      </c>
      <c r="C414" s="1" t="str">
        <f t="shared" si="12"/>
        <v/>
      </c>
      <c r="D414" s="1" t="str">
        <f t="shared" si="13"/>
        <v/>
      </c>
    </row>
    <row r="415" spans="1:4" x14ac:dyDescent="0.2">
      <c r="A415" t="str">
        <f>IF(COUNTBLANK(B415:D415)&lt;&gt;COLUMNS(B415:D415),414,"")</f>
        <v/>
      </c>
      <c r="C415" s="1" t="str">
        <f t="shared" si="12"/>
        <v/>
      </c>
      <c r="D415" s="1" t="str">
        <f t="shared" si="13"/>
        <v/>
      </c>
    </row>
    <row r="416" spans="1:4" x14ac:dyDescent="0.2">
      <c r="A416" t="str">
        <f>IF(COUNTBLANK(B416:D416)&lt;&gt;COLUMNS(B416:D416),415,"")</f>
        <v/>
      </c>
      <c r="C416" s="1" t="str">
        <f t="shared" si="12"/>
        <v/>
      </c>
      <c r="D416" s="1" t="str">
        <f t="shared" si="13"/>
        <v/>
      </c>
    </row>
    <row r="417" spans="1:4" x14ac:dyDescent="0.2">
      <c r="A417" t="str">
        <f>IF(COUNTBLANK(B417:D417)&lt;&gt;COLUMNS(B417:D417),416,"")</f>
        <v/>
      </c>
      <c r="C417" s="1" t="str">
        <f t="shared" si="12"/>
        <v/>
      </c>
      <c r="D417" s="1" t="str">
        <f t="shared" si="13"/>
        <v/>
      </c>
    </row>
    <row r="418" spans="1:4" x14ac:dyDescent="0.2">
      <c r="A418" t="str">
        <f>IF(COUNTBLANK(B418:D418)&lt;&gt;COLUMNS(B418:D418),417,"")</f>
        <v/>
      </c>
      <c r="C418" s="1" t="str">
        <f t="shared" si="12"/>
        <v/>
      </c>
      <c r="D418" s="1" t="str">
        <f t="shared" si="13"/>
        <v/>
      </c>
    </row>
    <row r="419" spans="1:4" x14ac:dyDescent="0.2">
      <c r="A419" t="str">
        <f>IF(COUNTBLANK(B419:D419)&lt;&gt;COLUMNS(B419:D419),418,"")</f>
        <v/>
      </c>
      <c r="C419" s="1" t="str">
        <f t="shared" si="12"/>
        <v/>
      </c>
      <c r="D419" s="1" t="str">
        <f t="shared" si="13"/>
        <v/>
      </c>
    </row>
    <row r="420" spans="1:4" x14ac:dyDescent="0.2">
      <c r="A420" t="str">
        <f>IF(COUNTBLANK(B420:D420)&lt;&gt;COLUMNS(B420:D420),419,"")</f>
        <v/>
      </c>
      <c r="C420" s="1" t="str">
        <f t="shared" si="12"/>
        <v/>
      </c>
      <c r="D420" s="1" t="str">
        <f t="shared" si="13"/>
        <v/>
      </c>
    </row>
    <row r="421" spans="1:4" x14ac:dyDescent="0.2">
      <c r="A421" t="str">
        <f>IF(COUNTBLANK(B421:D421)&lt;&gt;COLUMNS(B421:D421),420,"")</f>
        <v/>
      </c>
      <c r="C421" s="1" t="str">
        <f t="shared" si="12"/>
        <v/>
      </c>
      <c r="D421" s="1" t="str">
        <f t="shared" si="13"/>
        <v/>
      </c>
    </row>
    <row r="422" spans="1:4" x14ac:dyDescent="0.2">
      <c r="A422" t="str">
        <f>IF(COUNTBLANK(B422:D422)&lt;&gt;COLUMNS(B422:D422),421,"")</f>
        <v/>
      </c>
      <c r="C422" s="1" t="str">
        <f t="shared" si="12"/>
        <v/>
      </c>
      <c r="D422" s="1" t="str">
        <f t="shared" si="13"/>
        <v/>
      </c>
    </row>
    <row r="423" spans="1:4" x14ac:dyDescent="0.2">
      <c r="A423" t="str">
        <f>IF(COUNTBLANK(B423:D423)&lt;&gt;COLUMNS(B423:D423),422,"")</f>
        <v/>
      </c>
      <c r="C423" s="1" t="str">
        <f t="shared" si="12"/>
        <v/>
      </c>
      <c r="D423" s="1" t="str">
        <f t="shared" si="13"/>
        <v/>
      </c>
    </row>
    <row r="424" spans="1:4" x14ac:dyDescent="0.2">
      <c r="A424" t="str">
        <f>IF(COUNTBLANK(B424:D424)&lt;&gt;COLUMNS(B424:D424),423,"")</f>
        <v/>
      </c>
      <c r="C424" s="1" t="str">
        <f t="shared" si="12"/>
        <v/>
      </c>
      <c r="D424" s="1" t="str">
        <f t="shared" si="13"/>
        <v/>
      </c>
    </row>
    <row r="425" spans="1:4" x14ac:dyDescent="0.2">
      <c r="A425" t="str">
        <f>IF(COUNTBLANK(B425:D425)&lt;&gt;COLUMNS(B425:D425),424,"")</f>
        <v/>
      </c>
      <c r="C425" s="1" t="str">
        <f t="shared" si="12"/>
        <v/>
      </c>
      <c r="D425" s="1" t="str">
        <f t="shared" si="13"/>
        <v/>
      </c>
    </row>
    <row r="426" spans="1:4" x14ac:dyDescent="0.2">
      <c r="A426" t="str">
        <f>IF(COUNTBLANK(B426:D426)&lt;&gt;COLUMNS(B426:D426),425,"")</f>
        <v/>
      </c>
      <c r="C426" s="1" t="str">
        <f t="shared" si="12"/>
        <v/>
      </c>
      <c r="D426" s="1" t="str">
        <f t="shared" si="13"/>
        <v/>
      </c>
    </row>
    <row r="427" spans="1:4" x14ac:dyDescent="0.2">
      <c r="A427" t="str">
        <f>IF(COUNTBLANK(B427:D427)&lt;&gt;COLUMNS(B427:D427),426,"")</f>
        <v/>
      </c>
      <c r="C427" s="1" t="str">
        <f t="shared" si="12"/>
        <v/>
      </c>
      <c r="D427" s="1" t="str">
        <f t="shared" si="13"/>
        <v/>
      </c>
    </row>
    <row r="428" spans="1:4" x14ac:dyDescent="0.2">
      <c r="A428" t="str">
        <f>IF(COUNTBLANK(B428:D428)&lt;&gt;COLUMNS(B428:D428),427,"")</f>
        <v/>
      </c>
      <c r="C428" s="1" t="str">
        <f t="shared" si="12"/>
        <v/>
      </c>
      <c r="D428" s="1" t="str">
        <f t="shared" si="13"/>
        <v/>
      </c>
    </row>
    <row r="429" spans="1:4" x14ac:dyDescent="0.2">
      <c r="A429" t="str">
        <f>IF(COUNTBLANK(B429:D429)&lt;&gt;COLUMNS(B429:D429),428,"")</f>
        <v/>
      </c>
      <c r="C429" s="1" t="str">
        <f t="shared" si="12"/>
        <v/>
      </c>
      <c r="D429" s="1" t="str">
        <f t="shared" si="13"/>
        <v/>
      </c>
    </row>
    <row r="430" spans="1:4" x14ac:dyDescent="0.2">
      <c r="A430" t="str">
        <f>IF(COUNTBLANK(B430:D430)&lt;&gt;COLUMNS(B430:D430),429,"")</f>
        <v/>
      </c>
      <c r="C430" s="1" t="str">
        <f t="shared" si="12"/>
        <v/>
      </c>
      <c r="D430" s="1" t="str">
        <f t="shared" si="13"/>
        <v/>
      </c>
    </row>
    <row r="431" spans="1:4" x14ac:dyDescent="0.2">
      <c r="A431" t="str">
        <f>IF(COUNTBLANK(B431:D431)&lt;&gt;COLUMNS(B431:D431),430,"")</f>
        <v/>
      </c>
      <c r="C431" s="1" t="str">
        <f t="shared" si="12"/>
        <v/>
      </c>
      <c r="D431" s="1" t="str">
        <f t="shared" si="13"/>
        <v/>
      </c>
    </row>
    <row r="432" spans="1:4" x14ac:dyDescent="0.2">
      <c r="A432" t="str">
        <f>IF(COUNTBLANK(B432:D432)&lt;&gt;COLUMNS(B432:D432),431,"")</f>
        <v/>
      </c>
      <c r="C432" s="1" t="str">
        <f t="shared" si="12"/>
        <v/>
      </c>
      <c r="D432" s="1" t="str">
        <f t="shared" si="13"/>
        <v/>
      </c>
    </row>
    <row r="433" spans="1:4" x14ac:dyDescent="0.2">
      <c r="A433" t="str">
        <f>IF(COUNTBLANK(B433:D433)&lt;&gt;COLUMNS(B433:D433),432,"")</f>
        <v/>
      </c>
      <c r="C433" s="1" t="str">
        <f t="shared" si="12"/>
        <v/>
      </c>
      <c r="D433" s="1" t="str">
        <f t="shared" si="13"/>
        <v/>
      </c>
    </row>
    <row r="434" spans="1:4" x14ac:dyDescent="0.2">
      <c r="A434" t="str">
        <f>IF(COUNTBLANK(B434:D434)&lt;&gt;COLUMNS(B434:D434),433,"")</f>
        <v/>
      </c>
      <c r="C434" s="1" t="str">
        <f t="shared" si="12"/>
        <v/>
      </c>
      <c r="D434" s="1" t="str">
        <f t="shared" si="13"/>
        <v/>
      </c>
    </row>
    <row r="435" spans="1:4" x14ac:dyDescent="0.2">
      <c r="A435" t="str">
        <f>IF(COUNTBLANK(B435:D435)&lt;&gt;COLUMNS(B435:D435),434,"")</f>
        <v/>
      </c>
      <c r="C435" s="1" t="str">
        <f t="shared" si="12"/>
        <v/>
      </c>
      <c r="D435" s="1" t="str">
        <f t="shared" si="13"/>
        <v/>
      </c>
    </row>
    <row r="436" spans="1:4" x14ac:dyDescent="0.2">
      <c r="A436" t="str">
        <f>IF(COUNTBLANK(B436:D436)&lt;&gt;COLUMNS(B436:D436),435,"")</f>
        <v/>
      </c>
      <c r="C436" s="1" t="str">
        <f t="shared" si="12"/>
        <v/>
      </c>
      <c r="D436" s="1" t="str">
        <f t="shared" si="13"/>
        <v/>
      </c>
    </row>
    <row r="437" spans="1:4" x14ac:dyDescent="0.2">
      <c r="A437" t="str">
        <f>IF(COUNTBLANK(B437:D437)&lt;&gt;COLUMNS(B437:D437),436,"")</f>
        <v/>
      </c>
      <c r="C437" s="1" t="str">
        <f t="shared" si="12"/>
        <v/>
      </c>
      <c r="D437" s="1" t="str">
        <f t="shared" si="13"/>
        <v/>
      </c>
    </row>
    <row r="438" spans="1:4" x14ac:dyDescent="0.2">
      <c r="A438" t="str">
        <f>IF(COUNTBLANK(B438:D438)&lt;&gt;COLUMNS(B438:D438),437,"")</f>
        <v/>
      </c>
      <c r="C438" s="1" t="str">
        <f t="shared" si="12"/>
        <v/>
      </c>
      <c r="D438" s="1" t="str">
        <f t="shared" si="13"/>
        <v/>
      </c>
    </row>
    <row r="439" spans="1:4" x14ac:dyDescent="0.2">
      <c r="A439" t="str">
        <f>IF(COUNTBLANK(B439:D439)&lt;&gt;COLUMNS(B439:D439),438,"")</f>
        <v/>
      </c>
      <c r="C439" s="1" t="str">
        <f t="shared" si="12"/>
        <v/>
      </c>
      <c r="D439" s="1" t="str">
        <f t="shared" si="13"/>
        <v/>
      </c>
    </row>
    <row r="440" spans="1:4" x14ac:dyDescent="0.2">
      <c r="A440" t="str">
        <f>IF(COUNTBLANK(B440:D440)&lt;&gt;COLUMNS(B440:D440),439,"")</f>
        <v/>
      </c>
      <c r="C440" s="1" t="str">
        <f t="shared" si="12"/>
        <v/>
      </c>
      <c r="D440" s="1" t="str">
        <f t="shared" si="13"/>
        <v/>
      </c>
    </row>
    <row r="441" spans="1:4" x14ac:dyDescent="0.2">
      <c r="A441" t="str">
        <f>IF(COUNTBLANK(B441:D441)&lt;&gt;COLUMNS(B441:D441),440,"")</f>
        <v/>
      </c>
      <c r="C441" s="1" t="str">
        <f t="shared" si="12"/>
        <v/>
      </c>
      <c r="D441" s="1" t="str">
        <f t="shared" si="13"/>
        <v/>
      </c>
    </row>
    <row r="442" spans="1:4" x14ac:dyDescent="0.2">
      <c r="A442" t="str">
        <f>IF(COUNTBLANK(B442:D442)&lt;&gt;COLUMNS(B442:D442),441,"")</f>
        <v/>
      </c>
      <c r="C442" s="1" t="str">
        <f t="shared" si="12"/>
        <v/>
      </c>
      <c r="D442" s="1" t="str">
        <f t="shared" si="13"/>
        <v/>
      </c>
    </row>
    <row r="443" spans="1:4" x14ac:dyDescent="0.2">
      <c r="A443" t="str">
        <f>IF(COUNTBLANK(B443:D443)&lt;&gt;COLUMNS(B443:D443),442,"")</f>
        <v/>
      </c>
      <c r="C443" s="1" t="str">
        <f t="shared" si="12"/>
        <v/>
      </c>
      <c r="D443" s="1" t="str">
        <f t="shared" si="13"/>
        <v/>
      </c>
    </row>
    <row r="444" spans="1:4" x14ac:dyDescent="0.2">
      <c r="A444" t="str">
        <f>IF(COUNTBLANK(B444:D444)&lt;&gt;COLUMNS(B444:D444),443,"")</f>
        <v/>
      </c>
      <c r="C444" s="1" t="str">
        <f t="shared" si="12"/>
        <v/>
      </c>
      <c r="D444" s="1" t="str">
        <f t="shared" si="13"/>
        <v/>
      </c>
    </row>
    <row r="445" spans="1:4" x14ac:dyDescent="0.2">
      <c r="A445" t="str">
        <f>IF(COUNTBLANK(B445:D445)&lt;&gt;COLUMNS(B445:D445),444,"")</f>
        <v/>
      </c>
      <c r="C445" s="1" t="str">
        <f t="shared" si="12"/>
        <v/>
      </c>
      <c r="D445" s="1" t="str">
        <f t="shared" si="13"/>
        <v/>
      </c>
    </row>
    <row r="446" spans="1:4" x14ac:dyDescent="0.2">
      <c r="A446" t="str">
        <f>IF(COUNTBLANK(B446:D446)&lt;&gt;COLUMNS(B446:D446),445,"")</f>
        <v/>
      </c>
      <c r="C446" s="1" t="str">
        <f t="shared" si="12"/>
        <v/>
      </c>
      <c r="D446" s="1" t="str">
        <f t="shared" si="13"/>
        <v/>
      </c>
    </row>
    <row r="447" spans="1:4" x14ac:dyDescent="0.2">
      <c r="A447" t="str">
        <f>IF(COUNTBLANK(B447:D447)&lt;&gt;COLUMNS(B447:D447),446,"")</f>
        <v/>
      </c>
      <c r="C447" s="1" t="str">
        <f t="shared" si="12"/>
        <v/>
      </c>
      <c r="D447" s="1" t="str">
        <f t="shared" si="13"/>
        <v/>
      </c>
    </row>
    <row r="448" spans="1:4" x14ac:dyDescent="0.2">
      <c r="A448" t="str">
        <f>IF(COUNTBLANK(B448:D448)&lt;&gt;COLUMNS(B448:D448),447,"")</f>
        <v/>
      </c>
      <c r="C448" s="1" t="str">
        <f t="shared" si="12"/>
        <v/>
      </c>
      <c r="D448" s="1" t="str">
        <f t="shared" si="13"/>
        <v/>
      </c>
    </row>
    <row r="449" spans="1:4" x14ac:dyDescent="0.2">
      <c r="A449" t="str">
        <f>IF(COUNTBLANK(B449:D449)&lt;&gt;COLUMNS(B449:D449),448,"")</f>
        <v/>
      </c>
      <c r="C449" s="1" t="str">
        <f t="shared" si="12"/>
        <v/>
      </c>
      <c r="D449" s="1" t="str">
        <f t="shared" si="13"/>
        <v/>
      </c>
    </row>
    <row r="450" spans="1:4" x14ac:dyDescent="0.2">
      <c r="A450" t="str">
        <f>IF(COUNTBLANK(B450:D450)&lt;&gt;COLUMNS(B450:D450),449,"")</f>
        <v/>
      </c>
      <c r="C450" s="1" t="str">
        <f t="shared" ref="C450:C513" si="14">IF(B450="", "", "mouse gut metagenome")</f>
        <v/>
      </c>
      <c r="D450" s="1" t="str">
        <f t="shared" ref="D450:D513" si="15">IF(B450="", "", "410661")</f>
        <v/>
      </c>
    </row>
    <row r="451" spans="1:4" x14ac:dyDescent="0.2">
      <c r="A451" t="str">
        <f>IF(COUNTBLANK(B451:D451)&lt;&gt;COLUMNS(B451:D451),450,"")</f>
        <v/>
      </c>
      <c r="C451" s="1" t="str">
        <f t="shared" si="14"/>
        <v/>
      </c>
      <c r="D451" s="1" t="str">
        <f t="shared" si="15"/>
        <v/>
      </c>
    </row>
    <row r="452" spans="1:4" x14ac:dyDescent="0.2">
      <c r="A452" t="str">
        <f>IF(COUNTBLANK(B452:D452)&lt;&gt;COLUMNS(B452:D452),451,"")</f>
        <v/>
      </c>
      <c r="C452" s="1" t="str">
        <f t="shared" si="14"/>
        <v/>
      </c>
      <c r="D452" s="1" t="str">
        <f t="shared" si="15"/>
        <v/>
      </c>
    </row>
    <row r="453" spans="1:4" x14ac:dyDescent="0.2">
      <c r="A453" t="str">
        <f>IF(COUNTBLANK(B453:D453)&lt;&gt;COLUMNS(B453:D453),452,"")</f>
        <v/>
      </c>
      <c r="C453" s="1" t="str">
        <f t="shared" si="14"/>
        <v/>
      </c>
      <c r="D453" s="1" t="str">
        <f t="shared" si="15"/>
        <v/>
      </c>
    </row>
    <row r="454" spans="1:4" x14ac:dyDescent="0.2">
      <c r="A454" t="str">
        <f>IF(COUNTBLANK(B454:D454)&lt;&gt;COLUMNS(B454:D454),453,"")</f>
        <v/>
      </c>
      <c r="C454" s="1" t="str">
        <f t="shared" si="14"/>
        <v/>
      </c>
      <c r="D454" s="1" t="str">
        <f t="shared" si="15"/>
        <v/>
      </c>
    </row>
    <row r="455" spans="1:4" x14ac:dyDescent="0.2">
      <c r="A455" t="str">
        <f>IF(COUNTBLANK(B455:D455)&lt;&gt;COLUMNS(B455:D455),454,"")</f>
        <v/>
      </c>
      <c r="C455" s="1" t="str">
        <f t="shared" si="14"/>
        <v/>
      </c>
      <c r="D455" s="1" t="str">
        <f t="shared" si="15"/>
        <v/>
      </c>
    </row>
    <row r="456" spans="1:4" x14ac:dyDescent="0.2">
      <c r="A456" t="str">
        <f>IF(COUNTBLANK(B456:D456)&lt;&gt;COLUMNS(B456:D456),455,"")</f>
        <v/>
      </c>
      <c r="C456" s="1" t="str">
        <f t="shared" si="14"/>
        <v/>
      </c>
      <c r="D456" s="1" t="str">
        <f t="shared" si="15"/>
        <v/>
      </c>
    </row>
    <row r="457" spans="1:4" x14ac:dyDescent="0.2">
      <c r="A457" t="str">
        <f>IF(COUNTBLANK(B457:D457)&lt;&gt;COLUMNS(B457:D457),456,"")</f>
        <v/>
      </c>
      <c r="C457" s="1" t="str">
        <f t="shared" si="14"/>
        <v/>
      </c>
      <c r="D457" s="1" t="str">
        <f t="shared" si="15"/>
        <v/>
      </c>
    </row>
    <row r="458" spans="1:4" x14ac:dyDescent="0.2">
      <c r="A458" t="str">
        <f>IF(COUNTBLANK(B458:D458)&lt;&gt;COLUMNS(B458:D458),457,"")</f>
        <v/>
      </c>
      <c r="C458" s="1" t="str">
        <f t="shared" si="14"/>
        <v/>
      </c>
      <c r="D458" s="1" t="str">
        <f t="shared" si="15"/>
        <v/>
      </c>
    </row>
    <row r="459" spans="1:4" x14ac:dyDescent="0.2">
      <c r="A459" t="str">
        <f>IF(COUNTBLANK(B459:D459)&lt;&gt;COLUMNS(B459:D459),458,"")</f>
        <v/>
      </c>
      <c r="C459" s="1" t="str">
        <f t="shared" si="14"/>
        <v/>
      </c>
      <c r="D459" s="1" t="str">
        <f t="shared" si="15"/>
        <v/>
      </c>
    </row>
    <row r="460" spans="1:4" x14ac:dyDescent="0.2">
      <c r="A460" t="str">
        <f>IF(COUNTBLANK(B460:D460)&lt;&gt;COLUMNS(B460:D460),459,"")</f>
        <v/>
      </c>
      <c r="C460" s="1" t="str">
        <f t="shared" si="14"/>
        <v/>
      </c>
      <c r="D460" s="1" t="str">
        <f t="shared" si="15"/>
        <v/>
      </c>
    </row>
    <row r="461" spans="1:4" x14ac:dyDescent="0.2">
      <c r="A461" t="str">
        <f>IF(COUNTBLANK(B461:D461)&lt;&gt;COLUMNS(B461:D461),460,"")</f>
        <v/>
      </c>
      <c r="C461" s="1" t="str">
        <f t="shared" si="14"/>
        <v/>
      </c>
      <c r="D461" s="1" t="str">
        <f t="shared" si="15"/>
        <v/>
      </c>
    </row>
    <row r="462" spans="1:4" x14ac:dyDescent="0.2">
      <c r="A462" t="str">
        <f>IF(COUNTBLANK(B462:D462)&lt;&gt;COLUMNS(B462:D462),461,"")</f>
        <v/>
      </c>
      <c r="C462" s="1" t="str">
        <f t="shared" si="14"/>
        <v/>
      </c>
      <c r="D462" s="1" t="str">
        <f t="shared" si="15"/>
        <v/>
      </c>
    </row>
    <row r="463" spans="1:4" x14ac:dyDescent="0.2">
      <c r="A463" t="str">
        <f>IF(COUNTBLANK(B463:D463)&lt;&gt;COLUMNS(B463:D463),462,"")</f>
        <v/>
      </c>
      <c r="C463" s="1" t="str">
        <f t="shared" si="14"/>
        <v/>
      </c>
      <c r="D463" s="1" t="str">
        <f t="shared" si="15"/>
        <v/>
      </c>
    </row>
    <row r="464" spans="1:4" x14ac:dyDescent="0.2">
      <c r="A464" t="str">
        <f>IF(COUNTBLANK(B464:D464)&lt;&gt;COLUMNS(B464:D464),463,"")</f>
        <v/>
      </c>
      <c r="C464" s="1" t="str">
        <f t="shared" si="14"/>
        <v/>
      </c>
      <c r="D464" s="1" t="str">
        <f t="shared" si="15"/>
        <v/>
      </c>
    </row>
    <row r="465" spans="1:4" x14ac:dyDescent="0.2">
      <c r="A465" t="str">
        <f>IF(COUNTBLANK(B465:D465)&lt;&gt;COLUMNS(B465:D465),464,"")</f>
        <v/>
      </c>
      <c r="C465" s="1" t="str">
        <f t="shared" si="14"/>
        <v/>
      </c>
      <c r="D465" s="1" t="str">
        <f t="shared" si="15"/>
        <v/>
      </c>
    </row>
    <row r="466" spans="1:4" x14ac:dyDescent="0.2">
      <c r="A466" t="str">
        <f>IF(COUNTBLANK(B466:D466)&lt;&gt;COLUMNS(B466:D466),465,"")</f>
        <v/>
      </c>
      <c r="C466" s="1" t="str">
        <f t="shared" si="14"/>
        <v/>
      </c>
      <c r="D466" s="1" t="str">
        <f t="shared" si="15"/>
        <v/>
      </c>
    </row>
    <row r="467" spans="1:4" x14ac:dyDescent="0.2">
      <c r="A467" t="str">
        <f>IF(COUNTBLANK(B467:D467)&lt;&gt;COLUMNS(B467:D467),466,"")</f>
        <v/>
      </c>
      <c r="C467" s="1" t="str">
        <f t="shared" si="14"/>
        <v/>
      </c>
      <c r="D467" s="1" t="str">
        <f t="shared" si="15"/>
        <v/>
      </c>
    </row>
    <row r="468" spans="1:4" x14ac:dyDescent="0.2">
      <c r="A468" t="str">
        <f>IF(COUNTBLANK(B468:D468)&lt;&gt;COLUMNS(B468:D468),467,"")</f>
        <v/>
      </c>
      <c r="C468" s="1" t="str">
        <f t="shared" si="14"/>
        <v/>
      </c>
      <c r="D468" s="1" t="str">
        <f t="shared" si="15"/>
        <v/>
      </c>
    </row>
    <row r="469" spans="1:4" x14ac:dyDescent="0.2">
      <c r="A469" t="str">
        <f>IF(COUNTBLANK(B469:D469)&lt;&gt;COLUMNS(B469:D469),468,"")</f>
        <v/>
      </c>
      <c r="C469" s="1" t="str">
        <f t="shared" si="14"/>
        <v/>
      </c>
      <c r="D469" s="1" t="str">
        <f t="shared" si="15"/>
        <v/>
      </c>
    </row>
    <row r="470" spans="1:4" x14ac:dyDescent="0.2">
      <c r="A470" t="str">
        <f>IF(COUNTBLANK(B470:D470)&lt;&gt;COLUMNS(B470:D470),469,"")</f>
        <v/>
      </c>
      <c r="C470" s="1" t="str">
        <f t="shared" si="14"/>
        <v/>
      </c>
      <c r="D470" s="1" t="str">
        <f t="shared" si="15"/>
        <v/>
      </c>
    </row>
    <row r="471" spans="1:4" x14ac:dyDescent="0.2">
      <c r="A471" t="str">
        <f>IF(COUNTBLANK(B471:D471)&lt;&gt;COLUMNS(B471:D471),470,"")</f>
        <v/>
      </c>
      <c r="C471" s="1" t="str">
        <f t="shared" si="14"/>
        <v/>
      </c>
      <c r="D471" s="1" t="str">
        <f t="shared" si="15"/>
        <v/>
      </c>
    </row>
    <row r="472" spans="1:4" x14ac:dyDescent="0.2">
      <c r="A472" t="str">
        <f>IF(COUNTBLANK(B472:D472)&lt;&gt;COLUMNS(B472:D472),471,"")</f>
        <v/>
      </c>
      <c r="C472" s="1" t="str">
        <f t="shared" si="14"/>
        <v/>
      </c>
      <c r="D472" s="1" t="str">
        <f t="shared" si="15"/>
        <v/>
      </c>
    </row>
    <row r="473" spans="1:4" x14ac:dyDescent="0.2">
      <c r="A473" t="str">
        <f>IF(COUNTBLANK(B473:D473)&lt;&gt;COLUMNS(B473:D473),472,"")</f>
        <v/>
      </c>
      <c r="C473" s="1" t="str">
        <f t="shared" si="14"/>
        <v/>
      </c>
      <c r="D473" s="1" t="str">
        <f t="shared" si="15"/>
        <v/>
      </c>
    </row>
    <row r="474" spans="1:4" x14ac:dyDescent="0.2">
      <c r="A474" t="str">
        <f>IF(COUNTBLANK(B474:D474)&lt;&gt;COLUMNS(B474:D474),473,"")</f>
        <v/>
      </c>
      <c r="C474" s="1" t="str">
        <f t="shared" si="14"/>
        <v/>
      </c>
      <c r="D474" s="1" t="str">
        <f t="shared" si="15"/>
        <v/>
      </c>
    </row>
    <row r="475" spans="1:4" x14ac:dyDescent="0.2">
      <c r="A475" t="str">
        <f>IF(COUNTBLANK(B475:D475)&lt;&gt;COLUMNS(B475:D475),474,"")</f>
        <v/>
      </c>
      <c r="C475" s="1" t="str">
        <f t="shared" si="14"/>
        <v/>
      </c>
      <c r="D475" s="1" t="str">
        <f t="shared" si="15"/>
        <v/>
      </c>
    </row>
    <row r="476" spans="1:4" x14ac:dyDescent="0.2">
      <c r="A476" t="str">
        <f>IF(COUNTBLANK(B476:D476)&lt;&gt;COLUMNS(B476:D476),475,"")</f>
        <v/>
      </c>
      <c r="C476" s="1" t="str">
        <f t="shared" si="14"/>
        <v/>
      </c>
      <c r="D476" s="1" t="str">
        <f t="shared" si="15"/>
        <v/>
      </c>
    </row>
    <row r="477" spans="1:4" x14ac:dyDescent="0.2">
      <c r="A477" t="str">
        <f>IF(COUNTBLANK(B477:D477)&lt;&gt;COLUMNS(B477:D477),476,"")</f>
        <v/>
      </c>
      <c r="C477" s="1" t="str">
        <f t="shared" si="14"/>
        <v/>
      </c>
      <c r="D477" s="1" t="str">
        <f t="shared" si="15"/>
        <v/>
      </c>
    </row>
    <row r="478" spans="1:4" x14ac:dyDescent="0.2">
      <c r="A478" t="str">
        <f>IF(COUNTBLANK(B478:D478)&lt;&gt;COLUMNS(B478:D478),477,"")</f>
        <v/>
      </c>
      <c r="C478" s="1" t="str">
        <f t="shared" si="14"/>
        <v/>
      </c>
      <c r="D478" s="1" t="str">
        <f t="shared" si="15"/>
        <v/>
      </c>
    </row>
    <row r="479" spans="1:4" x14ac:dyDescent="0.2">
      <c r="A479" t="str">
        <f>IF(COUNTBLANK(B479:D479)&lt;&gt;COLUMNS(B479:D479),478,"")</f>
        <v/>
      </c>
      <c r="C479" s="1" t="str">
        <f t="shared" si="14"/>
        <v/>
      </c>
      <c r="D479" s="1" t="str">
        <f t="shared" si="15"/>
        <v/>
      </c>
    </row>
    <row r="480" spans="1:4" x14ac:dyDescent="0.2">
      <c r="A480" t="str">
        <f>IF(COUNTBLANK(B480:D480)&lt;&gt;COLUMNS(B480:D480),479,"")</f>
        <v/>
      </c>
      <c r="C480" s="1" t="str">
        <f t="shared" si="14"/>
        <v/>
      </c>
      <c r="D480" s="1" t="str">
        <f t="shared" si="15"/>
        <v/>
      </c>
    </row>
    <row r="481" spans="1:4" x14ac:dyDescent="0.2">
      <c r="A481" t="str">
        <f>IF(COUNTBLANK(B481:D481)&lt;&gt;COLUMNS(B481:D481),480,"")</f>
        <v/>
      </c>
      <c r="C481" s="1" t="str">
        <f t="shared" si="14"/>
        <v/>
      </c>
      <c r="D481" s="1" t="str">
        <f t="shared" si="15"/>
        <v/>
      </c>
    </row>
    <row r="482" spans="1:4" x14ac:dyDescent="0.2">
      <c r="A482" t="str">
        <f>IF(COUNTBLANK(B482:D482)&lt;&gt;COLUMNS(B482:D482),481,"")</f>
        <v/>
      </c>
      <c r="C482" s="1" t="str">
        <f t="shared" si="14"/>
        <v/>
      </c>
      <c r="D482" s="1" t="str">
        <f t="shared" si="15"/>
        <v/>
      </c>
    </row>
    <row r="483" spans="1:4" x14ac:dyDescent="0.2">
      <c r="A483" t="str">
        <f>IF(COUNTBLANK(B483:D483)&lt;&gt;COLUMNS(B483:D483),482,"")</f>
        <v/>
      </c>
      <c r="C483" s="1" t="str">
        <f t="shared" si="14"/>
        <v/>
      </c>
      <c r="D483" s="1" t="str">
        <f t="shared" si="15"/>
        <v/>
      </c>
    </row>
    <row r="484" spans="1:4" x14ac:dyDescent="0.2">
      <c r="A484" t="str">
        <f>IF(COUNTBLANK(B484:D484)&lt;&gt;COLUMNS(B484:D484),483,"")</f>
        <v/>
      </c>
      <c r="C484" s="1" t="str">
        <f t="shared" si="14"/>
        <v/>
      </c>
      <c r="D484" s="1" t="str">
        <f t="shared" si="15"/>
        <v/>
      </c>
    </row>
    <row r="485" spans="1:4" x14ac:dyDescent="0.2">
      <c r="A485" t="str">
        <f>IF(COUNTBLANK(B485:D485)&lt;&gt;COLUMNS(B485:D485),484,"")</f>
        <v/>
      </c>
      <c r="C485" s="1" t="str">
        <f t="shared" si="14"/>
        <v/>
      </c>
      <c r="D485" s="1" t="str">
        <f t="shared" si="15"/>
        <v/>
      </c>
    </row>
    <row r="486" spans="1:4" x14ac:dyDescent="0.2">
      <c r="A486" t="str">
        <f>IF(COUNTBLANK(B486:D486)&lt;&gt;COLUMNS(B486:D486),485,"")</f>
        <v/>
      </c>
      <c r="C486" s="1" t="str">
        <f t="shared" si="14"/>
        <v/>
      </c>
      <c r="D486" s="1" t="str">
        <f t="shared" si="15"/>
        <v/>
      </c>
    </row>
    <row r="487" spans="1:4" x14ac:dyDescent="0.2">
      <c r="A487" t="str">
        <f>IF(COUNTBLANK(B487:D487)&lt;&gt;COLUMNS(B487:D487),486,"")</f>
        <v/>
      </c>
      <c r="C487" s="1" t="str">
        <f t="shared" si="14"/>
        <v/>
      </c>
      <c r="D487" s="1" t="str">
        <f t="shared" si="15"/>
        <v/>
      </c>
    </row>
    <row r="488" spans="1:4" x14ac:dyDescent="0.2">
      <c r="A488" t="str">
        <f>IF(COUNTBLANK(B488:D488)&lt;&gt;COLUMNS(B488:D488),487,"")</f>
        <v/>
      </c>
      <c r="C488" s="1" t="str">
        <f t="shared" si="14"/>
        <v/>
      </c>
      <c r="D488" s="1" t="str">
        <f t="shared" si="15"/>
        <v/>
      </c>
    </row>
    <row r="489" spans="1:4" x14ac:dyDescent="0.2">
      <c r="A489" t="str">
        <f>IF(COUNTBLANK(B489:D489)&lt;&gt;COLUMNS(B489:D489),488,"")</f>
        <v/>
      </c>
      <c r="C489" s="1" t="str">
        <f t="shared" si="14"/>
        <v/>
      </c>
      <c r="D489" s="1" t="str">
        <f t="shared" si="15"/>
        <v/>
      </c>
    </row>
    <row r="490" spans="1:4" x14ac:dyDescent="0.2">
      <c r="A490" t="str">
        <f>IF(COUNTBLANK(B490:D490)&lt;&gt;COLUMNS(B490:D490),489,"")</f>
        <v/>
      </c>
      <c r="C490" s="1" t="str">
        <f t="shared" si="14"/>
        <v/>
      </c>
      <c r="D490" s="1" t="str">
        <f t="shared" si="15"/>
        <v/>
      </c>
    </row>
    <row r="491" spans="1:4" x14ac:dyDescent="0.2">
      <c r="A491" t="str">
        <f>IF(COUNTBLANK(B491:D491)&lt;&gt;COLUMNS(B491:D491),490,"")</f>
        <v/>
      </c>
      <c r="C491" s="1" t="str">
        <f t="shared" si="14"/>
        <v/>
      </c>
      <c r="D491" s="1" t="str">
        <f t="shared" si="15"/>
        <v/>
      </c>
    </row>
    <row r="492" spans="1:4" x14ac:dyDescent="0.2">
      <c r="A492" t="str">
        <f>IF(COUNTBLANK(B492:D492)&lt;&gt;COLUMNS(B492:D492),491,"")</f>
        <v/>
      </c>
      <c r="C492" s="1" t="str">
        <f t="shared" si="14"/>
        <v/>
      </c>
      <c r="D492" s="1" t="str">
        <f t="shared" si="15"/>
        <v/>
      </c>
    </row>
    <row r="493" spans="1:4" x14ac:dyDescent="0.2">
      <c r="A493" t="str">
        <f>IF(COUNTBLANK(B493:D493)&lt;&gt;COLUMNS(B493:D493),492,"")</f>
        <v/>
      </c>
      <c r="C493" s="1" t="str">
        <f t="shared" si="14"/>
        <v/>
      </c>
      <c r="D493" s="1" t="str">
        <f t="shared" si="15"/>
        <v/>
      </c>
    </row>
    <row r="494" spans="1:4" x14ac:dyDescent="0.2">
      <c r="A494" t="str">
        <f>IF(COUNTBLANK(B494:D494)&lt;&gt;COLUMNS(B494:D494),493,"")</f>
        <v/>
      </c>
      <c r="C494" s="1" t="str">
        <f t="shared" si="14"/>
        <v/>
      </c>
      <c r="D494" s="1" t="str">
        <f t="shared" si="15"/>
        <v/>
      </c>
    </row>
    <row r="495" spans="1:4" x14ac:dyDescent="0.2">
      <c r="A495" t="str">
        <f>IF(COUNTBLANK(B495:D495)&lt;&gt;COLUMNS(B495:D495),494,"")</f>
        <v/>
      </c>
      <c r="C495" s="1" t="str">
        <f t="shared" si="14"/>
        <v/>
      </c>
      <c r="D495" s="1" t="str">
        <f t="shared" si="15"/>
        <v/>
      </c>
    </row>
    <row r="496" spans="1:4" x14ac:dyDescent="0.2">
      <c r="A496" t="str">
        <f>IF(COUNTBLANK(B496:D496)&lt;&gt;COLUMNS(B496:D496),495,"")</f>
        <v/>
      </c>
      <c r="C496" s="1" t="str">
        <f t="shared" si="14"/>
        <v/>
      </c>
      <c r="D496" s="1" t="str">
        <f t="shared" si="15"/>
        <v/>
      </c>
    </row>
    <row r="497" spans="1:4" x14ac:dyDescent="0.2">
      <c r="A497" t="str">
        <f>IF(COUNTBLANK(B497:D497)&lt;&gt;COLUMNS(B497:D497),496,"")</f>
        <v/>
      </c>
      <c r="C497" s="1" t="str">
        <f t="shared" si="14"/>
        <v/>
      </c>
      <c r="D497" s="1" t="str">
        <f t="shared" si="15"/>
        <v/>
      </c>
    </row>
    <row r="498" spans="1:4" x14ac:dyDescent="0.2">
      <c r="A498" t="str">
        <f>IF(COUNTBLANK(B498:D498)&lt;&gt;COLUMNS(B498:D498),497,"")</f>
        <v/>
      </c>
      <c r="C498" s="1" t="str">
        <f t="shared" si="14"/>
        <v/>
      </c>
      <c r="D498" s="1" t="str">
        <f t="shared" si="15"/>
        <v/>
      </c>
    </row>
    <row r="499" spans="1:4" x14ac:dyDescent="0.2">
      <c r="A499" t="str">
        <f>IF(COUNTBLANK(B499:D499)&lt;&gt;COLUMNS(B499:D499),498,"")</f>
        <v/>
      </c>
      <c r="C499" s="1" t="str">
        <f t="shared" si="14"/>
        <v/>
      </c>
      <c r="D499" s="1" t="str">
        <f t="shared" si="15"/>
        <v/>
      </c>
    </row>
    <row r="500" spans="1:4" x14ac:dyDescent="0.2">
      <c r="A500" t="str">
        <f>IF(COUNTBLANK(B500:D500)&lt;&gt;COLUMNS(B500:D500),499,"")</f>
        <v/>
      </c>
      <c r="C500" s="1" t="str">
        <f t="shared" si="14"/>
        <v/>
      </c>
      <c r="D500" s="1" t="str">
        <f t="shared" si="15"/>
        <v/>
      </c>
    </row>
    <row r="501" spans="1:4" x14ac:dyDescent="0.2">
      <c r="A501" t="str">
        <f>IF(COUNTBLANK(B501:D501)&lt;&gt;COLUMNS(B501:D501),500,"")</f>
        <v/>
      </c>
      <c r="C501" s="1" t="str">
        <f t="shared" si="14"/>
        <v/>
      </c>
      <c r="D501" s="1" t="str">
        <f t="shared" si="15"/>
        <v/>
      </c>
    </row>
    <row r="502" spans="1:4" x14ac:dyDescent="0.2">
      <c r="A502" t="str">
        <f>IF(COUNTBLANK(B502:D502)&lt;&gt;COLUMNS(B502:D502),501,"")</f>
        <v/>
      </c>
      <c r="C502" s="1" t="str">
        <f t="shared" si="14"/>
        <v/>
      </c>
      <c r="D502" s="1" t="str">
        <f t="shared" si="15"/>
        <v/>
      </c>
    </row>
    <row r="503" spans="1:4" x14ac:dyDescent="0.2">
      <c r="A503" t="str">
        <f>IF(COUNTBLANK(B503:D503)&lt;&gt;COLUMNS(B503:D503),502,"")</f>
        <v/>
      </c>
      <c r="C503" s="1" t="str">
        <f t="shared" si="14"/>
        <v/>
      </c>
      <c r="D503" s="1" t="str">
        <f t="shared" si="15"/>
        <v/>
      </c>
    </row>
    <row r="504" spans="1:4" x14ac:dyDescent="0.2">
      <c r="A504" t="str">
        <f>IF(COUNTBLANK(B504:D504)&lt;&gt;COLUMNS(B504:D504),503,"")</f>
        <v/>
      </c>
      <c r="C504" s="1" t="str">
        <f t="shared" si="14"/>
        <v/>
      </c>
      <c r="D504" s="1" t="str">
        <f t="shared" si="15"/>
        <v/>
      </c>
    </row>
    <row r="505" spans="1:4" x14ac:dyDescent="0.2">
      <c r="A505" t="str">
        <f>IF(COUNTBLANK(B505:D505)&lt;&gt;COLUMNS(B505:D505),504,"")</f>
        <v/>
      </c>
      <c r="C505" s="1" t="str">
        <f t="shared" si="14"/>
        <v/>
      </c>
      <c r="D505" s="1" t="str">
        <f t="shared" si="15"/>
        <v/>
      </c>
    </row>
    <row r="506" spans="1:4" x14ac:dyDescent="0.2">
      <c r="A506" t="str">
        <f>IF(COUNTBLANK(B506:D506)&lt;&gt;COLUMNS(B506:D506),505,"")</f>
        <v/>
      </c>
      <c r="C506" s="1" t="str">
        <f t="shared" si="14"/>
        <v/>
      </c>
      <c r="D506" s="1" t="str">
        <f t="shared" si="15"/>
        <v/>
      </c>
    </row>
    <row r="507" spans="1:4" x14ac:dyDescent="0.2">
      <c r="A507" t="str">
        <f>IF(COUNTBLANK(B507:D507)&lt;&gt;COLUMNS(B507:D507),506,"")</f>
        <v/>
      </c>
      <c r="C507" s="1" t="str">
        <f t="shared" si="14"/>
        <v/>
      </c>
      <c r="D507" s="1" t="str">
        <f t="shared" si="15"/>
        <v/>
      </c>
    </row>
    <row r="508" spans="1:4" x14ac:dyDescent="0.2">
      <c r="A508" t="str">
        <f>IF(COUNTBLANK(B508:D508)&lt;&gt;COLUMNS(B508:D508),507,"")</f>
        <v/>
      </c>
      <c r="C508" s="1" t="str">
        <f t="shared" si="14"/>
        <v/>
      </c>
      <c r="D508" s="1" t="str">
        <f t="shared" si="15"/>
        <v/>
      </c>
    </row>
    <row r="509" spans="1:4" x14ac:dyDescent="0.2">
      <c r="A509" t="str">
        <f>IF(COUNTBLANK(B509:D509)&lt;&gt;COLUMNS(B509:D509),508,"")</f>
        <v/>
      </c>
      <c r="C509" s="1" t="str">
        <f t="shared" si="14"/>
        <v/>
      </c>
      <c r="D509" s="1" t="str">
        <f t="shared" si="15"/>
        <v/>
      </c>
    </row>
    <row r="510" spans="1:4" x14ac:dyDescent="0.2">
      <c r="A510" t="str">
        <f>IF(COUNTBLANK(B510:D510)&lt;&gt;COLUMNS(B510:D510),509,"")</f>
        <v/>
      </c>
      <c r="C510" s="1" t="str">
        <f t="shared" si="14"/>
        <v/>
      </c>
      <c r="D510" s="1" t="str">
        <f t="shared" si="15"/>
        <v/>
      </c>
    </row>
    <row r="511" spans="1:4" x14ac:dyDescent="0.2">
      <c r="A511" t="str">
        <f>IF(COUNTBLANK(B511:D511)&lt;&gt;COLUMNS(B511:D511),510,"")</f>
        <v/>
      </c>
      <c r="C511" s="1" t="str">
        <f t="shared" si="14"/>
        <v/>
      </c>
      <c r="D511" s="1" t="str">
        <f t="shared" si="15"/>
        <v/>
      </c>
    </row>
    <row r="512" spans="1:4" x14ac:dyDescent="0.2">
      <c r="A512" t="str">
        <f>IF(COUNTBLANK(B512:D512)&lt;&gt;COLUMNS(B512:D512),511,"")</f>
        <v/>
      </c>
      <c r="C512" s="1" t="str">
        <f t="shared" si="14"/>
        <v/>
      </c>
      <c r="D512" s="1" t="str">
        <f t="shared" si="15"/>
        <v/>
      </c>
    </row>
    <row r="513" spans="1:4" x14ac:dyDescent="0.2">
      <c r="A513" t="str">
        <f>IF(COUNTBLANK(B513:D513)&lt;&gt;COLUMNS(B513:D513),512,"")</f>
        <v/>
      </c>
      <c r="C513" s="1" t="str">
        <f t="shared" si="14"/>
        <v/>
      </c>
      <c r="D513" s="1" t="str">
        <f t="shared" si="15"/>
        <v/>
      </c>
    </row>
    <row r="514" spans="1:4" x14ac:dyDescent="0.2">
      <c r="A514" t="str">
        <f>IF(COUNTBLANK(B514:D514)&lt;&gt;COLUMNS(B514:D514),513,"")</f>
        <v/>
      </c>
      <c r="C514" s="1" t="str">
        <f t="shared" ref="C514:C577" si="16">IF(B514="", "", "mouse gut metagenome")</f>
        <v/>
      </c>
      <c r="D514" s="1" t="str">
        <f t="shared" ref="D514:D577" si="17">IF(B514="", "", "410661")</f>
        <v/>
      </c>
    </row>
    <row r="515" spans="1:4" x14ac:dyDescent="0.2">
      <c r="A515" t="str">
        <f>IF(COUNTBLANK(B515:D515)&lt;&gt;COLUMNS(B515:D515),514,"")</f>
        <v/>
      </c>
      <c r="C515" s="1" t="str">
        <f t="shared" si="16"/>
        <v/>
      </c>
      <c r="D515" s="1" t="str">
        <f t="shared" si="17"/>
        <v/>
      </c>
    </row>
    <row r="516" spans="1:4" x14ac:dyDescent="0.2">
      <c r="A516" t="str">
        <f>IF(COUNTBLANK(B516:D516)&lt;&gt;COLUMNS(B516:D516),515,"")</f>
        <v/>
      </c>
      <c r="C516" s="1" t="str">
        <f t="shared" si="16"/>
        <v/>
      </c>
      <c r="D516" s="1" t="str">
        <f t="shared" si="17"/>
        <v/>
      </c>
    </row>
    <row r="517" spans="1:4" x14ac:dyDescent="0.2">
      <c r="A517" t="str">
        <f>IF(COUNTBLANK(B517:D517)&lt;&gt;COLUMNS(B517:D517),516,"")</f>
        <v/>
      </c>
      <c r="C517" s="1" t="str">
        <f t="shared" si="16"/>
        <v/>
      </c>
      <c r="D517" s="1" t="str">
        <f t="shared" si="17"/>
        <v/>
      </c>
    </row>
    <row r="518" spans="1:4" x14ac:dyDescent="0.2">
      <c r="A518" t="str">
        <f>IF(COUNTBLANK(B518:D518)&lt;&gt;COLUMNS(B518:D518),517,"")</f>
        <v/>
      </c>
      <c r="C518" s="1" t="str">
        <f t="shared" si="16"/>
        <v/>
      </c>
      <c r="D518" s="1" t="str">
        <f t="shared" si="17"/>
        <v/>
      </c>
    </row>
    <row r="519" spans="1:4" x14ac:dyDescent="0.2">
      <c r="A519" t="str">
        <f>IF(COUNTBLANK(B519:D519)&lt;&gt;COLUMNS(B519:D519),518,"")</f>
        <v/>
      </c>
      <c r="C519" s="1" t="str">
        <f t="shared" si="16"/>
        <v/>
      </c>
      <c r="D519" s="1" t="str">
        <f t="shared" si="17"/>
        <v/>
      </c>
    </row>
    <row r="520" spans="1:4" x14ac:dyDescent="0.2">
      <c r="A520" t="str">
        <f>IF(COUNTBLANK(B520:D520)&lt;&gt;COLUMNS(B520:D520),519,"")</f>
        <v/>
      </c>
      <c r="C520" s="1" t="str">
        <f t="shared" si="16"/>
        <v/>
      </c>
      <c r="D520" s="1" t="str">
        <f t="shared" si="17"/>
        <v/>
      </c>
    </row>
    <row r="521" spans="1:4" x14ac:dyDescent="0.2">
      <c r="A521" t="str">
        <f>IF(COUNTBLANK(B521:D521)&lt;&gt;COLUMNS(B521:D521),520,"")</f>
        <v/>
      </c>
      <c r="C521" s="1" t="str">
        <f t="shared" si="16"/>
        <v/>
      </c>
      <c r="D521" s="1" t="str">
        <f t="shared" si="17"/>
        <v/>
      </c>
    </row>
    <row r="522" spans="1:4" x14ac:dyDescent="0.2">
      <c r="A522" t="str">
        <f>IF(COUNTBLANK(B522:D522)&lt;&gt;COLUMNS(B522:D522),521,"")</f>
        <v/>
      </c>
      <c r="C522" s="1" t="str">
        <f t="shared" si="16"/>
        <v/>
      </c>
      <c r="D522" s="1" t="str">
        <f t="shared" si="17"/>
        <v/>
      </c>
    </row>
    <row r="523" spans="1:4" x14ac:dyDescent="0.2">
      <c r="A523" t="str">
        <f>IF(COUNTBLANK(B523:D523)&lt;&gt;COLUMNS(B523:D523),522,"")</f>
        <v/>
      </c>
      <c r="C523" s="1" t="str">
        <f t="shared" si="16"/>
        <v/>
      </c>
      <c r="D523" s="1" t="str">
        <f t="shared" si="17"/>
        <v/>
      </c>
    </row>
    <row r="524" spans="1:4" x14ac:dyDescent="0.2">
      <c r="A524" t="str">
        <f>IF(COUNTBLANK(B524:D524)&lt;&gt;COLUMNS(B524:D524),523,"")</f>
        <v/>
      </c>
      <c r="C524" s="1" t="str">
        <f t="shared" si="16"/>
        <v/>
      </c>
      <c r="D524" s="1" t="str">
        <f t="shared" si="17"/>
        <v/>
      </c>
    </row>
    <row r="525" spans="1:4" x14ac:dyDescent="0.2">
      <c r="A525" t="str">
        <f>IF(COUNTBLANK(B525:D525)&lt;&gt;COLUMNS(B525:D525),524,"")</f>
        <v/>
      </c>
      <c r="C525" s="1" t="str">
        <f t="shared" si="16"/>
        <v/>
      </c>
      <c r="D525" s="1" t="str">
        <f t="shared" si="17"/>
        <v/>
      </c>
    </row>
    <row r="526" spans="1:4" x14ac:dyDescent="0.2">
      <c r="A526" t="str">
        <f>IF(COUNTBLANK(B526:D526)&lt;&gt;COLUMNS(B526:D526),525,"")</f>
        <v/>
      </c>
      <c r="C526" s="1" t="str">
        <f t="shared" si="16"/>
        <v/>
      </c>
      <c r="D526" s="1" t="str">
        <f t="shared" si="17"/>
        <v/>
      </c>
    </row>
    <row r="527" spans="1:4" x14ac:dyDescent="0.2">
      <c r="A527" t="str">
        <f>IF(COUNTBLANK(B527:D527)&lt;&gt;COLUMNS(B527:D527),526,"")</f>
        <v/>
      </c>
      <c r="C527" s="1" t="str">
        <f t="shared" si="16"/>
        <v/>
      </c>
      <c r="D527" s="1" t="str">
        <f t="shared" si="17"/>
        <v/>
      </c>
    </row>
    <row r="528" spans="1:4" x14ac:dyDescent="0.2">
      <c r="A528" t="str">
        <f>IF(COUNTBLANK(B528:D528)&lt;&gt;COLUMNS(B528:D528),527,"")</f>
        <v/>
      </c>
      <c r="C528" s="1" t="str">
        <f t="shared" si="16"/>
        <v/>
      </c>
      <c r="D528" s="1" t="str">
        <f t="shared" si="17"/>
        <v/>
      </c>
    </row>
    <row r="529" spans="1:4" x14ac:dyDescent="0.2">
      <c r="A529" t="str">
        <f>IF(COUNTBLANK(B529:D529)&lt;&gt;COLUMNS(B529:D529),528,"")</f>
        <v/>
      </c>
      <c r="C529" s="1" t="str">
        <f t="shared" si="16"/>
        <v/>
      </c>
      <c r="D529" s="1" t="str">
        <f t="shared" si="17"/>
        <v/>
      </c>
    </row>
    <row r="530" spans="1:4" x14ac:dyDescent="0.2">
      <c r="A530" t="str">
        <f>IF(COUNTBLANK(B530:D530)&lt;&gt;COLUMNS(B530:D530),529,"")</f>
        <v/>
      </c>
      <c r="C530" s="1" t="str">
        <f t="shared" si="16"/>
        <v/>
      </c>
      <c r="D530" s="1" t="str">
        <f t="shared" si="17"/>
        <v/>
      </c>
    </row>
    <row r="531" spans="1:4" x14ac:dyDescent="0.2">
      <c r="A531" t="str">
        <f>IF(COUNTBLANK(B531:D531)&lt;&gt;COLUMNS(B531:D531),530,"")</f>
        <v/>
      </c>
      <c r="C531" s="1" t="str">
        <f t="shared" si="16"/>
        <v/>
      </c>
      <c r="D531" s="1" t="str">
        <f t="shared" si="17"/>
        <v/>
      </c>
    </row>
    <row r="532" spans="1:4" x14ac:dyDescent="0.2">
      <c r="A532" t="str">
        <f>IF(COUNTBLANK(B532:D532)&lt;&gt;COLUMNS(B532:D532),531,"")</f>
        <v/>
      </c>
      <c r="C532" s="1" t="str">
        <f t="shared" si="16"/>
        <v/>
      </c>
      <c r="D532" s="1" t="str">
        <f t="shared" si="17"/>
        <v/>
      </c>
    </row>
    <row r="533" spans="1:4" x14ac:dyDescent="0.2">
      <c r="A533" t="str">
        <f>IF(COUNTBLANK(B533:D533)&lt;&gt;COLUMNS(B533:D533),532,"")</f>
        <v/>
      </c>
      <c r="C533" s="1" t="str">
        <f t="shared" si="16"/>
        <v/>
      </c>
      <c r="D533" s="1" t="str">
        <f t="shared" si="17"/>
        <v/>
      </c>
    </row>
    <row r="534" spans="1:4" x14ac:dyDescent="0.2">
      <c r="A534" t="str">
        <f>IF(COUNTBLANK(B534:D534)&lt;&gt;COLUMNS(B534:D534),533,"")</f>
        <v/>
      </c>
      <c r="C534" s="1" t="str">
        <f t="shared" si="16"/>
        <v/>
      </c>
      <c r="D534" s="1" t="str">
        <f t="shared" si="17"/>
        <v/>
      </c>
    </row>
    <row r="535" spans="1:4" x14ac:dyDescent="0.2">
      <c r="A535" t="str">
        <f>IF(COUNTBLANK(B535:D535)&lt;&gt;COLUMNS(B535:D535),534,"")</f>
        <v/>
      </c>
      <c r="C535" s="1" t="str">
        <f t="shared" si="16"/>
        <v/>
      </c>
      <c r="D535" s="1" t="str">
        <f t="shared" si="17"/>
        <v/>
      </c>
    </row>
    <row r="536" spans="1:4" x14ac:dyDescent="0.2">
      <c r="A536" t="str">
        <f>IF(COUNTBLANK(B536:D536)&lt;&gt;COLUMNS(B536:D536),535,"")</f>
        <v/>
      </c>
      <c r="C536" s="1" t="str">
        <f t="shared" si="16"/>
        <v/>
      </c>
      <c r="D536" s="1" t="str">
        <f t="shared" si="17"/>
        <v/>
      </c>
    </row>
    <row r="537" spans="1:4" x14ac:dyDescent="0.2">
      <c r="A537" t="str">
        <f>IF(COUNTBLANK(B537:D537)&lt;&gt;COLUMNS(B537:D537),536,"")</f>
        <v/>
      </c>
      <c r="C537" s="1" t="str">
        <f t="shared" si="16"/>
        <v/>
      </c>
      <c r="D537" s="1" t="str">
        <f t="shared" si="17"/>
        <v/>
      </c>
    </row>
    <row r="538" spans="1:4" x14ac:dyDescent="0.2">
      <c r="A538" t="str">
        <f>IF(COUNTBLANK(B538:D538)&lt;&gt;COLUMNS(B538:D538),537,"")</f>
        <v/>
      </c>
      <c r="C538" s="1" t="str">
        <f t="shared" si="16"/>
        <v/>
      </c>
      <c r="D538" s="1" t="str">
        <f t="shared" si="17"/>
        <v/>
      </c>
    </row>
    <row r="539" spans="1:4" x14ac:dyDescent="0.2">
      <c r="A539" t="str">
        <f>IF(COUNTBLANK(B539:D539)&lt;&gt;COLUMNS(B539:D539),538,"")</f>
        <v/>
      </c>
      <c r="C539" s="1" t="str">
        <f t="shared" si="16"/>
        <v/>
      </c>
      <c r="D539" s="1" t="str">
        <f t="shared" si="17"/>
        <v/>
      </c>
    </row>
    <row r="540" spans="1:4" x14ac:dyDescent="0.2">
      <c r="A540" t="str">
        <f>IF(COUNTBLANK(B540:D540)&lt;&gt;COLUMNS(B540:D540),539,"")</f>
        <v/>
      </c>
      <c r="C540" s="1" t="str">
        <f t="shared" si="16"/>
        <v/>
      </c>
      <c r="D540" s="1" t="str">
        <f t="shared" si="17"/>
        <v/>
      </c>
    </row>
    <row r="541" spans="1:4" x14ac:dyDescent="0.2">
      <c r="A541" t="str">
        <f>IF(COUNTBLANK(B541:D541)&lt;&gt;COLUMNS(B541:D541),540,"")</f>
        <v/>
      </c>
      <c r="C541" s="1" t="str">
        <f t="shared" si="16"/>
        <v/>
      </c>
      <c r="D541" s="1" t="str">
        <f t="shared" si="17"/>
        <v/>
      </c>
    </row>
    <row r="542" spans="1:4" x14ac:dyDescent="0.2">
      <c r="A542" t="str">
        <f>IF(COUNTBLANK(B542:D542)&lt;&gt;COLUMNS(B542:D542),541,"")</f>
        <v/>
      </c>
      <c r="C542" s="1" t="str">
        <f t="shared" si="16"/>
        <v/>
      </c>
      <c r="D542" s="1" t="str">
        <f t="shared" si="17"/>
        <v/>
      </c>
    </row>
    <row r="543" spans="1:4" x14ac:dyDescent="0.2">
      <c r="A543" t="str">
        <f>IF(COUNTBLANK(B543:D543)&lt;&gt;COLUMNS(B543:D543),542,"")</f>
        <v/>
      </c>
      <c r="C543" s="1" t="str">
        <f t="shared" si="16"/>
        <v/>
      </c>
      <c r="D543" s="1" t="str">
        <f t="shared" si="17"/>
        <v/>
      </c>
    </row>
    <row r="544" spans="1:4" x14ac:dyDescent="0.2">
      <c r="A544" t="str">
        <f>IF(COUNTBLANK(B544:D544)&lt;&gt;COLUMNS(B544:D544),543,"")</f>
        <v/>
      </c>
      <c r="C544" s="1" t="str">
        <f t="shared" si="16"/>
        <v/>
      </c>
      <c r="D544" s="1" t="str">
        <f t="shared" si="17"/>
        <v/>
      </c>
    </row>
    <row r="545" spans="1:4" x14ac:dyDescent="0.2">
      <c r="A545" t="str">
        <f>IF(COUNTBLANK(B545:D545)&lt;&gt;COLUMNS(B545:D545),544,"")</f>
        <v/>
      </c>
      <c r="C545" s="1" t="str">
        <f t="shared" si="16"/>
        <v/>
      </c>
      <c r="D545" s="1" t="str">
        <f t="shared" si="17"/>
        <v/>
      </c>
    </row>
    <row r="546" spans="1:4" x14ac:dyDescent="0.2">
      <c r="A546" t="str">
        <f>IF(COUNTBLANK(B546:D546)&lt;&gt;COLUMNS(B546:D546),545,"")</f>
        <v/>
      </c>
      <c r="C546" s="1" t="str">
        <f t="shared" si="16"/>
        <v/>
      </c>
      <c r="D546" s="1" t="str">
        <f t="shared" si="17"/>
        <v/>
      </c>
    </row>
    <row r="547" spans="1:4" x14ac:dyDescent="0.2">
      <c r="A547" t="str">
        <f>IF(COUNTBLANK(B547:D547)&lt;&gt;COLUMNS(B547:D547),546,"")</f>
        <v/>
      </c>
      <c r="C547" s="1" t="str">
        <f t="shared" si="16"/>
        <v/>
      </c>
      <c r="D547" s="1" t="str">
        <f t="shared" si="17"/>
        <v/>
      </c>
    </row>
    <row r="548" spans="1:4" x14ac:dyDescent="0.2">
      <c r="A548" t="str">
        <f>IF(COUNTBLANK(B548:D548)&lt;&gt;COLUMNS(B548:D548),547,"")</f>
        <v/>
      </c>
      <c r="C548" s="1" t="str">
        <f t="shared" si="16"/>
        <v/>
      </c>
      <c r="D548" s="1" t="str">
        <f t="shared" si="17"/>
        <v/>
      </c>
    </row>
    <row r="549" spans="1:4" x14ac:dyDescent="0.2">
      <c r="A549" t="str">
        <f>IF(COUNTBLANK(B549:D549)&lt;&gt;COLUMNS(B549:D549),548,"")</f>
        <v/>
      </c>
      <c r="C549" s="1" t="str">
        <f t="shared" si="16"/>
        <v/>
      </c>
      <c r="D549" s="1" t="str">
        <f t="shared" si="17"/>
        <v/>
      </c>
    </row>
    <row r="550" spans="1:4" x14ac:dyDescent="0.2">
      <c r="A550" t="str">
        <f>IF(COUNTBLANK(B550:D550)&lt;&gt;COLUMNS(B550:D550),549,"")</f>
        <v/>
      </c>
      <c r="C550" s="1" t="str">
        <f t="shared" si="16"/>
        <v/>
      </c>
      <c r="D550" s="1" t="str">
        <f t="shared" si="17"/>
        <v/>
      </c>
    </row>
    <row r="551" spans="1:4" x14ac:dyDescent="0.2">
      <c r="A551" t="str">
        <f>IF(COUNTBLANK(B551:D551)&lt;&gt;COLUMNS(B551:D551),550,"")</f>
        <v/>
      </c>
      <c r="C551" s="1" t="str">
        <f t="shared" si="16"/>
        <v/>
      </c>
      <c r="D551" s="1" t="str">
        <f t="shared" si="17"/>
        <v/>
      </c>
    </row>
    <row r="552" spans="1:4" x14ac:dyDescent="0.2">
      <c r="A552" t="str">
        <f>IF(COUNTBLANK(B552:D552)&lt;&gt;COLUMNS(B552:D552),551,"")</f>
        <v/>
      </c>
      <c r="C552" s="1" t="str">
        <f t="shared" si="16"/>
        <v/>
      </c>
      <c r="D552" s="1" t="str">
        <f t="shared" si="17"/>
        <v/>
      </c>
    </row>
    <row r="553" spans="1:4" x14ac:dyDescent="0.2">
      <c r="A553" t="str">
        <f>IF(COUNTBLANK(B553:D553)&lt;&gt;COLUMNS(B553:D553),552,"")</f>
        <v/>
      </c>
      <c r="C553" s="1" t="str">
        <f t="shared" si="16"/>
        <v/>
      </c>
      <c r="D553" s="1" t="str">
        <f t="shared" si="17"/>
        <v/>
      </c>
    </row>
    <row r="554" spans="1:4" x14ac:dyDescent="0.2">
      <c r="A554" t="str">
        <f>IF(COUNTBLANK(B554:D554)&lt;&gt;COLUMNS(B554:D554),553,"")</f>
        <v/>
      </c>
      <c r="C554" s="1" t="str">
        <f t="shared" si="16"/>
        <v/>
      </c>
      <c r="D554" s="1" t="str">
        <f t="shared" si="17"/>
        <v/>
      </c>
    </row>
    <row r="555" spans="1:4" x14ac:dyDescent="0.2">
      <c r="A555" t="str">
        <f>IF(COUNTBLANK(B555:D555)&lt;&gt;COLUMNS(B555:D555),554,"")</f>
        <v/>
      </c>
      <c r="C555" s="1" t="str">
        <f t="shared" si="16"/>
        <v/>
      </c>
      <c r="D555" s="1" t="str">
        <f t="shared" si="17"/>
        <v/>
      </c>
    </row>
    <row r="556" spans="1:4" x14ac:dyDescent="0.2">
      <c r="A556" t="str">
        <f>IF(COUNTBLANK(B556:D556)&lt;&gt;COLUMNS(B556:D556),555,"")</f>
        <v/>
      </c>
      <c r="C556" s="1" t="str">
        <f t="shared" si="16"/>
        <v/>
      </c>
      <c r="D556" s="1" t="str">
        <f t="shared" si="17"/>
        <v/>
      </c>
    </row>
    <row r="557" spans="1:4" x14ac:dyDescent="0.2">
      <c r="A557" t="str">
        <f>IF(COUNTBLANK(B557:D557)&lt;&gt;COLUMNS(B557:D557),556,"")</f>
        <v/>
      </c>
      <c r="C557" s="1" t="str">
        <f t="shared" si="16"/>
        <v/>
      </c>
      <c r="D557" s="1" t="str">
        <f t="shared" si="17"/>
        <v/>
      </c>
    </row>
    <row r="558" spans="1:4" x14ac:dyDescent="0.2">
      <c r="A558" t="str">
        <f>IF(COUNTBLANK(B558:D558)&lt;&gt;COLUMNS(B558:D558),557,"")</f>
        <v/>
      </c>
      <c r="C558" s="1" t="str">
        <f t="shared" si="16"/>
        <v/>
      </c>
      <c r="D558" s="1" t="str">
        <f t="shared" si="17"/>
        <v/>
      </c>
    </row>
    <row r="559" spans="1:4" x14ac:dyDescent="0.2">
      <c r="A559" t="str">
        <f>IF(COUNTBLANK(B559:D559)&lt;&gt;COLUMNS(B559:D559),558,"")</f>
        <v/>
      </c>
      <c r="C559" s="1" t="str">
        <f t="shared" si="16"/>
        <v/>
      </c>
      <c r="D559" s="1" t="str">
        <f t="shared" si="17"/>
        <v/>
      </c>
    </row>
    <row r="560" spans="1:4" x14ac:dyDescent="0.2">
      <c r="A560" t="str">
        <f>IF(COUNTBLANK(B560:D560)&lt;&gt;COLUMNS(B560:D560),559,"")</f>
        <v/>
      </c>
      <c r="C560" s="1" t="str">
        <f t="shared" si="16"/>
        <v/>
      </c>
      <c r="D560" s="1" t="str">
        <f t="shared" si="17"/>
        <v/>
      </c>
    </row>
    <row r="561" spans="1:4" x14ac:dyDescent="0.2">
      <c r="A561" t="str">
        <f>IF(COUNTBLANK(B561:D561)&lt;&gt;COLUMNS(B561:D561),560,"")</f>
        <v/>
      </c>
      <c r="C561" s="1" t="str">
        <f t="shared" si="16"/>
        <v/>
      </c>
      <c r="D561" s="1" t="str">
        <f t="shared" si="17"/>
        <v/>
      </c>
    </row>
    <row r="562" spans="1:4" x14ac:dyDescent="0.2">
      <c r="A562" t="str">
        <f>IF(COUNTBLANK(B562:D562)&lt;&gt;COLUMNS(B562:D562),561,"")</f>
        <v/>
      </c>
      <c r="C562" s="1" t="str">
        <f t="shared" si="16"/>
        <v/>
      </c>
      <c r="D562" s="1" t="str">
        <f t="shared" si="17"/>
        <v/>
      </c>
    </row>
    <row r="563" spans="1:4" x14ac:dyDescent="0.2">
      <c r="A563" t="str">
        <f>IF(COUNTBLANK(B563:D563)&lt;&gt;COLUMNS(B563:D563),562,"")</f>
        <v/>
      </c>
      <c r="C563" s="1" t="str">
        <f t="shared" si="16"/>
        <v/>
      </c>
      <c r="D563" s="1" t="str">
        <f t="shared" si="17"/>
        <v/>
      </c>
    </row>
    <row r="564" spans="1:4" x14ac:dyDescent="0.2">
      <c r="A564" t="str">
        <f>IF(COUNTBLANK(B564:D564)&lt;&gt;COLUMNS(B564:D564),563,"")</f>
        <v/>
      </c>
      <c r="C564" s="1" t="str">
        <f t="shared" si="16"/>
        <v/>
      </c>
      <c r="D564" s="1" t="str">
        <f t="shared" si="17"/>
        <v/>
      </c>
    </row>
    <row r="565" spans="1:4" x14ac:dyDescent="0.2">
      <c r="A565" t="str">
        <f>IF(COUNTBLANK(B565:D565)&lt;&gt;COLUMNS(B565:D565),564,"")</f>
        <v/>
      </c>
      <c r="C565" s="1" t="str">
        <f t="shared" si="16"/>
        <v/>
      </c>
      <c r="D565" s="1" t="str">
        <f t="shared" si="17"/>
        <v/>
      </c>
    </row>
    <row r="566" spans="1:4" x14ac:dyDescent="0.2">
      <c r="A566" t="str">
        <f>IF(COUNTBLANK(B566:D566)&lt;&gt;COLUMNS(B566:D566),565,"")</f>
        <v/>
      </c>
      <c r="C566" s="1" t="str">
        <f t="shared" si="16"/>
        <v/>
      </c>
      <c r="D566" s="1" t="str">
        <f t="shared" si="17"/>
        <v/>
      </c>
    </row>
    <row r="567" spans="1:4" x14ac:dyDescent="0.2">
      <c r="A567" t="str">
        <f>IF(COUNTBLANK(B567:D567)&lt;&gt;COLUMNS(B567:D567),566,"")</f>
        <v/>
      </c>
      <c r="C567" s="1" t="str">
        <f t="shared" si="16"/>
        <v/>
      </c>
      <c r="D567" s="1" t="str">
        <f t="shared" si="17"/>
        <v/>
      </c>
    </row>
    <row r="568" spans="1:4" x14ac:dyDescent="0.2">
      <c r="A568" t="str">
        <f>IF(COUNTBLANK(B568:D568)&lt;&gt;COLUMNS(B568:D568),567,"")</f>
        <v/>
      </c>
      <c r="C568" s="1" t="str">
        <f t="shared" si="16"/>
        <v/>
      </c>
      <c r="D568" s="1" t="str">
        <f t="shared" si="17"/>
        <v/>
      </c>
    </row>
    <row r="569" spans="1:4" x14ac:dyDescent="0.2">
      <c r="A569" t="str">
        <f>IF(COUNTBLANK(B569:D569)&lt;&gt;COLUMNS(B569:D569),568,"")</f>
        <v/>
      </c>
      <c r="C569" s="1" t="str">
        <f t="shared" si="16"/>
        <v/>
      </c>
      <c r="D569" s="1" t="str">
        <f t="shared" si="17"/>
        <v/>
      </c>
    </row>
    <row r="570" spans="1:4" x14ac:dyDescent="0.2">
      <c r="A570" t="str">
        <f>IF(COUNTBLANK(B570:D570)&lt;&gt;COLUMNS(B570:D570),569,"")</f>
        <v/>
      </c>
      <c r="C570" s="1" t="str">
        <f t="shared" si="16"/>
        <v/>
      </c>
      <c r="D570" s="1" t="str">
        <f t="shared" si="17"/>
        <v/>
      </c>
    </row>
    <row r="571" spans="1:4" x14ac:dyDescent="0.2">
      <c r="A571" t="str">
        <f>IF(COUNTBLANK(B571:D571)&lt;&gt;COLUMNS(B571:D571),570,"")</f>
        <v/>
      </c>
      <c r="C571" s="1" t="str">
        <f t="shared" si="16"/>
        <v/>
      </c>
      <c r="D571" s="1" t="str">
        <f t="shared" si="17"/>
        <v/>
      </c>
    </row>
    <row r="572" spans="1:4" x14ac:dyDescent="0.2">
      <c r="A572" t="str">
        <f>IF(COUNTBLANK(B572:D572)&lt;&gt;COLUMNS(B572:D572),571,"")</f>
        <v/>
      </c>
      <c r="C572" s="1" t="str">
        <f t="shared" si="16"/>
        <v/>
      </c>
      <c r="D572" s="1" t="str">
        <f t="shared" si="17"/>
        <v/>
      </c>
    </row>
    <row r="573" spans="1:4" x14ac:dyDescent="0.2">
      <c r="A573" t="str">
        <f>IF(COUNTBLANK(B573:D573)&lt;&gt;COLUMNS(B573:D573),572,"")</f>
        <v/>
      </c>
      <c r="C573" s="1" t="str">
        <f t="shared" si="16"/>
        <v/>
      </c>
      <c r="D573" s="1" t="str">
        <f t="shared" si="17"/>
        <v/>
      </c>
    </row>
    <row r="574" spans="1:4" x14ac:dyDescent="0.2">
      <c r="A574" t="str">
        <f>IF(COUNTBLANK(B574:D574)&lt;&gt;COLUMNS(B574:D574),573,"")</f>
        <v/>
      </c>
      <c r="C574" s="1" t="str">
        <f t="shared" si="16"/>
        <v/>
      </c>
      <c r="D574" s="1" t="str">
        <f t="shared" si="17"/>
        <v/>
      </c>
    </row>
    <row r="575" spans="1:4" x14ac:dyDescent="0.2">
      <c r="A575" t="str">
        <f>IF(COUNTBLANK(B575:D575)&lt;&gt;COLUMNS(B575:D575),574,"")</f>
        <v/>
      </c>
      <c r="C575" s="1" t="str">
        <f t="shared" si="16"/>
        <v/>
      </c>
      <c r="D575" s="1" t="str">
        <f t="shared" si="17"/>
        <v/>
      </c>
    </row>
    <row r="576" spans="1:4" x14ac:dyDescent="0.2">
      <c r="A576" t="str">
        <f>IF(COUNTBLANK(B576:D576)&lt;&gt;COLUMNS(B576:D576),575,"")</f>
        <v/>
      </c>
      <c r="C576" s="1" t="str">
        <f t="shared" si="16"/>
        <v/>
      </c>
      <c r="D576" s="1" t="str">
        <f t="shared" si="17"/>
        <v/>
      </c>
    </row>
    <row r="577" spans="1:4" x14ac:dyDescent="0.2">
      <c r="A577" t="str">
        <f>IF(COUNTBLANK(B577:D577)&lt;&gt;COLUMNS(B577:D577),576,"")</f>
        <v/>
      </c>
      <c r="C577" s="1" t="str">
        <f t="shared" si="16"/>
        <v/>
      </c>
      <c r="D577" s="1" t="str">
        <f t="shared" si="17"/>
        <v/>
      </c>
    </row>
    <row r="578" spans="1:4" x14ac:dyDescent="0.2">
      <c r="A578" t="str">
        <f>IF(COUNTBLANK(B578:D578)&lt;&gt;COLUMNS(B578:D578),577,"")</f>
        <v/>
      </c>
      <c r="C578" s="1" t="str">
        <f t="shared" ref="C578:C641" si="18">IF(B578="", "", "mouse gut metagenome")</f>
        <v/>
      </c>
      <c r="D578" s="1" t="str">
        <f t="shared" ref="D578:D641" si="19">IF(B578="", "", "410661")</f>
        <v/>
      </c>
    </row>
    <row r="579" spans="1:4" x14ac:dyDescent="0.2">
      <c r="A579" t="str">
        <f>IF(COUNTBLANK(B579:D579)&lt;&gt;COLUMNS(B579:D579),578,"")</f>
        <v/>
      </c>
      <c r="C579" s="1" t="str">
        <f t="shared" si="18"/>
        <v/>
      </c>
      <c r="D579" s="1" t="str">
        <f t="shared" si="19"/>
        <v/>
      </c>
    </row>
    <row r="580" spans="1:4" x14ac:dyDescent="0.2">
      <c r="A580" t="str">
        <f>IF(COUNTBLANK(B580:D580)&lt;&gt;COLUMNS(B580:D580),579,"")</f>
        <v/>
      </c>
      <c r="C580" s="1" t="str">
        <f t="shared" si="18"/>
        <v/>
      </c>
      <c r="D580" s="1" t="str">
        <f t="shared" si="19"/>
        <v/>
      </c>
    </row>
    <row r="581" spans="1:4" x14ac:dyDescent="0.2">
      <c r="A581" t="str">
        <f>IF(COUNTBLANK(B581:D581)&lt;&gt;COLUMNS(B581:D581),580,"")</f>
        <v/>
      </c>
      <c r="C581" s="1" t="str">
        <f t="shared" si="18"/>
        <v/>
      </c>
      <c r="D581" s="1" t="str">
        <f t="shared" si="19"/>
        <v/>
      </c>
    </row>
    <row r="582" spans="1:4" x14ac:dyDescent="0.2">
      <c r="A582" t="str">
        <f>IF(COUNTBLANK(B582:D582)&lt;&gt;COLUMNS(B582:D582),581,"")</f>
        <v/>
      </c>
      <c r="C582" s="1" t="str">
        <f t="shared" si="18"/>
        <v/>
      </c>
      <c r="D582" s="1" t="str">
        <f t="shared" si="19"/>
        <v/>
      </c>
    </row>
    <row r="583" spans="1:4" x14ac:dyDescent="0.2">
      <c r="A583" t="str">
        <f>IF(COUNTBLANK(B583:D583)&lt;&gt;COLUMNS(B583:D583),582,"")</f>
        <v/>
      </c>
      <c r="C583" s="1" t="str">
        <f t="shared" si="18"/>
        <v/>
      </c>
      <c r="D583" s="1" t="str">
        <f t="shared" si="19"/>
        <v/>
      </c>
    </row>
    <row r="584" spans="1:4" x14ac:dyDescent="0.2">
      <c r="A584" t="str">
        <f>IF(COUNTBLANK(B584:D584)&lt;&gt;COLUMNS(B584:D584),583,"")</f>
        <v/>
      </c>
      <c r="C584" s="1" t="str">
        <f t="shared" si="18"/>
        <v/>
      </c>
      <c r="D584" s="1" t="str">
        <f t="shared" si="19"/>
        <v/>
      </c>
    </row>
    <row r="585" spans="1:4" x14ac:dyDescent="0.2">
      <c r="A585" t="str">
        <f>IF(COUNTBLANK(B585:D585)&lt;&gt;COLUMNS(B585:D585),584,"")</f>
        <v/>
      </c>
      <c r="C585" s="1" t="str">
        <f t="shared" si="18"/>
        <v/>
      </c>
      <c r="D585" s="1" t="str">
        <f t="shared" si="19"/>
        <v/>
      </c>
    </row>
    <row r="586" spans="1:4" x14ac:dyDescent="0.2">
      <c r="A586" t="str">
        <f>IF(COUNTBLANK(B586:D586)&lt;&gt;COLUMNS(B586:D586),585,"")</f>
        <v/>
      </c>
      <c r="C586" s="1" t="str">
        <f t="shared" si="18"/>
        <v/>
      </c>
      <c r="D586" s="1" t="str">
        <f t="shared" si="19"/>
        <v/>
      </c>
    </row>
    <row r="587" spans="1:4" x14ac:dyDescent="0.2">
      <c r="A587" t="str">
        <f>IF(COUNTBLANK(B587:D587)&lt;&gt;COLUMNS(B587:D587),586,"")</f>
        <v/>
      </c>
      <c r="C587" s="1" t="str">
        <f t="shared" si="18"/>
        <v/>
      </c>
      <c r="D587" s="1" t="str">
        <f t="shared" si="19"/>
        <v/>
      </c>
    </row>
    <row r="588" spans="1:4" x14ac:dyDescent="0.2">
      <c r="A588" t="str">
        <f>IF(COUNTBLANK(B588:D588)&lt;&gt;COLUMNS(B588:D588),587,"")</f>
        <v/>
      </c>
      <c r="C588" s="1" t="str">
        <f t="shared" si="18"/>
        <v/>
      </c>
      <c r="D588" s="1" t="str">
        <f t="shared" si="19"/>
        <v/>
      </c>
    </row>
    <row r="589" spans="1:4" x14ac:dyDescent="0.2">
      <c r="A589" t="str">
        <f>IF(COUNTBLANK(B589:D589)&lt;&gt;COLUMNS(B589:D589),588,"")</f>
        <v/>
      </c>
      <c r="C589" s="1" t="str">
        <f t="shared" si="18"/>
        <v/>
      </c>
      <c r="D589" s="1" t="str">
        <f t="shared" si="19"/>
        <v/>
      </c>
    </row>
    <row r="590" spans="1:4" x14ac:dyDescent="0.2">
      <c r="A590" t="str">
        <f>IF(COUNTBLANK(B590:D590)&lt;&gt;COLUMNS(B590:D590),589,"")</f>
        <v/>
      </c>
      <c r="C590" s="1" t="str">
        <f t="shared" si="18"/>
        <v/>
      </c>
      <c r="D590" s="1" t="str">
        <f t="shared" si="19"/>
        <v/>
      </c>
    </row>
    <row r="591" spans="1:4" x14ac:dyDescent="0.2">
      <c r="A591" t="str">
        <f>IF(COUNTBLANK(B591:D591)&lt;&gt;COLUMNS(B591:D591),590,"")</f>
        <v/>
      </c>
      <c r="C591" s="1" t="str">
        <f t="shared" si="18"/>
        <v/>
      </c>
      <c r="D591" s="1" t="str">
        <f t="shared" si="19"/>
        <v/>
      </c>
    </row>
    <row r="592" spans="1:4" x14ac:dyDescent="0.2">
      <c r="A592" t="str">
        <f>IF(COUNTBLANK(B592:D592)&lt;&gt;COLUMNS(B592:D592),591,"")</f>
        <v/>
      </c>
      <c r="C592" s="1" t="str">
        <f t="shared" si="18"/>
        <v/>
      </c>
      <c r="D592" s="1" t="str">
        <f t="shared" si="19"/>
        <v/>
      </c>
    </row>
    <row r="593" spans="1:4" x14ac:dyDescent="0.2">
      <c r="A593" t="str">
        <f>IF(COUNTBLANK(B593:D593)&lt;&gt;COLUMNS(B593:D593),592,"")</f>
        <v/>
      </c>
      <c r="C593" s="1" t="str">
        <f t="shared" si="18"/>
        <v/>
      </c>
      <c r="D593" s="1" t="str">
        <f t="shared" si="19"/>
        <v/>
      </c>
    </row>
    <row r="594" spans="1:4" x14ac:dyDescent="0.2">
      <c r="A594" t="str">
        <f>IF(COUNTBLANK(B594:D594)&lt;&gt;COLUMNS(B594:D594),593,"")</f>
        <v/>
      </c>
      <c r="C594" s="1" t="str">
        <f t="shared" si="18"/>
        <v/>
      </c>
      <c r="D594" s="1" t="str">
        <f t="shared" si="19"/>
        <v/>
      </c>
    </row>
    <row r="595" spans="1:4" x14ac:dyDescent="0.2">
      <c r="A595" t="str">
        <f>IF(COUNTBLANK(B595:D595)&lt;&gt;COLUMNS(B595:D595),594,"")</f>
        <v/>
      </c>
      <c r="C595" s="1" t="str">
        <f t="shared" si="18"/>
        <v/>
      </c>
      <c r="D595" s="1" t="str">
        <f t="shared" si="19"/>
        <v/>
      </c>
    </row>
    <row r="596" spans="1:4" x14ac:dyDescent="0.2">
      <c r="A596" t="str">
        <f>IF(COUNTBLANK(B596:D596)&lt;&gt;COLUMNS(B596:D596),595,"")</f>
        <v/>
      </c>
      <c r="C596" s="1" t="str">
        <f t="shared" si="18"/>
        <v/>
      </c>
      <c r="D596" s="1" t="str">
        <f t="shared" si="19"/>
        <v/>
      </c>
    </row>
    <row r="597" spans="1:4" x14ac:dyDescent="0.2">
      <c r="A597" t="str">
        <f>IF(COUNTBLANK(B597:D597)&lt;&gt;COLUMNS(B597:D597),596,"")</f>
        <v/>
      </c>
      <c r="C597" s="1" t="str">
        <f t="shared" si="18"/>
        <v/>
      </c>
      <c r="D597" s="1" t="str">
        <f t="shared" si="19"/>
        <v/>
      </c>
    </row>
    <row r="598" spans="1:4" x14ac:dyDescent="0.2">
      <c r="A598" t="str">
        <f>IF(COUNTBLANK(B598:D598)&lt;&gt;COLUMNS(B598:D598),597,"")</f>
        <v/>
      </c>
      <c r="C598" s="1" t="str">
        <f t="shared" si="18"/>
        <v/>
      </c>
      <c r="D598" s="1" t="str">
        <f t="shared" si="19"/>
        <v/>
      </c>
    </row>
    <row r="599" spans="1:4" x14ac:dyDescent="0.2">
      <c r="A599" t="str">
        <f>IF(COUNTBLANK(B599:D599)&lt;&gt;COLUMNS(B599:D599),598,"")</f>
        <v/>
      </c>
      <c r="C599" s="1" t="str">
        <f t="shared" si="18"/>
        <v/>
      </c>
      <c r="D599" s="1" t="str">
        <f t="shared" si="19"/>
        <v/>
      </c>
    </row>
    <row r="600" spans="1:4" x14ac:dyDescent="0.2">
      <c r="A600" t="str">
        <f>IF(COUNTBLANK(B600:D600)&lt;&gt;COLUMNS(B600:D600),599,"")</f>
        <v/>
      </c>
      <c r="C600" s="1" t="str">
        <f t="shared" si="18"/>
        <v/>
      </c>
      <c r="D600" s="1" t="str">
        <f t="shared" si="19"/>
        <v/>
      </c>
    </row>
    <row r="601" spans="1:4" x14ac:dyDescent="0.2">
      <c r="A601" t="str">
        <f>IF(COUNTBLANK(B601:D601)&lt;&gt;COLUMNS(B601:D601),600,"")</f>
        <v/>
      </c>
      <c r="C601" s="1" t="str">
        <f t="shared" si="18"/>
        <v/>
      </c>
      <c r="D601" s="1" t="str">
        <f t="shared" si="19"/>
        <v/>
      </c>
    </row>
    <row r="602" spans="1:4" x14ac:dyDescent="0.2">
      <c r="A602" t="str">
        <f>IF(COUNTBLANK(B602:D602)&lt;&gt;COLUMNS(B602:D602),601,"")</f>
        <v/>
      </c>
      <c r="C602" s="1" t="str">
        <f t="shared" si="18"/>
        <v/>
      </c>
      <c r="D602" s="1" t="str">
        <f t="shared" si="19"/>
        <v/>
      </c>
    </row>
    <row r="603" spans="1:4" x14ac:dyDescent="0.2">
      <c r="A603" t="str">
        <f>IF(COUNTBLANK(B603:D603)&lt;&gt;COLUMNS(B603:D603),602,"")</f>
        <v/>
      </c>
      <c r="C603" s="1" t="str">
        <f t="shared" si="18"/>
        <v/>
      </c>
      <c r="D603" s="1" t="str">
        <f t="shared" si="19"/>
        <v/>
      </c>
    </row>
    <row r="604" spans="1:4" x14ac:dyDescent="0.2">
      <c r="A604" t="str">
        <f>IF(COUNTBLANK(B604:D604)&lt;&gt;COLUMNS(B604:D604),603,"")</f>
        <v/>
      </c>
      <c r="C604" s="1" t="str">
        <f t="shared" si="18"/>
        <v/>
      </c>
      <c r="D604" s="1" t="str">
        <f t="shared" si="19"/>
        <v/>
      </c>
    </row>
    <row r="605" spans="1:4" x14ac:dyDescent="0.2">
      <c r="A605" t="str">
        <f>IF(COUNTBLANK(B605:D605)&lt;&gt;COLUMNS(B605:D605),604,"")</f>
        <v/>
      </c>
      <c r="C605" s="1" t="str">
        <f t="shared" si="18"/>
        <v/>
      </c>
      <c r="D605" s="1" t="str">
        <f t="shared" si="19"/>
        <v/>
      </c>
    </row>
    <row r="606" spans="1:4" x14ac:dyDescent="0.2">
      <c r="A606" t="str">
        <f>IF(COUNTBLANK(B606:D606)&lt;&gt;COLUMNS(B606:D606),605,"")</f>
        <v/>
      </c>
      <c r="C606" s="1" t="str">
        <f t="shared" si="18"/>
        <v/>
      </c>
      <c r="D606" s="1" t="str">
        <f t="shared" si="19"/>
        <v/>
      </c>
    </row>
    <row r="607" spans="1:4" x14ac:dyDescent="0.2">
      <c r="A607" t="str">
        <f>IF(COUNTBLANK(B607:D607)&lt;&gt;COLUMNS(B607:D607),606,"")</f>
        <v/>
      </c>
      <c r="C607" s="1" t="str">
        <f t="shared" si="18"/>
        <v/>
      </c>
      <c r="D607" s="1" t="str">
        <f t="shared" si="19"/>
        <v/>
      </c>
    </row>
    <row r="608" spans="1:4" x14ac:dyDescent="0.2">
      <c r="A608" t="str">
        <f>IF(COUNTBLANK(B608:D608)&lt;&gt;COLUMNS(B608:D608),607,"")</f>
        <v/>
      </c>
      <c r="C608" s="1" t="str">
        <f t="shared" si="18"/>
        <v/>
      </c>
      <c r="D608" s="1" t="str">
        <f t="shared" si="19"/>
        <v/>
      </c>
    </row>
    <row r="609" spans="1:4" x14ac:dyDescent="0.2">
      <c r="A609" t="str">
        <f>IF(COUNTBLANK(B609:D609)&lt;&gt;COLUMNS(B609:D609),608,"")</f>
        <v/>
      </c>
      <c r="C609" s="1" t="str">
        <f t="shared" si="18"/>
        <v/>
      </c>
      <c r="D609" s="1" t="str">
        <f t="shared" si="19"/>
        <v/>
      </c>
    </row>
    <row r="610" spans="1:4" x14ac:dyDescent="0.2">
      <c r="A610" t="str">
        <f>IF(COUNTBLANK(B610:D610)&lt;&gt;COLUMNS(B610:D610),609,"")</f>
        <v/>
      </c>
      <c r="C610" s="1" t="str">
        <f t="shared" si="18"/>
        <v/>
      </c>
      <c r="D610" s="1" t="str">
        <f t="shared" si="19"/>
        <v/>
      </c>
    </row>
    <row r="611" spans="1:4" x14ac:dyDescent="0.2">
      <c r="A611" t="str">
        <f>IF(COUNTBLANK(B611:D611)&lt;&gt;COLUMNS(B611:D611),610,"")</f>
        <v/>
      </c>
      <c r="C611" s="1" t="str">
        <f t="shared" si="18"/>
        <v/>
      </c>
      <c r="D611" s="1" t="str">
        <f t="shared" si="19"/>
        <v/>
      </c>
    </row>
    <row r="612" spans="1:4" x14ac:dyDescent="0.2">
      <c r="A612" t="str">
        <f>IF(COUNTBLANK(B612:D612)&lt;&gt;COLUMNS(B612:D612),611,"")</f>
        <v/>
      </c>
      <c r="C612" s="1" t="str">
        <f t="shared" si="18"/>
        <v/>
      </c>
      <c r="D612" s="1" t="str">
        <f t="shared" si="19"/>
        <v/>
      </c>
    </row>
    <row r="613" spans="1:4" x14ac:dyDescent="0.2">
      <c r="A613" t="str">
        <f>IF(COUNTBLANK(B613:D613)&lt;&gt;COLUMNS(B613:D613),612,"")</f>
        <v/>
      </c>
      <c r="C613" s="1" t="str">
        <f t="shared" si="18"/>
        <v/>
      </c>
      <c r="D613" s="1" t="str">
        <f t="shared" si="19"/>
        <v/>
      </c>
    </row>
    <row r="614" spans="1:4" x14ac:dyDescent="0.2">
      <c r="A614" t="str">
        <f>IF(COUNTBLANK(B614:D614)&lt;&gt;COLUMNS(B614:D614),613,"")</f>
        <v/>
      </c>
      <c r="C614" s="1" t="str">
        <f t="shared" si="18"/>
        <v/>
      </c>
      <c r="D614" s="1" t="str">
        <f t="shared" si="19"/>
        <v/>
      </c>
    </row>
    <row r="615" spans="1:4" x14ac:dyDescent="0.2">
      <c r="A615" t="str">
        <f>IF(COUNTBLANK(B615:D615)&lt;&gt;COLUMNS(B615:D615),614,"")</f>
        <v/>
      </c>
      <c r="C615" s="1" t="str">
        <f t="shared" si="18"/>
        <v/>
      </c>
      <c r="D615" s="1" t="str">
        <f t="shared" si="19"/>
        <v/>
      </c>
    </row>
    <row r="616" spans="1:4" x14ac:dyDescent="0.2">
      <c r="A616" t="str">
        <f>IF(COUNTBLANK(B616:D616)&lt;&gt;COLUMNS(B616:D616),615,"")</f>
        <v/>
      </c>
      <c r="C616" s="1" t="str">
        <f t="shared" si="18"/>
        <v/>
      </c>
      <c r="D616" s="1" t="str">
        <f t="shared" si="19"/>
        <v/>
      </c>
    </row>
    <row r="617" spans="1:4" x14ac:dyDescent="0.2">
      <c r="A617" t="str">
        <f>IF(COUNTBLANK(B617:D617)&lt;&gt;COLUMNS(B617:D617),616,"")</f>
        <v/>
      </c>
      <c r="C617" s="1" t="str">
        <f t="shared" si="18"/>
        <v/>
      </c>
      <c r="D617" s="1" t="str">
        <f t="shared" si="19"/>
        <v/>
      </c>
    </row>
    <row r="618" spans="1:4" x14ac:dyDescent="0.2">
      <c r="A618" t="str">
        <f>IF(COUNTBLANK(B618:D618)&lt;&gt;COLUMNS(B618:D618),617,"")</f>
        <v/>
      </c>
      <c r="C618" s="1" t="str">
        <f t="shared" si="18"/>
        <v/>
      </c>
      <c r="D618" s="1" t="str">
        <f t="shared" si="19"/>
        <v/>
      </c>
    </row>
    <row r="619" spans="1:4" x14ac:dyDescent="0.2">
      <c r="A619" t="str">
        <f>IF(COUNTBLANK(B619:D619)&lt;&gt;COLUMNS(B619:D619),618,"")</f>
        <v/>
      </c>
      <c r="C619" s="1" t="str">
        <f t="shared" si="18"/>
        <v/>
      </c>
      <c r="D619" s="1" t="str">
        <f t="shared" si="19"/>
        <v/>
      </c>
    </row>
    <row r="620" spans="1:4" x14ac:dyDescent="0.2">
      <c r="A620" t="str">
        <f>IF(COUNTBLANK(B620:D620)&lt;&gt;COLUMNS(B620:D620),619,"")</f>
        <v/>
      </c>
      <c r="C620" s="1" t="str">
        <f t="shared" si="18"/>
        <v/>
      </c>
      <c r="D620" s="1" t="str">
        <f t="shared" si="19"/>
        <v/>
      </c>
    </row>
    <row r="621" spans="1:4" x14ac:dyDescent="0.2">
      <c r="A621" t="str">
        <f>IF(COUNTBLANK(B621:D621)&lt;&gt;COLUMNS(B621:D621),620,"")</f>
        <v/>
      </c>
      <c r="C621" s="1" t="str">
        <f t="shared" si="18"/>
        <v/>
      </c>
      <c r="D621" s="1" t="str">
        <f t="shared" si="19"/>
        <v/>
      </c>
    </row>
    <row r="622" spans="1:4" x14ac:dyDescent="0.2">
      <c r="A622" t="str">
        <f>IF(COUNTBLANK(B622:D622)&lt;&gt;COLUMNS(B622:D622),621,"")</f>
        <v/>
      </c>
      <c r="C622" s="1" t="str">
        <f t="shared" si="18"/>
        <v/>
      </c>
      <c r="D622" s="1" t="str">
        <f t="shared" si="19"/>
        <v/>
      </c>
    </row>
    <row r="623" spans="1:4" x14ac:dyDescent="0.2">
      <c r="A623" t="str">
        <f>IF(COUNTBLANK(B623:D623)&lt;&gt;COLUMNS(B623:D623),622,"")</f>
        <v/>
      </c>
      <c r="C623" s="1" t="str">
        <f t="shared" si="18"/>
        <v/>
      </c>
      <c r="D623" s="1" t="str">
        <f t="shared" si="19"/>
        <v/>
      </c>
    </row>
    <row r="624" spans="1:4" x14ac:dyDescent="0.2">
      <c r="A624" t="str">
        <f>IF(COUNTBLANK(B624:D624)&lt;&gt;COLUMNS(B624:D624),623,"")</f>
        <v/>
      </c>
      <c r="C624" s="1" t="str">
        <f t="shared" si="18"/>
        <v/>
      </c>
      <c r="D624" s="1" t="str">
        <f t="shared" si="19"/>
        <v/>
      </c>
    </row>
    <row r="625" spans="1:4" x14ac:dyDescent="0.2">
      <c r="A625" t="str">
        <f>IF(COUNTBLANK(B625:D625)&lt;&gt;COLUMNS(B625:D625),624,"")</f>
        <v/>
      </c>
      <c r="C625" s="1" t="str">
        <f t="shared" si="18"/>
        <v/>
      </c>
      <c r="D625" s="1" t="str">
        <f t="shared" si="19"/>
        <v/>
      </c>
    </row>
    <row r="626" spans="1:4" x14ac:dyDescent="0.2">
      <c r="A626" t="str">
        <f>IF(COUNTBLANK(B626:D626)&lt;&gt;COLUMNS(B626:D626),625,"")</f>
        <v/>
      </c>
      <c r="C626" s="1" t="str">
        <f t="shared" si="18"/>
        <v/>
      </c>
      <c r="D626" s="1" t="str">
        <f t="shared" si="19"/>
        <v/>
      </c>
    </row>
    <row r="627" spans="1:4" x14ac:dyDescent="0.2">
      <c r="A627" t="str">
        <f>IF(COUNTBLANK(B627:D627)&lt;&gt;COLUMNS(B627:D627),626,"")</f>
        <v/>
      </c>
      <c r="C627" s="1" t="str">
        <f t="shared" si="18"/>
        <v/>
      </c>
      <c r="D627" s="1" t="str">
        <f t="shared" si="19"/>
        <v/>
      </c>
    </row>
    <row r="628" spans="1:4" x14ac:dyDescent="0.2">
      <c r="A628" t="str">
        <f>IF(COUNTBLANK(B628:D628)&lt;&gt;COLUMNS(B628:D628),627,"")</f>
        <v/>
      </c>
      <c r="C628" s="1" t="str">
        <f t="shared" si="18"/>
        <v/>
      </c>
      <c r="D628" s="1" t="str">
        <f t="shared" si="19"/>
        <v/>
      </c>
    </row>
    <row r="629" spans="1:4" x14ac:dyDescent="0.2">
      <c r="A629" t="str">
        <f>IF(COUNTBLANK(B629:D629)&lt;&gt;COLUMNS(B629:D629),628,"")</f>
        <v/>
      </c>
      <c r="C629" s="1" t="str">
        <f t="shared" si="18"/>
        <v/>
      </c>
      <c r="D629" s="1" t="str">
        <f t="shared" si="19"/>
        <v/>
      </c>
    </row>
    <row r="630" spans="1:4" x14ac:dyDescent="0.2">
      <c r="A630" t="str">
        <f>IF(COUNTBLANK(B630:D630)&lt;&gt;COLUMNS(B630:D630),629,"")</f>
        <v/>
      </c>
      <c r="C630" s="1" t="str">
        <f t="shared" si="18"/>
        <v/>
      </c>
      <c r="D630" s="1" t="str">
        <f t="shared" si="19"/>
        <v/>
      </c>
    </row>
    <row r="631" spans="1:4" x14ac:dyDescent="0.2">
      <c r="A631" t="str">
        <f>IF(COUNTBLANK(B631:D631)&lt;&gt;COLUMNS(B631:D631),630,"")</f>
        <v/>
      </c>
      <c r="C631" s="1" t="str">
        <f t="shared" si="18"/>
        <v/>
      </c>
      <c r="D631" s="1" t="str">
        <f t="shared" si="19"/>
        <v/>
      </c>
    </row>
    <row r="632" spans="1:4" x14ac:dyDescent="0.2">
      <c r="A632" t="str">
        <f>IF(COUNTBLANK(B632:D632)&lt;&gt;COLUMNS(B632:D632),631,"")</f>
        <v/>
      </c>
      <c r="C632" s="1" t="str">
        <f t="shared" si="18"/>
        <v/>
      </c>
      <c r="D632" s="1" t="str">
        <f t="shared" si="19"/>
        <v/>
      </c>
    </row>
    <row r="633" spans="1:4" x14ac:dyDescent="0.2">
      <c r="A633" t="str">
        <f>IF(COUNTBLANK(B633:D633)&lt;&gt;COLUMNS(B633:D633),632,"")</f>
        <v/>
      </c>
      <c r="C633" s="1" t="str">
        <f t="shared" si="18"/>
        <v/>
      </c>
      <c r="D633" s="1" t="str">
        <f t="shared" si="19"/>
        <v/>
      </c>
    </row>
    <row r="634" spans="1:4" x14ac:dyDescent="0.2">
      <c r="A634" t="str">
        <f>IF(COUNTBLANK(B634:D634)&lt;&gt;COLUMNS(B634:D634),633,"")</f>
        <v/>
      </c>
      <c r="C634" s="1" t="str">
        <f t="shared" si="18"/>
        <v/>
      </c>
      <c r="D634" s="1" t="str">
        <f t="shared" si="19"/>
        <v/>
      </c>
    </row>
    <row r="635" spans="1:4" x14ac:dyDescent="0.2">
      <c r="A635" t="str">
        <f>IF(COUNTBLANK(B635:D635)&lt;&gt;COLUMNS(B635:D635),634,"")</f>
        <v/>
      </c>
      <c r="C635" s="1" t="str">
        <f t="shared" si="18"/>
        <v/>
      </c>
      <c r="D635" s="1" t="str">
        <f t="shared" si="19"/>
        <v/>
      </c>
    </row>
    <row r="636" spans="1:4" x14ac:dyDescent="0.2">
      <c r="A636" t="str">
        <f>IF(COUNTBLANK(B636:D636)&lt;&gt;COLUMNS(B636:D636),635,"")</f>
        <v/>
      </c>
      <c r="C636" s="1" t="str">
        <f t="shared" si="18"/>
        <v/>
      </c>
      <c r="D636" s="1" t="str">
        <f t="shared" si="19"/>
        <v/>
      </c>
    </row>
    <row r="637" spans="1:4" x14ac:dyDescent="0.2">
      <c r="A637" t="str">
        <f>IF(COUNTBLANK(B637:D637)&lt;&gt;COLUMNS(B637:D637),636,"")</f>
        <v/>
      </c>
      <c r="C637" s="1" t="str">
        <f t="shared" si="18"/>
        <v/>
      </c>
      <c r="D637" s="1" t="str">
        <f t="shared" si="19"/>
        <v/>
      </c>
    </row>
    <row r="638" spans="1:4" x14ac:dyDescent="0.2">
      <c r="A638" t="str">
        <f>IF(COUNTBLANK(B638:D638)&lt;&gt;COLUMNS(B638:D638),637,"")</f>
        <v/>
      </c>
      <c r="C638" s="1" t="str">
        <f t="shared" si="18"/>
        <v/>
      </c>
      <c r="D638" s="1" t="str">
        <f t="shared" si="19"/>
        <v/>
      </c>
    </row>
    <row r="639" spans="1:4" x14ac:dyDescent="0.2">
      <c r="A639" t="str">
        <f>IF(COUNTBLANK(B639:D639)&lt;&gt;COLUMNS(B639:D639),638,"")</f>
        <v/>
      </c>
      <c r="C639" s="1" t="str">
        <f t="shared" si="18"/>
        <v/>
      </c>
      <c r="D639" s="1" t="str">
        <f t="shared" si="19"/>
        <v/>
      </c>
    </row>
    <row r="640" spans="1:4" x14ac:dyDescent="0.2">
      <c r="A640" t="str">
        <f>IF(COUNTBLANK(B640:D640)&lt;&gt;COLUMNS(B640:D640),639,"")</f>
        <v/>
      </c>
      <c r="C640" s="1" t="str">
        <f t="shared" si="18"/>
        <v/>
      </c>
      <c r="D640" s="1" t="str">
        <f t="shared" si="19"/>
        <v/>
      </c>
    </row>
    <row r="641" spans="1:4" x14ac:dyDescent="0.2">
      <c r="A641" t="str">
        <f>IF(COUNTBLANK(B641:D641)&lt;&gt;COLUMNS(B641:D641),640,"")</f>
        <v/>
      </c>
      <c r="C641" s="1" t="str">
        <f t="shared" si="18"/>
        <v/>
      </c>
      <c r="D641" s="1" t="str">
        <f t="shared" si="19"/>
        <v/>
      </c>
    </row>
    <row r="642" spans="1:4" x14ac:dyDescent="0.2">
      <c r="A642" t="str">
        <f>IF(COUNTBLANK(B642:D642)&lt;&gt;COLUMNS(B642:D642),641,"")</f>
        <v/>
      </c>
      <c r="C642" s="1" t="str">
        <f t="shared" ref="C642:C705" si="20">IF(B642="", "", "mouse gut metagenome")</f>
        <v/>
      </c>
      <c r="D642" s="1" t="str">
        <f t="shared" ref="D642:D705" si="21">IF(B642="", "", "410661")</f>
        <v/>
      </c>
    </row>
    <row r="643" spans="1:4" x14ac:dyDescent="0.2">
      <c r="A643" t="str">
        <f>IF(COUNTBLANK(B643:D643)&lt;&gt;COLUMNS(B643:D643),642,"")</f>
        <v/>
      </c>
      <c r="C643" s="1" t="str">
        <f t="shared" si="20"/>
        <v/>
      </c>
      <c r="D643" s="1" t="str">
        <f t="shared" si="21"/>
        <v/>
      </c>
    </row>
    <row r="644" spans="1:4" x14ac:dyDescent="0.2">
      <c r="A644" t="str">
        <f>IF(COUNTBLANK(B644:D644)&lt;&gt;COLUMNS(B644:D644),643,"")</f>
        <v/>
      </c>
      <c r="C644" s="1" t="str">
        <f t="shared" si="20"/>
        <v/>
      </c>
      <c r="D644" s="1" t="str">
        <f t="shared" si="21"/>
        <v/>
      </c>
    </row>
    <row r="645" spans="1:4" x14ac:dyDescent="0.2">
      <c r="A645" t="str">
        <f>IF(COUNTBLANK(B645:D645)&lt;&gt;COLUMNS(B645:D645),644,"")</f>
        <v/>
      </c>
      <c r="C645" s="1" t="str">
        <f t="shared" si="20"/>
        <v/>
      </c>
      <c r="D645" s="1" t="str">
        <f t="shared" si="21"/>
        <v/>
      </c>
    </row>
    <row r="646" spans="1:4" x14ac:dyDescent="0.2">
      <c r="A646" t="str">
        <f>IF(COUNTBLANK(B646:D646)&lt;&gt;COLUMNS(B646:D646),645,"")</f>
        <v/>
      </c>
      <c r="C646" s="1" t="str">
        <f t="shared" si="20"/>
        <v/>
      </c>
      <c r="D646" s="1" t="str">
        <f t="shared" si="21"/>
        <v/>
      </c>
    </row>
    <row r="647" spans="1:4" x14ac:dyDescent="0.2">
      <c r="A647" t="str">
        <f>IF(COUNTBLANK(B647:D647)&lt;&gt;COLUMNS(B647:D647),646,"")</f>
        <v/>
      </c>
      <c r="C647" s="1" t="str">
        <f t="shared" si="20"/>
        <v/>
      </c>
      <c r="D647" s="1" t="str">
        <f t="shared" si="21"/>
        <v/>
      </c>
    </row>
    <row r="648" spans="1:4" x14ac:dyDescent="0.2">
      <c r="A648" t="str">
        <f>IF(COUNTBLANK(B648:D648)&lt;&gt;COLUMNS(B648:D648),647,"")</f>
        <v/>
      </c>
      <c r="C648" s="1" t="str">
        <f t="shared" si="20"/>
        <v/>
      </c>
      <c r="D648" s="1" t="str">
        <f t="shared" si="21"/>
        <v/>
      </c>
    </row>
    <row r="649" spans="1:4" x14ac:dyDescent="0.2">
      <c r="A649" t="str">
        <f>IF(COUNTBLANK(B649:D649)&lt;&gt;COLUMNS(B649:D649),648,"")</f>
        <v/>
      </c>
      <c r="C649" s="1" t="str">
        <f t="shared" si="20"/>
        <v/>
      </c>
      <c r="D649" s="1" t="str">
        <f t="shared" si="21"/>
        <v/>
      </c>
    </row>
    <row r="650" spans="1:4" x14ac:dyDescent="0.2">
      <c r="A650" t="str">
        <f>IF(COUNTBLANK(B650:D650)&lt;&gt;COLUMNS(B650:D650),649,"")</f>
        <v/>
      </c>
      <c r="C650" s="1" t="str">
        <f t="shared" si="20"/>
        <v/>
      </c>
      <c r="D650" s="1" t="str">
        <f t="shared" si="21"/>
        <v/>
      </c>
    </row>
    <row r="651" spans="1:4" x14ac:dyDescent="0.2">
      <c r="A651" t="str">
        <f>IF(COUNTBLANK(B651:D651)&lt;&gt;COLUMNS(B651:D651),650,"")</f>
        <v/>
      </c>
      <c r="C651" s="1" t="str">
        <f t="shared" si="20"/>
        <v/>
      </c>
      <c r="D651" s="1" t="str">
        <f t="shared" si="21"/>
        <v/>
      </c>
    </row>
    <row r="652" spans="1:4" x14ac:dyDescent="0.2">
      <c r="A652" t="str">
        <f>IF(COUNTBLANK(B652:D652)&lt;&gt;COLUMNS(B652:D652),651,"")</f>
        <v/>
      </c>
      <c r="C652" s="1" t="str">
        <f t="shared" si="20"/>
        <v/>
      </c>
      <c r="D652" s="1" t="str">
        <f t="shared" si="21"/>
        <v/>
      </c>
    </row>
    <row r="653" spans="1:4" x14ac:dyDescent="0.2">
      <c r="A653" t="str">
        <f>IF(COUNTBLANK(B653:D653)&lt;&gt;COLUMNS(B653:D653),652,"")</f>
        <v/>
      </c>
      <c r="C653" s="1" t="str">
        <f t="shared" si="20"/>
        <v/>
      </c>
      <c r="D653" s="1" t="str">
        <f t="shared" si="21"/>
        <v/>
      </c>
    </row>
    <row r="654" spans="1:4" x14ac:dyDescent="0.2">
      <c r="A654" t="str">
        <f>IF(COUNTBLANK(B654:D654)&lt;&gt;COLUMNS(B654:D654),653,"")</f>
        <v/>
      </c>
      <c r="C654" s="1" t="str">
        <f t="shared" si="20"/>
        <v/>
      </c>
      <c r="D654" s="1" t="str">
        <f t="shared" si="21"/>
        <v/>
      </c>
    </row>
    <row r="655" spans="1:4" x14ac:dyDescent="0.2">
      <c r="A655" t="str">
        <f>IF(COUNTBLANK(B655:D655)&lt;&gt;COLUMNS(B655:D655),654,"")</f>
        <v/>
      </c>
      <c r="C655" s="1" t="str">
        <f t="shared" si="20"/>
        <v/>
      </c>
      <c r="D655" s="1" t="str">
        <f t="shared" si="21"/>
        <v/>
      </c>
    </row>
    <row r="656" spans="1:4" x14ac:dyDescent="0.2">
      <c r="A656" t="str">
        <f>IF(COUNTBLANK(B656:D656)&lt;&gt;COLUMNS(B656:D656),655,"")</f>
        <v/>
      </c>
      <c r="C656" s="1" t="str">
        <f t="shared" si="20"/>
        <v/>
      </c>
      <c r="D656" s="1" t="str">
        <f t="shared" si="21"/>
        <v/>
      </c>
    </row>
    <row r="657" spans="1:4" x14ac:dyDescent="0.2">
      <c r="A657" t="str">
        <f>IF(COUNTBLANK(B657:D657)&lt;&gt;COLUMNS(B657:D657),656,"")</f>
        <v/>
      </c>
      <c r="C657" s="1" t="str">
        <f t="shared" si="20"/>
        <v/>
      </c>
      <c r="D657" s="1" t="str">
        <f t="shared" si="21"/>
        <v/>
      </c>
    </row>
    <row r="658" spans="1:4" x14ac:dyDescent="0.2">
      <c r="A658" t="str">
        <f>IF(COUNTBLANK(B658:D658)&lt;&gt;COLUMNS(B658:D658),657,"")</f>
        <v/>
      </c>
      <c r="C658" s="1" t="str">
        <f t="shared" si="20"/>
        <v/>
      </c>
      <c r="D658" s="1" t="str">
        <f t="shared" si="21"/>
        <v/>
      </c>
    </row>
    <row r="659" spans="1:4" x14ac:dyDescent="0.2">
      <c r="A659" t="str">
        <f>IF(COUNTBLANK(B659:D659)&lt;&gt;COLUMNS(B659:D659),658,"")</f>
        <v/>
      </c>
      <c r="C659" s="1" t="str">
        <f t="shared" si="20"/>
        <v/>
      </c>
      <c r="D659" s="1" t="str">
        <f t="shared" si="21"/>
        <v/>
      </c>
    </row>
    <row r="660" spans="1:4" x14ac:dyDescent="0.2">
      <c r="A660" t="str">
        <f>IF(COUNTBLANK(B660:D660)&lt;&gt;COLUMNS(B660:D660),659,"")</f>
        <v/>
      </c>
      <c r="C660" s="1" t="str">
        <f t="shared" si="20"/>
        <v/>
      </c>
      <c r="D660" s="1" t="str">
        <f t="shared" si="21"/>
        <v/>
      </c>
    </row>
    <row r="661" spans="1:4" x14ac:dyDescent="0.2">
      <c r="A661" t="str">
        <f>IF(COUNTBLANK(B661:D661)&lt;&gt;COLUMNS(B661:D661),660,"")</f>
        <v/>
      </c>
      <c r="C661" s="1" t="str">
        <f t="shared" si="20"/>
        <v/>
      </c>
      <c r="D661" s="1" t="str">
        <f t="shared" si="21"/>
        <v/>
      </c>
    </row>
    <row r="662" spans="1:4" x14ac:dyDescent="0.2">
      <c r="A662" t="str">
        <f>IF(COUNTBLANK(B662:D662)&lt;&gt;COLUMNS(B662:D662),661,"")</f>
        <v/>
      </c>
      <c r="C662" s="1" t="str">
        <f t="shared" si="20"/>
        <v/>
      </c>
      <c r="D662" s="1" t="str">
        <f t="shared" si="21"/>
        <v/>
      </c>
    </row>
    <row r="663" spans="1:4" x14ac:dyDescent="0.2">
      <c r="A663" t="str">
        <f>IF(COUNTBLANK(B663:D663)&lt;&gt;COLUMNS(B663:D663),662,"")</f>
        <v/>
      </c>
      <c r="C663" s="1" t="str">
        <f t="shared" si="20"/>
        <v/>
      </c>
      <c r="D663" s="1" t="str">
        <f t="shared" si="21"/>
        <v/>
      </c>
    </row>
    <row r="664" spans="1:4" x14ac:dyDescent="0.2">
      <c r="A664" t="str">
        <f>IF(COUNTBLANK(B664:D664)&lt;&gt;COLUMNS(B664:D664),663,"")</f>
        <v/>
      </c>
      <c r="C664" s="1" t="str">
        <f t="shared" si="20"/>
        <v/>
      </c>
      <c r="D664" s="1" t="str">
        <f t="shared" si="21"/>
        <v/>
      </c>
    </row>
    <row r="665" spans="1:4" x14ac:dyDescent="0.2">
      <c r="A665" t="str">
        <f>IF(COUNTBLANK(B665:D665)&lt;&gt;COLUMNS(B665:D665),664,"")</f>
        <v/>
      </c>
      <c r="C665" s="1" t="str">
        <f t="shared" si="20"/>
        <v/>
      </c>
      <c r="D665" s="1" t="str">
        <f t="shared" si="21"/>
        <v/>
      </c>
    </row>
    <row r="666" spans="1:4" x14ac:dyDescent="0.2">
      <c r="A666" t="str">
        <f>IF(COUNTBLANK(B666:D666)&lt;&gt;COLUMNS(B666:D666),665,"")</f>
        <v/>
      </c>
      <c r="C666" s="1" t="str">
        <f t="shared" si="20"/>
        <v/>
      </c>
      <c r="D666" s="1" t="str">
        <f t="shared" si="21"/>
        <v/>
      </c>
    </row>
    <row r="667" spans="1:4" x14ac:dyDescent="0.2">
      <c r="A667" t="str">
        <f>IF(COUNTBLANK(B667:D667)&lt;&gt;COLUMNS(B667:D667),666,"")</f>
        <v/>
      </c>
      <c r="C667" s="1" t="str">
        <f t="shared" si="20"/>
        <v/>
      </c>
      <c r="D667" s="1" t="str">
        <f t="shared" si="21"/>
        <v/>
      </c>
    </row>
    <row r="668" spans="1:4" x14ac:dyDescent="0.2">
      <c r="A668" t="str">
        <f>IF(COUNTBLANK(B668:D668)&lt;&gt;COLUMNS(B668:D668),667,"")</f>
        <v/>
      </c>
      <c r="C668" s="1" t="str">
        <f t="shared" si="20"/>
        <v/>
      </c>
      <c r="D668" s="1" t="str">
        <f t="shared" si="21"/>
        <v/>
      </c>
    </row>
    <row r="669" spans="1:4" x14ac:dyDescent="0.2">
      <c r="A669" t="str">
        <f>IF(COUNTBLANK(B669:D669)&lt;&gt;COLUMNS(B669:D669),668,"")</f>
        <v/>
      </c>
      <c r="C669" s="1" t="str">
        <f t="shared" si="20"/>
        <v/>
      </c>
      <c r="D669" s="1" t="str">
        <f t="shared" si="21"/>
        <v/>
      </c>
    </row>
    <row r="670" spans="1:4" x14ac:dyDescent="0.2">
      <c r="A670" t="str">
        <f>IF(COUNTBLANK(B670:D670)&lt;&gt;COLUMNS(B670:D670),669,"")</f>
        <v/>
      </c>
      <c r="C670" s="1" t="str">
        <f t="shared" si="20"/>
        <v/>
      </c>
      <c r="D670" s="1" t="str">
        <f t="shared" si="21"/>
        <v/>
      </c>
    </row>
    <row r="671" spans="1:4" x14ac:dyDescent="0.2">
      <c r="A671" t="str">
        <f>IF(COUNTBLANK(B671:D671)&lt;&gt;COLUMNS(B671:D671),670,"")</f>
        <v/>
      </c>
      <c r="C671" s="1" t="str">
        <f t="shared" si="20"/>
        <v/>
      </c>
      <c r="D671" s="1" t="str">
        <f t="shared" si="21"/>
        <v/>
      </c>
    </row>
    <row r="672" spans="1:4" x14ac:dyDescent="0.2">
      <c r="A672" t="str">
        <f>IF(COUNTBLANK(B672:D672)&lt;&gt;COLUMNS(B672:D672),671,"")</f>
        <v/>
      </c>
      <c r="C672" s="1" t="str">
        <f t="shared" si="20"/>
        <v/>
      </c>
      <c r="D672" s="1" t="str">
        <f t="shared" si="21"/>
        <v/>
      </c>
    </row>
    <row r="673" spans="1:4" x14ac:dyDescent="0.2">
      <c r="A673" t="str">
        <f>IF(COUNTBLANK(B673:D673)&lt;&gt;COLUMNS(B673:D673),672,"")</f>
        <v/>
      </c>
      <c r="C673" s="1" t="str">
        <f t="shared" si="20"/>
        <v/>
      </c>
      <c r="D673" s="1" t="str">
        <f t="shared" si="21"/>
        <v/>
      </c>
    </row>
    <row r="674" spans="1:4" x14ac:dyDescent="0.2">
      <c r="A674" t="str">
        <f>IF(COUNTBLANK(B674:D674)&lt;&gt;COLUMNS(B674:D674),673,"")</f>
        <v/>
      </c>
      <c r="C674" s="1" t="str">
        <f t="shared" si="20"/>
        <v/>
      </c>
      <c r="D674" s="1" t="str">
        <f t="shared" si="21"/>
        <v/>
      </c>
    </row>
    <row r="675" spans="1:4" x14ac:dyDescent="0.2">
      <c r="A675" t="str">
        <f>IF(COUNTBLANK(B675:D675)&lt;&gt;COLUMNS(B675:D675),674,"")</f>
        <v/>
      </c>
      <c r="C675" s="1" t="str">
        <f t="shared" si="20"/>
        <v/>
      </c>
      <c r="D675" s="1" t="str">
        <f t="shared" si="21"/>
        <v/>
      </c>
    </row>
    <row r="676" spans="1:4" x14ac:dyDescent="0.2">
      <c r="A676" t="str">
        <f>IF(COUNTBLANK(B676:D676)&lt;&gt;COLUMNS(B676:D676),675,"")</f>
        <v/>
      </c>
      <c r="C676" s="1" t="str">
        <f t="shared" si="20"/>
        <v/>
      </c>
      <c r="D676" s="1" t="str">
        <f t="shared" si="21"/>
        <v/>
      </c>
    </row>
    <row r="677" spans="1:4" x14ac:dyDescent="0.2">
      <c r="A677" t="str">
        <f>IF(COUNTBLANK(B677:D677)&lt;&gt;COLUMNS(B677:D677),676,"")</f>
        <v/>
      </c>
      <c r="C677" s="1" t="str">
        <f t="shared" si="20"/>
        <v/>
      </c>
      <c r="D677" s="1" t="str">
        <f t="shared" si="21"/>
        <v/>
      </c>
    </row>
    <row r="678" spans="1:4" x14ac:dyDescent="0.2">
      <c r="A678" t="str">
        <f>IF(COUNTBLANK(B678:D678)&lt;&gt;COLUMNS(B678:D678),677,"")</f>
        <v/>
      </c>
      <c r="C678" s="1" t="str">
        <f t="shared" si="20"/>
        <v/>
      </c>
      <c r="D678" s="1" t="str">
        <f t="shared" si="21"/>
        <v/>
      </c>
    </row>
    <row r="679" spans="1:4" x14ac:dyDescent="0.2">
      <c r="A679" t="str">
        <f>IF(COUNTBLANK(B679:D679)&lt;&gt;COLUMNS(B679:D679),678,"")</f>
        <v/>
      </c>
      <c r="C679" s="1" t="str">
        <f t="shared" si="20"/>
        <v/>
      </c>
      <c r="D679" s="1" t="str">
        <f t="shared" si="21"/>
        <v/>
      </c>
    </row>
    <row r="680" spans="1:4" x14ac:dyDescent="0.2">
      <c r="A680" t="str">
        <f>IF(COUNTBLANK(B680:D680)&lt;&gt;COLUMNS(B680:D680),679,"")</f>
        <v/>
      </c>
      <c r="C680" s="1" t="str">
        <f t="shared" si="20"/>
        <v/>
      </c>
      <c r="D680" s="1" t="str">
        <f t="shared" si="21"/>
        <v/>
      </c>
    </row>
    <row r="681" spans="1:4" x14ac:dyDescent="0.2">
      <c r="A681" t="str">
        <f>IF(COUNTBLANK(B681:D681)&lt;&gt;COLUMNS(B681:D681),680,"")</f>
        <v/>
      </c>
      <c r="C681" s="1" t="str">
        <f t="shared" si="20"/>
        <v/>
      </c>
      <c r="D681" s="1" t="str">
        <f t="shared" si="21"/>
        <v/>
      </c>
    </row>
    <row r="682" spans="1:4" x14ac:dyDescent="0.2">
      <c r="A682" t="str">
        <f>IF(COUNTBLANK(B682:D682)&lt;&gt;COLUMNS(B682:D682),681,"")</f>
        <v/>
      </c>
      <c r="C682" s="1" t="str">
        <f t="shared" si="20"/>
        <v/>
      </c>
      <c r="D682" s="1" t="str">
        <f t="shared" si="21"/>
        <v/>
      </c>
    </row>
    <row r="683" spans="1:4" x14ac:dyDescent="0.2">
      <c r="A683" t="str">
        <f>IF(COUNTBLANK(B683:D683)&lt;&gt;COLUMNS(B683:D683),682,"")</f>
        <v/>
      </c>
      <c r="C683" s="1" t="str">
        <f t="shared" si="20"/>
        <v/>
      </c>
      <c r="D683" s="1" t="str">
        <f t="shared" si="21"/>
        <v/>
      </c>
    </row>
    <row r="684" spans="1:4" x14ac:dyDescent="0.2">
      <c r="A684" t="str">
        <f>IF(COUNTBLANK(B684:D684)&lt;&gt;COLUMNS(B684:D684),683,"")</f>
        <v/>
      </c>
      <c r="C684" s="1" t="str">
        <f t="shared" si="20"/>
        <v/>
      </c>
      <c r="D684" s="1" t="str">
        <f t="shared" si="21"/>
        <v/>
      </c>
    </row>
    <row r="685" spans="1:4" x14ac:dyDescent="0.2">
      <c r="A685" t="str">
        <f>IF(COUNTBLANK(B685:D685)&lt;&gt;COLUMNS(B685:D685),684,"")</f>
        <v/>
      </c>
      <c r="C685" s="1" t="str">
        <f t="shared" si="20"/>
        <v/>
      </c>
      <c r="D685" s="1" t="str">
        <f t="shared" si="21"/>
        <v/>
      </c>
    </row>
    <row r="686" spans="1:4" x14ac:dyDescent="0.2">
      <c r="A686" t="str">
        <f>IF(COUNTBLANK(B686:D686)&lt;&gt;COLUMNS(B686:D686),685,"")</f>
        <v/>
      </c>
      <c r="C686" s="1" t="str">
        <f t="shared" si="20"/>
        <v/>
      </c>
      <c r="D686" s="1" t="str">
        <f t="shared" si="21"/>
        <v/>
      </c>
    </row>
    <row r="687" spans="1:4" x14ac:dyDescent="0.2">
      <c r="A687" t="str">
        <f>IF(COUNTBLANK(B687:D687)&lt;&gt;COLUMNS(B687:D687),686,"")</f>
        <v/>
      </c>
      <c r="C687" s="1" t="str">
        <f t="shared" si="20"/>
        <v/>
      </c>
      <c r="D687" s="1" t="str">
        <f t="shared" si="21"/>
        <v/>
      </c>
    </row>
    <row r="688" spans="1:4" x14ac:dyDescent="0.2">
      <c r="A688" t="str">
        <f>IF(COUNTBLANK(B688:D688)&lt;&gt;COLUMNS(B688:D688),687,"")</f>
        <v/>
      </c>
      <c r="C688" s="1" t="str">
        <f t="shared" si="20"/>
        <v/>
      </c>
      <c r="D688" s="1" t="str">
        <f t="shared" si="21"/>
        <v/>
      </c>
    </row>
    <row r="689" spans="1:4" x14ac:dyDescent="0.2">
      <c r="A689" t="str">
        <f>IF(COUNTBLANK(B689:D689)&lt;&gt;COLUMNS(B689:D689),688,"")</f>
        <v/>
      </c>
      <c r="C689" s="1" t="str">
        <f t="shared" si="20"/>
        <v/>
      </c>
      <c r="D689" s="1" t="str">
        <f t="shared" si="21"/>
        <v/>
      </c>
    </row>
    <row r="690" spans="1:4" x14ac:dyDescent="0.2">
      <c r="A690" t="str">
        <f>IF(COUNTBLANK(B690:D690)&lt;&gt;COLUMNS(B690:D690),689,"")</f>
        <v/>
      </c>
      <c r="C690" s="1" t="str">
        <f t="shared" si="20"/>
        <v/>
      </c>
      <c r="D690" s="1" t="str">
        <f t="shared" si="21"/>
        <v/>
      </c>
    </row>
    <row r="691" spans="1:4" x14ac:dyDescent="0.2">
      <c r="A691" t="str">
        <f>IF(COUNTBLANK(B691:D691)&lt;&gt;COLUMNS(B691:D691),690,"")</f>
        <v/>
      </c>
      <c r="C691" s="1" t="str">
        <f t="shared" si="20"/>
        <v/>
      </c>
      <c r="D691" s="1" t="str">
        <f t="shared" si="21"/>
        <v/>
      </c>
    </row>
    <row r="692" spans="1:4" x14ac:dyDescent="0.2">
      <c r="A692" t="str">
        <f>IF(COUNTBLANK(B692:D692)&lt;&gt;COLUMNS(B692:D692),691,"")</f>
        <v/>
      </c>
      <c r="C692" s="1" t="str">
        <f t="shared" si="20"/>
        <v/>
      </c>
      <c r="D692" s="1" t="str">
        <f t="shared" si="21"/>
        <v/>
      </c>
    </row>
    <row r="693" spans="1:4" x14ac:dyDescent="0.2">
      <c r="A693" t="str">
        <f>IF(COUNTBLANK(B693:D693)&lt;&gt;COLUMNS(B693:D693),692,"")</f>
        <v/>
      </c>
      <c r="C693" s="1" t="str">
        <f t="shared" si="20"/>
        <v/>
      </c>
      <c r="D693" s="1" t="str">
        <f t="shared" si="21"/>
        <v/>
      </c>
    </row>
    <row r="694" spans="1:4" x14ac:dyDescent="0.2">
      <c r="A694" t="str">
        <f>IF(COUNTBLANK(B694:D694)&lt;&gt;COLUMNS(B694:D694),693,"")</f>
        <v/>
      </c>
      <c r="C694" s="1" t="str">
        <f t="shared" si="20"/>
        <v/>
      </c>
      <c r="D694" s="1" t="str">
        <f t="shared" si="21"/>
        <v/>
      </c>
    </row>
    <row r="695" spans="1:4" x14ac:dyDescent="0.2">
      <c r="A695" t="str">
        <f>IF(COUNTBLANK(B695:D695)&lt;&gt;COLUMNS(B695:D695),694,"")</f>
        <v/>
      </c>
      <c r="C695" s="1" t="str">
        <f t="shared" si="20"/>
        <v/>
      </c>
      <c r="D695" s="1" t="str">
        <f t="shared" si="21"/>
        <v/>
      </c>
    </row>
    <row r="696" spans="1:4" x14ac:dyDescent="0.2">
      <c r="A696" t="str">
        <f>IF(COUNTBLANK(B696:D696)&lt;&gt;COLUMNS(B696:D696),695,"")</f>
        <v/>
      </c>
      <c r="C696" s="1" t="str">
        <f t="shared" si="20"/>
        <v/>
      </c>
      <c r="D696" s="1" t="str">
        <f t="shared" si="21"/>
        <v/>
      </c>
    </row>
    <row r="697" spans="1:4" x14ac:dyDescent="0.2">
      <c r="A697" t="str">
        <f>IF(COUNTBLANK(B697:D697)&lt;&gt;COLUMNS(B697:D697),696,"")</f>
        <v/>
      </c>
      <c r="C697" s="1" t="str">
        <f t="shared" si="20"/>
        <v/>
      </c>
      <c r="D697" s="1" t="str">
        <f t="shared" si="21"/>
        <v/>
      </c>
    </row>
    <row r="698" spans="1:4" x14ac:dyDescent="0.2">
      <c r="A698" t="str">
        <f>IF(COUNTBLANK(B698:D698)&lt;&gt;COLUMNS(B698:D698),697,"")</f>
        <v/>
      </c>
      <c r="C698" s="1" t="str">
        <f t="shared" si="20"/>
        <v/>
      </c>
      <c r="D698" s="1" t="str">
        <f t="shared" si="21"/>
        <v/>
      </c>
    </row>
    <row r="699" spans="1:4" x14ac:dyDescent="0.2">
      <c r="A699" t="str">
        <f>IF(COUNTBLANK(B699:D699)&lt;&gt;COLUMNS(B699:D699),698,"")</f>
        <v/>
      </c>
      <c r="C699" s="1" t="str">
        <f t="shared" si="20"/>
        <v/>
      </c>
      <c r="D699" s="1" t="str">
        <f t="shared" si="21"/>
        <v/>
      </c>
    </row>
    <row r="700" spans="1:4" x14ac:dyDescent="0.2">
      <c r="A700" t="str">
        <f>IF(COUNTBLANK(B700:D700)&lt;&gt;COLUMNS(B700:D700),699,"")</f>
        <v/>
      </c>
      <c r="C700" s="1" t="str">
        <f t="shared" si="20"/>
        <v/>
      </c>
      <c r="D700" s="1" t="str">
        <f t="shared" si="21"/>
        <v/>
      </c>
    </row>
    <row r="701" spans="1:4" x14ac:dyDescent="0.2">
      <c r="A701" t="str">
        <f>IF(COUNTBLANK(B701:D701)&lt;&gt;COLUMNS(B701:D701),700,"")</f>
        <v/>
      </c>
      <c r="C701" s="1" t="str">
        <f t="shared" si="20"/>
        <v/>
      </c>
      <c r="D701" s="1" t="str">
        <f t="shared" si="21"/>
        <v/>
      </c>
    </row>
    <row r="702" spans="1:4" x14ac:dyDescent="0.2">
      <c r="A702" t="str">
        <f>IF(COUNTBLANK(B702:D702)&lt;&gt;COLUMNS(B702:D702),701,"")</f>
        <v/>
      </c>
      <c r="C702" s="1" t="str">
        <f t="shared" si="20"/>
        <v/>
      </c>
      <c r="D702" s="1" t="str">
        <f t="shared" si="21"/>
        <v/>
      </c>
    </row>
    <row r="703" spans="1:4" x14ac:dyDescent="0.2">
      <c r="A703" t="str">
        <f>IF(COUNTBLANK(B703:D703)&lt;&gt;COLUMNS(B703:D703),702,"")</f>
        <v/>
      </c>
      <c r="C703" s="1" t="str">
        <f t="shared" si="20"/>
        <v/>
      </c>
      <c r="D703" s="1" t="str">
        <f t="shared" si="21"/>
        <v/>
      </c>
    </row>
    <row r="704" spans="1:4" x14ac:dyDescent="0.2">
      <c r="A704" t="str">
        <f>IF(COUNTBLANK(B704:D704)&lt;&gt;COLUMNS(B704:D704),703,"")</f>
        <v/>
      </c>
      <c r="C704" s="1" t="str">
        <f t="shared" si="20"/>
        <v/>
      </c>
      <c r="D704" s="1" t="str">
        <f t="shared" si="21"/>
        <v/>
      </c>
    </row>
    <row r="705" spans="1:4" x14ac:dyDescent="0.2">
      <c r="A705" t="str">
        <f>IF(COUNTBLANK(B705:D705)&lt;&gt;COLUMNS(B705:D705),704,"")</f>
        <v/>
      </c>
      <c r="C705" s="1" t="str">
        <f t="shared" si="20"/>
        <v/>
      </c>
      <c r="D705" s="1" t="str">
        <f t="shared" si="21"/>
        <v/>
      </c>
    </row>
    <row r="706" spans="1:4" x14ac:dyDescent="0.2">
      <c r="A706" t="str">
        <f>IF(COUNTBLANK(B706:D706)&lt;&gt;COLUMNS(B706:D706),705,"")</f>
        <v/>
      </c>
      <c r="C706" s="1" t="str">
        <f t="shared" ref="C706:C769" si="22">IF(B706="", "", "mouse gut metagenome")</f>
        <v/>
      </c>
      <c r="D706" s="1" t="str">
        <f t="shared" ref="D706:D769" si="23">IF(B706="", "", "410661")</f>
        <v/>
      </c>
    </row>
    <row r="707" spans="1:4" x14ac:dyDescent="0.2">
      <c r="A707" t="str">
        <f>IF(COUNTBLANK(B707:D707)&lt;&gt;COLUMNS(B707:D707),706,"")</f>
        <v/>
      </c>
      <c r="C707" s="1" t="str">
        <f t="shared" si="22"/>
        <v/>
      </c>
      <c r="D707" s="1" t="str">
        <f t="shared" si="23"/>
        <v/>
      </c>
    </row>
    <row r="708" spans="1:4" x14ac:dyDescent="0.2">
      <c r="A708" t="str">
        <f>IF(COUNTBLANK(B708:D708)&lt;&gt;COLUMNS(B708:D708),707,"")</f>
        <v/>
      </c>
      <c r="C708" s="1" t="str">
        <f t="shared" si="22"/>
        <v/>
      </c>
      <c r="D708" s="1" t="str">
        <f t="shared" si="23"/>
        <v/>
      </c>
    </row>
    <row r="709" spans="1:4" x14ac:dyDescent="0.2">
      <c r="A709" t="str">
        <f>IF(COUNTBLANK(B709:D709)&lt;&gt;COLUMNS(B709:D709),708,"")</f>
        <v/>
      </c>
      <c r="C709" s="1" t="str">
        <f t="shared" si="22"/>
        <v/>
      </c>
      <c r="D709" s="1" t="str">
        <f t="shared" si="23"/>
        <v/>
      </c>
    </row>
    <row r="710" spans="1:4" x14ac:dyDescent="0.2">
      <c r="A710" t="str">
        <f>IF(COUNTBLANK(B710:D710)&lt;&gt;COLUMNS(B710:D710),709,"")</f>
        <v/>
      </c>
      <c r="C710" s="1" t="str">
        <f t="shared" si="22"/>
        <v/>
      </c>
      <c r="D710" s="1" t="str">
        <f t="shared" si="23"/>
        <v/>
      </c>
    </row>
    <row r="711" spans="1:4" x14ac:dyDescent="0.2">
      <c r="A711" t="str">
        <f>IF(COUNTBLANK(B711:D711)&lt;&gt;COLUMNS(B711:D711),710,"")</f>
        <v/>
      </c>
      <c r="C711" s="1" t="str">
        <f t="shared" si="22"/>
        <v/>
      </c>
      <c r="D711" s="1" t="str">
        <f t="shared" si="23"/>
        <v/>
      </c>
    </row>
    <row r="712" spans="1:4" x14ac:dyDescent="0.2">
      <c r="A712" t="str">
        <f>IF(COUNTBLANK(B712:D712)&lt;&gt;COLUMNS(B712:D712),711,"")</f>
        <v/>
      </c>
      <c r="C712" s="1" t="str">
        <f t="shared" si="22"/>
        <v/>
      </c>
      <c r="D712" s="1" t="str">
        <f t="shared" si="23"/>
        <v/>
      </c>
    </row>
    <row r="713" spans="1:4" x14ac:dyDescent="0.2">
      <c r="A713" t="str">
        <f>IF(COUNTBLANK(B713:D713)&lt;&gt;COLUMNS(B713:D713),712,"")</f>
        <v/>
      </c>
      <c r="C713" s="1" t="str">
        <f t="shared" si="22"/>
        <v/>
      </c>
      <c r="D713" s="1" t="str">
        <f t="shared" si="23"/>
        <v/>
      </c>
    </row>
    <row r="714" spans="1:4" x14ac:dyDescent="0.2">
      <c r="A714" t="str">
        <f>IF(COUNTBLANK(B714:D714)&lt;&gt;COLUMNS(B714:D714),713,"")</f>
        <v/>
      </c>
      <c r="C714" s="1" t="str">
        <f t="shared" si="22"/>
        <v/>
      </c>
      <c r="D714" s="1" t="str">
        <f t="shared" si="23"/>
        <v/>
      </c>
    </row>
    <row r="715" spans="1:4" x14ac:dyDescent="0.2">
      <c r="A715" t="str">
        <f>IF(COUNTBLANK(B715:D715)&lt;&gt;COLUMNS(B715:D715),714,"")</f>
        <v/>
      </c>
      <c r="C715" s="1" t="str">
        <f t="shared" si="22"/>
        <v/>
      </c>
      <c r="D715" s="1" t="str">
        <f t="shared" si="23"/>
        <v/>
      </c>
    </row>
    <row r="716" spans="1:4" x14ac:dyDescent="0.2">
      <c r="A716" t="str">
        <f>IF(COUNTBLANK(B716:D716)&lt;&gt;COLUMNS(B716:D716),715,"")</f>
        <v/>
      </c>
      <c r="C716" s="1" t="str">
        <f t="shared" si="22"/>
        <v/>
      </c>
      <c r="D716" s="1" t="str">
        <f t="shared" si="23"/>
        <v/>
      </c>
    </row>
    <row r="717" spans="1:4" x14ac:dyDescent="0.2">
      <c r="A717" t="str">
        <f>IF(COUNTBLANK(B717:D717)&lt;&gt;COLUMNS(B717:D717),716,"")</f>
        <v/>
      </c>
      <c r="C717" s="1" t="str">
        <f t="shared" si="22"/>
        <v/>
      </c>
      <c r="D717" s="1" t="str">
        <f t="shared" si="23"/>
        <v/>
      </c>
    </row>
    <row r="718" spans="1:4" x14ac:dyDescent="0.2">
      <c r="A718" t="str">
        <f>IF(COUNTBLANK(B718:D718)&lt;&gt;COLUMNS(B718:D718),717,"")</f>
        <v/>
      </c>
      <c r="C718" s="1" t="str">
        <f t="shared" si="22"/>
        <v/>
      </c>
      <c r="D718" s="1" t="str">
        <f t="shared" si="23"/>
        <v/>
      </c>
    </row>
    <row r="719" spans="1:4" x14ac:dyDescent="0.2">
      <c r="A719" t="str">
        <f>IF(COUNTBLANK(B719:D719)&lt;&gt;COLUMNS(B719:D719),718,"")</f>
        <v/>
      </c>
      <c r="C719" s="1" t="str">
        <f t="shared" si="22"/>
        <v/>
      </c>
      <c r="D719" s="1" t="str">
        <f t="shared" si="23"/>
        <v/>
      </c>
    </row>
    <row r="720" spans="1:4" x14ac:dyDescent="0.2">
      <c r="A720" t="str">
        <f>IF(COUNTBLANK(B720:D720)&lt;&gt;COLUMNS(B720:D720),719,"")</f>
        <v/>
      </c>
      <c r="C720" s="1" t="str">
        <f t="shared" si="22"/>
        <v/>
      </c>
      <c r="D720" s="1" t="str">
        <f t="shared" si="23"/>
        <v/>
      </c>
    </row>
    <row r="721" spans="1:4" x14ac:dyDescent="0.2">
      <c r="A721" t="str">
        <f>IF(COUNTBLANK(B721:D721)&lt;&gt;COLUMNS(B721:D721),720,"")</f>
        <v/>
      </c>
      <c r="C721" s="1" t="str">
        <f t="shared" si="22"/>
        <v/>
      </c>
      <c r="D721" s="1" t="str">
        <f t="shared" si="23"/>
        <v/>
      </c>
    </row>
    <row r="722" spans="1:4" x14ac:dyDescent="0.2">
      <c r="A722" t="str">
        <f>IF(COUNTBLANK(B722:D722)&lt;&gt;COLUMNS(B722:D722),721,"")</f>
        <v/>
      </c>
      <c r="C722" s="1" t="str">
        <f t="shared" si="22"/>
        <v/>
      </c>
      <c r="D722" s="1" t="str">
        <f t="shared" si="23"/>
        <v/>
      </c>
    </row>
    <row r="723" spans="1:4" x14ac:dyDescent="0.2">
      <c r="A723" t="str">
        <f>IF(COUNTBLANK(B723:D723)&lt;&gt;COLUMNS(B723:D723),722,"")</f>
        <v/>
      </c>
      <c r="C723" s="1" t="str">
        <f t="shared" si="22"/>
        <v/>
      </c>
      <c r="D723" s="1" t="str">
        <f t="shared" si="23"/>
        <v/>
      </c>
    </row>
    <row r="724" spans="1:4" x14ac:dyDescent="0.2">
      <c r="A724" t="str">
        <f>IF(COUNTBLANK(B724:D724)&lt;&gt;COLUMNS(B724:D724),723,"")</f>
        <v/>
      </c>
      <c r="C724" s="1" t="str">
        <f t="shared" si="22"/>
        <v/>
      </c>
      <c r="D724" s="1" t="str">
        <f t="shared" si="23"/>
        <v/>
      </c>
    </row>
    <row r="725" spans="1:4" x14ac:dyDescent="0.2">
      <c r="A725" t="str">
        <f>IF(COUNTBLANK(B725:D725)&lt;&gt;COLUMNS(B725:D725),724,"")</f>
        <v/>
      </c>
      <c r="C725" s="1" t="str">
        <f t="shared" si="22"/>
        <v/>
      </c>
      <c r="D725" s="1" t="str">
        <f t="shared" si="23"/>
        <v/>
      </c>
    </row>
    <row r="726" spans="1:4" x14ac:dyDescent="0.2">
      <c r="A726" t="str">
        <f>IF(COUNTBLANK(B726:D726)&lt;&gt;COLUMNS(B726:D726),725,"")</f>
        <v/>
      </c>
      <c r="C726" s="1" t="str">
        <f t="shared" si="22"/>
        <v/>
      </c>
      <c r="D726" s="1" t="str">
        <f t="shared" si="23"/>
        <v/>
      </c>
    </row>
    <row r="727" spans="1:4" x14ac:dyDescent="0.2">
      <c r="A727" t="str">
        <f>IF(COUNTBLANK(B727:D727)&lt;&gt;COLUMNS(B727:D727),726,"")</f>
        <v/>
      </c>
      <c r="C727" s="1" t="str">
        <f t="shared" si="22"/>
        <v/>
      </c>
      <c r="D727" s="1" t="str">
        <f t="shared" si="23"/>
        <v/>
      </c>
    </row>
    <row r="728" spans="1:4" x14ac:dyDescent="0.2">
      <c r="A728" t="str">
        <f>IF(COUNTBLANK(B728:D728)&lt;&gt;COLUMNS(B728:D728),727,"")</f>
        <v/>
      </c>
      <c r="C728" s="1" t="str">
        <f t="shared" si="22"/>
        <v/>
      </c>
      <c r="D728" s="1" t="str">
        <f t="shared" si="23"/>
        <v/>
      </c>
    </row>
    <row r="729" spans="1:4" x14ac:dyDescent="0.2">
      <c r="A729" t="str">
        <f>IF(COUNTBLANK(B729:D729)&lt;&gt;COLUMNS(B729:D729),728,"")</f>
        <v/>
      </c>
      <c r="C729" s="1" t="str">
        <f t="shared" si="22"/>
        <v/>
      </c>
      <c r="D729" s="1" t="str">
        <f t="shared" si="23"/>
        <v/>
      </c>
    </row>
    <row r="730" spans="1:4" x14ac:dyDescent="0.2">
      <c r="A730" t="str">
        <f>IF(COUNTBLANK(B730:D730)&lt;&gt;COLUMNS(B730:D730),729,"")</f>
        <v/>
      </c>
      <c r="C730" s="1" t="str">
        <f t="shared" si="22"/>
        <v/>
      </c>
      <c r="D730" s="1" t="str">
        <f t="shared" si="23"/>
        <v/>
      </c>
    </row>
    <row r="731" spans="1:4" x14ac:dyDescent="0.2">
      <c r="A731" t="str">
        <f>IF(COUNTBLANK(B731:D731)&lt;&gt;COLUMNS(B731:D731),730,"")</f>
        <v/>
      </c>
      <c r="C731" s="1" t="str">
        <f t="shared" si="22"/>
        <v/>
      </c>
      <c r="D731" s="1" t="str">
        <f t="shared" si="23"/>
        <v/>
      </c>
    </row>
    <row r="732" spans="1:4" x14ac:dyDescent="0.2">
      <c r="A732" t="str">
        <f>IF(COUNTBLANK(B732:D732)&lt;&gt;COLUMNS(B732:D732),731,"")</f>
        <v/>
      </c>
      <c r="C732" s="1" t="str">
        <f t="shared" si="22"/>
        <v/>
      </c>
      <c r="D732" s="1" t="str">
        <f t="shared" si="23"/>
        <v/>
      </c>
    </row>
    <row r="733" spans="1:4" x14ac:dyDescent="0.2">
      <c r="A733" t="str">
        <f>IF(COUNTBLANK(B733:D733)&lt;&gt;COLUMNS(B733:D733),732,"")</f>
        <v/>
      </c>
      <c r="C733" s="1" t="str">
        <f t="shared" si="22"/>
        <v/>
      </c>
      <c r="D733" s="1" t="str">
        <f t="shared" si="23"/>
        <v/>
      </c>
    </row>
    <row r="734" spans="1:4" x14ac:dyDescent="0.2">
      <c r="A734" t="str">
        <f>IF(COUNTBLANK(B734:D734)&lt;&gt;COLUMNS(B734:D734),733,"")</f>
        <v/>
      </c>
      <c r="C734" s="1" t="str">
        <f t="shared" si="22"/>
        <v/>
      </c>
      <c r="D734" s="1" t="str">
        <f t="shared" si="23"/>
        <v/>
      </c>
    </row>
    <row r="735" spans="1:4" x14ac:dyDescent="0.2">
      <c r="A735" t="str">
        <f>IF(COUNTBLANK(B735:D735)&lt;&gt;COLUMNS(B735:D735),734,"")</f>
        <v/>
      </c>
      <c r="C735" s="1" t="str">
        <f t="shared" si="22"/>
        <v/>
      </c>
      <c r="D735" s="1" t="str">
        <f t="shared" si="23"/>
        <v/>
      </c>
    </row>
    <row r="736" spans="1:4" x14ac:dyDescent="0.2">
      <c r="A736" t="str">
        <f>IF(COUNTBLANK(B736:D736)&lt;&gt;COLUMNS(B736:D736),735,"")</f>
        <v/>
      </c>
      <c r="C736" s="1" t="str">
        <f t="shared" si="22"/>
        <v/>
      </c>
      <c r="D736" s="1" t="str">
        <f t="shared" si="23"/>
        <v/>
      </c>
    </row>
    <row r="737" spans="1:4" x14ac:dyDescent="0.2">
      <c r="A737" t="str">
        <f>IF(COUNTBLANK(B737:D737)&lt;&gt;COLUMNS(B737:D737),736,"")</f>
        <v/>
      </c>
      <c r="C737" s="1" t="str">
        <f t="shared" si="22"/>
        <v/>
      </c>
      <c r="D737" s="1" t="str">
        <f t="shared" si="23"/>
        <v/>
      </c>
    </row>
    <row r="738" spans="1:4" x14ac:dyDescent="0.2">
      <c r="A738" t="str">
        <f>IF(COUNTBLANK(B738:D738)&lt;&gt;COLUMNS(B738:D738),737,"")</f>
        <v/>
      </c>
      <c r="C738" s="1" t="str">
        <f t="shared" si="22"/>
        <v/>
      </c>
      <c r="D738" s="1" t="str">
        <f t="shared" si="23"/>
        <v/>
      </c>
    </row>
    <row r="739" spans="1:4" x14ac:dyDescent="0.2">
      <c r="A739" t="str">
        <f>IF(COUNTBLANK(B739:D739)&lt;&gt;COLUMNS(B739:D739),738,"")</f>
        <v/>
      </c>
      <c r="C739" s="1" t="str">
        <f t="shared" si="22"/>
        <v/>
      </c>
      <c r="D739" s="1" t="str">
        <f t="shared" si="23"/>
        <v/>
      </c>
    </row>
    <row r="740" spans="1:4" x14ac:dyDescent="0.2">
      <c r="A740" t="str">
        <f>IF(COUNTBLANK(B740:D740)&lt;&gt;COLUMNS(B740:D740),739,"")</f>
        <v/>
      </c>
      <c r="C740" s="1" t="str">
        <f t="shared" si="22"/>
        <v/>
      </c>
      <c r="D740" s="1" t="str">
        <f t="shared" si="23"/>
        <v/>
      </c>
    </row>
    <row r="741" spans="1:4" x14ac:dyDescent="0.2">
      <c r="A741" t="str">
        <f>IF(COUNTBLANK(B741:D741)&lt;&gt;COLUMNS(B741:D741),740,"")</f>
        <v/>
      </c>
      <c r="C741" s="1" t="str">
        <f t="shared" si="22"/>
        <v/>
      </c>
      <c r="D741" s="1" t="str">
        <f t="shared" si="23"/>
        <v/>
      </c>
    </row>
    <row r="742" spans="1:4" x14ac:dyDescent="0.2">
      <c r="A742" t="str">
        <f>IF(COUNTBLANK(B742:D742)&lt;&gt;COLUMNS(B742:D742),741,"")</f>
        <v/>
      </c>
      <c r="C742" s="1" t="str">
        <f t="shared" si="22"/>
        <v/>
      </c>
      <c r="D742" s="1" t="str">
        <f t="shared" si="23"/>
        <v/>
      </c>
    </row>
    <row r="743" spans="1:4" x14ac:dyDescent="0.2">
      <c r="A743" t="str">
        <f>IF(COUNTBLANK(B743:D743)&lt;&gt;COLUMNS(B743:D743),742,"")</f>
        <v/>
      </c>
      <c r="C743" s="1" t="str">
        <f t="shared" si="22"/>
        <v/>
      </c>
      <c r="D743" s="1" t="str">
        <f t="shared" si="23"/>
        <v/>
      </c>
    </row>
    <row r="744" spans="1:4" x14ac:dyDescent="0.2">
      <c r="A744" t="str">
        <f>IF(COUNTBLANK(B744:D744)&lt;&gt;COLUMNS(B744:D744),743,"")</f>
        <v/>
      </c>
      <c r="C744" s="1" t="str">
        <f t="shared" si="22"/>
        <v/>
      </c>
      <c r="D744" s="1" t="str">
        <f t="shared" si="23"/>
        <v/>
      </c>
    </row>
    <row r="745" spans="1:4" x14ac:dyDescent="0.2">
      <c r="A745" t="str">
        <f>IF(COUNTBLANK(B745:D745)&lt;&gt;COLUMNS(B745:D745),744,"")</f>
        <v/>
      </c>
      <c r="C745" s="1" t="str">
        <f t="shared" si="22"/>
        <v/>
      </c>
      <c r="D745" s="1" t="str">
        <f t="shared" si="23"/>
        <v/>
      </c>
    </row>
    <row r="746" spans="1:4" x14ac:dyDescent="0.2">
      <c r="A746" t="str">
        <f>IF(COUNTBLANK(B746:D746)&lt;&gt;COLUMNS(B746:D746),745,"")</f>
        <v/>
      </c>
      <c r="C746" s="1" t="str">
        <f t="shared" si="22"/>
        <v/>
      </c>
      <c r="D746" s="1" t="str">
        <f t="shared" si="23"/>
        <v/>
      </c>
    </row>
    <row r="747" spans="1:4" x14ac:dyDescent="0.2">
      <c r="A747" t="str">
        <f>IF(COUNTBLANK(B747:D747)&lt;&gt;COLUMNS(B747:D747),746,"")</f>
        <v/>
      </c>
      <c r="C747" s="1" t="str">
        <f t="shared" si="22"/>
        <v/>
      </c>
      <c r="D747" s="1" t="str">
        <f t="shared" si="23"/>
        <v/>
      </c>
    </row>
    <row r="748" spans="1:4" x14ac:dyDescent="0.2">
      <c r="A748" t="str">
        <f>IF(COUNTBLANK(B748:D748)&lt;&gt;COLUMNS(B748:D748),747,"")</f>
        <v/>
      </c>
      <c r="C748" s="1" t="str">
        <f t="shared" si="22"/>
        <v/>
      </c>
      <c r="D748" s="1" t="str">
        <f t="shared" si="23"/>
        <v/>
      </c>
    </row>
    <row r="749" spans="1:4" x14ac:dyDescent="0.2">
      <c r="A749" t="str">
        <f>IF(COUNTBLANK(B749:D749)&lt;&gt;COLUMNS(B749:D749),748,"")</f>
        <v/>
      </c>
      <c r="C749" s="1" t="str">
        <f t="shared" si="22"/>
        <v/>
      </c>
      <c r="D749" s="1" t="str">
        <f t="shared" si="23"/>
        <v/>
      </c>
    </row>
    <row r="750" spans="1:4" x14ac:dyDescent="0.2">
      <c r="A750" t="str">
        <f>IF(COUNTBLANK(B750:D750)&lt;&gt;COLUMNS(B750:D750),749,"")</f>
        <v/>
      </c>
      <c r="C750" s="1" t="str">
        <f t="shared" si="22"/>
        <v/>
      </c>
      <c r="D750" s="1" t="str">
        <f t="shared" si="23"/>
        <v/>
      </c>
    </row>
    <row r="751" spans="1:4" x14ac:dyDescent="0.2">
      <c r="A751" t="str">
        <f>IF(COUNTBLANK(B751:D751)&lt;&gt;COLUMNS(B751:D751),750,"")</f>
        <v/>
      </c>
      <c r="C751" s="1" t="str">
        <f t="shared" si="22"/>
        <v/>
      </c>
      <c r="D751" s="1" t="str">
        <f t="shared" si="23"/>
        <v/>
      </c>
    </row>
    <row r="752" spans="1:4" x14ac:dyDescent="0.2">
      <c r="A752" t="str">
        <f>IF(COUNTBLANK(B752:D752)&lt;&gt;COLUMNS(B752:D752),751,"")</f>
        <v/>
      </c>
      <c r="C752" s="1" t="str">
        <f t="shared" si="22"/>
        <v/>
      </c>
      <c r="D752" s="1" t="str">
        <f t="shared" si="23"/>
        <v/>
      </c>
    </row>
    <row r="753" spans="1:4" x14ac:dyDescent="0.2">
      <c r="A753" t="str">
        <f>IF(COUNTBLANK(B753:D753)&lt;&gt;COLUMNS(B753:D753),752,"")</f>
        <v/>
      </c>
      <c r="C753" s="1" t="str">
        <f t="shared" si="22"/>
        <v/>
      </c>
      <c r="D753" s="1" t="str">
        <f t="shared" si="23"/>
        <v/>
      </c>
    </row>
    <row r="754" spans="1:4" x14ac:dyDescent="0.2">
      <c r="A754" t="str">
        <f>IF(COUNTBLANK(B754:D754)&lt;&gt;COLUMNS(B754:D754),753,"")</f>
        <v/>
      </c>
      <c r="C754" s="1" t="str">
        <f t="shared" si="22"/>
        <v/>
      </c>
      <c r="D754" s="1" t="str">
        <f t="shared" si="23"/>
        <v/>
      </c>
    </row>
    <row r="755" spans="1:4" x14ac:dyDescent="0.2">
      <c r="A755" t="str">
        <f>IF(COUNTBLANK(B755:D755)&lt;&gt;COLUMNS(B755:D755),754,"")</f>
        <v/>
      </c>
      <c r="C755" s="1" t="str">
        <f t="shared" si="22"/>
        <v/>
      </c>
      <c r="D755" s="1" t="str">
        <f t="shared" si="23"/>
        <v/>
      </c>
    </row>
    <row r="756" spans="1:4" x14ac:dyDescent="0.2">
      <c r="A756" t="str">
        <f>IF(COUNTBLANK(B756:D756)&lt;&gt;COLUMNS(B756:D756),755,"")</f>
        <v/>
      </c>
      <c r="C756" s="1" t="str">
        <f t="shared" si="22"/>
        <v/>
      </c>
      <c r="D756" s="1" t="str">
        <f t="shared" si="23"/>
        <v/>
      </c>
    </row>
    <row r="757" spans="1:4" x14ac:dyDescent="0.2">
      <c r="A757" t="str">
        <f>IF(COUNTBLANK(B757:D757)&lt;&gt;COLUMNS(B757:D757),756,"")</f>
        <v/>
      </c>
      <c r="C757" s="1" t="str">
        <f t="shared" si="22"/>
        <v/>
      </c>
      <c r="D757" s="1" t="str">
        <f t="shared" si="23"/>
        <v/>
      </c>
    </row>
    <row r="758" spans="1:4" x14ac:dyDescent="0.2">
      <c r="A758" t="str">
        <f>IF(COUNTBLANK(B758:D758)&lt;&gt;COLUMNS(B758:D758),757,"")</f>
        <v/>
      </c>
      <c r="C758" s="1" t="str">
        <f t="shared" si="22"/>
        <v/>
      </c>
      <c r="D758" s="1" t="str">
        <f t="shared" si="23"/>
        <v/>
      </c>
    </row>
    <row r="759" spans="1:4" x14ac:dyDescent="0.2">
      <c r="A759" t="str">
        <f>IF(COUNTBLANK(B759:D759)&lt;&gt;COLUMNS(B759:D759),758,"")</f>
        <v/>
      </c>
      <c r="C759" s="1" t="str">
        <f t="shared" si="22"/>
        <v/>
      </c>
      <c r="D759" s="1" t="str">
        <f t="shared" si="23"/>
        <v/>
      </c>
    </row>
    <row r="760" spans="1:4" x14ac:dyDescent="0.2">
      <c r="A760" t="str">
        <f>IF(COUNTBLANK(B760:D760)&lt;&gt;COLUMNS(B760:D760),759,"")</f>
        <v/>
      </c>
      <c r="C760" s="1" t="str">
        <f t="shared" si="22"/>
        <v/>
      </c>
      <c r="D760" s="1" t="str">
        <f t="shared" si="23"/>
        <v/>
      </c>
    </row>
    <row r="761" spans="1:4" x14ac:dyDescent="0.2">
      <c r="A761" t="str">
        <f>IF(COUNTBLANK(B761:D761)&lt;&gt;COLUMNS(B761:D761),760,"")</f>
        <v/>
      </c>
      <c r="C761" s="1" t="str">
        <f t="shared" si="22"/>
        <v/>
      </c>
      <c r="D761" s="1" t="str">
        <f t="shared" si="23"/>
        <v/>
      </c>
    </row>
    <row r="762" spans="1:4" x14ac:dyDescent="0.2">
      <c r="A762" t="str">
        <f>IF(COUNTBLANK(B762:D762)&lt;&gt;COLUMNS(B762:D762),761,"")</f>
        <v/>
      </c>
      <c r="C762" s="1" t="str">
        <f t="shared" si="22"/>
        <v/>
      </c>
      <c r="D762" s="1" t="str">
        <f t="shared" si="23"/>
        <v/>
      </c>
    </row>
    <row r="763" spans="1:4" x14ac:dyDescent="0.2">
      <c r="A763" t="str">
        <f>IF(COUNTBLANK(B763:D763)&lt;&gt;COLUMNS(B763:D763),762,"")</f>
        <v/>
      </c>
      <c r="C763" s="1" t="str">
        <f t="shared" si="22"/>
        <v/>
      </c>
      <c r="D763" s="1" t="str">
        <f t="shared" si="23"/>
        <v/>
      </c>
    </row>
    <row r="764" spans="1:4" x14ac:dyDescent="0.2">
      <c r="A764" t="str">
        <f>IF(COUNTBLANK(B764:D764)&lt;&gt;COLUMNS(B764:D764),763,"")</f>
        <v/>
      </c>
      <c r="C764" s="1" t="str">
        <f t="shared" si="22"/>
        <v/>
      </c>
      <c r="D764" s="1" t="str">
        <f t="shared" si="23"/>
        <v/>
      </c>
    </row>
    <row r="765" spans="1:4" x14ac:dyDescent="0.2">
      <c r="A765" t="str">
        <f>IF(COUNTBLANK(B765:D765)&lt;&gt;COLUMNS(B765:D765),764,"")</f>
        <v/>
      </c>
      <c r="C765" s="1" t="str">
        <f t="shared" si="22"/>
        <v/>
      </c>
      <c r="D765" s="1" t="str">
        <f t="shared" si="23"/>
        <v/>
      </c>
    </row>
    <row r="766" spans="1:4" x14ac:dyDescent="0.2">
      <c r="A766" t="str">
        <f>IF(COUNTBLANK(B766:D766)&lt;&gt;COLUMNS(B766:D766),765,"")</f>
        <v/>
      </c>
      <c r="C766" s="1" t="str">
        <f t="shared" si="22"/>
        <v/>
      </c>
      <c r="D766" s="1" t="str">
        <f t="shared" si="23"/>
        <v/>
      </c>
    </row>
    <row r="767" spans="1:4" x14ac:dyDescent="0.2">
      <c r="A767" t="str">
        <f>IF(COUNTBLANK(B767:D767)&lt;&gt;COLUMNS(B767:D767),766,"")</f>
        <v/>
      </c>
      <c r="C767" s="1" t="str">
        <f t="shared" si="22"/>
        <v/>
      </c>
      <c r="D767" s="1" t="str">
        <f t="shared" si="23"/>
        <v/>
      </c>
    </row>
    <row r="768" spans="1:4" x14ac:dyDescent="0.2">
      <c r="A768" t="str">
        <f>IF(COUNTBLANK(B768:D768)&lt;&gt;COLUMNS(B768:D768),767,"")</f>
        <v/>
      </c>
      <c r="C768" s="1" t="str">
        <f t="shared" si="22"/>
        <v/>
      </c>
      <c r="D768" s="1" t="str">
        <f t="shared" si="23"/>
        <v/>
      </c>
    </row>
    <row r="769" spans="1:4" x14ac:dyDescent="0.2">
      <c r="A769" t="str">
        <f>IF(COUNTBLANK(B769:D769)&lt;&gt;COLUMNS(B769:D769),768,"")</f>
        <v/>
      </c>
      <c r="C769" s="1" t="str">
        <f t="shared" si="22"/>
        <v/>
      </c>
      <c r="D769" s="1" t="str">
        <f t="shared" si="23"/>
        <v/>
      </c>
    </row>
    <row r="770" spans="1:4" x14ac:dyDescent="0.2">
      <c r="A770" t="str">
        <f>IF(COUNTBLANK(B770:D770)&lt;&gt;COLUMNS(B770:D770),769,"")</f>
        <v/>
      </c>
      <c r="C770" s="1" t="str">
        <f t="shared" ref="C770:C833" si="24">IF(B770="", "", "mouse gut metagenome")</f>
        <v/>
      </c>
      <c r="D770" s="1" t="str">
        <f t="shared" ref="D770:D833" si="25">IF(B770="", "", "410661")</f>
        <v/>
      </c>
    </row>
    <row r="771" spans="1:4" x14ac:dyDescent="0.2">
      <c r="A771" t="str">
        <f>IF(COUNTBLANK(B771:D771)&lt;&gt;COLUMNS(B771:D771),770,"")</f>
        <v/>
      </c>
      <c r="C771" s="1" t="str">
        <f t="shared" si="24"/>
        <v/>
      </c>
      <c r="D771" s="1" t="str">
        <f t="shared" si="25"/>
        <v/>
      </c>
    </row>
    <row r="772" spans="1:4" x14ac:dyDescent="0.2">
      <c r="A772" t="str">
        <f>IF(COUNTBLANK(B772:D772)&lt;&gt;COLUMNS(B772:D772),771,"")</f>
        <v/>
      </c>
      <c r="C772" s="1" t="str">
        <f t="shared" si="24"/>
        <v/>
      </c>
      <c r="D772" s="1" t="str">
        <f t="shared" si="25"/>
        <v/>
      </c>
    </row>
    <row r="773" spans="1:4" x14ac:dyDescent="0.2">
      <c r="A773" t="str">
        <f>IF(COUNTBLANK(B773:D773)&lt;&gt;COLUMNS(B773:D773),772,"")</f>
        <v/>
      </c>
      <c r="C773" s="1" t="str">
        <f t="shared" si="24"/>
        <v/>
      </c>
      <c r="D773" s="1" t="str">
        <f t="shared" si="25"/>
        <v/>
      </c>
    </row>
    <row r="774" spans="1:4" x14ac:dyDescent="0.2">
      <c r="A774" t="str">
        <f>IF(COUNTBLANK(B774:D774)&lt;&gt;COLUMNS(B774:D774),773,"")</f>
        <v/>
      </c>
      <c r="C774" s="1" t="str">
        <f t="shared" si="24"/>
        <v/>
      </c>
      <c r="D774" s="1" t="str">
        <f t="shared" si="25"/>
        <v/>
      </c>
    </row>
    <row r="775" spans="1:4" x14ac:dyDescent="0.2">
      <c r="A775" t="str">
        <f>IF(COUNTBLANK(B775:D775)&lt;&gt;COLUMNS(B775:D775),774,"")</f>
        <v/>
      </c>
      <c r="C775" s="1" t="str">
        <f t="shared" si="24"/>
        <v/>
      </c>
      <c r="D775" s="1" t="str">
        <f t="shared" si="25"/>
        <v/>
      </c>
    </row>
    <row r="776" spans="1:4" x14ac:dyDescent="0.2">
      <c r="A776" t="str">
        <f>IF(COUNTBLANK(B776:D776)&lt;&gt;COLUMNS(B776:D776),775,"")</f>
        <v/>
      </c>
      <c r="C776" s="1" t="str">
        <f t="shared" si="24"/>
        <v/>
      </c>
      <c r="D776" s="1" t="str">
        <f t="shared" si="25"/>
        <v/>
      </c>
    </row>
    <row r="777" spans="1:4" x14ac:dyDescent="0.2">
      <c r="A777" t="str">
        <f>IF(COUNTBLANK(B777:D777)&lt;&gt;COLUMNS(B777:D777),776,"")</f>
        <v/>
      </c>
      <c r="C777" s="1" t="str">
        <f t="shared" si="24"/>
        <v/>
      </c>
      <c r="D777" s="1" t="str">
        <f t="shared" si="25"/>
        <v/>
      </c>
    </row>
    <row r="778" spans="1:4" x14ac:dyDescent="0.2">
      <c r="A778" t="str">
        <f>IF(COUNTBLANK(B778:D778)&lt;&gt;COLUMNS(B778:D778),777,"")</f>
        <v/>
      </c>
      <c r="C778" s="1" t="str">
        <f t="shared" si="24"/>
        <v/>
      </c>
      <c r="D778" s="1" t="str">
        <f t="shared" si="25"/>
        <v/>
      </c>
    </row>
    <row r="779" spans="1:4" x14ac:dyDescent="0.2">
      <c r="A779" t="str">
        <f>IF(COUNTBLANK(B779:D779)&lt;&gt;COLUMNS(B779:D779),778,"")</f>
        <v/>
      </c>
      <c r="C779" s="1" t="str">
        <f t="shared" si="24"/>
        <v/>
      </c>
      <c r="D779" s="1" t="str">
        <f t="shared" si="25"/>
        <v/>
      </c>
    </row>
    <row r="780" spans="1:4" x14ac:dyDescent="0.2">
      <c r="A780" t="str">
        <f>IF(COUNTBLANK(B780:D780)&lt;&gt;COLUMNS(B780:D780),779,"")</f>
        <v/>
      </c>
      <c r="C780" s="1" t="str">
        <f t="shared" si="24"/>
        <v/>
      </c>
      <c r="D780" s="1" t="str">
        <f t="shared" si="25"/>
        <v/>
      </c>
    </row>
    <row r="781" spans="1:4" x14ac:dyDescent="0.2">
      <c r="A781" t="str">
        <f>IF(COUNTBLANK(B781:D781)&lt;&gt;COLUMNS(B781:D781),780,"")</f>
        <v/>
      </c>
      <c r="C781" s="1" t="str">
        <f t="shared" si="24"/>
        <v/>
      </c>
      <c r="D781" s="1" t="str">
        <f t="shared" si="25"/>
        <v/>
      </c>
    </row>
    <row r="782" spans="1:4" x14ac:dyDescent="0.2">
      <c r="A782" t="str">
        <f>IF(COUNTBLANK(B782:D782)&lt;&gt;COLUMNS(B782:D782),781,"")</f>
        <v/>
      </c>
      <c r="C782" s="1" t="str">
        <f t="shared" si="24"/>
        <v/>
      </c>
      <c r="D782" s="1" t="str">
        <f t="shared" si="25"/>
        <v/>
      </c>
    </row>
    <row r="783" spans="1:4" x14ac:dyDescent="0.2">
      <c r="A783" t="str">
        <f>IF(COUNTBLANK(B783:D783)&lt;&gt;COLUMNS(B783:D783),782,"")</f>
        <v/>
      </c>
      <c r="C783" s="1" t="str">
        <f t="shared" si="24"/>
        <v/>
      </c>
      <c r="D783" s="1" t="str">
        <f t="shared" si="25"/>
        <v/>
      </c>
    </row>
    <row r="784" spans="1:4" x14ac:dyDescent="0.2">
      <c r="A784" t="str">
        <f>IF(COUNTBLANK(B784:D784)&lt;&gt;COLUMNS(B784:D784),783,"")</f>
        <v/>
      </c>
      <c r="C784" s="1" t="str">
        <f t="shared" si="24"/>
        <v/>
      </c>
      <c r="D784" s="1" t="str">
        <f t="shared" si="25"/>
        <v/>
      </c>
    </row>
    <row r="785" spans="1:4" x14ac:dyDescent="0.2">
      <c r="A785" t="str">
        <f>IF(COUNTBLANK(B785:D785)&lt;&gt;COLUMNS(B785:D785),784,"")</f>
        <v/>
      </c>
      <c r="C785" s="1" t="str">
        <f t="shared" si="24"/>
        <v/>
      </c>
      <c r="D785" s="1" t="str">
        <f t="shared" si="25"/>
        <v/>
      </c>
    </row>
    <row r="786" spans="1:4" x14ac:dyDescent="0.2">
      <c r="A786" t="str">
        <f>IF(COUNTBLANK(B786:D786)&lt;&gt;COLUMNS(B786:D786),785,"")</f>
        <v/>
      </c>
      <c r="C786" s="1" t="str">
        <f t="shared" si="24"/>
        <v/>
      </c>
      <c r="D786" s="1" t="str">
        <f t="shared" si="25"/>
        <v/>
      </c>
    </row>
    <row r="787" spans="1:4" x14ac:dyDescent="0.2">
      <c r="A787" t="str">
        <f>IF(COUNTBLANK(B787:D787)&lt;&gt;COLUMNS(B787:D787),786,"")</f>
        <v/>
      </c>
      <c r="C787" s="1" t="str">
        <f t="shared" si="24"/>
        <v/>
      </c>
      <c r="D787" s="1" t="str">
        <f t="shared" si="25"/>
        <v/>
      </c>
    </row>
    <row r="788" spans="1:4" x14ac:dyDescent="0.2">
      <c r="A788" t="str">
        <f>IF(COUNTBLANK(B788:D788)&lt;&gt;COLUMNS(B788:D788),787,"")</f>
        <v/>
      </c>
      <c r="C788" s="1" t="str">
        <f t="shared" si="24"/>
        <v/>
      </c>
      <c r="D788" s="1" t="str">
        <f t="shared" si="25"/>
        <v/>
      </c>
    </row>
    <row r="789" spans="1:4" x14ac:dyDescent="0.2">
      <c r="A789" t="str">
        <f>IF(COUNTBLANK(B789:D789)&lt;&gt;COLUMNS(B789:D789),788,"")</f>
        <v/>
      </c>
      <c r="C789" s="1" t="str">
        <f t="shared" si="24"/>
        <v/>
      </c>
      <c r="D789" s="1" t="str">
        <f t="shared" si="25"/>
        <v/>
      </c>
    </row>
    <row r="790" spans="1:4" x14ac:dyDescent="0.2">
      <c r="A790" t="str">
        <f>IF(COUNTBLANK(B790:D790)&lt;&gt;COLUMNS(B790:D790),789,"")</f>
        <v/>
      </c>
      <c r="C790" s="1" t="str">
        <f t="shared" si="24"/>
        <v/>
      </c>
      <c r="D790" s="1" t="str">
        <f t="shared" si="25"/>
        <v/>
      </c>
    </row>
    <row r="791" spans="1:4" x14ac:dyDescent="0.2">
      <c r="A791" t="str">
        <f>IF(COUNTBLANK(B791:D791)&lt;&gt;COLUMNS(B791:D791),790,"")</f>
        <v/>
      </c>
      <c r="C791" s="1" t="str">
        <f t="shared" si="24"/>
        <v/>
      </c>
      <c r="D791" s="1" t="str">
        <f t="shared" si="25"/>
        <v/>
      </c>
    </row>
    <row r="792" spans="1:4" x14ac:dyDescent="0.2">
      <c r="A792" t="str">
        <f>IF(COUNTBLANK(B792:D792)&lt;&gt;COLUMNS(B792:D792),791,"")</f>
        <v/>
      </c>
      <c r="C792" s="1" t="str">
        <f t="shared" si="24"/>
        <v/>
      </c>
      <c r="D792" s="1" t="str">
        <f t="shared" si="25"/>
        <v/>
      </c>
    </row>
    <row r="793" spans="1:4" x14ac:dyDescent="0.2">
      <c r="A793" t="str">
        <f>IF(COUNTBLANK(B793:D793)&lt;&gt;COLUMNS(B793:D793),792,"")</f>
        <v/>
      </c>
      <c r="C793" s="1" t="str">
        <f t="shared" si="24"/>
        <v/>
      </c>
      <c r="D793" s="1" t="str">
        <f t="shared" si="25"/>
        <v/>
      </c>
    </row>
    <row r="794" spans="1:4" x14ac:dyDescent="0.2">
      <c r="A794" t="str">
        <f>IF(COUNTBLANK(B794:D794)&lt;&gt;COLUMNS(B794:D794),793,"")</f>
        <v/>
      </c>
      <c r="C794" s="1" t="str">
        <f t="shared" si="24"/>
        <v/>
      </c>
      <c r="D794" s="1" t="str">
        <f t="shared" si="25"/>
        <v/>
      </c>
    </row>
    <row r="795" spans="1:4" x14ac:dyDescent="0.2">
      <c r="A795" t="str">
        <f>IF(COUNTBLANK(B795:D795)&lt;&gt;COLUMNS(B795:D795),794,"")</f>
        <v/>
      </c>
      <c r="C795" s="1" t="str">
        <f t="shared" si="24"/>
        <v/>
      </c>
      <c r="D795" s="1" t="str">
        <f t="shared" si="25"/>
        <v/>
      </c>
    </row>
    <row r="796" spans="1:4" x14ac:dyDescent="0.2">
      <c r="A796" t="str">
        <f>IF(COUNTBLANK(B796:D796)&lt;&gt;COLUMNS(B796:D796),795,"")</f>
        <v/>
      </c>
      <c r="C796" s="1" t="str">
        <f t="shared" si="24"/>
        <v/>
      </c>
      <c r="D796" s="1" t="str">
        <f t="shared" si="25"/>
        <v/>
      </c>
    </row>
    <row r="797" spans="1:4" x14ac:dyDescent="0.2">
      <c r="A797" t="str">
        <f>IF(COUNTBLANK(B797:D797)&lt;&gt;COLUMNS(B797:D797),796,"")</f>
        <v/>
      </c>
      <c r="C797" s="1" t="str">
        <f t="shared" si="24"/>
        <v/>
      </c>
      <c r="D797" s="1" t="str">
        <f t="shared" si="25"/>
        <v/>
      </c>
    </row>
    <row r="798" spans="1:4" x14ac:dyDescent="0.2">
      <c r="A798" t="str">
        <f>IF(COUNTBLANK(B798:D798)&lt;&gt;COLUMNS(B798:D798),797,"")</f>
        <v/>
      </c>
      <c r="C798" s="1" t="str">
        <f t="shared" si="24"/>
        <v/>
      </c>
      <c r="D798" s="1" t="str">
        <f t="shared" si="25"/>
        <v/>
      </c>
    </row>
    <row r="799" spans="1:4" x14ac:dyDescent="0.2">
      <c r="A799" t="str">
        <f>IF(COUNTBLANK(B799:D799)&lt;&gt;COLUMNS(B799:D799),798,"")</f>
        <v/>
      </c>
      <c r="C799" s="1" t="str">
        <f t="shared" si="24"/>
        <v/>
      </c>
      <c r="D799" s="1" t="str">
        <f t="shared" si="25"/>
        <v/>
      </c>
    </row>
    <row r="800" spans="1:4" x14ac:dyDescent="0.2">
      <c r="A800" t="str">
        <f>IF(COUNTBLANK(B800:D800)&lt;&gt;COLUMNS(B800:D800),799,"")</f>
        <v/>
      </c>
      <c r="C800" s="1" t="str">
        <f t="shared" si="24"/>
        <v/>
      </c>
      <c r="D800" s="1" t="str">
        <f t="shared" si="25"/>
        <v/>
      </c>
    </row>
    <row r="801" spans="1:4" x14ac:dyDescent="0.2">
      <c r="A801" t="str">
        <f>IF(COUNTBLANK(B801:D801)&lt;&gt;COLUMNS(B801:D801),800,"")</f>
        <v/>
      </c>
      <c r="C801" s="1" t="str">
        <f t="shared" si="24"/>
        <v/>
      </c>
      <c r="D801" s="1" t="str">
        <f t="shared" si="25"/>
        <v/>
      </c>
    </row>
    <row r="802" spans="1:4" x14ac:dyDescent="0.2">
      <c r="A802" t="str">
        <f>IF(COUNTBLANK(B802:D802)&lt;&gt;COLUMNS(B802:D802),801,"")</f>
        <v/>
      </c>
      <c r="C802" s="1" t="str">
        <f t="shared" si="24"/>
        <v/>
      </c>
      <c r="D802" s="1" t="str">
        <f t="shared" si="25"/>
        <v/>
      </c>
    </row>
    <row r="803" spans="1:4" x14ac:dyDescent="0.2">
      <c r="A803" t="str">
        <f>IF(COUNTBLANK(B803:D803)&lt;&gt;COLUMNS(B803:D803),802,"")</f>
        <v/>
      </c>
      <c r="C803" s="1" t="str">
        <f t="shared" si="24"/>
        <v/>
      </c>
      <c r="D803" s="1" t="str">
        <f t="shared" si="25"/>
        <v/>
      </c>
    </row>
    <row r="804" spans="1:4" x14ac:dyDescent="0.2">
      <c r="A804" t="str">
        <f>IF(COUNTBLANK(B804:D804)&lt;&gt;COLUMNS(B804:D804),803,"")</f>
        <v/>
      </c>
      <c r="C804" s="1" t="str">
        <f t="shared" si="24"/>
        <v/>
      </c>
      <c r="D804" s="1" t="str">
        <f t="shared" si="25"/>
        <v/>
      </c>
    </row>
    <row r="805" spans="1:4" x14ac:dyDescent="0.2">
      <c r="A805" t="str">
        <f>IF(COUNTBLANK(B805:D805)&lt;&gt;COLUMNS(B805:D805),804,"")</f>
        <v/>
      </c>
      <c r="C805" s="1" t="str">
        <f t="shared" si="24"/>
        <v/>
      </c>
      <c r="D805" s="1" t="str">
        <f t="shared" si="25"/>
        <v/>
      </c>
    </row>
    <row r="806" spans="1:4" x14ac:dyDescent="0.2">
      <c r="A806" t="str">
        <f>IF(COUNTBLANK(B806:D806)&lt;&gt;COLUMNS(B806:D806),805,"")</f>
        <v/>
      </c>
      <c r="C806" s="1" t="str">
        <f t="shared" si="24"/>
        <v/>
      </c>
      <c r="D806" s="1" t="str">
        <f t="shared" si="25"/>
        <v/>
      </c>
    </row>
    <row r="807" spans="1:4" x14ac:dyDescent="0.2">
      <c r="A807" t="str">
        <f>IF(COUNTBLANK(B807:D807)&lt;&gt;COLUMNS(B807:D807),806,"")</f>
        <v/>
      </c>
      <c r="C807" s="1" t="str">
        <f t="shared" si="24"/>
        <v/>
      </c>
      <c r="D807" s="1" t="str">
        <f t="shared" si="25"/>
        <v/>
      </c>
    </row>
    <row r="808" spans="1:4" x14ac:dyDescent="0.2">
      <c r="A808" t="str">
        <f>IF(COUNTBLANK(B808:D808)&lt;&gt;COLUMNS(B808:D808),807,"")</f>
        <v/>
      </c>
      <c r="C808" s="1" t="str">
        <f t="shared" si="24"/>
        <v/>
      </c>
      <c r="D808" s="1" t="str">
        <f t="shared" si="25"/>
        <v/>
      </c>
    </row>
    <row r="809" spans="1:4" x14ac:dyDescent="0.2">
      <c r="A809" t="str">
        <f>IF(COUNTBLANK(B809:D809)&lt;&gt;COLUMNS(B809:D809),808,"")</f>
        <v/>
      </c>
      <c r="C809" s="1" t="str">
        <f t="shared" si="24"/>
        <v/>
      </c>
      <c r="D809" s="1" t="str">
        <f t="shared" si="25"/>
        <v/>
      </c>
    </row>
    <row r="810" spans="1:4" x14ac:dyDescent="0.2">
      <c r="A810" t="str">
        <f>IF(COUNTBLANK(B810:D810)&lt;&gt;COLUMNS(B810:D810),809,"")</f>
        <v/>
      </c>
      <c r="C810" s="1" t="str">
        <f t="shared" si="24"/>
        <v/>
      </c>
      <c r="D810" s="1" t="str">
        <f t="shared" si="25"/>
        <v/>
      </c>
    </row>
    <row r="811" spans="1:4" x14ac:dyDescent="0.2">
      <c r="A811" t="str">
        <f>IF(COUNTBLANK(B811:D811)&lt;&gt;COLUMNS(B811:D811),810,"")</f>
        <v/>
      </c>
      <c r="C811" s="1" t="str">
        <f t="shared" si="24"/>
        <v/>
      </c>
      <c r="D811" s="1" t="str">
        <f t="shared" si="25"/>
        <v/>
      </c>
    </row>
    <row r="812" spans="1:4" x14ac:dyDescent="0.2">
      <c r="A812" t="str">
        <f>IF(COUNTBLANK(B812:D812)&lt;&gt;COLUMNS(B812:D812),811,"")</f>
        <v/>
      </c>
      <c r="C812" s="1" t="str">
        <f t="shared" si="24"/>
        <v/>
      </c>
      <c r="D812" s="1" t="str">
        <f t="shared" si="25"/>
        <v/>
      </c>
    </row>
    <row r="813" spans="1:4" x14ac:dyDescent="0.2">
      <c r="A813" t="str">
        <f>IF(COUNTBLANK(B813:D813)&lt;&gt;COLUMNS(B813:D813),812,"")</f>
        <v/>
      </c>
      <c r="C813" s="1" t="str">
        <f t="shared" si="24"/>
        <v/>
      </c>
      <c r="D813" s="1" t="str">
        <f t="shared" si="25"/>
        <v/>
      </c>
    </row>
    <row r="814" spans="1:4" x14ac:dyDescent="0.2">
      <c r="A814" t="str">
        <f>IF(COUNTBLANK(B814:D814)&lt;&gt;COLUMNS(B814:D814),813,"")</f>
        <v/>
      </c>
      <c r="C814" s="1" t="str">
        <f t="shared" si="24"/>
        <v/>
      </c>
      <c r="D814" s="1" t="str">
        <f t="shared" si="25"/>
        <v/>
      </c>
    </row>
    <row r="815" spans="1:4" x14ac:dyDescent="0.2">
      <c r="A815" t="str">
        <f>IF(COUNTBLANK(B815:D815)&lt;&gt;COLUMNS(B815:D815),814,"")</f>
        <v/>
      </c>
      <c r="C815" s="1" t="str">
        <f t="shared" si="24"/>
        <v/>
      </c>
      <c r="D815" s="1" t="str">
        <f t="shared" si="25"/>
        <v/>
      </c>
    </row>
    <row r="816" spans="1:4" x14ac:dyDescent="0.2">
      <c r="A816" t="str">
        <f>IF(COUNTBLANK(B816:D816)&lt;&gt;COLUMNS(B816:D816),815,"")</f>
        <v/>
      </c>
      <c r="C816" s="1" t="str">
        <f t="shared" si="24"/>
        <v/>
      </c>
      <c r="D816" s="1" t="str">
        <f t="shared" si="25"/>
        <v/>
      </c>
    </row>
    <row r="817" spans="1:4" x14ac:dyDescent="0.2">
      <c r="A817" t="str">
        <f>IF(COUNTBLANK(B817:D817)&lt;&gt;COLUMNS(B817:D817),816,"")</f>
        <v/>
      </c>
      <c r="C817" s="1" t="str">
        <f t="shared" si="24"/>
        <v/>
      </c>
      <c r="D817" s="1" t="str">
        <f t="shared" si="25"/>
        <v/>
      </c>
    </row>
    <row r="818" spans="1:4" x14ac:dyDescent="0.2">
      <c r="A818" t="str">
        <f>IF(COUNTBLANK(B818:D818)&lt;&gt;COLUMNS(B818:D818),817,"")</f>
        <v/>
      </c>
      <c r="C818" s="1" t="str">
        <f t="shared" si="24"/>
        <v/>
      </c>
      <c r="D818" s="1" t="str">
        <f t="shared" si="25"/>
        <v/>
      </c>
    </row>
    <row r="819" spans="1:4" x14ac:dyDescent="0.2">
      <c r="A819" t="str">
        <f>IF(COUNTBLANK(B819:D819)&lt;&gt;COLUMNS(B819:D819),818,"")</f>
        <v/>
      </c>
      <c r="C819" s="1" t="str">
        <f t="shared" si="24"/>
        <v/>
      </c>
      <c r="D819" s="1" t="str">
        <f t="shared" si="25"/>
        <v/>
      </c>
    </row>
    <row r="820" spans="1:4" x14ac:dyDescent="0.2">
      <c r="A820" t="str">
        <f>IF(COUNTBLANK(B820:D820)&lt;&gt;COLUMNS(B820:D820),819,"")</f>
        <v/>
      </c>
      <c r="C820" s="1" t="str">
        <f t="shared" si="24"/>
        <v/>
      </c>
      <c r="D820" s="1" t="str">
        <f t="shared" si="25"/>
        <v/>
      </c>
    </row>
    <row r="821" spans="1:4" x14ac:dyDescent="0.2">
      <c r="A821" t="str">
        <f>IF(COUNTBLANK(B821:D821)&lt;&gt;COLUMNS(B821:D821),820,"")</f>
        <v/>
      </c>
      <c r="C821" s="1" t="str">
        <f t="shared" si="24"/>
        <v/>
      </c>
      <c r="D821" s="1" t="str">
        <f t="shared" si="25"/>
        <v/>
      </c>
    </row>
    <row r="822" spans="1:4" x14ac:dyDescent="0.2">
      <c r="A822" t="str">
        <f>IF(COUNTBLANK(B822:D822)&lt;&gt;COLUMNS(B822:D822),821,"")</f>
        <v/>
      </c>
      <c r="C822" s="1" t="str">
        <f t="shared" si="24"/>
        <v/>
      </c>
      <c r="D822" s="1" t="str">
        <f t="shared" si="25"/>
        <v/>
      </c>
    </row>
    <row r="823" spans="1:4" x14ac:dyDescent="0.2">
      <c r="A823" t="str">
        <f>IF(COUNTBLANK(B823:D823)&lt;&gt;COLUMNS(B823:D823),822,"")</f>
        <v/>
      </c>
      <c r="C823" s="1" t="str">
        <f t="shared" si="24"/>
        <v/>
      </c>
      <c r="D823" s="1" t="str">
        <f t="shared" si="25"/>
        <v/>
      </c>
    </row>
    <row r="824" spans="1:4" x14ac:dyDescent="0.2">
      <c r="A824" t="str">
        <f>IF(COUNTBLANK(B824:D824)&lt;&gt;COLUMNS(B824:D824),823,"")</f>
        <v/>
      </c>
      <c r="C824" s="1" t="str">
        <f t="shared" si="24"/>
        <v/>
      </c>
      <c r="D824" s="1" t="str">
        <f t="shared" si="25"/>
        <v/>
      </c>
    </row>
    <row r="825" spans="1:4" x14ac:dyDescent="0.2">
      <c r="A825" t="str">
        <f>IF(COUNTBLANK(B825:D825)&lt;&gt;COLUMNS(B825:D825),824,"")</f>
        <v/>
      </c>
      <c r="C825" s="1" t="str">
        <f t="shared" si="24"/>
        <v/>
      </c>
      <c r="D825" s="1" t="str">
        <f t="shared" si="25"/>
        <v/>
      </c>
    </row>
    <row r="826" spans="1:4" x14ac:dyDescent="0.2">
      <c r="A826" t="str">
        <f>IF(COUNTBLANK(B826:D826)&lt;&gt;COLUMNS(B826:D826),825,"")</f>
        <v/>
      </c>
      <c r="C826" s="1" t="str">
        <f t="shared" si="24"/>
        <v/>
      </c>
      <c r="D826" s="1" t="str">
        <f t="shared" si="25"/>
        <v/>
      </c>
    </row>
    <row r="827" spans="1:4" x14ac:dyDescent="0.2">
      <c r="A827" t="str">
        <f>IF(COUNTBLANK(B827:D827)&lt;&gt;COLUMNS(B827:D827),826,"")</f>
        <v/>
      </c>
      <c r="C827" s="1" t="str">
        <f t="shared" si="24"/>
        <v/>
      </c>
      <c r="D827" s="1" t="str">
        <f t="shared" si="25"/>
        <v/>
      </c>
    </row>
    <row r="828" spans="1:4" x14ac:dyDescent="0.2">
      <c r="A828" t="str">
        <f>IF(COUNTBLANK(B828:D828)&lt;&gt;COLUMNS(B828:D828),827,"")</f>
        <v/>
      </c>
      <c r="C828" s="1" t="str">
        <f t="shared" si="24"/>
        <v/>
      </c>
      <c r="D828" s="1" t="str">
        <f t="shared" si="25"/>
        <v/>
      </c>
    </row>
    <row r="829" spans="1:4" x14ac:dyDescent="0.2">
      <c r="A829" t="str">
        <f>IF(COUNTBLANK(B829:D829)&lt;&gt;COLUMNS(B829:D829),828,"")</f>
        <v/>
      </c>
      <c r="C829" s="1" t="str">
        <f t="shared" si="24"/>
        <v/>
      </c>
      <c r="D829" s="1" t="str">
        <f t="shared" si="25"/>
        <v/>
      </c>
    </row>
    <row r="830" spans="1:4" x14ac:dyDescent="0.2">
      <c r="A830" t="str">
        <f>IF(COUNTBLANK(B830:D830)&lt;&gt;COLUMNS(B830:D830),829,"")</f>
        <v/>
      </c>
      <c r="C830" s="1" t="str">
        <f t="shared" si="24"/>
        <v/>
      </c>
      <c r="D830" s="1" t="str">
        <f t="shared" si="25"/>
        <v/>
      </c>
    </row>
    <row r="831" spans="1:4" x14ac:dyDescent="0.2">
      <c r="A831" t="str">
        <f>IF(COUNTBLANK(B831:D831)&lt;&gt;COLUMNS(B831:D831),830,"")</f>
        <v/>
      </c>
      <c r="C831" s="1" t="str">
        <f t="shared" si="24"/>
        <v/>
      </c>
      <c r="D831" s="1" t="str">
        <f t="shared" si="25"/>
        <v/>
      </c>
    </row>
    <row r="832" spans="1:4" x14ac:dyDescent="0.2">
      <c r="A832" t="str">
        <f>IF(COUNTBLANK(B832:D832)&lt;&gt;COLUMNS(B832:D832),831,"")</f>
        <v/>
      </c>
      <c r="C832" s="1" t="str">
        <f t="shared" si="24"/>
        <v/>
      </c>
      <c r="D832" s="1" t="str">
        <f t="shared" si="25"/>
        <v/>
      </c>
    </row>
    <row r="833" spans="1:4" x14ac:dyDescent="0.2">
      <c r="A833" t="str">
        <f>IF(COUNTBLANK(B833:D833)&lt;&gt;COLUMNS(B833:D833),832,"")</f>
        <v/>
      </c>
      <c r="C833" s="1" t="str">
        <f t="shared" si="24"/>
        <v/>
      </c>
      <c r="D833" s="1" t="str">
        <f t="shared" si="25"/>
        <v/>
      </c>
    </row>
    <row r="834" spans="1:4" x14ac:dyDescent="0.2">
      <c r="A834" t="str">
        <f>IF(COUNTBLANK(B834:D834)&lt;&gt;COLUMNS(B834:D834),833,"")</f>
        <v/>
      </c>
      <c r="C834" s="1" t="str">
        <f t="shared" ref="C834:C897" si="26">IF(B834="", "", "mouse gut metagenome")</f>
        <v/>
      </c>
      <c r="D834" s="1" t="str">
        <f t="shared" ref="D834:D897" si="27">IF(B834="", "", "410661")</f>
        <v/>
      </c>
    </row>
    <row r="835" spans="1:4" x14ac:dyDescent="0.2">
      <c r="A835" t="str">
        <f>IF(COUNTBLANK(B835:D835)&lt;&gt;COLUMNS(B835:D835),834,"")</f>
        <v/>
      </c>
      <c r="C835" s="1" t="str">
        <f t="shared" si="26"/>
        <v/>
      </c>
      <c r="D835" s="1" t="str">
        <f t="shared" si="27"/>
        <v/>
      </c>
    </row>
    <row r="836" spans="1:4" x14ac:dyDescent="0.2">
      <c r="A836" t="str">
        <f>IF(COUNTBLANK(B836:D836)&lt;&gt;COLUMNS(B836:D836),835,"")</f>
        <v/>
      </c>
      <c r="C836" s="1" t="str">
        <f t="shared" si="26"/>
        <v/>
      </c>
      <c r="D836" s="1" t="str">
        <f t="shared" si="27"/>
        <v/>
      </c>
    </row>
    <row r="837" spans="1:4" x14ac:dyDescent="0.2">
      <c r="A837" t="str">
        <f>IF(COUNTBLANK(B837:D837)&lt;&gt;COLUMNS(B837:D837),836,"")</f>
        <v/>
      </c>
      <c r="C837" s="1" t="str">
        <f t="shared" si="26"/>
        <v/>
      </c>
      <c r="D837" s="1" t="str">
        <f t="shared" si="27"/>
        <v/>
      </c>
    </row>
    <row r="838" spans="1:4" x14ac:dyDescent="0.2">
      <c r="A838" t="str">
        <f>IF(COUNTBLANK(B838:D838)&lt;&gt;COLUMNS(B838:D838),837,"")</f>
        <v/>
      </c>
      <c r="C838" s="1" t="str">
        <f t="shared" si="26"/>
        <v/>
      </c>
      <c r="D838" s="1" t="str">
        <f t="shared" si="27"/>
        <v/>
      </c>
    </row>
    <row r="839" spans="1:4" x14ac:dyDescent="0.2">
      <c r="A839" t="str">
        <f>IF(COUNTBLANK(B839:D839)&lt;&gt;COLUMNS(B839:D839),838,"")</f>
        <v/>
      </c>
      <c r="C839" s="1" t="str">
        <f t="shared" si="26"/>
        <v/>
      </c>
      <c r="D839" s="1" t="str">
        <f t="shared" si="27"/>
        <v/>
      </c>
    </row>
    <row r="840" spans="1:4" x14ac:dyDescent="0.2">
      <c r="A840" t="str">
        <f>IF(COUNTBLANK(B840:D840)&lt;&gt;COLUMNS(B840:D840),839,"")</f>
        <v/>
      </c>
      <c r="C840" s="1" t="str">
        <f t="shared" si="26"/>
        <v/>
      </c>
      <c r="D840" s="1" t="str">
        <f t="shared" si="27"/>
        <v/>
      </c>
    </row>
    <row r="841" spans="1:4" x14ac:dyDescent="0.2">
      <c r="A841" t="str">
        <f>IF(COUNTBLANK(B841:D841)&lt;&gt;COLUMNS(B841:D841),840,"")</f>
        <v/>
      </c>
      <c r="C841" s="1" t="str">
        <f t="shared" si="26"/>
        <v/>
      </c>
      <c r="D841" s="1" t="str">
        <f t="shared" si="27"/>
        <v/>
      </c>
    </row>
    <row r="842" spans="1:4" x14ac:dyDescent="0.2">
      <c r="A842" t="str">
        <f>IF(COUNTBLANK(B842:D842)&lt;&gt;COLUMNS(B842:D842),841,"")</f>
        <v/>
      </c>
      <c r="C842" s="1" t="str">
        <f t="shared" si="26"/>
        <v/>
      </c>
      <c r="D842" s="1" t="str">
        <f t="shared" si="27"/>
        <v/>
      </c>
    </row>
    <row r="843" spans="1:4" x14ac:dyDescent="0.2">
      <c r="A843" t="str">
        <f>IF(COUNTBLANK(B843:D843)&lt;&gt;COLUMNS(B843:D843),842,"")</f>
        <v/>
      </c>
      <c r="C843" s="1" t="str">
        <f t="shared" si="26"/>
        <v/>
      </c>
      <c r="D843" s="1" t="str">
        <f t="shared" si="27"/>
        <v/>
      </c>
    </row>
    <row r="844" spans="1:4" x14ac:dyDescent="0.2">
      <c r="A844" t="str">
        <f>IF(COUNTBLANK(B844:D844)&lt;&gt;COLUMNS(B844:D844),843,"")</f>
        <v/>
      </c>
      <c r="C844" s="1" t="str">
        <f t="shared" si="26"/>
        <v/>
      </c>
      <c r="D844" s="1" t="str">
        <f t="shared" si="27"/>
        <v/>
      </c>
    </row>
    <row r="845" spans="1:4" x14ac:dyDescent="0.2">
      <c r="A845" t="str">
        <f>IF(COUNTBLANK(B845:D845)&lt;&gt;COLUMNS(B845:D845),844,"")</f>
        <v/>
      </c>
      <c r="C845" s="1" t="str">
        <f t="shared" si="26"/>
        <v/>
      </c>
      <c r="D845" s="1" t="str">
        <f t="shared" si="27"/>
        <v/>
      </c>
    </row>
    <row r="846" spans="1:4" x14ac:dyDescent="0.2">
      <c r="A846" t="str">
        <f>IF(COUNTBLANK(B846:D846)&lt;&gt;COLUMNS(B846:D846),845,"")</f>
        <v/>
      </c>
      <c r="C846" s="1" t="str">
        <f t="shared" si="26"/>
        <v/>
      </c>
      <c r="D846" s="1" t="str">
        <f t="shared" si="27"/>
        <v/>
      </c>
    </row>
    <row r="847" spans="1:4" x14ac:dyDescent="0.2">
      <c r="A847" t="str">
        <f>IF(COUNTBLANK(B847:D847)&lt;&gt;COLUMNS(B847:D847),846,"")</f>
        <v/>
      </c>
      <c r="C847" s="1" t="str">
        <f t="shared" si="26"/>
        <v/>
      </c>
      <c r="D847" s="1" t="str">
        <f t="shared" si="27"/>
        <v/>
      </c>
    </row>
    <row r="848" spans="1:4" x14ac:dyDescent="0.2">
      <c r="A848" t="str">
        <f>IF(COUNTBLANK(B848:D848)&lt;&gt;COLUMNS(B848:D848),847,"")</f>
        <v/>
      </c>
      <c r="C848" s="1" t="str">
        <f t="shared" si="26"/>
        <v/>
      </c>
      <c r="D848" s="1" t="str">
        <f t="shared" si="27"/>
        <v/>
      </c>
    </row>
    <row r="849" spans="1:4" x14ac:dyDescent="0.2">
      <c r="A849" t="str">
        <f>IF(COUNTBLANK(B849:D849)&lt;&gt;COLUMNS(B849:D849),848,"")</f>
        <v/>
      </c>
      <c r="C849" s="1" t="str">
        <f t="shared" si="26"/>
        <v/>
      </c>
      <c r="D849" s="1" t="str">
        <f t="shared" si="27"/>
        <v/>
      </c>
    </row>
    <row r="850" spans="1:4" x14ac:dyDescent="0.2">
      <c r="A850" t="str">
        <f>IF(COUNTBLANK(B850:D850)&lt;&gt;COLUMNS(B850:D850),849,"")</f>
        <v/>
      </c>
      <c r="C850" s="1" t="str">
        <f t="shared" si="26"/>
        <v/>
      </c>
      <c r="D850" s="1" t="str">
        <f t="shared" si="27"/>
        <v/>
      </c>
    </row>
    <row r="851" spans="1:4" x14ac:dyDescent="0.2">
      <c r="A851" t="str">
        <f>IF(COUNTBLANK(B851:D851)&lt;&gt;COLUMNS(B851:D851),850,"")</f>
        <v/>
      </c>
      <c r="C851" s="1" t="str">
        <f t="shared" si="26"/>
        <v/>
      </c>
      <c r="D851" s="1" t="str">
        <f t="shared" si="27"/>
        <v/>
      </c>
    </row>
    <row r="852" spans="1:4" x14ac:dyDescent="0.2">
      <c r="A852" t="str">
        <f>IF(COUNTBLANK(B852:D852)&lt;&gt;COLUMNS(B852:D852),851,"")</f>
        <v/>
      </c>
      <c r="C852" s="1" t="str">
        <f t="shared" si="26"/>
        <v/>
      </c>
      <c r="D852" s="1" t="str">
        <f t="shared" si="27"/>
        <v/>
      </c>
    </row>
    <row r="853" spans="1:4" x14ac:dyDescent="0.2">
      <c r="A853" t="str">
        <f>IF(COUNTBLANK(B853:D853)&lt;&gt;COLUMNS(B853:D853),852,"")</f>
        <v/>
      </c>
      <c r="C853" s="1" t="str">
        <f t="shared" si="26"/>
        <v/>
      </c>
      <c r="D853" s="1" t="str">
        <f t="shared" si="27"/>
        <v/>
      </c>
    </row>
    <row r="854" spans="1:4" x14ac:dyDescent="0.2">
      <c r="A854" t="str">
        <f>IF(COUNTBLANK(B854:D854)&lt;&gt;COLUMNS(B854:D854),853,"")</f>
        <v/>
      </c>
      <c r="C854" s="1" t="str">
        <f t="shared" si="26"/>
        <v/>
      </c>
      <c r="D854" s="1" t="str">
        <f t="shared" si="27"/>
        <v/>
      </c>
    </row>
    <row r="855" spans="1:4" x14ac:dyDescent="0.2">
      <c r="A855" t="str">
        <f>IF(COUNTBLANK(B855:D855)&lt;&gt;COLUMNS(B855:D855),854,"")</f>
        <v/>
      </c>
      <c r="C855" s="1" t="str">
        <f t="shared" si="26"/>
        <v/>
      </c>
      <c r="D855" s="1" t="str">
        <f t="shared" si="27"/>
        <v/>
      </c>
    </row>
    <row r="856" spans="1:4" x14ac:dyDescent="0.2">
      <c r="A856" t="str">
        <f>IF(COUNTBLANK(B856:D856)&lt;&gt;COLUMNS(B856:D856),855,"")</f>
        <v/>
      </c>
      <c r="C856" s="1" t="str">
        <f t="shared" si="26"/>
        <v/>
      </c>
      <c r="D856" s="1" t="str">
        <f t="shared" si="27"/>
        <v/>
      </c>
    </row>
    <row r="857" spans="1:4" x14ac:dyDescent="0.2">
      <c r="A857" t="str">
        <f>IF(COUNTBLANK(B857:D857)&lt;&gt;COLUMNS(B857:D857),856,"")</f>
        <v/>
      </c>
      <c r="C857" s="1" t="str">
        <f t="shared" si="26"/>
        <v/>
      </c>
      <c r="D857" s="1" t="str">
        <f t="shared" si="27"/>
        <v/>
      </c>
    </row>
    <row r="858" spans="1:4" x14ac:dyDescent="0.2">
      <c r="A858" t="str">
        <f>IF(COUNTBLANK(B858:D858)&lt;&gt;COLUMNS(B858:D858),857,"")</f>
        <v/>
      </c>
      <c r="C858" s="1" t="str">
        <f t="shared" si="26"/>
        <v/>
      </c>
      <c r="D858" s="1" t="str">
        <f t="shared" si="27"/>
        <v/>
      </c>
    </row>
    <row r="859" spans="1:4" x14ac:dyDescent="0.2">
      <c r="A859" t="str">
        <f>IF(COUNTBLANK(B859:D859)&lt;&gt;COLUMNS(B859:D859),858,"")</f>
        <v/>
      </c>
      <c r="C859" s="1" t="str">
        <f t="shared" si="26"/>
        <v/>
      </c>
      <c r="D859" s="1" t="str">
        <f t="shared" si="27"/>
        <v/>
      </c>
    </row>
    <row r="860" spans="1:4" x14ac:dyDescent="0.2">
      <c r="A860" t="str">
        <f>IF(COUNTBLANK(B860:D860)&lt;&gt;COLUMNS(B860:D860),859,"")</f>
        <v/>
      </c>
      <c r="C860" s="1" t="str">
        <f t="shared" si="26"/>
        <v/>
      </c>
      <c r="D860" s="1" t="str">
        <f t="shared" si="27"/>
        <v/>
      </c>
    </row>
    <row r="861" spans="1:4" x14ac:dyDescent="0.2">
      <c r="A861" t="str">
        <f>IF(COUNTBLANK(B861:D861)&lt;&gt;COLUMNS(B861:D861),860,"")</f>
        <v/>
      </c>
      <c r="C861" s="1" t="str">
        <f t="shared" si="26"/>
        <v/>
      </c>
      <c r="D861" s="1" t="str">
        <f t="shared" si="27"/>
        <v/>
      </c>
    </row>
    <row r="862" spans="1:4" x14ac:dyDescent="0.2">
      <c r="A862" t="str">
        <f>IF(COUNTBLANK(B862:D862)&lt;&gt;COLUMNS(B862:D862),861,"")</f>
        <v/>
      </c>
      <c r="C862" s="1" t="str">
        <f t="shared" si="26"/>
        <v/>
      </c>
      <c r="D862" s="1" t="str">
        <f t="shared" si="27"/>
        <v/>
      </c>
    </row>
    <row r="863" spans="1:4" x14ac:dyDescent="0.2">
      <c r="A863" t="str">
        <f>IF(COUNTBLANK(B863:D863)&lt;&gt;COLUMNS(B863:D863),862,"")</f>
        <v/>
      </c>
      <c r="C863" s="1" t="str">
        <f t="shared" si="26"/>
        <v/>
      </c>
      <c r="D863" s="1" t="str">
        <f t="shared" si="27"/>
        <v/>
      </c>
    </row>
    <row r="864" spans="1:4" x14ac:dyDescent="0.2">
      <c r="A864" t="str">
        <f>IF(COUNTBLANK(B864:D864)&lt;&gt;COLUMNS(B864:D864),863,"")</f>
        <v/>
      </c>
      <c r="C864" s="1" t="str">
        <f t="shared" si="26"/>
        <v/>
      </c>
      <c r="D864" s="1" t="str">
        <f t="shared" si="27"/>
        <v/>
      </c>
    </row>
    <row r="865" spans="1:4" x14ac:dyDescent="0.2">
      <c r="A865" t="str">
        <f>IF(COUNTBLANK(B865:D865)&lt;&gt;COLUMNS(B865:D865),864,"")</f>
        <v/>
      </c>
      <c r="C865" s="1" t="str">
        <f t="shared" si="26"/>
        <v/>
      </c>
      <c r="D865" s="1" t="str">
        <f t="shared" si="27"/>
        <v/>
      </c>
    </row>
    <row r="866" spans="1:4" x14ac:dyDescent="0.2">
      <c r="A866" t="str">
        <f>IF(COUNTBLANK(B866:D866)&lt;&gt;COLUMNS(B866:D866),865,"")</f>
        <v/>
      </c>
      <c r="C866" s="1" t="str">
        <f t="shared" si="26"/>
        <v/>
      </c>
      <c r="D866" s="1" t="str">
        <f t="shared" si="27"/>
        <v/>
      </c>
    </row>
    <row r="867" spans="1:4" x14ac:dyDescent="0.2">
      <c r="A867" t="str">
        <f>IF(COUNTBLANK(B867:D867)&lt;&gt;COLUMNS(B867:D867),866,"")</f>
        <v/>
      </c>
      <c r="C867" s="1" t="str">
        <f t="shared" si="26"/>
        <v/>
      </c>
      <c r="D867" s="1" t="str">
        <f t="shared" si="27"/>
        <v/>
      </c>
    </row>
    <row r="868" spans="1:4" x14ac:dyDescent="0.2">
      <c r="A868" t="str">
        <f>IF(COUNTBLANK(B868:D868)&lt;&gt;COLUMNS(B868:D868),867,"")</f>
        <v/>
      </c>
      <c r="C868" s="1" t="str">
        <f t="shared" si="26"/>
        <v/>
      </c>
      <c r="D868" s="1" t="str">
        <f t="shared" si="27"/>
        <v/>
      </c>
    </row>
    <row r="869" spans="1:4" x14ac:dyDescent="0.2">
      <c r="A869" t="str">
        <f>IF(COUNTBLANK(B869:D869)&lt;&gt;COLUMNS(B869:D869),868,"")</f>
        <v/>
      </c>
      <c r="C869" s="1" t="str">
        <f t="shared" si="26"/>
        <v/>
      </c>
      <c r="D869" s="1" t="str">
        <f t="shared" si="27"/>
        <v/>
      </c>
    </row>
    <row r="870" spans="1:4" x14ac:dyDescent="0.2">
      <c r="A870" t="str">
        <f>IF(COUNTBLANK(B870:D870)&lt;&gt;COLUMNS(B870:D870),869,"")</f>
        <v/>
      </c>
      <c r="C870" s="1" t="str">
        <f t="shared" si="26"/>
        <v/>
      </c>
      <c r="D870" s="1" t="str">
        <f t="shared" si="27"/>
        <v/>
      </c>
    </row>
    <row r="871" spans="1:4" x14ac:dyDescent="0.2">
      <c r="A871" t="str">
        <f>IF(COUNTBLANK(B871:D871)&lt;&gt;COLUMNS(B871:D871),870,"")</f>
        <v/>
      </c>
      <c r="C871" s="1" t="str">
        <f t="shared" si="26"/>
        <v/>
      </c>
      <c r="D871" s="1" t="str">
        <f t="shared" si="27"/>
        <v/>
      </c>
    </row>
    <row r="872" spans="1:4" x14ac:dyDescent="0.2">
      <c r="A872" t="str">
        <f>IF(COUNTBLANK(B872:D872)&lt;&gt;COLUMNS(B872:D872),871,"")</f>
        <v/>
      </c>
      <c r="C872" s="1" t="str">
        <f t="shared" si="26"/>
        <v/>
      </c>
      <c r="D872" s="1" t="str">
        <f t="shared" si="27"/>
        <v/>
      </c>
    </row>
    <row r="873" spans="1:4" x14ac:dyDescent="0.2">
      <c r="A873" t="str">
        <f>IF(COUNTBLANK(B873:D873)&lt;&gt;COLUMNS(B873:D873),872,"")</f>
        <v/>
      </c>
      <c r="C873" s="1" t="str">
        <f t="shared" si="26"/>
        <v/>
      </c>
      <c r="D873" s="1" t="str">
        <f t="shared" si="27"/>
        <v/>
      </c>
    </row>
    <row r="874" spans="1:4" x14ac:dyDescent="0.2">
      <c r="A874" t="str">
        <f>IF(COUNTBLANK(B874:D874)&lt;&gt;COLUMNS(B874:D874),873,"")</f>
        <v/>
      </c>
      <c r="C874" s="1" t="str">
        <f t="shared" si="26"/>
        <v/>
      </c>
      <c r="D874" s="1" t="str">
        <f t="shared" si="27"/>
        <v/>
      </c>
    </row>
    <row r="875" spans="1:4" x14ac:dyDescent="0.2">
      <c r="A875" t="str">
        <f>IF(COUNTBLANK(B875:D875)&lt;&gt;COLUMNS(B875:D875),874,"")</f>
        <v/>
      </c>
      <c r="C875" s="1" t="str">
        <f t="shared" si="26"/>
        <v/>
      </c>
      <c r="D875" s="1" t="str">
        <f t="shared" si="27"/>
        <v/>
      </c>
    </row>
    <row r="876" spans="1:4" x14ac:dyDescent="0.2">
      <c r="A876" t="str">
        <f>IF(COUNTBLANK(B876:D876)&lt;&gt;COLUMNS(B876:D876),875,"")</f>
        <v/>
      </c>
      <c r="C876" s="1" t="str">
        <f t="shared" si="26"/>
        <v/>
      </c>
      <c r="D876" s="1" t="str">
        <f t="shared" si="27"/>
        <v/>
      </c>
    </row>
    <row r="877" spans="1:4" x14ac:dyDescent="0.2">
      <c r="A877" t="str">
        <f>IF(COUNTBLANK(B877:D877)&lt;&gt;COLUMNS(B877:D877),876,"")</f>
        <v/>
      </c>
      <c r="C877" s="1" t="str">
        <f t="shared" si="26"/>
        <v/>
      </c>
      <c r="D877" s="1" t="str">
        <f t="shared" si="27"/>
        <v/>
      </c>
    </row>
    <row r="878" spans="1:4" x14ac:dyDescent="0.2">
      <c r="A878" t="str">
        <f>IF(COUNTBLANK(B878:D878)&lt;&gt;COLUMNS(B878:D878),877,"")</f>
        <v/>
      </c>
      <c r="C878" s="1" t="str">
        <f t="shared" si="26"/>
        <v/>
      </c>
      <c r="D878" s="1" t="str">
        <f t="shared" si="27"/>
        <v/>
      </c>
    </row>
    <row r="879" spans="1:4" x14ac:dyDescent="0.2">
      <c r="A879" t="str">
        <f>IF(COUNTBLANK(B879:D879)&lt;&gt;COLUMNS(B879:D879),878,"")</f>
        <v/>
      </c>
      <c r="C879" s="1" t="str">
        <f t="shared" si="26"/>
        <v/>
      </c>
      <c r="D879" s="1" t="str">
        <f t="shared" si="27"/>
        <v/>
      </c>
    </row>
    <row r="880" spans="1:4" x14ac:dyDescent="0.2">
      <c r="A880" t="str">
        <f>IF(COUNTBLANK(B880:D880)&lt;&gt;COLUMNS(B880:D880),879,"")</f>
        <v/>
      </c>
      <c r="C880" s="1" t="str">
        <f t="shared" si="26"/>
        <v/>
      </c>
      <c r="D880" s="1" t="str">
        <f t="shared" si="27"/>
        <v/>
      </c>
    </row>
    <row r="881" spans="1:4" x14ac:dyDescent="0.2">
      <c r="A881" t="str">
        <f>IF(COUNTBLANK(B881:D881)&lt;&gt;COLUMNS(B881:D881),880,"")</f>
        <v/>
      </c>
      <c r="C881" s="1" t="str">
        <f t="shared" si="26"/>
        <v/>
      </c>
      <c r="D881" s="1" t="str">
        <f t="shared" si="27"/>
        <v/>
      </c>
    </row>
    <row r="882" spans="1:4" x14ac:dyDescent="0.2">
      <c r="A882" t="str">
        <f>IF(COUNTBLANK(B882:D882)&lt;&gt;COLUMNS(B882:D882),881,"")</f>
        <v/>
      </c>
      <c r="C882" s="1" t="str">
        <f t="shared" si="26"/>
        <v/>
      </c>
      <c r="D882" s="1" t="str">
        <f t="shared" si="27"/>
        <v/>
      </c>
    </row>
    <row r="883" spans="1:4" x14ac:dyDescent="0.2">
      <c r="A883" t="str">
        <f>IF(COUNTBLANK(B883:D883)&lt;&gt;COLUMNS(B883:D883),882,"")</f>
        <v/>
      </c>
      <c r="C883" s="1" t="str">
        <f t="shared" si="26"/>
        <v/>
      </c>
      <c r="D883" s="1" t="str">
        <f t="shared" si="27"/>
        <v/>
      </c>
    </row>
    <row r="884" spans="1:4" x14ac:dyDescent="0.2">
      <c r="A884" t="str">
        <f>IF(COUNTBLANK(B884:D884)&lt;&gt;COLUMNS(B884:D884),883,"")</f>
        <v/>
      </c>
      <c r="C884" s="1" t="str">
        <f t="shared" si="26"/>
        <v/>
      </c>
      <c r="D884" s="1" t="str">
        <f t="shared" si="27"/>
        <v/>
      </c>
    </row>
    <row r="885" spans="1:4" x14ac:dyDescent="0.2">
      <c r="A885" t="str">
        <f>IF(COUNTBLANK(B885:D885)&lt;&gt;COLUMNS(B885:D885),884,"")</f>
        <v/>
      </c>
      <c r="C885" s="1" t="str">
        <f t="shared" si="26"/>
        <v/>
      </c>
      <c r="D885" s="1" t="str">
        <f t="shared" si="27"/>
        <v/>
      </c>
    </row>
    <row r="886" spans="1:4" x14ac:dyDescent="0.2">
      <c r="A886" t="str">
        <f>IF(COUNTBLANK(B886:D886)&lt;&gt;COLUMNS(B886:D886),885,"")</f>
        <v/>
      </c>
      <c r="C886" s="1" t="str">
        <f t="shared" si="26"/>
        <v/>
      </c>
      <c r="D886" s="1" t="str">
        <f t="shared" si="27"/>
        <v/>
      </c>
    </row>
    <row r="887" spans="1:4" x14ac:dyDescent="0.2">
      <c r="A887" t="str">
        <f>IF(COUNTBLANK(B887:D887)&lt;&gt;COLUMNS(B887:D887),886,"")</f>
        <v/>
      </c>
      <c r="C887" s="1" t="str">
        <f t="shared" si="26"/>
        <v/>
      </c>
      <c r="D887" s="1" t="str">
        <f t="shared" si="27"/>
        <v/>
      </c>
    </row>
    <row r="888" spans="1:4" x14ac:dyDescent="0.2">
      <c r="A888" t="str">
        <f>IF(COUNTBLANK(B888:D888)&lt;&gt;COLUMNS(B888:D888),887,"")</f>
        <v/>
      </c>
      <c r="C888" s="1" t="str">
        <f t="shared" si="26"/>
        <v/>
      </c>
      <c r="D888" s="1" t="str">
        <f t="shared" si="27"/>
        <v/>
      </c>
    </row>
    <row r="889" spans="1:4" x14ac:dyDescent="0.2">
      <c r="A889" t="str">
        <f>IF(COUNTBLANK(B889:D889)&lt;&gt;COLUMNS(B889:D889),888,"")</f>
        <v/>
      </c>
      <c r="C889" s="1" t="str">
        <f t="shared" si="26"/>
        <v/>
      </c>
      <c r="D889" s="1" t="str">
        <f t="shared" si="27"/>
        <v/>
      </c>
    </row>
    <row r="890" spans="1:4" x14ac:dyDescent="0.2">
      <c r="A890" t="str">
        <f>IF(COUNTBLANK(B890:D890)&lt;&gt;COLUMNS(B890:D890),889,"")</f>
        <v/>
      </c>
      <c r="C890" s="1" t="str">
        <f t="shared" si="26"/>
        <v/>
      </c>
      <c r="D890" s="1" t="str">
        <f t="shared" si="27"/>
        <v/>
      </c>
    </row>
    <row r="891" spans="1:4" x14ac:dyDescent="0.2">
      <c r="A891" t="str">
        <f>IF(COUNTBLANK(B891:D891)&lt;&gt;COLUMNS(B891:D891),890,"")</f>
        <v/>
      </c>
      <c r="C891" s="1" t="str">
        <f t="shared" si="26"/>
        <v/>
      </c>
      <c r="D891" s="1" t="str">
        <f t="shared" si="27"/>
        <v/>
      </c>
    </row>
    <row r="892" spans="1:4" x14ac:dyDescent="0.2">
      <c r="A892" t="str">
        <f>IF(COUNTBLANK(B892:D892)&lt;&gt;COLUMNS(B892:D892),891,"")</f>
        <v/>
      </c>
      <c r="C892" s="1" t="str">
        <f t="shared" si="26"/>
        <v/>
      </c>
      <c r="D892" s="1" t="str">
        <f t="shared" si="27"/>
        <v/>
      </c>
    </row>
    <row r="893" spans="1:4" x14ac:dyDescent="0.2">
      <c r="A893" t="str">
        <f>IF(COUNTBLANK(B893:D893)&lt;&gt;COLUMNS(B893:D893),892,"")</f>
        <v/>
      </c>
      <c r="C893" s="1" t="str">
        <f t="shared" si="26"/>
        <v/>
      </c>
      <c r="D893" s="1" t="str">
        <f t="shared" si="27"/>
        <v/>
      </c>
    </row>
    <row r="894" spans="1:4" x14ac:dyDescent="0.2">
      <c r="A894" t="str">
        <f>IF(COUNTBLANK(B894:D894)&lt;&gt;COLUMNS(B894:D894),893,"")</f>
        <v/>
      </c>
      <c r="C894" s="1" t="str">
        <f t="shared" si="26"/>
        <v/>
      </c>
      <c r="D894" s="1" t="str">
        <f t="shared" si="27"/>
        <v/>
      </c>
    </row>
    <row r="895" spans="1:4" x14ac:dyDescent="0.2">
      <c r="A895" t="str">
        <f>IF(COUNTBLANK(B895:D895)&lt;&gt;COLUMNS(B895:D895),894,"")</f>
        <v/>
      </c>
      <c r="C895" s="1" t="str">
        <f t="shared" si="26"/>
        <v/>
      </c>
      <c r="D895" s="1" t="str">
        <f t="shared" si="27"/>
        <v/>
      </c>
    </row>
    <row r="896" spans="1:4" x14ac:dyDescent="0.2">
      <c r="A896" t="str">
        <f>IF(COUNTBLANK(B896:D896)&lt;&gt;COLUMNS(B896:D896),895,"")</f>
        <v/>
      </c>
      <c r="C896" s="1" t="str">
        <f t="shared" si="26"/>
        <v/>
      </c>
      <c r="D896" s="1" t="str">
        <f t="shared" si="27"/>
        <v/>
      </c>
    </row>
    <row r="897" spans="1:4" x14ac:dyDescent="0.2">
      <c r="A897" t="str">
        <f>IF(COUNTBLANK(B897:D897)&lt;&gt;COLUMNS(B897:D897),896,"")</f>
        <v/>
      </c>
      <c r="C897" s="1" t="str">
        <f t="shared" si="26"/>
        <v/>
      </c>
      <c r="D897" s="1" t="str">
        <f t="shared" si="27"/>
        <v/>
      </c>
    </row>
    <row r="898" spans="1:4" x14ac:dyDescent="0.2">
      <c r="A898" t="str">
        <f>IF(COUNTBLANK(B898:D898)&lt;&gt;COLUMNS(B898:D898),897,"")</f>
        <v/>
      </c>
      <c r="C898" s="1" t="str">
        <f t="shared" ref="C898:C961" si="28">IF(B898="", "", "mouse gut metagenome")</f>
        <v/>
      </c>
      <c r="D898" s="1" t="str">
        <f t="shared" ref="D898:D961" si="29">IF(B898="", "", "410661")</f>
        <v/>
      </c>
    </row>
    <row r="899" spans="1:4" x14ac:dyDescent="0.2">
      <c r="A899" t="str">
        <f>IF(COUNTBLANK(B899:D899)&lt;&gt;COLUMNS(B899:D899),898,"")</f>
        <v/>
      </c>
      <c r="C899" s="1" t="str">
        <f t="shared" si="28"/>
        <v/>
      </c>
      <c r="D899" s="1" t="str">
        <f t="shared" si="29"/>
        <v/>
      </c>
    </row>
    <row r="900" spans="1:4" x14ac:dyDescent="0.2">
      <c r="A900" t="str">
        <f>IF(COUNTBLANK(B900:D900)&lt;&gt;COLUMNS(B900:D900),899,"")</f>
        <v/>
      </c>
      <c r="C900" s="1" t="str">
        <f t="shared" si="28"/>
        <v/>
      </c>
      <c r="D900" s="1" t="str">
        <f t="shared" si="29"/>
        <v/>
      </c>
    </row>
    <row r="901" spans="1:4" x14ac:dyDescent="0.2">
      <c r="A901" t="str">
        <f>IF(COUNTBLANK(B901:D901)&lt;&gt;COLUMNS(B901:D901),900,"")</f>
        <v/>
      </c>
      <c r="C901" s="1" t="str">
        <f t="shared" si="28"/>
        <v/>
      </c>
      <c r="D901" s="1" t="str">
        <f t="shared" si="29"/>
        <v/>
      </c>
    </row>
    <row r="902" spans="1:4" x14ac:dyDescent="0.2">
      <c r="A902" t="str">
        <f>IF(COUNTBLANK(B902:D902)&lt;&gt;COLUMNS(B902:D902),901,"")</f>
        <v/>
      </c>
      <c r="C902" s="1" t="str">
        <f t="shared" si="28"/>
        <v/>
      </c>
      <c r="D902" s="1" t="str">
        <f t="shared" si="29"/>
        <v/>
      </c>
    </row>
    <row r="903" spans="1:4" x14ac:dyDescent="0.2">
      <c r="A903" t="str">
        <f>IF(COUNTBLANK(B903:D903)&lt;&gt;COLUMNS(B903:D903),902,"")</f>
        <v/>
      </c>
      <c r="C903" s="1" t="str">
        <f t="shared" si="28"/>
        <v/>
      </c>
      <c r="D903" s="1" t="str">
        <f t="shared" si="29"/>
        <v/>
      </c>
    </row>
    <row r="904" spans="1:4" x14ac:dyDescent="0.2">
      <c r="A904" t="str">
        <f>IF(COUNTBLANK(B904:D904)&lt;&gt;COLUMNS(B904:D904),903,"")</f>
        <v/>
      </c>
      <c r="C904" s="1" t="str">
        <f t="shared" si="28"/>
        <v/>
      </c>
      <c r="D904" s="1" t="str">
        <f t="shared" si="29"/>
        <v/>
      </c>
    </row>
    <row r="905" spans="1:4" x14ac:dyDescent="0.2">
      <c r="A905" t="str">
        <f>IF(COUNTBLANK(B905:D905)&lt;&gt;COLUMNS(B905:D905),904,"")</f>
        <v/>
      </c>
      <c r="C905" s="1" t="str">
        <f t="shared" si="28"/>
        <v/>
      </c>
      <c r="D905" s="1" t="str">
        <f t="shared" si="29"/>
        <v/>
      </c>
    </row>
    <row r="906" spans="1:4" x14ac:dyDescent="0.2">
      <c r="A906" t="str">
        <f>IF(COUNTBLANK(B906:D906)&lt;&gt;COLUMNS(B906:D906),905,"")</f>
        <v/>
      </c>
      <c r="C906" s="1" t="str">
        <f t="shared" si="28"/>
        <v/>
      </c>
      <c r="D906" s="1" t="str">
        <f t="shared" si="29"/>
        <v/>
      </c>
    </row>
    <row r="907" spans="1:4" x14ac:dyDescent="0.2">
      <c r="A907" t="str">
        <f>IF(COUNTBLANK(B907:D907)&lt;&gt;COLUMNS(B907:D907),906,"")</f>
        <v/>
      </c>
      <c r="C907" s="1" t="str">
        <f t="shared" si="28"/>
        <v/>
      </c>
      <c r="D907" s="1" t="str">
        <f t="shared" si="29"/>
        <v/>
      </c>
    </row>
    <row r="908" spans="1:4" x14ac:dyDescent="0.2">
      <c r="A908" t="str">
        <f>IF(COUNTBLANK(B908:D908)&lt;&gt;COLUMNS(B908:D908),907,"")</f>
        <v/>
      </c>
      <c r="C908" s="1" t="str">
        <f t="shared" si="28"/>
        <v/>
      </c>
      <c r="D908" s="1" t="str">
        <f t="shared" si="29"/>
        <v/>
      </c>
    </row>
    <row r="909" spans="1:4" x14ac:dyDescent="0.2">
      <c r="A909" t="str">
        <f>IF(COUNTBLANK(B909:D909)&lt;&gt;COLUMNS(B909:D909),908,"")</f>
        <v/>
      </c>
      <c r="C909" s="1" t="str">
        <f t="shared" si="28"/>
        <v/>
      </c>
      <c r="D909" s="1" t="str">
        <f t="shared" si="29"/>
        <v/>
      </c>
    </row>
    <row r="910" spans="1:4" x14ac:dyDescent="0.2">
      <c r="A910" t="str">
        <f>IF(COUNTBLANK(B910:D910)&lt;&gt;COLUMNS(B910:D910),909,"")</f>
        <v/>
      </c>
      <c r="C910" s="1" t="str">
        <f t="shared" si="28"/>
        <v/>
      </c>
      <c r="D910" s="1" t="str">
        <f t="shared" si="29"/>
        <v/>
      </c>
    </row>
    <row r="911" spans="1:4" x14ac:dyDescent="0.2">
      <c r="A911" t="str">
        <f>IF(COUNTBLANK(B911:D911)&lt;&gt;COLUMNS(B911:D911),910,"")</f>
        <v/>
      </c>
      <c r="C911" s="1" t="str">
        <f t="shared" si="28"/>
        <v/>
      </c>
      <c r="D911" s="1" t="str">
        <f t="shared" si="29"/>
        <v/>
      </c>
    </row>
    <row r="912" spans="1:4" x14ac:dyDescent="0.2">
      <c r="A912" t="str">
        <f>IF(COUNTBLANK(B912:D912)&lt;&gt;COLUMNS(B912:D912),911,"")</f>
        <v/>
      </c>
      <c r="C912" s="1" t="str">
        <f t="shared" si="28"/>
        <v/>
      </c>
      <c r="D912" s="1" t="str">
        <f t="shared" si="29"/>
        <v/>
      </c>
    </row>
    <row r="913" spans="1:4" x14ac:dyDescent="0.2">
      <c r="A913" t="str">
        <f>IF(COUNTBLANK(B913:D913)&lt;&gt;COLUMNS(B913:D913),912,"")</f>
        <v/>
      </c>
      <c r="C913" s="1" t="str">
        <f t="shared" si="28"/>
        <v/>
      </c>
      <c r="D913" s="1" t="str">
        <f t="shared" si="29"/>
        <v/>
      </c>
    </row>
    <row r="914" spans="1:4" x14ac:dyDescent="0.2">
      <c r="A914" t="str">
        <f>IF(COUNTBLANK(B914:D914)&lt;&gt;COLUMNS(B914:D914),913,"")</f>
        <v/>
      </c>
      <c r="C914" s="1" t="str">
        <f t="shared" si="28"/>
        <v/>
      </c>
      <c r="D914" s="1" t="str">
        <f t="shared" si="29"/>
        <v/>
      </c>
    </row>
    <row r="915" spans="1:4" x14ac:dyDescent="0.2">
      <c r="A915" t="str">
        <f>IF(COUNTBLANK(B915:D915)&lt;&gt;COLUMNS(B915:D915),914,"")</f>
        <v/>
      </c>
      <c r="C915" s="1" t="str">
        <f t="shared" si="28"/>
        <v/>
      </c>
      <c r="D915" s="1" t="str">
        <f t="shared" si="29"/>
        <v/>
      </c>
    </row>
    <row r="916" spans="1:4" x14ac:dyDescent="0.2">
      <c r="A916" t="str">
        <f>IF(COUNTBLANK(B916:D916)&lt;&gt;COLUMNS(B916:D916),915,"")</f>
        <v/>
      </c>
      <c r="C916" s="1" t="str">
        <f t="shared" si="28"/>
        <v/>
      </c>
      <c r="D916" s="1" t="str">
        <f t="shared" si="29"/>
        <v/>
      </c>
    </row>
    <row r="917" spans="1:4" x14ac:dyDescent="0.2">
      <c r="A917" t="str">
        <f>IF(COUNTBLANK(B917:D917)&lt;&gt;COLUMNS(B917:D917),916,"")</f>
        <v/>
      </c>
      <c r="C917" s="1" t="str">
        <f t="shared" si="28"/>
        <v/>
      </c>
      <c r="D917" s="1" t="str">
        <f t="shared" si="29"/>
        <v/>
      </c>
    </row>
    <row r="918" spans="1:4" x14ac:dyDescent="0.2">
      <c r="A918" t="str">
        <f>IF(COUNTBLANK(B918:D918)&lt;&gt;COLUMNS(B918:D918),917,"")</f>
        <v/>
      </c>
      <c r="C918" s="1" t="str">
        <f t="shared" si="28"/>
        <v/>
      </c>
      <c r="D918" s="1" t="str">
        <f t="shared" si="29"/>
        <v/>
      </c>
    </row>
    <row r="919" spans="1:4" x14ac:dyDescent="0.2">
      <c r="A919" t="str">
        <f>IF(COUNTBLANK(B919:D919)&lt;&gt;COLUMNS(B919:D919),918,"")</f>
        <v/>
      </c>
      <c r="C919" s="1" t="str">
        <f t="shared" si="28"/>
        <v/>
      </c>
      <c r="D919" s="1" t="str">
        <f t="shared" si="29"/>
        <v/>
      </c>
    </row>
    <row r="920" spans="1:4" x14ac:dyDescent="0.2">
      <c r="A920" t="str">
        <f>IF(COUNTBLANK(B920:D920)&lt;&gt;COLUMNS(B920:D920),919,"")</f>
        <v/>
      </c>
      <c r="C920" s="1" t="str">
        <f t="shared" si="28"/>
        <v/>
      </c>
      <c r="D920" s="1" t="str">
        <f t="shared" si="29"/>
        <v/>
      </c>
    </row>
    <row r="921" spans="1:4" x14ac:dyDescent="0.2">
      <c r="A921" t="str">
        <f>IF(COUNTBLANK(B921:D921)&lt;&gt;COLUMNS(B921:D921),920,"")</f>
        <v/>
      </c>
      <c r="C921" s="1" t="str">
        <f t="shared" si="28"/>
        <v/>
      </c>
      <c r="D921" s="1" t="str">
        <f t="shared" si="29"/>
        <v/>
      </c>
    </row>
    <row r="922" spans="1:4" x14ac:dyDescent="0.2">
      <c r="A922" t="str">
        <f>IF(COUNTBLANK(B922:D922)&lt;&gt;COLUMNS(B922:D922),921,"")</f>
        <v/>
      </c>
      <c r="C922" s="1" t="str">
        <f t="shared" si="28"/>
        <v/>
      </c>
      <c r="D922" s="1" t="str">
        <f t="shared" si="29"/>
        <v/>
      </c>
    </row>
    <row r="923" spans="1:4" x14ac:dyDescent="0.2">
      <c r="A923" t="str">
        <f>IF(COUNTBLANK(B923:D923)&lt;&gt;COLUMNS(B923:D923),922,"")</f>
        <v/>
      </c>
      <c r="C923" s="1" t="str">
        <f t="shared" si="28"/>
        <v/>
      </c>
      <c r="D923" s="1" t="str">
        <f t="shared" si="29"/>
        <v/>
      </c>
    </row>
    <row r="924" spans="1:4" x14ac:dyDescent="0.2">
      <c r="A924" t="str">
        <f>IF(COUNTBLANK(B924:D924)&lt;&gt;COLUMNS(B924:D924),923,"")</f>
        <v/>
      </c>
      <c r="C924" s="1" t="str">
        <f t="shared" si="28"/>
        <v/>
      </c>
      <c r="D924" s="1" t="str">
        <f t="shared" si="29"/>
        <v/>
      </c>
    </row>
    <row r="925" spans="1:4" x14ac:dyDescent="0.2">
      <c r="A925" t="str">
        <f>IF(COUNTBLANK(B925:D925)&lt;&gt;COLUMNS(B925:D925),924,"")</f>
        <v/>
      </c>
      <c r="C925" s="1" t="str">
        <f t="shared" si="28"/>
        <v/>
      </c>
      <c r="D925" s="1" t="str">
        <f t="shared" si="29"/>
        <v/>
      </c>
    </row>
    <row r="926" spans="1:4" x14ac:dyDescent="0.2">
      <c r="A926" t="str">
        <f>IF(COUNTBLANK(B926:D926)&lt;&gt;COLUMNS(B926:D926),925,"")</f>
        <v/>
      </c>
      <c r="C926" s="1" t="str">
        <f t="shared" si="28"/>
        <v/>
      </c>
      <c r="D926" s="1" t="str">
        <f t="shared" si="29"/>
        <v/>
      </c>
    </row>
    <row r="927" spans="1:4" x14ac:dyDescent="0.2">
      <c r="A927" t="str">
        <f>IF(COUNTBLANK(B927:D927)&lt;&gt;COLUMNS(B927:D927),926,"")</f>
        <v/>
      </c>
      <c r="C927" s="1" t="str">
        <f t="shared" si="28"/>
        <v/>
      </c>
      <c r="D927" s="1" t="str">
        <f t="shared" si="29"/>
        <v/>
      </c>
    </row>
    <row r="928" spans="1:4" x14ac:dyDescent="0.2">
      <c r="A928" t="str">
        <f>IF(COUNTBLANK(B928:D928)&lt;&gt;COLUMNS(B928:D928),927,"")</f>
        <v/>
      </c>
      <c r="C928" s="1" t="str">
        <f t="shared" si="28"/>
        <v/>
      </c>
      <c r="D928" s="1" t="str">
        <f t="shared" si="29"/>
        <v/>
      </c>
    </row>
    <row r="929" spans="1:4" x14ac:dyDescent="0.2">
      <c r="A929" t="str">
        <f>IF(COUNTBLANK(B929:D929)&lt;&gt;COLUMNS(B929:D929),928,"")</f>
        <v/>
      </c>
      <c r="C929" s="1" t="str">
        <f t="shared" si="28"/>
        <v/>
      </c>
      <c r="D929" s="1" t="str">
        <f t="shared" si="29"/>
        <v/>
      </c>
    </row>
    <row r="930" spans="1:4" x14ac:dyDescent="0.2">
      <c r="A930" t="str">
        <f>IF(COUNTBLANK(B930:D930)&lt;&gt;COLUMNS(B930:D930),929,"")</f>
        <v/>
      </c>
      <c r="C930" s="1" t="str">
        <f t="shared" si="28"/>
        <v/>
      </c>
      <c r="D930" s="1" t="str">
        <f t="shared" si="29"/>
        <v/>
      </c>
    </row>
    <row r="931" spans="1:4" x14ac:dyDescent="0.2">
      <c r="A931" t="str">
        <f>IF(COUNTBLANK(B931:D931)&lt;&gt;COLUMNS(B931:D931),930,"")</f>
        <v/>
      </c>
      <c r="C931" s="1" t="str">
        <f t="shared" si="28"/>
        <v/>
      </c>
      <c r="D931" s="1" t="str">
        <f t="shared" si="29"/>
        <v/>
      </c>
    </row>
    <row r="932" spans="1:4" x14ac:dyDescent="0.2">
      <c r="A932" t="str">
        <f>IF(COUNTBLANK(B932:D932)&lt;&gt;COLUMNS(B932:D932),931,"")</f>
        <v/>
      </c>
      <c r="C932" s="1" t="str">
        <f t="shared" si="28"/>
        <v/>
      </c>
      <c r="D932" s="1" t="str">
        <f t="shared" si="29"/>
        <v/>
      </c>
    </row>
    <row r="933" spans="1:4" x14ac:dyDescent="0.2">
      <c r="A933" t="str">
        <f>IF(COUNTBLANK(B933:D933)&lt;&gt;COLUMNS(B933:D933),932,"")</f>
        <v/>
      </c>
      <c r="C933" s="1" t="str">
        <f t="shared" si="28"/>
        <v/>
      </c>
      <c r="D933" s="1" t="str">
        <f t="shared" si="29"/>
        <v/>
      </c>
    </row>
    <row r="934" spans="1:4" x14ac:dyDescent="0.2">
      <c r="A934" t="str">
        <f>IF(COUNTBLANK(B934:D934)&lt;&gt;COLUMNS(B934:D934),933,"")</f>
        <v/>
      </c>
      <c r="C934" s="1" t="str">
        <f t="shared" si="28"/>
        <v/>
      </c>
      <c r="D934" s="1" t="str">
        <f t="shared" si="29"/>
        <v/>
      </c>
    </row>
    <row r="935" spans="1:4" x14ac:dyDescent="0.2">
      <c r="A935" t="str">
        <f>IF(COUNTBLANK(B935:D935)&lt;&gt;COLUMNS(B935:D935),934,"")</f>
        <v/>
      </c>
      <c r="C935" s="1" t="str">
        <f t="shared" si="28"/>
        <v/>
      </c>
      <c r="D935" s="1" t="str">
        <f t="shared" si="29"/>
        <v/>
      </c>
    </row>
    <row r="936" spans="1:4" x14ac:dyDescent="0.2">
      <c r="A936" t="str">
        <f>IF(COUNTBLANK(B936:D936)&lt;&gt;COLUMNS(B936:D936),935,"")</f>
        <v/>
      </c>
      <c r="C936" s="1" t="str">
        <f t="shared" si="28"/>
        <v/>
      </c>
      <c r="D936" s="1" t="str">
        <f t="shared" si="29"/>
        <v/>
      </c>
    </row>
    <row r="937" spans="1:4" x14ac:dyDescent="0.2">
      <c r="A937" t="str">
        <f>IF(COUNTBLANK(B937:D937)&lt;&gt;COLUMNS(B937:D937),936,"")</f>
        <v/>
      </c>
      <c r="C937" s="1" t="str">
        <f t="shared" si="28"/>
        <v/>
      </c>
      <c r="D937" s="1" t="str">
        <f t="shared" si="29"/>
        <v/>
      </c>
    </row>
    <row r="938" spans="1:4" x14ac:dyDescent="0.2">
      <c r="A938" t="str">
        <f>IF(COUNTBLANK(B938:D938)&lt;&gt;COLUMNS(B938:D938),937,"")</f>
        <v/>
      </c>
      <c r="C938" s="1" t="str">
        <f t="shared" si="28"/>
        <v/>
      </c>
      <c r="D938" s="1" t="str">
        <f t="shared" si="29"/>
        <v/>
      </c>
    </row>
    <row r="939" spans="1:4" x14ac:dyDescent="0.2">
      <c r="A939" t="str">
        <f>IF(COUNTBLANK(B939:D939)&lt;&gt;COLUMNS(B939:D939),938,"")</f>
        <v/>
      </c>
      <c r="C939" s="1" t="str">
        <f t="shared" si="28"/>
        <v/>
      </c>
      <c r="D939" s="1" t="str">
        <f t="shared" si="29"/>
        <v/>
      </c>
    </row>
    <row r="940" spans="1:4" x14ac:dyDescent="0.2">
      <c r="A940" t="str">
        <f>IF(COUNTBLANK(B940:D940)&lt;&gt;COLUMNS(B940:D940),939,"")</f>
        <v/>
      </c>
      <c r="C940" s="1" t="str">
        <f t="shared" si="28"/>
        <v/>
      </c>
      <c r="D940" s="1" t="str">
        <f t="shared" si="29"/>
        <v/>
      </c>
    </row>
    <row r="941" spans="1:4" x14ac:dyDescent="0.2">
      <c r="A941" t="str">
        <f>IF(COUNTBLANK(B941:D941)&lt;&gt;COLUMNS(B941:D941),940,"")</f>
        <v/>
      </c>
      <c r="C941" s="1" t="str">
        <f t="shared" si="28"/>
        <v/>
      </c>
      <c r="D941" s="1" t="str">
        <f t="shared" si="29"/>
        <v/>
      </c>
    </row>
    <row r="942" spans="1:4" x14ac:dyDescent="0.2">
      <c r="A942" t="str">
        <f>IF(COUNTBLANK(B942:D942)&lt;&gt;COLUMNS(B942:D942),941,"")</f>
        <v/>
      </c>
      <c r="C942" s="1" t="str">
        <f t="shared" si="28"/>
        <v/>
      </c>
      <c r="D942" s="1" t="str">
        <f t="shared" si="29"/>
        <v/>
      </c>
    </row>
    <row r="943" spans="1:4" x14ac:dyDescent="0.2">
      <c r="A943" t="str">
        <f>IF(COUNTBLANK(B943:D943)&lt;&gt;COLUMNS(B943:D943),942,"")</f>
        <v/>
      </c>
      <c r="C943" s="1" t="str">
        <f t="shared" si="28"/>
        <v/>
      </c>
      <c r="D943" s="1" t="str">
        <f t="shared" si="29"/>
        <v/>
      </c>
    </row>
    <row r="944" spans="1:4" x14ac:dyDescent="0.2">
      <c r="A944" t="str">
        <f>IF(COUNTBLANK(B944:D944)&lt;&gt;COLUMNS(B944:D944),943,"")</f>
        <v/>
      </c>
      <c r="C944" s="1" t="str">
        <f t="shared" si="28"/>
        <v/>
      </c>
      <c r="D944" s="1" t="str">
        <f t="shared" si="29"/>
        <v/>
      </c>
    </row>
    <row r="945" spans="1:4" x14ac:dyDescent="0.2">
      <c r="A945" t="str">
        <f>IF(COUNTBLANK(B945:D945)&lt;&gt;COLUMNS(B945:D945),944,"")</f>
        <v/>
      </c>
      <c r="C945" s="1" t="str">
        <f t="shared" si="28"/>
        <v/>
      </c>
      <c r="D945" s="1" t="str">
        <f t="shared" si="29"/>
        <v/>
      </c>
    </row>
    <row r="946" spans="1:4" x14ac:dyDescent="0.2">
      <c r="A946" t="str">
        <f>IF(COUNTBLANK(B946:D946)&lt;&gt;COLUMNS(B946:D946),945,"")</f>
        <v/>
      </c>
      <c r="C946" s="1" t="str">
        <f t="shared" si="28"/>
        <v/>
      </c>
      <c r="D946" s="1" t="str">
        <f t="shared" si="29"/>
        <v/>
      </c>
    </row>
    <row r="947" spans="1:4" x14ac:dyDescent="0.2">
      <c r="A947" t="str">
        <f>IF(COUNTBLANK(B947:D947)&lt;&gt;COLUMNS(B947:D947),946,"")</f>
        <v/>
      </c>
      <c r="C947" s="1" t="str">
        <f t="shared" si="28"/>
        <v/>
      </c>
      <c r="D947" s="1" t="str">
        <f t="shared" si="29"/>
        <v/>
      </c>
    </row>
    <row r="948" spans="1:4" x14ac:dyDescent="0.2">
      <c r="A948" t="str">
        <f>IF(COUNTBLANK(B948:D948)&lt;&gt;COLUMNS(B948:D948),947,"")</f>
        <v/>
      </c>
      <c r="C948" s="1" t="str">
        <f t="shared" si="28"/>
        <v/>
      </c>
      <c r="D948" s="1" t="str">
        <f t="shared" si="29"/>
        <v/>
      </c>
    </row>
    <row r="949" spans="1:4" x14ac:dyDescent="0.2">
      <c r="A949" t="str">
        <f>IF(COUNTBLANK(B949:D949)&lt;&gt;COLUMNS(B949:D949),948,"")</f>
        <v/>
      </c>
      <c r="C949" s="1" t="str">
        <f t="shared" si="28"/>
        <v/>
      </c>
      <c r="D949" s="1" t="str">
        <f t="shared" si="29"/>
        <v/>
      </c>
    </row>
    <row r="950" spans="1:4" x14ac:dyDescent="0.2">
      <c r="A950" t="str">
        <f>IF(COUNTBLANK(B950:D950)&lt;&gt;COLUMNS(B950:D950),949,"")</f>
        <v/>
      </c>
      <c r="C950" s="1" t="str">
        <f t="shared" si="28"/>
        <v/>
      </c>
      <c r="D950" s="1" t="str">
        <f t="shared" si="29"/>
        <v/>
      </c>
    </row>
    <row r="951" spans="1:4" x14ac:dyDescent="0.2">
      <c r="A951" t="str">
        <f>IF(COUNTBLANK(B951:D951)&lt;&gt;COLUMNS(B951:D951),950,"")</f>
        <v/>
      </c>
      <c r="C951" s="1" t="str">
        <f t="shared" si="28"/>
        <v/>
      </c>
      <c r="D951" s="1" t="str">
        <f t="shared" si="29"/>
        <v/>
      </c>
    </row>
    <row r="952" spans="1:4" x14ac:dyDescent="0.2">
      <c r="A952" t="str">
        <f>IF(COUNTBLANK(B952:D952)&lt;&gt;COLUMNS(B952:D952),951,"")</f>
        <v/>
      </c>
      <c r="C952" s="1" t="str">
        <f t="shared" si="28"/>
        <v/>
      </c>
      <c r="D952" s="1" t="str">
        <f t="shared" si="29"/>
        <v/>
      </c>
    </row>
    <row r="953" spans="1:4" x14ac:dyDescent="0.2">
      <c r="A953" t="str">
        <f>IF(COUNTBLANK(B953:D953)&lt;&gt;COLUMNS(B953:D953),952,"")</f>
        <v/>
      </c>
      <c r="C953" s="1" t="str">
        <f t="shared" si="28"/>
        <v/>
      </c>
      <c r="D953" s="1" t="str">
        <f t="shared" si="29"/>
        <v/>
      </c>
    </row>
    <row r="954" spans="1:4" x14ac:dyDescent="0.2">
      <c r="A954" t="str">
        <f>IF(COUNTBLANK(B954:D954)&lt;&gt;COLUMNS(B954:D954),953,"")</f>
        <v/>
      </c>
      <c r="C954" s="1" t="str">
        <f t="shared" si="28"/>
        <v/>
      </c>
      <c r="D954" s="1" t="str">
        <f t="shared" si="29"/>
        <v/>
      </c>
    </row>
    <row r="955" spans="1:4" x14ac:dyDescent="0.2">
      <c r="A955" t="str">
        <f>IF(COUNTBLANK(B955:D955)&lt;&gt;COLUMNS(B955:D955),954,"")</f>
        <v/>
      </c>
      <c r="C955" s="1" t="str">
        <f t="shared" si="28"/>
        <v/>
      </c>
      <c r="D955" s="1" t="str">
        <f t="shared" si="29"/>
        <v/>
      </c>
    </row>
    <row r="956" spans="1:4" x14ac:dyDescent="0.2">
      <c r="A956" t="str">
        <f>IF(COUNTBLANK(B956:D956)&lt;&gt;COLUMNS(B956:D956),955,"")</f>
        <v/>
      </c>
      <c r="C956" s="1" t="str">
        <f t="shared" si="28"/>
        <v/>
      </c>
      <c r="D956" s="1" t="str">
        <f t="shared" si="29"/>
        <v/>
      </c>
    </row>
    <row r="957" spans="1:4" x14ac:dyDescent="0.2">
      <c r="A957" t="str">
        <f>IF(COUNTBLANK(B957:D957)&lt;&gt;COLUMNS(B957:D957),956,"")</f>
        <v/>
      </c>
      <c r="C957" s="1" t="str">
        <f t="shared" si="28"/>
        <v/>
      </c>
      <c r="D957" s="1" t="str">
        <f t="shared" si="29"/>
        <v/>
      </c>
    </row>
    <row r="958" spans="1:4" x14ac:dyDescent="0.2">
      <c r="A958" t="str">
        <f>IF(COUNTBLANK(B958:D958)&lt;&gt;COLUMNS(B958:D958),957,"")</f>
        <v/>
      </c>
      <c r="C958" s="1" t="str">
        <f t="shared" si="28"/>
        <v/>
      </c>
      <c r="D958" s="1" t="str">
        <f t="shared" si="29"/>
        <v/>
      </c>
    </row>
    <row r="959" spans="1:4" x14ac:dyDescent="0.2">
      <c r="A959" t="str">
        <f>IF(COUNTBLANK(B959:D959)&lt;&gt;COLUMNS(B959:D959),958,"")</f>
        <v/>
      </c>
      <c r="C959" s="1" t="str">
        <f t="shared" si="28"/>
        <v/>
      </c>
      <c r="D959" s="1" t="str">
        <f t="shared" si="29"/>
        <v/>
      </c>
    </row>
    <row r="960" spans="1:4" x14ac:dyDescent="0.2">
      <c r="A960" t="str">
        <f>IF(COUNTBLANK(B960:D960)&lt;&gt;COLUMNS(B960:D960),959,"")</f>
        <v/>
      </c>
      <c r="C960" s="1" t="str">
        <f t="shared" si="28"/>
        <v/>
      </c>
      <c r="D960" s="1" t="str">
        <f t="shared" si="29"/>
        <v/>
      </c>
    </row>
    <row r="961" spans="1:4" x14ac:dyDescent="0.2">
      <c r="A961" t="str">
        <f>IF(COUNTBLANK(B961:D961)&lt;&gt;COLUMNS(B961:D961),960,"")</f>
        <v/>
      </c>
      <c r="C961" s="1" t="str">
        <f t="shared" si="28"/>
        <v/>
      </c>
      <c r="D961" s="1" t="str">
        <f t="shared" si="29"/>
        <v/>
      </c>
    </row>
    <row r="962" spans="1:4" x14ac:dyDescent="0.2">
      <c r="A962" t="str">
        <f>IF(COUNTBLANK(B962:D962)&lt;&gt;COLUMNS(B962:D962),961,"")</f>
        <v/>
      </c>
      <c r="C962" s="1" t="str">
        <f t="shared" ref="C962:C1025" si="30">IF(B962="", "", "mouse gut metagenome")</f>
        <v/>
      </c>
      <c r="D962" s="1" t="str">
        <f t="shared" ref="D962:D1001" si="31">IF(B962="", "", "410661")</f>
        <v/>
      </c>
    </row>
    <row r="963" spans="1:4" x14ac:dyDescent="0.2">
      <c r="A963" t="str">
        <f>IF(COUNTBLANK(B963:D963)&lt;&gt;COLUMNS(B963:D963),962,"")</f>
        <v/>
      </c>
      <c r="C963" s="1" t="str">
        <f t="shared" si="30"/>
        <v/>
      </c>
      <c r="D963" s="1" t="str">
        <f t="shared" si="31"/>
        <v/>
      </c>
    </row>
    <row r="964" spans="1:4" x14ac:dyDescent="0.2">
      <c r="A964" t="str">
        <f>IF(COUNTBLANK(B964:D964)&lt;&gt;COLUMNS(B964:D964),963,"")</f>
        <v/>
      </c>
      <c r="C964" s="1" t="str">
        <f t="shared" si="30"/>
        <v/>
      </c>
      <c r="D964" s="1" t="str">
        <f t="shared" si="31"/>
        <v/>
      </c>
    </row>
    <row r="965" spans="1:4" x14ac:dyDescent="0.2">
      <c r="A965" t="str">
        <f>IF(COUNTBLANK(B965:D965)&lt;&gt;COLUMNS(B965:D965),964,"")</f>
        <v/>
      </c>
      <c r="C965" s="1" t="str">
        <f t="shared" si="30"/>
        <v/>
      </c>
      <c r="D965" s="1" t="str">
        <f t="shared" si="31"/>
        <v/>
      </c>
    </row>
    <row r="966" spans="1:4" x14ac:dyDescent="0.2">
      <c r="A966" t="str">
        <f>IF(COUNTBLANK(B966:D966)&lt;&gt;COLUMNS(B966:D966),965,"")</f>
        <v/>
      </c>
      <c r="C966" s="1" t="str">
        <f t="shared" si="30"/>
        <v/>
      </c>
      <c r="D966" s="1" t="str">
        <f t="shared" si="31"/>
        <v/>
      </c>
    </row>
    <row r="967" spans="1:4" x14ac:dyDescent="0.2">
      <c r="A967" t="str">
        <f>IF(COUNTBLANK(B967:D967)&lt;&gt;COLUMNS(B967:D967),966,"")</f>
        <v/>
      </c>
      <c r="C967" s="1" t="str">
        <f t="shared" si="30"/>
        <v/>
      </c>
      <c r="D967" s="1" t="str">
        <f t="shared" si="31"/>
        <v/>
      </c>
    </row>
    <row r="968" spans="1:4" x14ac:dyDescent="0.2">
      <c r="A968" t="str">
        <f>IF(COUNTBLANK(B968:D968)&lt;&gt;COLUMNS(B968:D968),967,"")</f>
        <v/>
      </c>
      <c r="C968" s="1" t="str">
        <f t="shared" si="30"/>
        <v/>
      </c>
      <c r="D968" s="1" t="str">
        <f t="shared" si="31"/>
        <v/>
      </c>
    </row>
    <row r="969" spans="1:4" x14ac:dyDescent="0.2">
      <c r="A969" t="str">
        <f>IF(COUNTBLANK(B969:D969)&lt;&gt;COLUMNS(B969:D969),968,"")</f>
        <v/>
      </c>
      <c r="C969" s="1" t="str">
        <f t="shared" si="30"/>
        <v/>
      </c>
      <c r="D969" s="1" t="str">
        <f t="shared" si="31"/>
        <v/>
      </c>
    </row>
    <row r="970" spans="1:4" x14ac:dyDescent="0.2">
      <c r="A970" t="str">
        <f>IF(COUNTBLANK(B970:D970)&lt;&gt;COLUMNS(B970:D970),969,"")</f>
        <v/>
      </c>
      <c r="C970" s="1" t="str">
        <f t="shared" si="30"/>
        <v/>
      </c>
      <c r="D970" s="1" t="str">
        <f t="shared" si="31"/>
        <v/>
      </c>
    </row>
    <row r="971" spans="1:4" x14ac:dyDescent="0.2">
      <c r="A971" t="str">
        <f>IF(COUNTBLANK(B971:D971)&lt;&gt;COLUMNS(B971:D971),970,"")</f>
        <v/>
      </c>
      <c r="C971" s="1" t="str">
        <f t="shared" si="30"/>
        <v/>
      </c>
      <c r="D971" s="1" t="str">
        <f t="shared" si="31"/>
        <v/>
      </c>
    </row>
    <row r="972" spans="1:4" x14ac:dyDescent="0.2">
      <c r="A972" t="str">
        <f>IF(COUNTBLANK(B972:D972)&lt;&gt;COLUMNS(B972:D972),971,"")</f>
        <v/>
      </c>
      <c r="C972" s="1" t="str">
        <f t="shared" si="30"/>
        <v/>
      </c>
      <c r="D972" s="1" t="str">
        <f t="shared" si="31"/>
        <v/>
      </c>
    </row>
    <row r="973" spans="1:4" x14ac:dyDescent="0.2">
      <c r="A973" t="str">
        <f>IF(COUNTBLANK(B973:D973)&lt;&gt;COLUMNS(B973:D973),972,"")</f>
        <v/>
      </c>
      <c r="C973" s="1" t="str">
        <f t="shared" si="30"/>
        <v/>
      </c>
      <c r="D973" s="1" t="str">
        <f t="shared" si="31"/>
        <v/>
      </c>
    </row>
    <row r="974" spans="1:4" x14ac:dyDescent="0.2">
      <c r="A974" t="str">
        <f>IF(COUNTBLANK(B974:D974)&lt;&gt;COLUMNS(B974:D974),973,"")</f>
        <v/>
      </c>
      <c r="C974" s="1" t="str">
        <f t="shared" si="30"/>
        <v/>
      </c>
      <c r="D974" s="1" t="str">
        <f t="shared" si="31"/>
        <v/>
      </c>
    </row>
    <row r="975" spans="1:4" x14ac:dyDescent="0.2">
      <c r="A975" t="str">
        <f>IF(COUNTBLANK(B975:D975)&lt;&gt;COLUMNS(B975:D975),974,"")</f>
        <v/>
      </c>
      <c r="C975" s="1" t="str">
        <f t="shared" si="30"/>
        <v/>
      </c>
      <c r="D975" s="1" t="str">
        <f t="shared" si="31"/>
        <v/>
      </c>
    </row>
    <row r="976" spans="1:4" x14ac:dyDescent="0.2">
      <c r="A976" t="str">
        <f>IF(COUNTBLANK(B976:D976)&lt;&gt;COLUMNS(B976:D976),975,"")</f>
        <v/>
      </c>
      <c r="C976" s="1" t="str">
        <f t="shared" si="30"/>
        <v/>
      </c>
      <c r="D976" s="1" t="str">
        <f t="shared" si="31"/>
        <v/>
      </c>
    </row>
    <row r="977" spans="1:4" x14ac:dyDescent="0.2">
      <c r="A977" t="str">
        <f>IF(COUNTBLANK(B977:D977)&lt;&gt;COLUMNS(B977:D977),976,"")</f>
        <v/>
      </c>
      <c r="C977" s="1" t="str">
        <f t="shared" si="30"/>
        <v/>
      </c>
      <c r="D977" s="1" t="str">
        <f t="shared" si="31"/>
        <v/>
      </c>
    </row>
    <row r="978" spans="1:4" x14ac:dyDescent="0.2">
      <c r="A978" t="str">
        <f>IF(COUNTBLANK(B978:D978)&lt;&gt;COLUMNS(B978:D978),977,"")</f>
        <v/>
      </c>
      <c r="C978" s="1" t="str">
        <f t="shared" si="30"/>
        <v/>
      </c>
      <c r="D978" s="1" t="str">
        <f t="shared" si="31"/>
        <v/>
      </c>
    </row>
    <row r="979" spans="1:4" x14ac:dyDescent="0.2">
      <c r="A979" t="str">
        <f>IF(COUNTBLANK(B979:D979)&lt;&gt;COLUMNS(B979:D979),978,"")</f>
        <v/>
      </c>
      <c r="C979" s="1" t="str">
        <f t="shared" si="30"/>
        <v/>
      </c>
      <c r="D979" s="1" t="str">
        <f t="shared" si="31"/>
        <v/>
      </c>
    </row>
    <row r="980" spans="1:4" x14ac:dyDescent="0.2">
      <c r="A980" t="str">
        <f>IF(COUNTBLANK(B980:D980)&lt;&gt;COLUMNS(B980:D980),979,"")</f>
        <v/>
      </c>
      <c r="C980" s="1" t="str">
        <f t="shared" si="30"/>
        <v/>
      </c>
      <c r="D980" s="1" t="str">
        <f t="shared" si="31"/>
        <v/>
      </c>
    </row>
    <row r="981" spans="1:4" x14ac:dyDescent="0.2">
      <c r="A981" t="str">
        <f>IF(COUNTBLANK(B981:D981)&lt;&gt;COLUMNS(B981:D981),980,"")</f>
        <v/>
      </c>
      <c r="C981" s="1" t="str">
        <f t="shared" si="30"/>
        <v/>
      </c>
      <c r="D981" s="1" t="str">
        <f t="shared" si="31"/>
        <v/>
      </c>
    </row>
    <row r="982" spans="1:4" x14ac:dyDescent="0.2">
      <c r="A982" t="str">
        <f>IF(COUNTBLANK(B982:D982)&lt;&gt;COLUMNS(B982:D982),981,"")</f>
        <v/>
      </c>
      <c r="C982" s="1" t="str">
        <f t="shared" si="30"/>
        <v/>
      </c>
      <c r="D982" s="1" t="str">
        <f t="shared" si="31"/>
        <v/>
      </c>
    </row>
    <row r="983" spans="1:4" x14ac:dyDescent="0.2">
      <c r="A983" t="str">
        <f>IF(COUNTBLANK(B983:D983)&lt;&gt;COLUMNS(B983:D983),982,"")</f>
        <v/>
      </c>
      <c r="C983" s="1" t="str">
        <f t="shared" si="30"/>
        <v/>
      </c>
      <c r="D983" s="1" t="str">
        <f t="shared" si="31"/>
        <v/>
      </c>
    </row>
    <row r="984" spans="1:4" x14ac:dyDescent="0.2">
      <c r="A984" t="str">
        <f>IF(COUNTBLANK(B984:D984)&lt;&gt;COLUMNS(B984:D984),983,"")</f>
        <v/>
      </c>
      <c r="C984" s="1" t="str">
        <f t="shared" si="30"/>
        <v/>
      </c>
      <c r="D984" s="1" t="str">
        <f t="shared" si="31"/>
        <v/>
      </c>
    </row>
    <row r="985" spans="1:4" x14ac:dyDescent="0.2">
      <c r="A985" t="str">
        <f>IF(COUNTBLANK(B985:D985)&lt;&gt;COLUMNS(B985:D985),984,"")</f>
        <v/>
      </c>
      <c r="C985" s="1" t="str">
        <f t="shared" si="30"/>
        <v/>
      </c>
      <c r="D985" s="1" t="str">
        <f t="shared" si="31"/>
        <v/>
      </c>
    </row>
    <row r="986" spans="1:4" x14ac:dyDescent="0.2">
      <c r="A986" t="str">
        <f>IF(COUNTBLANK(B986:D986)&lt;&gt;COLUMNS(B986:D986),985,"")</f>
        <v/>
      </c>
      <c r="C986" s="1" t="str">
        <f t="shared" si="30"/>
        <v/>
      </c>
      <c r="D986" s="1" t="str">
        <f t="shared" si="31"/>
        <v/>
      </c>
    </row>
    <row r="987" spans="1:4" x14ac:dyDescent="0.2">
      <c r="A987" t="str">
        <f>IF(COUNTBLANK(B987:D987)&lt;&gt;COLUMNS(B987:D987),986,"")</f>
        <v/>
      </c>
      <c r="C987" s="1" t="str">
        <f t="shared" si="30"/>
        <v/>
      </c>
      <c r="D987" s="1" t="str">
        <f t="shared" si="31"/>
        <v/>
      </c>
    </row>
    <row r="988" spans="1:4" x14ac:dyDescent="0.2">
      <c r="A988" t="str">
        <f>IF(COUNTBLANK(B988:D988)&lt;&gt;COLUMNS(B988:D988),987,"")</f>
        <v/>
      </c>
      <c r="C988" s="1" t="str">
        <f t="shared" si="30"/>
        <v/>
      </c>
      <c r="D988" s="1" t="str">
        <f t="shared" si="31"/>
        <v/>
      </c>
    </row>
    <row r="989" spans="1:4" x14ac:dyDescent="0.2">
      <c r="A989" t="str">
        <f>IF(COUNTBLANK(B989:D989)&lt;&gt;COLUMNS(B989:D989),988,"")</f>
        <v/>
      </c>
      <c r="C989" s="1" t="str">
        <f t="shared" si="30"/>
        <v/>
      </c>
      <c r="D989" s="1" t="str">
        <f t="shared" si="31"/>
        <v/>
      </c>
    </row>
    <row r="990" spans="1:4" x14ac:dyDescent="0.2">
      <c r="A990" t="str">
        <f>IF(COUNTBLANK(B990:D990)&lt;&gt;COLUMNS(B990:D990),989,"")</f>
        <v/>
      </c>
      <c r="C990" s="1" t="str">
        <f t="shared" si="30"/>
        <v/>
      </c>
      <c r="D990" s="1" t="str">
        <f t="shared" si="31"/>
        <v/>
      </c>
    </row>
    <row r="991" spans="1:4" x14ac:dyDescent="0.2">
      <c r="A991" t="str">
        <f>IF(COUNTBLANK(B991:D991)&lt;&gt;COLUMNS(B991:D991),990,"")</f>
        <v/>
      </c>
      <c r="C991" s="1" t="str">
        <f t="shared" si="30"/>
        <v/>
      </c>
      <c r="D991" s="1" t="str">
        <f t="shared" si="31"/>
        <v/>
      </c>
    </row>
    <row r="992" spans="1:4" x14ac:dyDescent="0.2">
      <c r="A992" t="str">
        <f>IF(COUNTBLANK(B992:D992)&lt;&gt;COLUMNS(B992:D992),991,"")</f>
        <v/>
      </c>
      <c r="C992" s="1" t="str">
        <f t="shared" si="30"/>
        <v/>
      </c>
      <c r="D992" s="1" t="str">
        <f t="shared" si="31"/>
        <v/>
      </c>
    </row>
    <row r="993" spans="1:4" x14ac:dyDescent="0.2">
      <c r="A993" t="str">
        <f>IF(COUNTBLANK(B993:D993)&lt;&gt;COLUMNS(B993:D993),992,"")</f>
        <v/>
      </c>
      <c r="C993" s="1" t="str">
        <f t="shared" si="30"/>
        <v/>
      </c>
      <c r="D993" s="1" t="str">
        <f t="shared" si="31"/>
        <v/>
      </c>
    </row>
    <row r="994" spans="1:4" x14ac:dyDescent="0.2">
      <c r="A994" t="str">
        <f>IF(COUNTBLANK(B994:D994)&lt;&gt;COLUMNS(B994:D994),993,"")</f>
        <v/>
      </c>
      <c r="C994" s="1" t="str">
        <f t="shared" si="30"/>
        <v/>
      </c>
      <c r="D994" s="1" t="str">
        <f t="shared" si="31"/>
        <v/>
      </c>
    </row>
    <row r="995" spans="1:4" x14ac:dyDescent="0.2">
      <c r="A995" t="str">
        <f>IF(COUNTBLANK(B995:D995)&lt;&gt;COLUMNS(B995:D995),994,"")</f>
        <v/>
      </c>
      <c r="C995" s="1" t="str">
        <f t="shared" si="30"/>
        <v/>
      </c>
      <c r="D995" s="1" t="str">
        <f t="shared" si="31"/>
        <v/>
      </c>
    </row>
    <row r="996" spans="1:4" x14ac:dyDescent="0.2">
      <c r="A996" t="str">
        <f>IF(COUNTBLANK(B996:D996)&lt;&gt;COLUMNS(B996:D996),995,"")</f>
        <v/>
      </c>
      <c r="C996" s="1" t="str">
        <f t="shared" si="30"/>
        <v/>
      </c>
      <c r="D996" s="1" t="str">
        <f t="shared" si="31"/>
        <v/>
      </c>
    </row>
    <row r="997" spans="1:4" x14ac:dyDescent="0.2">
      <c r="A997" t="str">
        <f>IF(COUNTBLANK(B997:D997)&lt;&gt;COLUMNS(B997:D997),996,"")</f>
        <v/>
      </c>
      <c r="C997" s="1" t="str">
        <f t="shared" si="30"/>
        <v/>
      </c>
      <c r="D997" s="1" t="str">
        <f t="shared" si="31"/>
        <v/>
      </c>
    </row>
    <row r="998" spans="1:4" x14ac:dyDescent="0.2">
      <c r="A998" t="str">
        <f>IF(COUNTBLANK(B998:D998)&lt;&gt;COLUMNS(B998:D998),997,"")</f>
        <v/>
      </c>
      <c r="C998" s="1" t="str">
        <f t="shared" si="30"/>
        <v/>
      </c>
      <c r="D998" s="1" t="str">
        <f t="shared" si="31"/>
        <v/>
      </c>
    </row>
    <row r="999" spans="1:4" x14ac:dyDescent="0.2">
      <c r="A999" t="str">
        <f>IF(COUNTBLANK(B999:D999)&lt;&gt;COLUMNS(B999:D999),998,"")</f>
        <v/>
      </c>
      <c r="C999" s="1" t="str">
        <f t="shared" si="30"/>
        <v/>
      </c>
      <c r="D999" s="1" t="str">
        <f t="shared" si="31"/>
        <v/>
      </c>
    </row>
    <row r="1000" spans="1:4" x14ac:dyDescent="0.2">
      <c r="A1000" t="str">
        <f>IF(COUNTBLANK(B1000:D1000)&lt;&gt;COLUMNS(B1000:D1000),999,"")</f>
        <v/>
      </c>
      <c r="C1000" s="1" t="str">
        <f t="shared" si="30"/>
        <v/>
      </c>
      <c r="D1000" s="1" t="str">
        <f t="shared" si="31"/>
        <v/>
      </c>
    </row>
    <row r="1001" spans="1:4" x14ac:dyDescent="0.2">
      <c r="A1001" t="str">
        <f>IF(COUNTBLANK(B1001:D1001)&lt;&gt;COLUMNS(B1001:D1001),1000,"")</f>
        <v/>
      </c>
      <c r="C1001" s="1" t="str">
        <f t="shared" si="30"/>
        <v/>
      </c>
      <c r="D1001" s="1" t="str">
        <f t="shared" si="31"/>
        <v/>
      </c>
    </row>
    <row r="1002" spans="1:4" x14ac:dyDescent="0.2">
      <c r="B1002" s="2" t="s">
        <v>2</v>
      </c>
    </row>
  </sheetData>
  <sheetProtection sheet="1" objects="1" scenarios="1" formatCells="0" formatColumns="0" formatRows="0"/>
  <dataValidations count="3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cientific_name" error="The scientific_name value entered is not valid. The value must be a string and must equal &quot;mouse gut metagenome&quot;. The default value is mouse gut metagenome." promptTitle="Enter scientific_name" prompt="The value must be a string and must equal &quot;mouse gut metagenome&quot;. The default value is mouse gut metagenome." sqref="C2:C1001">
      <formula1>"mouse gut metagenome"</formula1>
    </dataValidation>
    <dataValidation type="list" allowBlank="1" showInputMessage="1" showErrorMessage="1" errorTitle="Invalid taxon_id" error="The taxon_id value entered is not valid. The value must be a string and must equal &quot;410661&quot;. The default value is 410661." promptTitle="Enter taxon_id" prompt="The value must be a string and must equal &quot;410661&quot;. The default value is 410661." sqref="D2:D1001">
      <formula1>"410661"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zeroHeight="1" x14ac:dyDescent="0.2"/>
  <cols>
    <col min="2" max="4" width="8.83203125" style="3"/>
    <col min="8" max="17" width="0" hidden="1" customWidth="1"/>
  </cols>
  <sheetData>
    <row r="1" spans="1:17" x14ac:dyDescent="0.2">
      <c r="A1" s="2" t="s">
        <v>1</v>
      </c>
      <c r="B1" s="2" t="str">
        <f ca="1">IF(B2=" ", " ", INDEX($O$1:$Q$1, 1, MATCH(COLUMNS($O$1006:O1006),$O$1006:$Q$1006,0)))</f>
        <v xml:space="preserve"> </v>
      </c>
      <c r="C1" s="2" t="str">
        <f ca="1">IF(C2=" ", " ", INDEX($O$1:$Q$1, 1, MATCH(COLUMNS($O$1006:P1006),$O$1006:$Q$1006,0)))</f>
        <v xml:space="preserve"> </v>
      </c>
      <c r="D1" s="2" t="str">
        <f ca="1">IF(D2=" ", " ", INDEX($O$1:$Q$1, 1, MATCH(COLUMNS($O$1006:Q1006),$O$1006:$Q$1006,0)))</f>
        <v xml:space="preserve"> 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1</v>
      </c>
      <c r="O1" s="2" t="s">
        <v>1</v>
      </c>
      <c r="P1" s="2" t="s">
        <v>3</v>
      </c>
      <c r="Q1" s="2" t="s">
        <v>4</v>
      </c>
    </row>
    <row r="2" spans="1:17" x14ac:dyDescent="0.2">
      <c r="A2" s="4" t="str">
        <f ca="1">IF(B2=" "," ",HYPERLINK(CONCATENATE("#metadata!",ADDRESS(INDEX($J$2:$J$1001,MATCH(ROWS($H$2:H2),$H$2:$H$1001,0),0),1)),INDEX($M$2:$M$1001,MATCH(ROWS($H$2:H2),$H$2:$H$1001,0),0)))</f>
        <v xml:space="preserve"> </v>
      </c>
      <c r="B2" s="3" t="str">
        <f ca="1">IF(OR(INDEX($I$2:$I$1001,MATCH(ROWS($H$2:H2),$H$2:$H$1001,0),1)&gt;=100000,INDEX($O$1005:$Q$1005,1,MATCH(COLUMNS($O$1006:O1006),$O$1006:$Q$1006,0))&gt;=100000), " ",IF(INDEX($O$2:$Q$1001,MATCH(ROWS($H$2:H2),$H$2:$H$1001,0),MATCH(COLUMNS($O$1006:O1006),$O$1006:$Q$1006,0)), HYPERLINK("#",""), HYPERLINK(CONCATENATE("#metadata!", ADDRESS(INDEX($J$2:$J$1001,MATCH(ROWS($H$2:H2),$H$2:$H$1001,0),0), INDEX($O$1004:$Q$1004,1,MATCH(COLUMNS($O$1006:O1006),$O$1006:$Q$1006,0)))),"Fix")))</f>
        <v xml:space="preserve"> </v>
      </c>
      <c r="C2" s="3" t="str">
        <f ca="1">IF(OR(INDEX($I$2:$I$1001,MATCH(ROWS($H$2:H2),$H$2:$H$1001,0),1)&gt;=100000,INDEX($O$1005:$Q$1005,1,MATCH(COLUMNS($O$1006:P1006),$O$1006:$Q$1006,0))&gt;=100000), " ",IF(INDEX($O$2:$Q$1001,MATCH(ROWS($H$2:H2),$H$2:$H$1001,0),MATCH(COLUMNS($O$1006:P1006),$O$1006:$Q$1006,0)), HYPERLINK("#",""), HYPERLINK(CONCATENATE("#metadata!", ADDRESS(INDEX($J$2:$J$1001,MATCH(ROWS($H$2:H2),$H$2:$H$1001,0),0), INDEX($O$1004:$Q$1004,1,MATCH(COLUMNS($O$1006:P1006),$O$1006:$Q$1006,0)))),"Fix")))</f>
        <v xml:space="preserve"> </v>
      </c>
      <c r="D2" s="3" t="str">
        <f ca="1">IF(OR(INDEX($I$2:$I$1001,MATCH(ROWS($H$2:H2),$H$2:$H$1001,0),1)&gt;=100000,INDEX($O$1005:$Q$1005,1,MATCH(COLUMNS($O$1006:Q1006),$O$1006:$Q$1006,0))&gt;=100000), " ",IF(INDEX($O$2:$Q$1001,MATCH(ROWS($H$2:H2),$H$2:$H$1001,0),MATCH(COLUMNS($O$1006:Q1006),$O$1006:$Q$1006,0)), HYPERLINK("#",""), HYPERLINK(CONCATENATE("#metadata!", ADDRESS(INDEX($J$2:$J$1001,MATCH(ROWS($H$2:H2),$H$2:$H$1001,0),0), INDEX($O$1004:$Q$1004,1,MATCH(COLUMNS($O$1006:Q1006),$O$1006:$Q$1006,0)))),"Fix")))</f>
        <v xml:space="preserve"> </v>
      </c>
      <c r="H2">
        <f t="array" ref="H2:H1001">COUNTIF(I$2:I$1001,"&lt;="&amp;$I2:$I1001)</f>
        <v>1</v>
      </c>
      <c r="I2">
        <f t="array" ref="I2:I1001">INT(K2:K1001)*100000+$J$2:$J$1001</f>
        <v>100002</v>
      </c>
      <c r="J2">
        <f t="array" ref="J2:J1001">ROW(metadata!B2:B1001)</f>
        <v>2</v>
      </c>
      <c r="K2" t="b">
        <f t="shared" ref="K2:K65" si="0">IF(L2,TRUE,AND(O2:Q2))</f>
        <v>1</v>
      </c>
      <c r="L2" t="b">
        <f>COUNTBLANK(metadata!B2:D2)=COLUMNS(metadata!B2:D2)</f>
        <v>1</v>
      </c>
      <c r="M2" t="str">
        <f t="array" ref="M2:M1001">IF(metadata!B2:B1001="","",metadata!B2:B1001)</f>
        <v/>
      </c>
      <c r="O2" t="b">
        <f ca="1"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P2" t="b">
        <f>AND(IF(metadata!C2="",FALSE,TRUE),EXACT(metadata!C2,"mouse gut metagenome"))</f>
        <v>0</v>
      </c>
      <c r="Q2" t="b">
        <f>AND(IF(metadata!D2="",FALSE,TRUE),EXACT(metadata!D2,"410661"))</f>
        <v>0</v>
      </c>
    </row>
    <row r="3" spans="1:17" x14ac:dyDescent="0.2">
      <c r="A3" s="4" t="str">
        <f ca="1">IF(B3=" "," ",HYPERLINK(CONCATENATE("#metadata!",ADDRESS(INDEX($J$2:$J$1001,MATCH(ROWS($H$2:H3),$H$2:$H$1001,0),0),1)),INDEX($M$2:$M$1001,MATCH(ROWS($H$2:H3),$H$2:$H$1001,0),0)))</f>
        <v xml:space="preserve"> </v>
      </c>
      <c r="B3" s="3" t="str">
        <f ca="1">IF(OR(INDEX($I$2:$I$1001,MATCH(ROWS($H$2:H3),$H$2:$H$1001,0),1)&gt;=100000,INDEX($O$1005:$Q$1005,1,MATCH(COLUMNS($O$1006:O1006),$O$1006:$Q$1006,0))&gt;=100000), " ",IF(INDEX($O$2:$Q$1001,MATCH(ROWS($H$2:H3),$H$2:$H$1001,0),MATCH(COLUMNS($O$1006:O1006),$O$1006:$Q$1006,0)), HYPERLINK("#",""), HYPERLINK(CONCATENATE("#metadata!", ADDRESS(INDEX($J$2:$J$1001,MATCH(ROWS($H$2:H3),$H$2:$H$1001,0),0), INDEX($O$1004:$Q$1004,1,MATCH(COLUMNS($O$1006:O1006),$O$1006:$Q$1006,0)))),"Fix")))</f>
        <v xml:space="preserve"> </v>
      </c>
      <c r="C3" s="3" t="str">
        <f ca="1">IF(OR(INDEX($I$2:$I$1001,MATCH(ROWS($H$2:H3),$H$2:$H$1001,0),1)&gt;=100000,INDEX($O$1005:$Q$1005,1,MATCH(COLUMNS($O$1006:P1006),$O$1006:$Q$1006,0))&gt;=100000), " ",IF(INDEX($O$2:$Q$1001,MATCH(ROWS($H$2:H3),$H$2:$H$1001,0),MATCH(COLUMNS($O$1006:P1006),$O$1006:$Q$1006,0)), HYPERLINK("#",""), HYPERLINK(CONCATENATE("#metadata!", ADDRESS(INDEX($J$2:$J$1001,MATCH(ROWS($H$2:H3),$H$2:$H$1001,0),0), INDEX($O$1004:$Q$1004,1,MATCH(COLUMNS($O$1006:P1006),$O$1006:$Q$1006,0)))),"Fix")))</f>
        <v xml:space="preserve"> </v>
      </c>
      <c r="D3" s="3" t="str">
        <f ca="1">IF(OR(INDEX($I$2:$I$1001,MATCH(ROWS($H$2:H3),$H$2:$H$1001,0),1)&gt;=100000,INDEX($O$1005:$Q$1005,1,MATCH(COLUMNS($O$1006:Q1006),$O$1006:$Q$1006,0))&gt;=100000), " ",IF(INDEX($O$2:$Q$1001,MATCH(ROWS($H$2:H3),$H$2:$H$1001,0),MATCH(COLUMNS($O$1006:Q1006),$O$1006:$Q$1006,0)), HYPERLINK("#",""), HYPERLINK(CONCATENATE("#metadata!", ADDRESS(INDEX($J$2:$J$1001,MATCH(ROWS($H$2:H3),$H$2:$H$1001,0),0), INDEX($O$1004:$Q$1004,1,MATCH(COLUMNS($O$1006:Q1006),$O$1006:$Q$1006,0)))),"Fix")))</f>
        <v xml:space="preserve"> </v>
      </c>
      <c r="H3">
        <v>2</v>
      </c>
      <c r="I3">
        <v>100003</v>
      </c>
      <c r="J3">
        <v>3</v>
      </c>
      <c r="K3" t="b">
        <f t="shared" si="0"/>
        <v>1</v>
      </c>
      <c r="L3" t="b">
        <f>COUNTBLANK(metadata!B3:D3)=COLUMNS(metadata!B3:D3)</f>
        <v>1</v>
      </c>
      <c r="M3" t="str">
        <v/>
      </c>
      <c r="O3" t="b">
        <f ca="1"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P3" t="b">
        <f>AND(IF(metadata!C3="",FALSE,TRUE),EXACT(metadata!C3,"mouse gut metagenome"))</f>
        <v>0</v>
      </c>
      <c r="Q3" t="b">
        <f>AND(IF(metadata!D3="",FALSE,TRUE),EXACT(metadata!D3,"410661"))</f>
        <v>0</v>
      </c>
    </row>
    <row r="4" spans="1:17" x14ac:dyDescent="0.2">
      <c r="A4" s="4" t="str">
        <f ca="1">IF(B4=" "," ",HYPERLINK(CONCATENATE("#metadata!",ADDRESS(INDEX($J$2:$J$1001,MATCH(ROWS($H$2:H4),$H$2:$H$1001,0),0),1)),INDEX($M$2:$M$1001,MATCH(ROWS($H$2:H4),$H$2:$H$1001,0),0)))</f>
        <v xml:space="preserve"> </v>
      </c>
      <c r="B4" s="3" t="str">
        <f ca="1">IF(OR(INDEX($I$2:$I$1001,MATCH(ROWS($H$2:H4),$H$2:$H$1001,0),1)&gt;=100000,INDEX($O$1005:$Q$1005,1,MATCH(COLUMNS($O$1006:O1006),$O$1006:$Q$1006,0))&gt;=100000), " ",IF(INDEX($O$2:$Q$1001,MATCH(ROWS($H$2:H4),$H$2:$H$1001,0),MATCH(COLUMNS($O$1006:O1006),$O$1006:$Q$1006,0)), HYPERLINK("#",""), HYPERLINK(CONCATENATE("#metadata!", ADDRESS(INDEX($J$2:$J$1001,MATCH(ROWS($H$2:H4),$H$2:$H$1001,0),0), INDEX($O$1004:$Q$1004,1,MATCH(COLUMNS($O$1006:O1006),$O$1006:$Q$1006,0)))),"Fix")))</f>
        <v xml:space="preserve"> </v>
      </c>
      <c r="C4" s="3" t="str">
        <f ca="1">IF(OR(INDEX($I$2:$I$1001,MATCH(ROWS($H$2:H4),$H$2:$H$1001,0),1)&gt;=100000,INDEX($O$1005:$Q$1005,1,MATCH(COLUMNS($O$1006:P1006),$O$1006:$Q$1006,0))&gt;=100000), " ",IF(INDEX($O$2:$Q$1001,MATCH(ROWS($H$2:H4),$H$2:$H$1001,0),MATCH(COLUMNS($O$1006:P1006),$O$1006:$Q$1006,0)), HYPERLINK("#",""), HYPERLINK(CONCATENATE("#metadata!", ADDRESS(INDEX($J$2:$J$1001,MATCH(ROWS($H$2:H4),$H$2:$H$1001,0),0), INDEX($O$1004:$Q$1004,1,MATCH(COLUMNS($O$1006:P1006),$O$1006:$Q$1006,0)))),"Fix")))</f>
        <v xml:space="preserve"> </v>
      </c>
      <c r="D4" s="3" t="str">
        <f ca="1">IF(OR(INDEX($I$2:$I$1001,MATCH(ROWS($H$2:H4),$H$2:$H$1001,0),1)&gt;=100000,INDEX($O$1005:$Q$1005,1,MATCH(COLUMNS($O$1006:Q1006),$O$1006:$Q$1006,0))&gt;=100000), " ",IF(INDEX($O$2:$Q$1001,MATCH(ROWS($H$2:H4),$H$2:$H$1001,0),MATCH(COLUMNS($O$1006:Q1006),$O$1006:$Q$1006,0)), HYPERLINK("#",""), HYPERLINK(CONCATENATE("#metadata!", ADDRESS(INDEX($J$2:$J$1001,MATCH(ROWS($H$2:H4),$H$2:$H$1001,0),0), INDEX($O$1004:$Q$1004,1,MATCH(COLUMNS($O$1006:Q1006),$O$1006:$Q$1006,0)))),"Fix")))</f>
        <v xml:space="preserve"> </v>
      </c>
      <c r="H4">
        <v>3</v>
      </c>
      <c r="I4">
        <v>100004</v>
      </c>
      <c r="J4">
        <v>4</v>
      </c>
      <c r="K4" t="b">
        <f t="shared" si="0"/>
        <v>1</v>
      </c>
      <c r="L4" t="b">
        <f>COUNTBLANK(metadata!B4:D4)=COLUMNS(metadata!B4:D4)</f>
        <v>1</v>
      </c>
      <c r="M4" t="str">
        <v/>
      </c>
      <c r="O4" t="b">
        <f ca="1"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P4" t="b">
        <f>AND(IF(metadata!C4="",FALSE,TRUE),EXACT(metadata!C4,"mouse gut metagenome"))</f>
        <v>0</v>
      </c>
      <c r="Q4" t="b">
        <f>AND(IF(metadata!D4="",FALSE,TRUE),EXACT(metadata!D4,"410661"))</f>
        <v>0</v>
      </c>
    </row>
    <row r="5" spans="1:17" x14ac:dyDescent="0.2">
      <c r="A5" s="4" t="str">
        <f ca="1">IF(B5=" "," ",HYPERLINK(CONCATENATE("#metadata!",ADDRESS(INDEX($J$2:$J$1001,MATCH(ROWS($H$2:H5),$H$2:$H$1001,0),0),1)),INDEX($M$2:$M$1001,MATCH(ROWS($H$2:H5),$H$2:$H$1001,0),0)))</f>
        <v xml:space="preserve"> </v>
      </c>
      <c r="B5" s="3" t="str">
        <f ca="1">IF(OR(INDEX($I$2:$I$1001,MATCH(ROWS($H$2:H5),$H$2:$H$1001,0),1)&gt;=100000,INDEX($O$1005:$Q$1005,1,MATCH(COLUMNS($O$1006:O1006),$O$1006:$Q$1006,0))&gt;=100000), " ",IF(INDEX($O$2:$Q$1001,MATCH(ROWS($H$2:H5),$H$2:$H$1001,0),MATCH(COLUMNS($O$1006:O1006),$O$1006:$Q$1006,0)), HYPERLINK("#",""), HYPERLINK(CONCATENATE("#metadata!", ADDRESS(INDEX($J$2:$J$1001,MATCH(ROWS($H$2:H5),$H$2:$H$1001,0),0), INDEX($O$1004:$Q$1004,1,MATCH(COLUMNS($O$1006:O1006),$O$1006:$Q$1006,0)))),"Fix")))</f>
        <v xml:space="preserve"> </v>
      </c>
      <c r="C5" s="3" t="str">
        <f ca="1">IF(OR(INDEX($I$2:$I$1001,MATCH(ROWS($H$2:H5),$H$2:$H$1001,0),1)&gt;=100000,INDEX($O$1005:$Q$1005,1,MATCH(COLUMNS($O$1006:P1006),$O$1006:$Q$1006,0))&gt;=100000), " ",IF(INDEX($O$2:$Q$1001,MATCH(ROWS($H$2:H5),$H$2:$H$1001,0),MATCH(COLUMNS($O$1006:P1006),$O$1006:$Q$1006,0)), HYPERLINK("#",""), HYPERLINK(CONCATENATE("#metadata!", ADDRESS(INDEX($J$2:$J$1001,MATCH(ROWS($H$2:H5),$H$2:$H$1001,0),0), INDEX($O$1004:$Q$1004,1,MATCH(COLUMNS($O$1006:P1006),$O$1006:$Q$1006,0)))),"Fix")))</f>
        <v xml:space="preserve"> </v>
      </c>
      <c r="D5" s="3" t="str">
        <f ca="1">IF(OR(INDEX($I$2:$I$1001,MATCH(ROWS($H$2:H5),$H$2:$H$1001,0),1)&gt;=100000,INDEX($O$1005:$Q$1005,1,MATCH(COLUMNS($O$1006:Q1006),$O$1006:$Q$1006,0))&gt;=100000), " ",IF(INDEX($O$2:$Q$1001,MATCH(ROWS($H$2:H5),$H$2:$H$1001,0),MATCH(COLUMNS($O$1006:Q1006),$O$1006:$Q$1006,0)), HYPERLINK("#",""), HYPERLINK(CONCATENATE("#metadata!", ADDRESS(INDEX($J$2:$J$1001,MATCH(ROWS($H$2:H5),$H$2:$H$1001,0),0), INDEX($O$1004:$Q$1004,1,MATCH(COLUMNS($O$1006:Q1006),$O$1006:$Q$1006,0)))),"Fix")))</f>
        <v xml:space="preserve"> </v>
      </c>
      <c r="H5">
        <v>4</v>
      </c>
      <c r="I5">
        <v>100005</v>
      </c>
      <c r="J5">
        <v>5</v>
      </c>
      <c r="K5" t="b">
        <f t="shared" si="0"/>
        <v>1</v>
      </c>
      <c r="L5" t="b">
        <f>COUNTBLANK(metadata!B5:D5)=COLUMNS(metadata!B5:D5)</f>
        <v>1</v>
      </c>
      <c r="M5" t="str">
        <v/>
      </c>
      <c r="O5" t="b">
        <f ca="1"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P5" t="b">
        <f>AND(IF(metadata!C5="",FALSE,TRUE),EXACT(metadata!C5,"mouse gut metagenome"))</f>
        <v>0</v>
      </c>
      <c r="Q5" t="b">
        <f>AND(IF(metadata!D5="",FALSE,TRUE),EXACT(metadata!D5,"410661"))</f>
        <v>0</v>
      </c>
    </row>
    <row r="6" spans="1:17" x14ac:dyDescent="0.2">
      <c r="A6" s="4" t="str">
        <f ca="1">IF(B6=" "," ",HYPERLINK(CONCATENATE("#metadata!",ADDRESS(INDEX($J$2:$J$1001,MATCH(ROWS($H$2:H6),$H$2:$H$1001,0),0),1)),INDEX($M$2:$M$1001,MATCH(ROWS($H$2:H6),$H$2:$H$1001,0),0)))</f>
        <v xml:space="preserve"> </v>
      </c>
      <c r="B6" s="3" t="str">
        <f ca="1">IF(OR(INDEX($I$2:$I$1001,MATCH(ROWS($H$2:H6),$H$2:$H$1001,0),1)&gt;=100000,INDEX($O$1005:$Q$1005,1,MATCH(COLUMNS($O$1006:O1006),$O$1006:$Q$1006,0))&gt;=100000), " ",IF(INDEX($O$2:$Q$1001,MATCH(ROWS($H$2:H6),$H$2:$H$1001,0),MATCH(COLUMNS($O$1006:O1006),$O$1006:$Q$1006,0)), HYPERLINK("#",""), HYPERLINK(CONCATENATE("#metadata!", ADDRESS(INDEX($J$2:$J$1001,MATCH(ROWS($H$2:H6),$H$2:$H$1001,0),0), INDEX($O$1004:$Q$1004,1,MATCH(COLUMNS($O$1006:O1006),$O$1006:$Q$1006,0)))),"Fix")))</f>
        <v xml:space="preserve"> </v>
      </c>
      <c r="C6" s="3" t="str">
        <f ca="1">IF(OR(INDEX($I$2:$I$1001,MATCH(ROWS($H$2:H6),$H$2:$H$1001,0),1)&gt;=100000,INDEX($O$1005:$Q$1005,1,MATCH(COLUMNS($O$1006:P1006),$O$1006:$Q$1006,0))&gt;=100000), " ",IF(INDEX($O$2:$Q$1001,MATCH(ROWS($H$2:H6),$H$2:$H$1001,0),MATCH(COLUMNS($O$1006:P1006),$O$1006:$Q$1006,0)), HYPERLINK("#",""), HYPERLINK(CONCATENATE("#metadata!", ADDRESS(INDEX($J$2:$J$1001,MATCH(ROWS($H$2:H6),$H$2:$H$1001,0),0), INDEX($O$1004:$Q$1004,1,MATCH(COLUMNS($O$1006:P1006),$O$1006:$Q$1006,0)))),"Fix")))</f>
        <v xml:space="preserve"> </v>
      </c>
      <c r="D6" s="3" t="str">
        <f ca="1">IF(OR(INDEX($I$2:$I$1001,MATCH(ROWS($H$2:H6),$H$2:$H$1001,0),1)&gt;=100000,INDEX($O$1005:$Q$1005,1,MATCH(COLUMNS($O$1006:Q1006),$O$1006:$Q$1006,0))&gt;=100000), " ",IF(INDEX($O$2:$Q$1001,MATCH(ROWS($H$2:H6),$H$2:$H$1001,0),MATCH(COLUMNS($O$1006:Q1006),$O$1006:$Q$1006,0)), HYPERLINK("#",""), HYPERLINK(CONCATENATE("#metadata!", ADDRESS(INDEX($J$2:$J$1001,MATCH(ROWS($H$2:H6),$H$2:$H$1001,0),0), INDEX($O$1004:$Q$1004,1,MATCH(COLUMNS($O$1006:Q1006),$O$1006:$Q$1006,0)))),"Fix")))</f>
        <v xml:space="preserve"> </v>
      </c>
      <c r="H6">
        <v>5</v>
      </c>
      <c r="I6">
        <v>100006</v>
      </c>
      <c r="J6">
        <v>6</v>
      </c>
      <c r="K6" t="b">
        <f t="shared" si="0"/>
        <v>1</v>
      </c>
      <c r="L6" t="b">
        <f>COUNTBLANK(metadata!B6:D6)=COLUMNS(metadata!B6:D6)</f>
        <v>1</v>
      </c>
      <c r="M6" t="str">
        <v/>
      </c>
      <c r="O6" t="b">
        <f ca="1"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P6" t="b">
        <f>AND(IF(metadata!C6="",FALSE,TRUE),EXACT(metadata!C6,"mouse gut metagenome"))</f>
        <v>0</v>
      </c>
      <c r="Q6" t="b">
        <f>AND(IF(metadata!D6="",FALSE,TRUE),EXACT(metadata!D6,"410661"))</f>
        <v>0</v>
      </c>
    </row>
    <row r="7" spans="1:17" x14ac:dyDescent="0.2">
      <c r="A7" s="4" t="str">
        <f ca="1">IF(B7=" "," ",HYPERLINK(CONCATENATE("#metadata!",ADDRESS(INDEX($J$2:$J$1001,MATCH(ROWS($H$2:H7),$H$2:$H$1001,0),0),1)),INDEX($M$2:$M$1001,MATCH(ROWS($H$2:H7),$H$2:$H$1001,0),0)))</f>
        <v xml:space="preserve"> </v>
      </c>
      <c r="B7" s="3" t="str">
        <f ca="1">IF(OR(INDEX($I$2:$I$1001,MATCH(ROWS($H$2:H7),$H$2:$H$1001,0),1)&gt;=100000,INDEX($O$1005:$Q$1005,1,MATCH(COLUMNS($O$1006:O1006),$O$1006:$Q$1006,0))&gt;=100000), " ",IF(INDEX($O$2:$Q$1001,MATCH(ROWS($H$2:H7),$H$2:$H$1001,0),MATCH(COLUMNS($O$1006:O1006),$O$1006:$Q$1006,0)), HYPERLINK("#",""), HYPERLINK(CONCATENATE("#metadata!", ADDRESS(INDEX($J$2:$J$1001,MATCH(ROWS($H$2:H7),$H$2:$H$1001,0),0), INDEX($O$1004:$Q$1004,1,MATCH(COLUMNS($O$1006:O1006),$O$1006:$Q$1006,0)))),"Fix")))</f>
        <v xml:space="preserve"> </v>
      </c>
      <c r="C7" s="3" t="str">
        <f ca="1">IF(OR(INDEX($I$2:$I$1001,MATCH(ROWS($H$2:H7),$H$2:$H$1001,0),1)&gt;=100000,INDEX($O$1005:$Q$1005,1,MATCH(COLUMNS($O$1006:P1006),$O$1006:$Q$1006,0))&gt;=100000), " ",IF(INDEX($O$2:$Q$1001,MATCH(ROWS($H$2:H7),$H$2:$H$1001,0),MATCH(COLUMNS($O$1006:P1006),$O$1006:$Q$1006,0)), HYPERLINK("#",""), HYPERLINK(CONCATENATE("#metadata!", ADDRESS(INDEX($J$2:$J$1001,MATCH(ROWS($H$2:H7),$H$2:$H$1001,0),0), INDEX($O$1004:$Q$1004,1,MATCH(COLUMNS($O$1006:P1006),$O$1006:$Q$1006,0)))),"Fix")))</f>
        <v xml:space="preserve"> </v>
      </c>
      <c r="D7" s="3" t="str">
        <f ca="1">IF(OR(INDEX($I$2:$I$1001,MATCH(ROWS($H$2:H7),$H$2:$H$1001,0),1)&gt;=100000,INDEX($O$1005:$Q$1005,1,MATCH(COLUMNS($O$1006:Q1006),$O$1006:$Q$1006,0))&gt;=100000), " ",IF(INDEX($O$2:$Q$1001,MATCH(ROWS($H$2:H7),$H$2:$H$1001,0),MATCH(COLUMNS($O$1006:Q1006),$O$1006:$Q$1006,0)), HYPERLINK("#",""), HYPERLINK(CONCATENATE("#metadata!", ADDRESS(INDEX($J$2:$J$1001,MATCH(ROWS($H$2:H7),$H$2:$H$1001,0),0), INDEX($O$1004:$Q$1004,1,MATCH(COLUMNS($O$1006:Q1006),$O$1006:$Q$1006,0)))),"Fix")))</f>
        <v xml:space="preserve"> </v>
      </c>
      <c r="H7">
        <v>6</v>
      </c>
      <c r="I7">
        <v>100007</v>
      </c>
      <c r="J7">
        <v>7</v>
      </c>
      <c r="K7" t="b">
        <f t="shared" si="0"/>
        <v>1</v>
      </c>
      <c r="L7" t="b">
        <f>COUNTBLANK(metadata!B7:D7)=COLUMNS(metadata!B7:D7)</f>
        <v>1</v>
      </c>
      <c r="M7" t="str">
        <v/>
      </c>
      <c r="O7" t="b">
        <f ca="1"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P7" t="b">
        <f>AND(IF(metadata!C7="",FALSE,TRUE),EXACT(metadata!C7,"mouse gut metagenome"))</f>
        <v>0</v>
      </c>
      <c r="Q7" t="b">
        <f>AND(IF(metadata!D7="",FALSE,TRUE),EXACT(metadata!D7,"410661"))</f>
        <v>0</v>
      </c>
    </row>
    <row r="8" spans="1:17" x14ac:dyDescent="0.2">
      <c r="A8" s="4" t="str">
        <f ca="1">IF(B8=" "," ",HYPERLINK(CONCATENATE("#metadata!",ADDRESS(INDEX($J$2:$J$1001,MATCH(ROWS($H$2:H8),$H$2:$H$1001,0),0),1)),INDEX($M$2:$M$1001,MATCH(ROWS($H$2:H8),$H$2:$H$1001,0),0)))</f>
        <v xml:space="preserve"> </v>
      </c>
      <c r="B8" s="3" t="str">
        <f ca="1">IF(OR(INDEX($I$2:$I$1001,MATCH(ROWS($H$2:H8),$H$2:$H$1001,0),1)&gt;=100000,INDEX($O$1005:$Q$1005,1,MATCH(COLUMNS($O$1006:O1006),$O$1006:$Q$1006,0))&gt;=100000), " ",IF(INDEX($O$2:$Q$1001,MATCH(ROWS($H$2:H8),$H$2:$H$1001,0),MATCH(COLUMNS($O$1006:O1006),$O$1006:$Q$1006,0)), HYPERLINK("#",""), HYPERLINK(CONCATENATE("#metadata!", ADDRESS(INDEX($J$2:$J$1001,MATCH(ROWS($H$2:H8),$H$2:$H$1001,0),0), INDEX($O$1004:$Q$1004,1,MATCH(COLUMNS($O$1006:O1006),$O$1006:$Q$1006,0)))),"Fix")))</f>
        <v xml:space="preserve"> </v>
      </c>
      <c r="C8" s="3" t="str">
        <f ca="1">IF(OR(INDEX($I$2:$I$1001,MATCH(ROWS($H$2:H8),$H$2:$H$1001,0),1)&gt;=100000,INDEX($O$1005:$Q$1005,1,MATCH(COLUMNS($O$1006:P1006),$O$1006:$Q$1006,0))&gt;=100000), " ",IF(INDEX($O$2:$Q$1001,MATCH(ROWS($H$2:H8),$H$2:$H$1001,0),MATCH(COLUMNS($O$1006:P1006),$O$1006:$Q$1006,0)), HYPERLINK("#",""), HYPERLINK(CONCATENATE("#metadata!", ADDRESS(INDEX($J$2:$J$1001,MATCH(ROWS($H$2:H8),$H$2:$H$1001,0),0), INDEX($O$1004:$Q$1004,1,MATCH(COLUMNS($O$1006:P1006),$O$1006:$Q$1006,0)))),"Fix")))</f>
        <v xml:space="preserve"> </v>
      </c>
      <c r="D8" s="3" t="str">
        <f ca="1">IF(OR(INDEX($I$2:$I$1001,MATCH(ROWS($H$2:H8),$H$2:$H$1001,0),1)&gt;=100000,INDEX($O$1005:$Q$1005,1,MATCH(COLUMNS($O$1006:Q1006),$O$1006:$Q$1006,0))&gt;=100000), " ",IF(INDEX($O$2:$Q$1001,MATCH(ROWS($H$2:H8),$H$2:$H$1001,0),MATCH(COLUMNS($O$1006:Q1006),$O$1006:$Q$1006,0)), HYPERLINK("#",""), HYPERLINK(CONCATENATE("#metadata!", ADDRESS(INDEX($J$2:$J$1001,MATCH(ROWS($H$2:H8),$H$2:$H$1001,0),0), INDEX($O$1004:$Q$1004,1,MATCH(COLUMNS($O$1006:Q1006),$O$1006:$Q$1006,0)))),"Fix")))</f>
        <v xml:space="preserve"> </v>
      </c>
      <c r="H8">
        <v>7</v>
      </c>
      <c r="I8">
        <v>100008</v>
      </c>
      <c r="J8">
        <v>8</v>
      </c>
      <c r="K8" t="b">
        <f t="shared" si="0"/>
        <v>1</v>
      </c>
      <c r="L8" t="b">
        <f>COUNTBLANK(metadata!B8:D8)=COLUMNS(metadata!B8:D8)</f>
        <v>1</v>
      </c>
      <c r="M8" t="str">
        <v/>
      </c>
      <c r="O8" t="b">
        <f ca="1"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P8" t="b">
        <f>AND(IF(metadata!C8="",FALSE,TRUE),EXACT(metadata!C8,"mouse gut metagenome"))</f>
        <v>0</v>
      </c>
      <c r="Q8" t="b">
        <f>AND(IF(metadata!D8="",FALSE,TRUE),EXACT(metadata!D8,"410661"))</f>
        <v>0</v>
      </c>
    </row>
    <row r="9" spans="1:17" x14ac:dyDescent="0.2">
      <c r="A9" s="4" t="str">
        <f ca="1">IF(B9=" "," ",HYPERLINK(CONCATENATE("#metadata!",ADDRESS(INDEX($J$2:$J$1001,MATCH(ROWS($H$2:H9),$H$2:$H$1001,0),0),1)),INDEX($M$2:$M$1001,MATCH(ROWS($H$2:H9),$H$2:$H$1001,0),0)))</f>
        <v xml:space="preserve"> </v>
      </c>
      <c r="B9" s="3" t="str">
        <f ca="1">IF(OR(INDEX($I$2:$I$1001,MATCH(ROWS($H$2:H9),$H$2:$H$1001,0),1)&gt;=100000,INDEX($O$1005:$Q$1005,1,MATCH(COLUMNS($O$1006:O1006),$O$1006:$Q$1006,0))&gt;=100000), " ",IF(INDEX($O$2:$Q$1001,MATCH(ROWS($H$2:H9),$H$2:$H$1001,0),MATCH(COLUMNS($O$1006:O1006),$O$1006:$Q$1006,0)), HYPERLINK("#",""), HYPERLINK(CONCATENATE("#metadata!", ADDRESS(INDEX($J$2:$J$1001,MATCH(ROWS($H$2:H9),$H$2:$H$1001,0),0), INDEX($O$1004:$Q$1004,1,MATCH(COLUMNS($O$1006:O1006),$O$1006:$Q$1006,0)))),"Fix")))</f>
        <v xml:space="preserve"> </v>
      </c>
      <c r="C9" s="3" t="str">
        <f ca="1">IF(OR(INDEX($I$2:$I$1001,MATCH(ROWS($H$2:H9),$H$2:$H$1001,0),1)&gt;=100000,INDEX($O$1005:$Q$1005,1,MATCH(COLUMNS($O$1006:P1006),$O$1006:$Q$1006,0))&gt;=100000), " ",IF(INDEX($O$2:$Q$1001,MATCH(ROWS($H$2:H9),$H$2:$H$1001,0),MATCH(COLUMNS($O$1006:P1006),$O$1006:$Q$1006,0)), HYPERLINK("#",""), HYPERLINK(CONCATENATE("#metadata!", ADDRESS(INDEX($J$2:$J$1001,MATCH(ROWS($H$2:H9),$H$2:$H$1001,0),0), INDEX($O$1004:$Q$1004,1,MATCH(COLUMNS($O$1006:P1006),$O$1006:$Q$1006,0)))),"Fix")))</f>
        <v xml:space="preserve"> </v>
      </c>
      <c r="D9" s="3" t="str">
        <f ca="1">IF(OR(INDEX($I$2:$I$1001,MATCH(ROWS($H$2:H9),$H$2:$H$1001,0),1)&gt;=100000,INDEX($O$1005:$Q$1005,1,MATCH(COLUMNS($O$1006:Q1006),$O$1006:$Q$1006,0))&gt;=100000), " ",IF(INDEX($O$2:$Q$1001,MATCH(ROWS($H$2:H9),$H$2:$H$1001,0),MATCH(COLUMNS($O$1006:Q1006),$O$1006:$Q$1006,0)), HYPERLINK("#",""), HYPERLINK(CONCATENATE("#metadata!", ADDRESS(INDEX($J$2:$J$1001,MATCH(ROWS($H$2:H9),$H$2:$H$1001,0),0), INDEX($O$1004:$Q$1004,1,MATCH(COLUMNS($O$1006:Q1006),$O$1006:$Q$1006,0)))),"Fix")))</f>
        <v xml:space="preserve"> </v>
      </c>
      <c r="H9">
        <v>8</v>
      </c>
      <c r="I9">
        <v>100009</v>
      </c>
      <c r="J9">
        <v>9</v>
      </c>
      <c r="K9" t="b">
        <f t="shared" si="0"/>
        <v>1</v>
      </c>
      <c r="L9" t="b">
        <f>COUNTBLANK(metadata!B9:D9)=COLUMNS(metadata!B9:D9)</f>
        <v>1</v>
      </c>
      <c r="M9" t="str">
        <v/>
      </c>
      <c r="O9" t="b">
        <f ca="1"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P9" t="b">
        <f>AND(IF(metadata!C9="",FALSE,TRUE),EXACT(metadata!C9,"mouse gut metagenome"))</f>
        <v>0</v>
      </c>
      <c r="Q9" t="b">
        <f>AND(IF(metadata!D9="",FALSE,TRUE),EXACT(metadata!D9,"410661"))</f>
        <v>0</v>
      </c>
    </row>
    <row r="10" spans="1:17" x14ac:dyDescent="0.2">
      <c r="A10" s="4" t="str">
        <f ca="1">IF(B10=" "," ",HYPERLINK(CONCATENATE("#metadata!",ADDRESS(INDEX($J$2:$J$1001,MATCH(ROWS($H$2:H10),$H$2:$H$1001,0),0),1)),INDEX($M$2:$M$1001,MATCH(ROWS($H$2:H10),$H$2:$H$1001,0),0)))</f>
        <v xml:space="preserve"> </v>
      </c>
      <c r="B10" s="3" t="str">
        <f ca="1">IF(OR(INDEX($I$2:$I$1001,MATCH(ROWS($H$2:H10),$H$2:$H$1001,0),1)&gt;=100000,INDEX($O$1005:$Q$1005,1,MATCH(COLUMNS($O$1006:O1006),$O$1006:$Q$1006,0))&gt;=100000), " ",IF(INDEX($O$2:$Q$1001,MATCH(ROWS($H$2:H10),$H$2:$H$1001,0),MATCH(COLUMNS($O$1006:O1006),$O$1006:$Q$1006,0)), HYPERLINK("#",""), HYPERLINK(CONCATENATE("#metadata!", ADDRESS(INDEX($J$2:$J$1001,MATCH(ROWS($H$2:H10),$H$2:$H$1001,0),0), INDEX($O$1004:$Q$1004,1,MATCH(COLUMNS($O$1006:O1006),$O$1006:$Q$1006,0)))),"Fix")))</f>
        <v xml:space="preserve"> </v>
      </c>
      <c r="C10" s="3" t="str">
        <f ca="1">IF(OR(INDEX($I$2:$I$1001,MATCH(ROWS($H$2:H10),$H$2:$H$1001,0),1)&gt;=100000,INDEX($O$1005:$Q$1005,1,MATCH(COLUMNS($O$1006:P1006),$O$1006:$Q$1006,0))&gt;=100000), " ",IF(INDEX($O$2:$Q$1001,MATCH(ROWS($H$2:H10),$H$2:$H$1001,0),MATCH(COLUMNS($O$1006:P1006),$O$1006:$Q$1006,0)), HYPERLINK("#",""), HYPERLINK(CONCATENATE("#metadata!", ADDRESS(INDEX($J$2:$J$1001,MATCH(ROWS($H$2:H10),$H$2:$H$1001,0),0), INDEX($O$1004:$Q$1004,1,MATCH(COLUMNS($O$1006:P1006),$O$1006:$Q$1006,0)))),"Fix")))</f>
        <v xml:space="preserve"> </v>
      </c>
      <c r="D10" s="3" t="str">
        <f ca="1">IF(OR(INDEX($I$2:$I$1001,MATCH(ROWS($H$2:H10),$H$2:$H$1001,0),1)&gt;=100000,INDEX($O$1005:$Q$1005,1,MATCH(COLUMNS($O$1006:Q1006),$O$1006:$Q$1006,0))&gt;=100000), " ",IF(INDEX($O$2:$Q$1001,MATCH(ROWS($H$2:H10),$H$2:$H$1001,0),MATCH(COLUMNS($O$1006:Q1006),$O$1006:$Q$1006,0)), HYPERLINK("#",""), HYPERLINK(CONCATENATE("#metadata!", ADDRESS(INDEX($J$2:$J$1001,MATCH(ROWS($H$2:H10),$H$2:$H$1001,0),0), INDEX($O$1004:$Q$1004,1,MATCH(COLUMNS($O$1006:Q1006),$O$1006:$Q$1006,0)))),"Fix")))</f>
        <v xml:space="preserve"> </v>
      </c>
      <c r="H10">
        <v>9</v>
      </c>
      <c r="I10">
        <v>100010</v>
      </c>
      <c r="J10">
        <v>10</v>
      </c>
      <c r="K10" t="b">
        <f t="shared" si="0"/>
        <v>1</v>
      </c>
      <c r="L10" t="b">
        <f>COUNTBLANK(metadata!B10:D10)=COLUMNS(metadata!B10:D10)</f>
        <v>1</v>
      </c>
      <c r="M10" t="str">
        <v/>
      </c>
      <c r="O10" t="b">
        <f ca="1"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P10" t="b">
        <f>AND(IF(metadata!C10="",FALSE,TRUE),EXACT(metadata!C10,"mouse gut metagenome"))</f>
        <v>0</v>
      </c>
      <c r="Q10" t="b">
        <f>AND(IF(metadata!D10="",FALSE,TRUE),EXACT(metadata!D10,"410661"))</f>
        <v>0</v>
      </c>
    </row>
    <row r="11" spans="1:17" x14ac:dyDescent="0.2">
      <c r="A11" s="4" t="str">
        <f ca="1">IF(B11=" "," ",HYPERLINK(CONCATENATE("#metadata!",ADDRESS(INDEX($J$2:$J$1001,MATCH(ROWS($H$2:H11),$H$2:$H$1001,0),0),1)),INDEX($M$2:$M$1001,MATCH(ROWS($H$2:H11),$H$2:$H$1001,0),0)))</f>
        <v xml:space="preserve"> </v>
      </c>
      <c r="B11" s="3" t="str">
        <f ca="1">IF(OR(INDEX($I$2:$I$1001,MATCH(ROWS($H$2:H11),$H$2:$H$1001,0),1)&gt;=100000,INDEX($O$1005:$Q$1005,1,MATCH(COLUMNS($O$1006:O1006),$O$1006:$Q$1006,0))&gt;=100000), " ",IF(INDEX($O$2:$Q$1001,MATCH(ROWS($H$2:H11),$H$2:$H$1001,0),MATCH(COLUMNS($O$1006:O1006),$O$1006:$Q$1006,0)), HYPERLINK("#",""), HYPERLINK(CONCATENATE("#metadata!", ADDRESS(INDEX($J$2:$J$1001,MATCH(ROWS($H$2:H11),$H$2:$H$1001,0),0), INDEX($O$1004:$Q$1004,1,MATCH(COLUMNS($O$1006:O1006),$O$1006:$Q$1006,0)))),"Fix")))</f>
        <v xml:space="preserve"> </v>
      </c>
      <c r="C11" s="3" t="str">
        <f ca="1">IF(OR(INDEX($I$2:$I$1001,MATCH(ROWS($H$2:H11),$H$2:$H$1001,0),1)&gt;=100000,INDEX($O$1005:$Q$1005,1,MATCH(COLUMNS($O$1006:P1006),$O$1006:$Q$1006,0))&gt;=100000), " ",IF(INDEX($O$2:$Q$1001,MATCH(ROWS($H$2:H11),$H$2:$H$1001,0),MATCH(COLUMNS($O$1006:P1006),$O$1006:$Q$1006,0)), HYPERLINK("#",""), HYPERLINK(CONCATENATE("#metadata!", ADDRESS(INDEX($J$2:$J$1001,MATCH(ROWS($H$2:H11),$H$2:$H$1001,0),0), INDEX($O$1004:$Q$1004,1,MATCH(COLUMNS($O$1006:P1006),$O$1006:$Q$1006,0)))),"Fix")))</f>
        <v xml:space="preserve"> </v>
      </c>
      <c r="D11" s="3" t="str">
        <f ca="1">IF(OR(INDEX($I$2:$I$1001,MATCH(ROWS($H$2:H11),$H$2:$H$1001,0),1)&gt;=100000,INDEX($O$1005:$Q$1005,1,MATCH(COLUMNS($O$1006:Q1006),$O$1006:$Q$1006,0))&gt;=100000), " ",IF(INDEX($O$2:$Q$1001,MATCH(ROWS($H$2:H11),$H$2:$H$1001,0),MATCH(COLUMNS($O$1006:Q1006),$O$1006:$Q$1006,0)), HYPERLINK("#",""), HYPERLINK(CONCATENATE("#metadata!", ADDRESS(INDEX($J$2:$J$1001,MATCH(ROWS($H$2:H11),$H$2:$H$1001,0),0), INDEX($O$1004:$Q$1004,1,MATCH(COLUMNS($O$1006:Q1006),$O$1006:$Q$1006,0)))),"Fix")))</f>
        <v xml:space="preserve"> </v>
      </c>
      <c r="H11">
        <v>10</v>
      </c>
      <c r="I11">
        <v>100011</v>
      </c>
      <c r="J11">
        <v>11</v>
      </c>
      <c r="K11" t="b">
        <f t="shared" si="0"/>
        <v>1</v>
      </c>
      <c r="L11" t="b">
        <f>COUNTBLANK(metadata!B11:D11)=COLUMNS(metadata!B11:D11)</f>
        <v>1</v>
      </c>
      <c r="M11" t="str">
        <v/>
      </c>
      <c r="O11" t="b">
        <f ca="1"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P11" t="b">
        <f>AND(IF(metadata!C11="",FALSE,TRUE),EXACT(metadata!C11,"mouse gut metagenome"))</f>
        <v>0</v>
      </c>
      <c r="Q11" t="b">
        <f>AND(IF(metadata!D11="",FALSE,TRUE),EXACT(metadata!D11,"410661"))</f>
        <v>0</v>
      </c>
    </row>
    <row r="12" spans="1:17" x14ac:dyDescent="0.2">
      <c r="A12" s="4" t="str">
        <f ca="1">IF(B12=" "," ",HYPERLINK(CONCATENATE("#metadata!",ADDRESS(INDEX($J$2:$J$1001,MATCH(ROWS($H$2:H12),$H$2:$H$1001,0),0),1)),INDEX($M$2:$M$1001,MATCH(ROWS($H$2:H12),$H$2:$H$1001,0),0)))</f>
        <v xml:space="preserve"> </v>
      </c>
      <c r="B12" s="3" t="str">
        <f ca="1">IF(OR(INDEX($I$2:$I$1001,MATCH(ROWS($H$2:H12),$H$2:$H$1001,0),1)&gt;=100000,INDEX($O$1005:$Q$1005,1,MATCH(COLUMNS($O$1006:O1006),$O$1006:$Q$1006,0))&gt;=100000), " ",IF(INDEX($O$2:$Q$1001,MATCH(ROWS($H$2:H12),$H$2:$H$1001,0),MATCH(COLUMNS($O$1006:O1006),$O$1006:$Q$1006,0)), HYPERLINK("#",""), HYPERLINK(CONCATENATE("#metadata!", ADDRESS(INDEX($J$2:$J$1001,MATCH(ROWS($H$2:H12),$H$2:$H$1001,0),0), INDEX($O$1004:$Q$1004,1,MATCH(COLUMNS($O$1006:O1006),$O$1006:$Q$1006,0)))),"Fix")))</f>
        <v xml:space="preserve"> </v>
      </c>
      <c r="C12" s="3" t="str">
        <f ca="1">IF(OR(INDEX($I$2:$I$1001,MATCH(ROWS($H$2:H12),$H$2:$H$1001,0),1)&gt;=100000,INDEX($O$1005:$Q$1005,1,MATCH(COLUMNS($O$1006:P1006),$O$1006:$Q$1006,0))&gt;=100000), " ",IF(INDEX($O$2:$Q$1001,MATCH(ROWS($H$2:H12),$H$2:$H$1001,0),MATCH(COLUMNS($O$1006:P1006),$O$1006:$Q$1006,0)), HYPERLINK("#",""), HYPERLINK(CONCATENATE("#metadata!", ADDRESS(INDEX($J$2:$J$1001,MATCH(ROWS($H$2:H12),$H$2:$H$1001,0),0), INDEX($O$1004:$Q$1004,1,MATCH(COLUMNS($O$1006:P1006),$O$1006:$Q$1006,0)))),"Fix")))</f>
        <v xml:space="preserve"> </v>
      </c>
      <c r="D12" s="3" t="str">
        <f ca="1">IF(OR(INDEX($I$2:$I$1001,MATCH(ROWS($H$2:H12),$H$2:$H$1001,0),1)&gt;=100000,INDEX($O$1005:$Q$1005,1,MATCH(COLUMNS($O$1006:Q1006),$O$1006:$Q$1006,0))&gt;=100000), " ",IF(INDEX($O$2:$Q$1001,MATCH(ROWS($H$2:H12),$H$2:$H$1001,0),MATCH(COLUMNS($O$1006:Q1006),$O$1006:$Q$1006,0)), HYPERLINK("#",""), HYPERLINK(CONCATENATE("#metadata!", ADDRESS(INDEX($J$2:$J$1001,MATCH(ROWS($H$2:H12),$H$2:$H$1001,0),0), INDEX($O$1004:$Q$1004,1,MATCH(COLUMNS($O$1006:Q1006),$O$1006:$Q$1006,0)))),"Fix")))</f>
        <v xml:space="preserve"> </v>
      </c>
      <c r="H12">
        <v>11</v>
      </c>
      <c r="I12">
        <v>100012</v>
      </c>
      <c r="J12">
        <v>12</v>
      </c>
      <c r="K12" t="b">
        <f t="shared" si="0"/>
        <v>1</v>
      </c>
      <c r="L12" t="b">
        <f>COUNTBLANK(metadata!B12:D12)=COLUMNS(metadata!B12:D12)</f>
        <v>1</v>
      </c>
      <c r="M12" t="str">
        <v/>
      </c>
      <c r="O12" t="b">
        <f ca="1"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P12" t="b">
        <f>AND(IF(metadata!C12="",FALSE,TRUE),EXACT(metadata!C12,"mouse gut metagenome"))</f>
        <v>0</v>
      </c>
      <c r="Q12" t="b">
        <f>AND(IF(metadata!D12="",FALSE,TRUE),EXACT(metadata!D12,"410661"))</f>
        <v>0</v>
      </c>
    </row>
    <row r="13" spans="1:17" x14ac:dyDescent="0.2">
      <c r="A13" s="4" t="str">
        <f ca="1">IF(B13=" "," ",HYPERLINK(CONCATENATE("#metadata!",ADDRESS(INDEX($J$2:$J$1001,MATCH(ROWS($H$2:H13),$H$2:$H$1001,0),0),1)),INDEX($M$2:$M$1001,MATCH(ROWS($H$2:H13),$H$2:$H$1001,0),0)))</f>
        <v xml:space="preserve"> </v>
      </c>
      <c r="B13" s="3" t="str">
        <f ca="1">IF(OR(INDEX($I$2:$I$1001,MATCH(ROWS($H$2:H13),$H$2:$H$1001,0),1)&gt;=100000,INDEX($O$1005:$Q$1005,1,MATCH(COLUMNS($O$1006:O1006),$O$1006:$Q$1006,0))&gt;=100000), " ",IF(INDEX($O$2:$Q$1001,MATCH(ROWS($H$2:H13),$H$2:$H$1001,0),MATCH(COLUMNS($O$1006:O1006),$O$1006:$Q$1006,0)), HYPERLINK("#",""), HYPERLINK(CONCATENATE("#metadata!", ADDRESS(INDEX($J$2:$J$1001,MATCH(ROWS($H$2:H13),$H$2:$H$1001,0),0), INDEX($O$1004:$Q$1004,1,MATCH(COLUMNS($O$1006:O1006),$O$1006:$Q$1006,0)))),"Fix")))</f>
        <v xml:space="preserve"> </v>
      </c>
      <c r="C13" s="3" t="str">
        <f ca="1">IF(OR(INDEX($I$2:$I$1001,MATCH(ROWS($H$2:H13),$H$2:$H$1001,0),1)&gt;=100000,INDEX($O$1005:$Q$1005,1,MATCH(COLUMNS($O$1006:P1006),$O$1006:$Q$1006,0))&gt;=100000), " ",IF(INDEX($O$2:$Q$1001,MATCH(ROWS($H$2:H13),$H$2:$H$1001,0),MATCH(COLUMNS($O$1006:P1006),$O$1006:$Q$1006,0)), HYPERLINK("#",""), HYPERLINK(CONCATENATE("#metadata!", ADDRESS(INDEX($J$2:$J$1001,MATCH(ROWS($H$2:H13),$H$2:$H$1001,0),0), INDEX($O$1004:$Q$1004,1,MATCH(COLUMNS($O$1006:P1006),$O$1006:$Q$1006,0)))),"Fix")))</f>
        <v xml:space="preserve"> </v>
      </c>
      <c r="D13" s="3" t="str">
        <f ca="1">IF(OR(INDEX($I$2:$I$1001,MATCH(ROWS($H$2:H13),$H$2:$H$1001,0),1)&gt;=100000,INDEX($O$1005:$Q$1005,1,MATCH(COLUMNS($O$1006:Q1006),$O$1006:$Q$1006,0))&gt;=100000), " ",IF(INDEX($O$2:$Q$1001,MATCH(ROWS($H$2:H13),$H$2:$H$1001,0),MATCH(COLUMNS($O$1006:Q1006),$O$1006:$Q$1006,0)), HYPERLINK("#",""), HYPERLINK(CONCATENATE("#metadata!", ADDRESS(INDEX($J$2:$J$1001,MATCH(ROWS($H$2:H13),$H$2:$H$1001,0),0), INDEX($O$1004:$Q$1004,1,MATCH(COLUMNS($O$1006:Q1006),$O$1006:$Q$1006,0)))),"Fix")))</f>
        <v xml:space="preserve"> </v>
      </c>
      <c r="H13">
        <v>12</v>
      </c>
      <c r="I13">
        <v>100013</v>
      </c>
      <c r="J13">
        <v>13</v>
      </c>
      <c r="K13" t="b">
        <f t="shared" si="0"/>
        <v>1</v>
      </c>
      <c r="L13" t="b">
        <f>COUNTBLANK(metadata!B13:D13)=COLUMNS(metadata!B13:D13)</f>
        <v>1</v>
      </c>
      <c r="M13" t="str">
        <v/>
      </c>
      <c r="O13" t="b">
        <f ca="1"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P13" t="b">
        <f>AND(IF(metadata!C13="",FALSE,TRUE),EXACT(metadata!C13,"mouse gut metagenome"))</f>
        <v>0</v>
      </c>
      <c r="Q13" t="b">
        <f>AND(IF(metadata!D13="",FALSE,TRUE),EXACT(metadata!D13,"410661"))</f>
        <v>0</v>
      </c>
    </row>
    <row r="14" spans="1:17" x14ac:dyDescent="0.2">
      <c r="A14" s="4" t="str">
        <f ca="1">IF(B14=" "," ",HYPERLINK(CONCATENATE("#metadata!",ADDRESS(INDEX($J$2:$J$1001,MATCH(ROWS($H$2:H14),$H$2:$H$1001,0),0),1)),INDEX($M$2:$M$1001,MATCH(ROWS($H$2:H14),$H$2:$H$1001,0),0)))</f>
        <v xml:space="preserve"> </v>
      </c>
      <c r="B14" s="3" t="str">
        <f ca="1">IF(OR(INDEX($I$2:$I$1001,MATCH(ROWS($H$2:H14),$H$2:$H$1001,0),1)&gt;=100000,INDEX($O$1005:$Q$1005,1,MATCH(COLUMNS($O$1006:O1006),$O$1006:$Q$1006,0))&gt;=100000), " ",IF(INDEX($O$2:$Q$1001,MATCH(ROWS($H$2:H14),$H$2:$H$1001,0),MATCH(COLUMNS($O$1006:O1006),$O$1006:$Q$1006,0)), HYPERLINK("#",""), HYPERLINK(CONCATENATE("#metadata!", ADDRESS(INDEX($J$2:$J$1001,MATCH(ROWS($H$2:H14),$H$2:$H$1001,0),0), INDEX($O$1004:$Q$1004,1,MATCH(COLUMNS($O$1006:O1006),$O$1006:$Q$1006,0)))),"Fix")))</f>
        <v xml:space="preserve"> </v>
      </c>
      <c r="C14" s="3" t="str">
        <f ca="1">IF(OR(INDEX($I$2:$I$1001,MATCH(ROWS($H$2:H14),$H$2:$H$1001,0),1)&gt;=100000,INDEX($O$1005:$Q$1005,1,MATCH(COLUMNS($O$1006:P1006),$O$1006:$Q$1006,0))&gt;=100000), " ",IF(INDEX($O$2:$Q$1001,MATCH(ROWS($H$2:H14),$H$2:$H$1001,0),MATCH(COLUMNS($O$1006:P1006),$O$1006:$Q$1006,0)), HYPERLINK("#",""), HYPERLINK(CONCATENATE("#metadata!", ADDRESS(INDEX($J$2:$J$1001,MATCH(ROWS($H$2:H14),$H$2:$H$1001,0),0), INDEX($O$1004:$Q$1004,1,MATCH(COLUMNS($O$1006:P1006),$O$1006:$Q$1006,0)))),"Fix")))</f>
        <v xml:space="preserve"> </v>
      </c>
      <c r="D14" s="3" t="str">
        <f ca="1">IF(OR(INDEX($I$2:$I$1001,MATCH(ROWS($H$2:H14),$H$2:$H$1001,0),1)&gt;=100000,INDEX($O$1005:$Q$1005,1,MATCH(COLUMNS($O$1006:Q1006),$O$1006:$Q$1006,0))&gt;=100000), " ",IF(INDEX($O$2:$Q$1001,MATCH(ROWS($H$2:H14),$H$2:$H$1001,0),MATCH(COLUMNS($O$1006:Q1006),$O$1006:$Q$1006,0)), HYPERLINK("#",""), HYPERLINK(CONCATENATE("#metadata!", ADDRESS(INDEX($J$2:$J$1001,MATCH(ROWS($H$2:H14),$H$2:$H$1001,0),0), INDEX($O$1004:$Q$1004,1,MATCH(COLUMNS($O$1006:Q1006),$O$1006:$Q$1006,0)))),"Fix")))</f>
        <v xml:space="preserve"> </v>
      </c>
      <c r="H14">
        <v>13</v>
      </c>
      <c r="I14">
        <v>100014</v>
      </c>
      <c r="J14">
        <v>14</v>
      </c>
      <c r="K14" t="b">
        <f t="shared" si="0"/>
        <v>1</v>
      </c>
      <c r="L14" t="b">
        <f>COUNTBLANK(metadata!B14:D14)=COLUMNS(metadata!B14:D14)</f>
        <v>1</v>
      </c>
      <c r="M14" t="str">
        <v/>
      </c>
      <c r="O14" t="b">
        <f ca="1"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P14" t="b">
        <f>AND(IF(metadata!C14="",FALSE,TRUE),EXACT(metadata!C14,"mouse gut metagenome"))</f>
        <v>0</v>
      </c>
      <c r="Q14" t="b">
        <f>AND(IF(metadata!D14="",FALSE,TRUE),EXACT(metadata!D14,"410661"))</f>
        <v>0</v>
      </c>
    </row>
    <row r="15" spans="1:17" x14ac:dyDescent="0.2">
      <c r="A15" s="4" t="str">
        <f ca="1">IF(B15=" "," ",HYPERLINK(CONCATENATE("#metadata!",ADDRESS(INDEX($J$2:$J$1001,MATCH(ROWS($H$2:H15),$H$2:$H$1001,0),0),1)),INDEX($M$2:$M$1001,MATCH(ROWS($H$2:H15),$H$2:$H$1001,0),0)))</f>
        <v xml:space="preserve"> </v>
      </c>
      <c r="B15" s="3" t="str">
        <f ca="1">IF(OR(INDEX($I$2:$I$1001,MATCH(ROWS($H$2:H15),$H$2:$H$1001,0),1)&gt;=100000,INDEX($O$1005:$Q$1005,1,MATCH(COLUMNS($O$1006:O1006),$O$1006:$Q$1006,0))&gt;=100000), " ",IF(INDEX($O$2:$Q$1001,MATCH(ROWS($H$2:H15),$H$2:$H$1001,0),MATCH(COLUMNS($O$1006:O1006),$O$1006:$Q$1006,0)), HYPERLINK("#",""), HYPERLINK(CONCATENATE("#metadata!", ADDRESS(INDEX($J$2:$J$1001,MATCH(ROWS($H$2:H15),$H$2:$H$1001,0),0), INDEX($O$1004:$Q$1004,1,MATCH(COLUMNS($O$1006:O1006),$O$1006:$Q$1006,0)))),"Fix")))</f>
        <v xml:space="preserve"> </v>
      </c>
      <c r="C15" s="3" t="str">
        <f ca="1">IF(OR(INDEX($I$2:$I$1001,MATCH(ROWS($H$2:H15),$H$2:$H$1001,0),1)&gt;=100000,INDEX($O$1005:$Q$1005,1,MATCH(COLUMNS($O$1006:P1006),$O$1006:$Q$1006,0))&gt;=100000), " ",IF(INDEX($O$2:$Q$1001,MATCH(ROWS($H$2:H15),$H$2:$H$1001,0),MATCH(COLUMNS($O$1006:P1006),$O$1006:$Q$1006,0)), HYPERLINK("#",""), HYPERLINK(CONCATENATE("#metadata!", ADDRESS(INDEX($J$2:$J$1001,MATCH(ROWS($H$2:H15),$H$2:$H$1001,0),0), INDEX($O$1004:$Q$1004,1,MATCH(COLUMNS($O$1006:P1006),$O$1006:$Q$1006,0)))),"Fix")))</f>
        <v xml:space="preserve"> </v>
      </c>
      <c r="D15" s="3" t="str">
        <f ca="1">IF(OR(INDEX($I$2:$I$1001,MATCH(ROWS($H$2:H15),$H$2:$H$1001,0),1)&gt;=100000,INDEX($O$1005:$Q$1005,1,MATCH(COLUMNS($O$1006:Q1006),$O$1006:$Q$1006,0))&gt;=100000), " ",IF(INDEX($O$2:$Q$1001,MATCH(ROWS($H$2:H15),$H$2:$H$1001,0),MATCH(COLUMNS($O$1006:Q1006),$O$1006:$Q$1006,0)), HYPERLINK("#",""), HYPERLINK(CONCATENATE("#metadata!", ADDRESS(INDEX($J$2:$J$1001,MATCH(ROWS($H$2:H15),$H$2:$H$1001,0),0), INDEX($O$1004:$Q$1004,1,MATCH(COLUMNS($O$1006:Q1006),$O$1006:$Q$1006,0)))),"Fix")))</f>
        <v xml:space="preserve"> </v>
      </c>
      <c r="H15">
        <v>14</v>
      </c>
      <c r="I15">
        <v>100015</v>
      </c>
      <c r="J15">
        <v>15</v>
      </c>
      <c r="K15" t="b">
        <f t="shared" si="0"/>
        <v>1</v>
      </c>
      <c r="L15" t="b">
        <f>COUNTBLANK(metadata!B15:D15)=COLUMNS(metadata!B15:D15)</f>
        <v>1</v>
      </c>
      <c r="M15" t="str">
        <v/>
      </c>
      <c r="O15" t="b">
        <f ca="1"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P15" t="b">
        <f>AND(IF(metadata!C15="",FALSE,TRUE),EXACT(metadata!C15,"mouse gut metagenome"))</f>
        <v>0</v>
      </c>
      <c r="Q15" t="b">
        <f>AND(IF(metadata!D15="",FALSE,TRUE),EXACT(metadata!D15,"410661"))</f>
        <v>0</v>
      </c>
    </row>
    <row r="16" spans="1:17" x14ac:dyDescent="0.2">
      <c r="A16" s="4" t="str">
        <f ca="1">IF(B16=" "," ",HYPERLINK(CONCATENATE("#metadata!",ADDRESS(INDEX($J$2:$J$1001,MATCH(ROWS($H$2:H16),$H$2:$H$1001,0),0),1)),INDEX($M$2:$M$1001,MATCH(ROWS($H$2:H16),$H$2:$H$1001,0),0)))</f>
        <v xml:space="preserve"> </v>
      </c>
      <c r="B16" s="3" t="str">
        <f ca="1">IF(OR(INDEX($I$2:$I$1001,MATCH(ROWS($H$2:H16),$H$2:$H$1001,0),1)&gt;=100000,INDEX($O$1005:$Q$1005,1,MATCH(COLUMNS($O$1006:O1006),$O$1006:$Q$1006,0))&gt;=100000), " ",IF(INDEX($O$2:$Q$1001,MATCH(ROWS($H$2:H16),$H$2:$H$1001,0),MATCH(COLUMNS($O$1006:O1006),$O$1006:$Q$1006,0)), HYPERLINK("#",""), HYPERLINK(CONCATENATE("#metadata!", ADDRESS(INDEX($J$2:$J$1001,MATCH(ROWS($H$2:H16),$H$2:$H$1001,0),0), INDEX($O$1004:$Q$1004,1,MATCH(COLUMNS($O$1006:O1006),$O$1006:$Q$1006,0)))),"Fix")))</f>
        <v xml:space="preserve"> </v>
      </c>
      <c r="C16" s="3" t="str">
        <f ca="1">IF(OR(INDEX($I$2:$I$1001,MATCH(ROWS($H$2:H16),$H$2:$H$1001,0),1)&gt;=100000,INDEX($O$1005:$Q$1005,1,MATCH(COLUMNS($O$1006:P1006),$O$1006:$Q$1006,0))&gt;=100000), " ",IF(INDEX($O$2:$Q$1001,MATCH(ROWS($H$2:H16),$H$2:$H$1001,0),MATCH(COLUMNS($O$1006:P1006),$O$1006:$Q$1006,0)), HYPERLINK("#",""), HYPERLINK(CONCATENATE("#metadata!", ADDRESS(INDEX($J$2:$J$1001,MATCH(ROWS($H$2:H16),$H$2:$H$1001,0),0), INDEX($O$1004:$Q$1004,1,MATCH(COLUMNS($O$1006:P1006),$O$1006:$Q$1006,0)))),"Fix")))</f>
        <v xml:space="preserve"> </v>
      </c>
      <c r="D16" s="3" t="str">
        <f ca="1">IF(OR(INDEX($I$2:$I$1001,MATCH(ROWS($H$2:H16),$H$2:$H$1001,0),1)&gt;=100000,INDEX($O$1005:$Q$1005,1,MATCH(COLUMNS($O$1006:Q1006),$O$1006:$Q$1006,0))&gt;=100000), " ",IF(INDEX($O$2:$Q$1001,MATCH(ROWS($H$2:H16),$H$2:$H$1001,0),MATCH(COLUMNS($O$1006:Q1006),$O$1006:$Q$1006,0)), HYPERLINK("#",""), HYPERLINK(CONCATENATE("#metadata!", ADDRESS(INDEX($J$2:$J$1001,MATCH(ROWS($H$2:H16),$H$2:$H$1001,0),0), INDEX($O$1004:$Q$1004,1,MATCH(COLUMNS($O$1006:Q1006),$O$1006:$Q$1006,0)))),"Fix")))</f>
        <v xml:space="preserve"> </v>
      </c>
      <c r="H16">
        <v>15</v>
      </c>
      <c r="I16">
        <v>100016</v>
      </c>
      <c r="J16">
        <v>16</v>
      </c>
      <c r="K16" t="b">
        <f t="shared" si="0"/>
        <v>1</v>
      </c>
      <c r="L16" t="b">
        <f>COUNTBLANK(metadata!B16:D16)=COLUMNS(metadata!B16:D16)</f>
        <v>1</v>
      </c>
      <c r="M16" t="str">
        <v/>
      </c>
      <c r="O16" t="b">
        <f ca="1"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P16" t="b">
        <f>AND(IF(metadata!C16="",FALSE,TRUE),EXACT(metadata!C16,"mouse gut metagenome"))</f>
        <v>0</v>
      </c>
      <c r="Q16" t="b">
        <f>AND(IF(metadata!D16="",FALSE,TRUE),EXACT(metadata!D16,"410661"))</f>
        <v>0</v>
      </c>
    </row>
    <row r="17" spans="1:17" x14ac:dyDescent="0.2">
      <c r="A17" s="4" t="str">
        <f ca="1">IF(B17=" "," ",HYPERLINK(CONCATENATE("#metadata!",ADDRESS(INDEX($J$2:$J$1001,MATCH(ROWS($H$2:H17),$H$2:$H$1001,0),0),1)),INDEX($M$2:$M$1001,MATCH(ROWS($H$2:H17),$H$2:$H$1001,0),0)))</f>
        <v xml:space="preserve"> </v>
      </c>
      <c r="B17" s="3" t="str">
        <f ca="1">IF(OR(INDEX($I$2:$I$1001,MATCH(ROWS($H$2:H17),$H$2:$H$1001,0),1)&gt;=100000,INDEX($O$1005:$Q$1005,1,MATCH(COLUMNS($O$1006:O1006),$O$1006:$Q$1006,0))&gt;=100000), " ",IF(INDEX($O$2:$Q$1001,MATCH(ROWS($H$2:H17),$H$2:$H$1001,0),MATCH(COLUMNS($O$1006:O1006),$O$1006:$Q$1006,0)), HYPERLINK("#",""), HYPERLINK(CONCATENATE("#metadata!", ADDRESS(INDEX($J$2:$J$1001,MATCH(ROWS($H$2:H17),$H$2:$H$1001,0),0), INDEX($O$1004:$Q$1004,1,MATCH(COLUMNS($O$1006:O1006),$O$1006:$Q$1006,0)))),"Fix")))</f>
        <v xml:space="preserve"> </v>
      </c>
      <c r="C17" s="3" t="str">
        <f ca="1">IF(OR(INDEX($I$2:$I$1001,MATCH(ROWS($H$2:H17),$H$2:$H$1001,0),1)&gt;=100000,INDEX($O$1005:$Q$1005,1,MATCH(COLUMNS($O$1006:P1006),$O$1006:$Q$1006,0))&gt;=100000), " ",IF(INDEX($O$2:$Q$1001,MATCH(ROWS($H$2:H17),$H$2:$H$1001,0),MATCH(COLUMNS($O$1006:P1006),$O$1006:$Q$1006,0)), HYPERLINK("#",""), HYPERLINK(CONCATENATE("#metadata!", ADDRESS(INDEX($J$2:$J$1001,MATCH(ROWS($H$2:H17),$H$2:$H$1001,0),0), INDEX($O$1004:$Q$1004,1,MATCH(COLUMNS($O$1006:P1006),$O$1006:$Q$1006,0)))),"Fix")))</f>
        <v xml:space="preserve"> </v>
      </c>
      <c r="D17" s="3" t="str">
        <f ca="1">IF(OR(INDEX($I$2:$I$1001,MATCH(ROWS($H$2:H17),$H$2:$H$1001,0),1)&gt;=100000,INDEX($O$1005:$Q$1005,1,MATCH(COLUMNS($O$1006:Q1006),$O$1006:$Q$1006,0))&gt;=100000), " ",IF(INDEX($O$2:$Q$1001,MATCH(ROWS($H$2:H17),$H$2:$H$1001,0),MATCH(COLUMNS($O$1006:Q1006),$O$1006:$Q$1006,0)), HYPERLINK("#",""), HYPERLINK(CONCATENATE("#metadata!", ADDRESS(INDEX($J$2:$J$1001,MATCH(ROWS($H$2:H17),$H$2:$H$1001,0),0), INDEX($O$1004:$Q$1004,1,MATCH(COLUMNS($O$1006:Q1006),$O$1006:$Q$1006,0)))),"Fix")))</f>
        <v xml:space="preserve"> </v>
      </c>
      <c r="H17">
        <v>16</v>
      </c>
      <c r="I17">
        <v>100017</v>
      </c>
      <c r="J17">
        <v>17</v>
      </c>
      <c r="K17" t="b">
        <f t="shared" si="0"/>
        <v>1</v>
      </c>
      <c r="L17" t="b">
        <f>COUNTBLANK(metadata!B17:D17)=COLUMNS(metadata!B17:D17)</f>
        <v>1</v>
      </c>
      <c r="M17" t="str">
        <v/>
      </c>
      <c r="O17" t="b">
        <f ca="1"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P17" t="b">
        <f>AND(IF(metadata!C17="",FALSE,TRUE),EXACT(metadata!C17,"mouse gut metagenome"))</f>
        <v>0</v>
      </c>
      <c r="Q17" t="b">
        <f>AND(IF(metadata!D17="",FALSE,TRUE),EXACT(metadata!D17,"410661"))</f>
        <v>0</v>
      </c>
    </row>
    <row r="18" spans="1:17" x14ac:dyDescent="0.2">
      <c r="A18" s="4" t="str">
        <f ca="1">IF(B18=" "," ",HYPERLINK(CONCATENATE("#metadata!",ADDRESS(INDEX($J$2:$J$1001,MATCH(ROWS($H$2:H18),$H$2:$H$1001,0),0),1)),INDEX($M$2:$M$1001,MATCH(ROWS($H$2:H18),$H$2:$H$1001,0),0)))</f>
        <v xml:space="preserve"> </v>
      </c>
      <c r="B18" s="3" t="str">
        <f ca="1">IF(OR(INDEX($I$2:$I$1001,MATCH(ROWS($H$2:H18),$H$2:$H$1001,0),1)&gt;=100000,INDEX($O$1005:$Q$1005,1,MATCH(COLUMNS($O$1006:O1006),$O$1006:$Q$1006,0))&gt;=100000), " ",IF(INDEX($O$2:$Q$1001,MATCH(ROWS($H$2:H18),$H$2:$H$1001,0),MATCH(COLUMNS($O$1006:O1006),$O$1006:$Q$1006,0)), HYPERLINK("#",""), HYPERLINK(CONCATENATE("#metadata!", ADDRESS(INDEX($J$2:$J$1001,MATCH(ROWS($H$2:H18),$H$2:$H$1001,0),0), INDEX($O$1004:$Q$1004,1,MATCH(COLUMNS($O$1006:O1006),$O$1006:$Q$1006,0)))),"Fix")))</f>
        <v xml:space="preserve"> </v>
      </c>
      <c r="C18" s="3" t="str">
        <f ca="1">IF(OR(INDEX($I$2:$I$1001,MATCH(ROWS($H$2:H18),$H$2:$H$1001,0),1)&gt;=100000,INDEX($O$1005:$Q$1005,1,MATCH(COLUMNS($O$1006:P1006),$O$1006:$Q$1006,0))&gt;=100000), " ",IF(INDEX($O$2:$Q$1001,MATCH(ROWS($H$2:H18),$H$2:$H$1001,0),MATCH(COLUMNS($O$1006:P1006),$O$1006:$Q$1006,0)), HYPERLINK("#",""), HYPERLINK(CONCATENATE("#metadata!", ADDRESS(INDEX($J$2:$J$1001,MATCH(ROWS($H$2:H18),$H$2:$H$1001,0),0), INDEX($O$1004:$Q$1004,1,MATCH(COLUMNS($O$1006:P1006),$O$1006:$Q$1006,0)))),"Fix")))</f>
        <v xml:space="preserve"> </v>
      </c>
      <c r="D18" s="3" t="str">
        <f ca="1">IF(OR(INDEX($I$2:$I$1001,MATCH(ROWS($H$2:H18),$H$2:$H$1001,0),1)&gt;=100000,INDEX($O$1005:$Q$1005,1,MATCH(COLUMNS($O$1006:Q1006),$O$1006:$Q$1006,0))&gt;=100000), " ",IF(INDEX($O$2:$Q$1001,MATCH(ROWS($H$2:H18),$H$2:$H$1001,0),MATCH(COLUMNS($O$1006:Q1006),$O$1006:$Q$1006,0)), HYPERLINK("#",""), HYPERLINK(CONCATENATE("#metadata!", ADDRESS(INDEX($J$2:$J$1001,MATCH(ROWS($H$2:H18),$H$2:$H$1001,0),0), INDEX($O$1004:$Q$1004,1,MATCH(COLUMNS($O$1006:Q1006),$O$1006:$Q$1006,0)))),"Fix")))</f>
        <v xml:space="preserve"> </v>
      </c>
      <c r="H18">
        <v>17</v>
      </c>
      <c r="I18">
        <v>100018</v>
      </c>
      <c r="J18">
        <v>18</v>
      </c>
      <c r="K18" t="b">
        <f t="shared" si="0"/>
        <v>1</v>
      </c>
      <c r="L18" t="b">
        <f>COUNTBLANK(metadata!B18:D18)=COLUMNS(metadata!B18:D18)</f>
        <v>1</v>
      </c>
      <c r="M18" t="str">
        <v/>
      </c>
      <c r="O18" t="b">
        <f ca="1"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P18" t="b">
        <f>AND(IF(metadata!C18="",FALSE,TRUE),EXACT(metadata!C18,"mouse gut metagenome"))</f>
        <v>0</v>
      </c>
      <c r="Q18" t="b">
        <f>AND(IF(metadata!D18="",FALSE,TRUE),EXACT(metadata!D18,"410661"))</f>
        <v>0</v>
      </c>
    </row>
    <row r="19" spans="1:17" x14ac:dyDescent="0.2">
      <c r="A19" s="4" t="str">
        <f ca="1">IF(B19=" "," ",HYPERLINK(CONCATENATE("#metadata!",ADDRESS(INDEX($J$2:$J$1001,MATCH(ROWS($H$2:H19),$H$2:$H$1001,0),0),1)),INDEX($M$2:$M$1001,MATCH(ROWS($H$2:H19),$H$2:$H$1001,0),0)))</f>
        <v xml:space="preserve"> </v>
      </c>
      <c r="B19" s="3" t="str">
        <f ca="1">IF(OR(INDEX($I$2:$I$1001,MATCH(ROWS($H$2:H19),$H$2:$H$1001,0),1)&gt;=100000,INDEX($O$1005:$Q$1005,1,MATCH(COLUMNS($O$1006:O1006),$O$1006:$Q$1006,0))&gt;=100000), " ",IF(INDEX($O$2:$Q$1001,MATCH(ROWS($H$2:H19),$H$2:$H$1001,0),MATCH(COLUMNS($O$1006:O1006),$O$1006:$Q$1006,0)), HYPERLINK("#",""), HYPERLINK(CONCATENATE("#metadata!", ADDRESS(INDEX($J$2:$J$1001,MATCH(ROWS($H$2:H19),$H$2:$H$1001,0),0), INDEX($O$1004:$Q$1004,1,MATCH(COLUMNS($O$1006:O1006),$O$1006:$Q$1006,0)))),"Fix")))</f>
        <v xml:space="preserve"> </v>
      </c>
      <c r="C19" s="3" t="str">
        <f ca="1">IF(OR(INDEX($I$2:$I$1001,MATCH(ROWS($H$2:H19),$H$2:$H$1001,0),1)&gt;=100000,INDEX($O$1005:$Q$1005,1,MATCH(COLUMNS($O$1006:P1006),$O$1006:$Q$1006,0))&gt;=100000), " ",IF(INDEX($O$2:$Q$1001,MATCH(ROWS($H$2:H19),$H$2:$H$1001,0),MATCH(COLUMNS($O$1006:P1006),$O$1006:$Q$1006,0)), HYPERLINK("#",""), HYPERLINK(CONCATENATE("#metadata!", ADDRESS(INDEX($J$2:$J$1001,MATCH(ROWS($H$2:H19),$H$2:$H$1001,0),0), INDEX($O$1004:$Q$1004,1,MATCH(COLUMNS($O$1006:P1006),$O$1006:$Q$1006,0)))),"Fix")))</f>
        <v xml:space="preserve"> </v>
      </c>
      <c r="D19" s="3" t="str">
        <f ca="1">IF(OR(INDEX($I$2:$I$1001,MATCH(ROWS($H$2:H19),$H$2:$H$1001,0),1)&gt;=100000,INDEX($O$1005:$Q$1005,1,MATCH(COLUMNS($O$1006:Q1006),$O$1006:$Q$1006,0))&gt;=100000), " ",IF(INDEX($O$2:$Q$1001,MATCH(ROWS($H$2:H19),$H$2:$H$1001,0),MATCH(COLUMNS($O$1006:Q1006),$O$1006:$Q$1006,0)), HYPERLINK("#",""), HYPERLINK(CONCATENATE("#metadata!", ADDRESS(INDEX($J$2:$J$1001,MATCH(ROWS($H$2:H19),$H$2:$H$1001,0),0), INDEX($O$1004:$Q$1004,1,MATCH(COLUMNS($O$1006:Q1006),$O$1006:$Q$1006,0)))),"Fix")))</f>
        <v xml:space="preserve"> </v>
      </c>
      <c r="H19">
        <v>18</v>
      </c>
      <c r="I19">
        <v>100019</v>
      </c>
      <c r="J19">
        <v>19</v>
      </c>
      <c r="K19" t="b">
        <f t="shared" si="0"/>
        <v>1</v>
      </c>
      <c r="L19" t="b">
        <f>COUNTBLANK(metadata!B19:D19)=COLUMNS(metadata!B19:D19)</f>
        <v>1</v>
      </c>
      <c r="M19" t="str">
        <v/>
      </c>
      <c r="O19" t="b">
        <f ca="1"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P19" t="b">
        <f>AND(IF(metadata!C19="",FALSE,TRUE),EXACT(metadata!C19,"mouse gut metagenome"))</f>
        <v>0</v>
      </c>
      <c r="Q19" t="b">
        <f>AND(IF(metadata!D19="",FALSE,TRUE),EXACT(metadata!D19,"410661"))</f>
        <v>0</v>
      </c>
    </row>
    <row r="20" spans="1:17" x14ac:dyDescent="0.2">
      <c r="A20" s="4" t="str">
        <f ca="1">IF(B20=" "," ",HYPERLINK(CONCATENATE("#metadata!",ADDRESS(INDEX($J$2:$J$1001,MATCH(ROWS($H$2:H20),$H$2:$H$1001,0),0),1)),INDEX($M$2:$M$1001,MATCH(ROWS($H$2:H20),$H$2:$H$1001,0),0)))</f>
        <v xml:space="preserve"> </v>
      </c>
      <c r="B20" s="3" t="str">
        <f ca="1">IF(OR(INDEX($I$2:$I$1001,MATCH(ROWS($H$2:H20),$H$2:$H$1001,0),1)&gt;=100000,INDEX($O$1005:$Q$1005,1,MATCH(COLUMNS($O$1006:O1006),$O$1006:$Q$1006,0))&gt;=100000), " ",IF(INDEX($O$2:$Q$1001,MATCH(ROWS($H$2:H20),$H$2:$H$1001,0),MATCH(COLUMNS($O$1006:O1006),$O$1006:$Q$1006,0)), HYPERLINK("#",""), HYPERLINK(CONCATENATE("#metadata!", ADDRESS(INDEX($J$2:$J$1001,MATCH(ROWS($H$2:H20),$H$2:$H$1001,0),0), INDEX($O$1004:$Q$1004,1,MATCH(COLUMNS($O$1006:O1006),$O$1006:$Q$1006,0)))),"Fix")))</f>
        <v xml:space="preserve"> </v>
      </c>
      <c r="C20" s="3" t="str">
        <f ca="1">IF(OR(INDEX($I$2:$I$1001,MATCH(ROWS($H$2:H20),$H$2:$H$1001,0),1)&gt;=100000,INDEX($O$1005:$Q$1005,1,MATCH(COLUMNS($O$1006:P1006),$O$1006:$Q$1006,0))&gt;=100000), " ",IF(INDEX($O$2:$Q$1001,MATCH(ROWS($H$2:H20),$H$2:$H$1001,0),MATCH(COLUMNS($O$1006:P1006),$O$1006:$Q$1006,0)), HYPERLINK("#",""), HYPERLINK(CONCATENATE("#metadata!", ADDRESS(INDEX($J$2:$J$1001,MATCH(ROWS($H$2:H20),$H$2:$H$1001,0),0), INDEX($O$1004:$Q$1004,1,MATCH(COLUMNS($O$1006:P1006),$O$1006:$Q$1006,0)))),"Fix")))</f>
        <v xml:space="preserve"> </v>
      </c>
      <c r="D20" s="3" t="str">
        <f ca="1">IF(OR(INDEX($I$2:$I$1001,MATCH(ROWS($H$2:H20),$H$2:$H$1001,0),1)&gt;=100000,INDEX($O$1005:$Q$1005,1,MATCH(COLUMNS($O$1006:Q1006),$O$1006:$Q$1006,0))&gt;=100000), " ",IF(INDEX($O$2:$Q$1001,MATCH(ROWS($H$2:H20),$H$2:$H$1001,0),MATCH(COLUMNS($O$1006:Q1006),$O$1006:$Q$1006,0)), HYPERLINK("#",""), HYPERLINK(CONCATENATE("#metadata!", ADDRESS(INDEX($J$2:$J$1001,MATCH(ROWS($H$2:H20),$H$2:$H$1001,0),0), INDEX($O$1004:$Q$1004,1,MATCH(COLUMNS($O$1006:Q1006),$O$1006:$Q$1006,0)))),"Fix")))</f>
        <v xml:space="preserve"> </v>
      </c>
      <c r="H20">
        <v>19</v>
      </c>
      <c r="I20">
        <v>100020</v>
      </c>
      <c r="J20">
        <v>20</v>
      </c>
      <c r="K20" t="b">
        <f t="shared" si="0"/>
        <v>1</v>
      </c>
      <c r="L20" t="b">
        <f>COUNTBLANK(metadata!B20:D20)=COLUMNS(metadata!B20:D20)</f>
        <v>1</v>
      </c>
      <c r="M20" t="str">
        <v/>
      </c>
      <c r="O20" t="b">
        <f ca="1"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P20" t="b">
        <f>AND(IF(metadata!C20="",FALSE,TRUE),EXACT(metadata!C20,"mouse gut metagenome"))</f>
        <v>0</v>
      </c>
      <c r="Q20" t="b">
        <f>AND(IF(metadata!D20="",FALSE,TRUE),EXACT(metadata!D20,"410661"))</f>
        <v>0</v>
      </c>
    </row>
    <row r="21" spans="1:17" x14ac:dyDescent="0.2">
      <c r="A21" s="4" t="str">
        <f ca="1">IF(B21=" "," ",HYPERLINK(CONCATENATE("#metadata!",ADDRESS(INDEX($J$2:$J$1001,MATCH(ROWS($H$2:H21),$H$2:$H$1001,0),0),1)),INDEX($M$2:$M$1001,MATCH(ROWS($H$2:H21),$H$2:$H$1001,0),0)))</f>
        <v xml:space="preserve"> </v>
      </c>
      <c r="B21" s="3" t="str">
        <f ca="1">IF(OR(INDEX($I$2:$I$1001,MATCH(ROWS($H$2:H21),$H$2:$H$1001,0),1)&gt;=100000,INDEX($O$1005:$Q$1005,1,MATCH(COLUMNS($O$1006:O1006),$O$1006:$Q$1006,0))&gt;=100000), " ",IF(INDEX($O$2:$Q$1001,MATCH(ROWS($H$2:H21),$H$2:$H$1001,0),MATCH(COLUMNS($O$1006:O1006),$O$1006:$Q$1006,0)), HYPERLINK("#",""), HYPERLINK(CONCATENATE("#metadata!", ADDRESS(INDEX($J$2:$J$1001,MATCH(ROWS($H$2:H21),$H$2:$H$1001,0),0), INDEX($O$1004:$Q$1004,1,MATCH(COLUMNS($O$1006:O1006),$O$1006:$Q$1006,0)))),"Fix")))</f>
        <v xml:space="preserve"> </v>
      </c>
      <c r="C21" s="3" t="str">
        <f ca="1">IF(OR(INDEX($I$2:$I$1001,MATCH(ROWS($H$2:H21),$H$2:$H$1001,0),1)&gt;=100000,INDEX($O$1005:$Q$1005,1,MATCH(COLUMNS($O$1006:P1006),$O$1006:$Q$1006,0))&gt;=100000), " ",IF(INDEX($O$2:$Q$1001,MATCH(ROWS($H$2:H21),$H$2:$H$1001,0),MATCH(COLUMNS($O$1006:P1006),$O$1006:$Q$1006,0)), HYPERLINK("#",""), HYPERLINK(CONCATENATE("#metadata!", ADDRESS(INDEX($J$2:$J$1001,MATCH(ROWS($H$2:H21),$H$2:$H$1001,0),0), INDEX($O$1004:$Q$1004,1,MATCH(COLUMNS($O$1006:P1006),$O$1006:$Q$1006,0)))),"Fix")))</f>
        <v xml:space="preserve"> </v>
      </c>
      <c r="D21" s="3" t="str">
        <f ca="1">IF(OR(INDEX($I$2:$I$1001,MATCH(ROWS($H$2:H21),$H$2:$H$1001,0),1)&gt;=100000,INDEX($O$1005:$Q$1005,1,MATCH(COLUMNS($O$1006:Q1006),$O$1006:$Q$1006,0))&gt;=100000), " ",IF(INDEX($O$2:$Q$1001,MATCH(ROWS($H$2:H21),$H$2:$H$1001,0),MATCH(COLUMNS($O$1006:Q1006),$O$1006:$Q$1006,0)), HYPERLINK("#",""), HYPERLINK(CONCATENATE("#metadata!", ADDRESS(INDEX($J$2:$J$1001,MATCH(ROWS($H$2:H21),$H$2:$H$1001,0),0), INDEX($O$1004:$Q$1004,1,MATCH(COLUMNS($O$1006:Q1006),$O$1006:$Q$1006,0)))),"Fix")))</f>
        <v xml:space="preserve"> </v>
      </c>
      <c r="H21">
        <v>20</v>
      </c>
      <c r="I21">
        <v>100021</v>
      </c>
      <c r="J21">
        <v>21</v>
      </c>
      <c r="K21" t="b">
        <f t="shared" si="0"/>
        <v>1</v>
      </c>
      <c r="L21" t="b">
        <f>COUNTBLANK(metadata!B21:D21)=COLUMNS(metadata!B21:D21)</f>
        <v>1</v>
      </c>
      <c r="M21" t="str">
        <v/>
      </c>
      <c r="O21" t="b">
        <f ca="1"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P21" t="b">
        <f>AND(IF(metadata!C21="",FALSE,TRUE),EXACT(metadata!C21,"mouse gut metagenome"))</f>
        <v>0</v>
      </c>
      <c r="Q21" t="b">
        <f>AND(IF(metadata!D21="",FALSE,TRUE),EXACT(metadata!D21,"410661"))</f>
        <v>0</v>
      </c>
    </row>
    <row r="22" spans="1:17" x14ac:dyDescent="0.2">
      <c r="A22" s="4" t="str">
        <f ca="1">IF(B22=" "," ",HYPERLINK(CONCATENATE("#metadata!",ADDRESS(INDEX($J$2:$J$1001,MATCH(ROWS($H$2:H22),$H$2:$H$1001,0),0),1)),INDEX($M$2:$M$1001,MATCH(ROWS($H$2:H22),$H$2:$H$1001,0),0)))</f>
        <v xml:space="preserve"> </v>
      </c>
      <c r="B22" s="3" t="str">
        <f ca="1">IF(OR(INDEX($I$2:$I$1001,MATCH(ROWS($H$2:H22),$H$2:$H$1001,0),1)&gt;=100000,INDEX($O$1005:$Q$1005,1,MATCH(COLUMNS($O$1006:O1006),$O$1006:$Q$1006,0))&gt;=100000), " ",IF(INDEX($O$2:$Q$1001,MATCH(ROWS($H$2:H22),$H$2:$H$1001,0),MATCH(COLUMNS($O$1006:O1006),$O$1006:$Q$1006,0)), HYPERLINK("#",""), HYPERLINK(CONCATENATE("#metadata!", ADDRESS(INDEX($J$2:$J$1001,MATCH(ROWS($H$2:H22),$H$2:$H$1001,0),0), INDEX($O$1004:$Q$1004,1,MATCH(COLUMNS($O$1006:O1006),$O$1006:$Q$1006,0)))),"Fix")))</f>
        <v xml:space="preserve"> </v>
      </c>
      <c r="C22" s="3" t="str">
        <f ca="1">IF(OR(INDEX($I$2:$I$1001,MATCH(ROWS($H$2:H22),$H$2:$H$1001,0),1)&gt;=100000,INDEX($O$1005:$Q$1005,1,MATCH(COLUMNS($O$1006:P1006),$O$1006:$Q$1006,0))&gt;=100000), " ",IF(INDEX($O$2:$Q$1001,MATCH(ROWS($H$2:H22),$H$2:$H$1001,0),MATCH(COLUMNS($O$1006:P1006),$O$1006:$Q$1006,0)), HYPERLINK("#",""), HYPERLINK(CONCATENATE("#metadata!", ADDRESS(INDEX($J$2:$J$1001,MATCH(ROWS($H$2:H22),$H$2:$H$1001,0),0), INDEX($O$1004:$Q$1004,1,MATCH(COLUMNS($O$1006:P1006),$O$1006:$Q$1006,0)))),"Fix")))</f>
        <v xml:space="preserve"> </v>
      </c>
      <c r="D22" s="3" t="str">
        <f ca="1">IF(OR(INDEX($I$2:$I$1001,MATCH(ROWS($H$2:H22),$H$2:$H$1001,0),1)&gt;=100000,INDEX($O$1005:$Q$1005,1,MATCH(COLUMNS($O$1006:Q1006),$O$1006:$Q$1006,0))&gt;=100000), " ",IF(INDEX($O$2:$Q$1001,MATCH(ROWS($H$2:H22),$H$2:$H$1001,0),MATCH(COLUMNS($O$1006:Q1006),$O$1006:$Q$1006,0)), HYPERLINK("#",""), HYPERLINK(CONCATENATE("#metadata!", ADDRESS(INDEX($J$2:$J$1001,MATCH(ROWS($H$2:H22),$H$2:$H$1001,0),0), INDEX($O$1004:$Q$1004,1,MATCH(COLUMNS($O$1006:Q1006),$O$1006:$Q$1006,0)))),"Fix")))</f>
        <v xml:space="preserve"> </v>
      </c>
      <c r="H22">
        <v>21</v>
      </c>
      <c r="I22">
        <v>100022</v>
      </c>
      <c r="J22">
        <v>22</v>
      </c>
      <c r="K22" t="b">
        <f t="shared" si="0"/>
        <v>1</v>
      </c>
      <c r="L22" t="b">
        <f>COUNTBLANK(metadata!B22:D22)=COLUMNS(metadata!B22:D22)</f>
        <v>1</v>
      </c>
      <c r="M22" t="str">
        <v/>
      </c>
      <c r="O22" t="b">
        <f ca="1"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P22" t="b">
        <f>AND(IF(metadata!C22="",FALSE,TRUE),EXACT(metadata!C22,"mouse gut metagenome"))</f>
        <v>0</v>
      </c>
      <c r="Q22" t="b">
        <f>AND(IF(metadata!D22="",FALSE,TRUE),EXACT(metadata!D22,"410661"))</f>
        <v>0</v>
      </c>
    </row>
    <row r="23" spans="1:17" x14ac:dyDescent="0.2">
      <c r="A23" s="4" t="str">
        <f ca="1">IF(B23=" "," ",HYPERLINK(CONCATENATE("#metadata!",ADDRESS(INDEX($J$2:$J$1001,MATCH(ROWS($H$2:H23),$H$2:$H$1001,0),0),1)),INDEX($M$2:$M$1001,MATCH(ROWS($H$2:H23),$H$2:$H$1001,0),0)))</f>
        <v xml:space="preserve"> </v>
      </c>
      <c r="B23" s="3" t="str">
        <f ca="1">IF(OR(INDEX($I$2:$I$1001,MATCH(ROWS($H$2:H23),$H$2:$H$1001,0),1)&gt;=100000,INDEX($O$1005:$Q$1005,1,MATCH(COLUMNS($O$1006:O1006),$O$1006:$Q$1006,0))&gt;=100000), " ",IF(INDEX($O$2:$Q$1001,MATCH(ROWS($H$2:H23),$H$2:$H$1001,0),MATCH(COLUMNS($O$1006:O1006),$O$1006:$Q$1006,0)), HYPERLINK("#",""), HYPERLINK(CONCATENATE("#metadata!", ADDRESS(INDEX($J$2:$J$1001,MATCH(ROWS($H$2:H23),$H$2:$H$1001,0),0), INDEX($O$1004:$Q$1004,1,MATCH(COLUMNS($O$1006:O1006),$O$1006:$Q$1006,0)))),"Fix")))</f>
        <v xml:space="preserve"> </v>
      </c>
      <c r="C23" s="3" t="str">
        <f ca="1">IF(OR(INDEX($I$2:$I$1001,MATCH(ROWS($H$2:H23),$H$2:$H$1001,0),1)&gt;=100000,INDEX($O$1005:$Q$1005,1,MATCH(COLUMNS($O$1006:P1006),$O$1006:$Q$1006,0))&gt;=100000), " ",IF(INDEX($O$2:$Q$1001,MATCH(ROWS($H$2:H23),$H$2:$H$1001,0),MATCH(COLUMNS($O$1006:P1006),$O$1006:$Q$1006,0)), HYPERLINK("#",""), HYPERLINK(CONCATENATE("#metadata!", ADDRESS(INDEX($J$2:$J$1001,MATCH(ROWS($H$2:H23),$H$2:$H$1001,0),0), INDEX($O$1004:$Q$1004,1,MATCH(COLUMNS($O$1006:P1006),$O$1006:$Q$1006,0)))),"Fix")))</f>
        <v xml:space="preserve"> </v>
      </c>
      <c r="D23" s="3" t="str">
        <f ca="1">IF(OR(INDEX($I$2:$I$1001,MATCH(ROWS($H$2:H23),$H$2:$H$1001,0),1)&gt;=100000,INDEX($O$1005:$Q$1005,1,MATCH(COLUMNS($O$1006:Q1006),$O$1006:$Q$1006,0))&gt;=100000), " ",IF(INDEX($O$2:$Q$1001,MATCH(ROWS($H$2:H23),$H$2:$H$1001,0),MATCH(COLUMNS($O$1006:Q1006),$O$1006:$Q$1006,0)), HYPERLINK("#",""), HYPERLINK(CONCATENATE("#metadata!", ADDRESS(INDEX($J$2:$J$1001,MATCH(ROWS($H$2:H23),$H$2:$H$1001,0),0), INDEX($O$1004:$Q$1004,1,MATCH(COLUMNS($O$1006:Q1006),$O$1006:$Q$1006,0)))),"Fix")))</f>
        <v xml:space="preserve"> </v>
      </c>
      <c r="H23">
        <v>22</v>
      </c>
      <c r="I23">
        <v>100023</v>
      </c>
      <c r="J23">
        <v>23</v>
      </c>
      <c r="K23" t="b">
        <f t="shared" si="0"/>
        <v>1</v>
      </c>
      <c r="L23" t="b">
        <f>COUNTBLANK(metadata!B23:D23)=COLUMNS(metadata!B23:D23)</f>
        <v>1</v>
      </c>
      <c r="M23" t="str">
        <v/>
      </c>
      <c r="O23" t="b">
        <f ca="1"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P23" t="b">
        <f>AND(IF(metadata!C23="",FALSE,TRUE),EXACT(metadata!C23,"mouse gut metagenome"))</f>
        <v>0</v>
      </c>
      <c r="Q23" t="b">
        <f>AND(IF(metadata!D23="",FALSE,TRUE),EXACT(metadata!D23,"410661"))</f>
        <v>0</v>
      </c>
    </row>
    <row r="24" spans="1:17" x14ac:dyDescent="0.2">
      <c r="A24" s="4" t="str">
        <f ca="1">IF(B24=" "," ",HYPERLINK(CONCATENATE("#metadata!",ADDRESS(INDEX($J$2:$J$1001,MATCH(ROWS($H$2:H24),$H$2:$H$1001,0),0),1)),INDEX($M$2:$M$1001,MATCH(ROWS($H$2:H24),$H$2:$H$1001,0),0)))</f>
        <v xml:space="preserve"> </v>
      </c>
      <c r="B24" s="3" t="str">
        <f ca="1">IF(OR(INDEX($I$2:$I$1001,MATCH(ROWS($H$2:H24),$H$2:$H$1001,0),1)&gt;=100000,INDEX($O$1005:$Q$1005,1,MATCH(COLUMNS($O$1006:O1006),$O$1006:$Q$1006,0))&gt;=100000), " ",IF(INDEX($O$2:$Q$1001,MATCH(ROWS($H$2:H24),$H$2:$H$1001,0),MATCH(COLUMNS($O$1006:O1006),$O$1006:$Q$1006,0)), HYPERLINK("#",""), HYPERLINK(CONCATENATE("#metadata!", ADDRESS(INDEX($J$2:$J$1001,MATCH(ROWS($H$2:H24),$H$2:$H$1001,0),0), INDEX($O$1004:$Q$1004,1,MATCH(COLUMNS($O$1006:O1006),$O$1006:$Q$1006,0)))),"Fix")))</f>
        <v xml:space="preserve"> </v>
      </c>
      <c r="C24" s="3" t="str">
        <f ca="1">IF(OR(INDEX($I$2:$I$1001,MATCH(ROWS($H$2:H24),$H$2:$H$1001,0),1)&gt;=100000,INDEX($O$1005:$Q$1005,1,MATCH(COLUMNS($O$1006:P1006),$O$1006:$Q$1006,0))&gt;=100000), " ",IF(INDEX($O$2:$Q$1001,MATCH(ROWS($H$2:H24),$H$2:$H$1001,0),MATCH(COLUMNS($O$1006:P1006),$O$1006:$Q$1006,0)), HYPERLINK("#",""), HYPERLINK(CONCATENATE("#metadata!", ADDRESS(INDEX($J$2:$J$1001,MATCH(ROWS($H$2:H24),$H$2:$H$1001,0),0), INDEX($O$1004:$Q$1004,1,MATCH(COLUMNS($O$1006:P1006),$O$1006:$Q$1006,0)))),"Fix")))</f>
        <v xml:space="preserve"> </v>
      </c>
      <c r="D24" s="3" t="str">
        <f ca="1">IF(OR(INDEX($I$2:$I$1001,MATCH(ROWS($H$2:H24),$H$2:$H$1001,0),1)&gt;=100000,INDEX($O$1005:$Q$1005,1,MATCH(COLUMNS($O$1006:Q1006),$O$1006:$Q$1006,0))&gt;=100000), " ",IF(INDEX($O$2:$Q$1001,MATCH(ROWS($H$2:H24),$H$2:$H$1001,0),MATCH(COLUMNS($O$1006:Q1006),$O$1006:$Q$1006,0)), HYPERLINK("#",""), HYPERLINK(CONCATENATE("#metadata!", ADDRESS(INDEX($J$2:$J$1001,MATCH(ROWS($H$2:H24),$H$2:$H$1001,0),0), INDEX($O$1004:$Q$1004,1,MATCH(COLUMNS($O$1006:Q1006),$O$1006:$Q$1006,0)))),"Fix")))</f>
        <v xml:space="preserve"> </v>
      </c>
      <c r="H24">
        <v>23</v>
      </c>
      <c r="I24">
        <v>100024</v>
      </c>
      <c r="J24">
        <v>24</v>
      </c>
      <c r="K24" t="b">
        <f t="shared" si="0"/>
        <v>1</v>
      </c>
      <c r="L24" t="b">
        <f>COUNTBLANK(metadata!B24:D24)=COLUMNS(metadata!B24:D24)</f>
        <v>1</v>
      </c>
      <c r="M24" t="str">
        <v/>
      </c>
      <c r="O24" t="b">
        <f ca="1"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P24" t="b">
        <f>AND(IF(metadata!C24="",FALSE,TRUE),EXACT(metadata!C24,"mouse gut metagenome"))</f>
        <v>0</v>
      </c>
      <c r="Q24" t="b">
        <f>AND(IF(metadata!D24="",FALSE,TRUE),EXACT(metadata!D24,"410661"))</f>
        <v>0</v>
      </c>
    </row>
    <row r="25" spans="1:17" x14ac:dyDescent="0.2">
      <c r="A25" s="4" t="str">
        <f ca="1">IF(B25=" "," ",HYPERLINK(CONCATENATE("#metadata!",ADDRESS(INDEX($J$2:$J$1001,MATCH(ROWS($H$2:H25),$H$2:$H$1001,0),0),1)),INDEX($M$2:$M$1001,MATCH(ROWS($H$2:H25),$H$2:$H$1001,0),0)))</f>
        <v xml:space="preserve"> </v>
      </c>
      <c r="B25" s="3" t="str">
        <f ca="1">IF(OR(INDEX($I$2:$I$1001,MATCH(ROWS($H$2:H25),$H$2:$H$1001,0),1)&gt;=100000,INDEX($O$1005:$Q$1005,1,MATCH(COLUMNS($O$1006:O1006),$O$1006:$Q$1006,0))&gt;=100000), " ",IF(INDEX($O$2:$Q$1001,MATCH(ROWS($H$2:H25),$H$2:$H$1001,0),MATCH(COLUMNS($O$1006:O1006),$O$1006:$Q$1006,0)), HYPERLINK("#",""), HYPERLINK(CONCATENATE("#metadata!", ADDRESS(INDEX($J$2:$J$1001,MATCH(ROWS($H$2:H25),$H$2:$H$1001,0),0), INDEX($O$1004:$Q$1004,1,MATCH(COLUMNS($O$1006:O1006),$O$1006:$Q$1006,0)))),"Fix")))</f>
        <v xml:space="preserve"> </v>
      </c>
      <c r="C25" s="3" t="str">
        <f ca="1">IF(OR(INDEX($I$2:$I$1001,MATCH(ROWS($H$2:H25),$H$2:$H$1001,0),1)&gt;=100000,INDEX($O$1005:$Q$1005,1,MATCH(COLUMNS($O$1006:P1006),$O$1006:$Q$1006,0))&gt;=100000), " ",IF(INDEX($O$2:$Q$1001,MATCH(ROWS($H$2:H25),$H$2:$H$1001,0),MATCH(COLUMNS($O$1006:P1006),$O$1006:$Q$1006,0)), HYPERLINK("#",""), HYPERLINK(CONCATENATE("#metadata!", ADDRESS(INDEX($J$2:$J$1001,MATCH(ROWS($H$2:H25),$H$2:$H$1001,0),0), INDEX($O$1004:$Q$1004,1,MATCH(COLUMNS($O$1006:P1006),$O$1006:$Q$1006,0)))),"Fix")))</f>
        <v xml:space="preserve"> </v>
      </c>
      <c r="D25" s="3" t="str">
        <f ca="1">IF(OR(INDEX($I$2:$I$1001,MATCH(ROWS($H$2:H25),$H$2:$H$1001,0),1)&gt;=100000,INDEX($O$1005:$Q$1005,1,MATCH(COLUMNS($O$1006:Q1006),$O$1006:$Q$1006,0))&gt;=100000), " ",IF(INDEX($O$2:$Q$1001,MATCH(ROWS($H$2:H25),$H$2:$H$1001,0),MATCH(COLUMNS($O$1006:Q1006),$O$1006:$Q$1006,0)), HYPERLINK("#",""), HYPERLINK(CONCATENATE("#metadata!", ADDRESS(INDEX($J$2:$J$1001,MATCH(ROWS($H$2:H25),$H$2:$H$1001,0),0), INDEX($O$1004:$Q$1004,1,MATCH(COLUMNS($O$1006:Q1006),$O$1006:$Q$1006,0)))),"Fix")))</f>
        <v xml:space="preserve"> </v>
      </c>
      <c r="H25">
        <v>24</v>
      </c>
      <c r="I25">
        <v>100025</v>
      </c>
      <c r="J25">
        <v>25</v>
      </c>
      <c r="K25" t="b">
        <f t="shared" si="0"/>
        <v>1</v>
      </c>
      <c r="L25" t="b">
        <f>COUNTBLANK(metadata!B25:D25)=COLUMNS(metadata!B25:D25)</f>
        <v>1</v>
      </c>
      <c r="M25" t="str">
        <v/>
      </c>
      <c r="O25" t="b">
        <f ca="1"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P25" t="b">
        <f>AND(IF(metadata!C25="",FALSE,TRUE),EXACT(metadata!C25,"mouse gut metagenome"))</f>
        <v>0</v>
      </c>
      <c r="Q25" t="b">
        <f>AND(IF(metadata!D25="",FALSE,TRUE),EXACT(metadata!D25,"410661"))</f>
        <v>0</v>
      </c>
    </row>
    <row r="26" spans="1:17" x14ac:dyDescent="0.2">
      <c r="A26" s="4" t="str">
        <f ca="1">IF(B26=" "," ",HYPERLINK(CONCATENATE("#metadata!",ADDRESS(INDEX($J$2:$J$1001,MATCH(ROWS($H$2:H26),$H$2:$H$1001,0),0),1)),INDEX($M$2:$M$1001,MATCH(ROWS($H$2:H26),$H$2:$H$1001,0),0)))</f>
        <v xml:space="preserve"> </v>
      </c>
      <c r="B26" s="3" t="str">
        <f ca="1">IF(OR(INDEX($I$2:$I$1001,MATCH(ROWS($H$2:H26),$H$2:$H$1001,0),1)&gt;=100000,INDEX($O$1005:$Q$1005,1,MATCH(COLUMNS($O$1006:O1006),$O$1006:$Q$1006,0))&gt;=100000), " ",IF(INDEX($O$2:$Q$1001,MATCH(ROWS($H$2:H26),$H$2:$H$1001,0),MATCH(COLUMNS($O$1006:O1006),$O$1006:$Q$1006,0)), HYPERLINK("#",""), HYPERLINK(CONCATENATE("#metadata!", ADDRESS(INDEX($J$2:$J$1001,MATCH(ROWS($H$2:H26),$H$2:$H$1001,0),0), INDEX($O$1004:$Q$1004,1,MATCH(COLUMNS($O$1006:O1006),$O$1006:$Q$1006,0)))),"Fix")))</f>
        <v xml:space="preserve"> </v>
      </c>
      <c r="C26" s="3" t="str">
        <f ca="1">IF(OR(INDEX($I$2:$I$1001,MATCH(ROWS($H$2:H26),$H$2:$H$1001,0),1)&gt;=100000,INDEX($O$1005:$Q$1005,1,MATCH(COLUMNS($O$1006:P1006),$O$1006:$Q$1006,0))&gt;=100000), " ",IF(INDEX($O$2:$Q$1001,MATCH(ROWS($H$2:H26),$H$2:$H$1001,0),MATCH(COLUMNS($O$1006:P1006),$O$1006:$Q$1006,0)), HYPERLINK("#",""), HYPERLINK(CONCATENATE("#metadata!", ADDRESS(INDEX($J$2:$J$1001,MATCH(ROWS($H$2:H26),$H$2:$H$1001,0),0), INDEX($O$1004:$Q$1004,1,MATCH(COLUMNS($O$1006:P1006),$O$1006:$Q$1006,0)))),"Fix")))</f>
        <v xml:space="preserve"> </v>
      </c>
      <c r="D26" s="3" t="str">
        <f ca="1">IF(OR(INDEX($I$2:$I$1001,MATCH(ROWS($H$2:H26),$H$2:$H$1001,0),1)&gt;=100000,INDEX($O$1005:$Q$1005,1,MATCH(COLUMNS($O$1006:Q1006),$O$1006:$Q$1006,0))&gt;=100000), " ",IF(INDEX($O$2:$Q$1001,MATCH(ROWS($H$2:H26),$H$2:$H$1001,0),MATCH(COLUMNS($O$1006:Q1006),$O$1006:$Q$1006,0)), HYPERLINK("#",""), HYPERLINK(CONCATENATE("#metadata!", ADDRESS(INDEX($J$2:$J$1001,MATCH(ROWS($H$2:H26),$H$2:$H$1001,0),0), INDEX($O$1004:$Q$1004,1,MATCH(COLUMNS($O$1006:Q1006),$O$1006:$Q$1006,0)))),"Fix")))</f>
        <v xml:space="preserve"> </v>
      </c>
      <c r="H26">
        <v>25</v>
      </c>
      <c r="I26">
        <v>100026</v>
      </c>
      <c r="J26">
        <v>26</v>
      </c>
      <c r="K26" t="b">
        <f t="shared" si="0"/>
        <v>1</v>
      </c>
      <c r="L26" t="b">
        <f>COUNTBLANK(metadata!B26:D26)=COLUMNS(metadata!B26:D26)</f>
        <v>1</v>
      </c>
      <c r="M26" t="str">
        <v/>
      </c>
      <c r="O26" t="b">
        <f ca="1"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P26" t="b">
        <f>AND(IF(metadata!C26="",FALSE,TRUE),EXACT(metadata!C26,"mouse gut metagenome"))</f>
        <v>0</v>
      </c>
      <c r="Q26" t="b">
        <f>AND(IF(metadata!D26="",FALSE,TRUE),EXACT(metadata!D26,"410661"))</f>
        <v>0</v>
      </c>
    </row>
    <row r="27" spans="1:17" x14ac:dyDescent="0.2">
      <c r="A27" s="4" t="str">
        <f ca="1">IF(B27=" "," ",HYPERLINK(CONCATENATE("#metadata!",ADDRESS(INDEX($J$2:$J$1001,MATCH(ROWS($H$2:H27),$H$2:$H$1001,0),0),1)),INDEX($M$2:$M$1001,MATCH(ROWS($H$2:H27),$H$2:$H$1001,0),0)))</f>
        <v xml:space="preserve"> </v>
      </c>
      <c r="B27" s="3" t="str">
        <f ca="1">IF(OR(INDEX($I$2:$I$1001,MATCH(ROWS($H$2:H27),$H$2:$H$1001,0),1)&gt;=100000,INDEX($O$1005:$Q$1005,1,MATCH(COLUMNS($O$1006:O1006),$O$1006:$Q$1006,0))&gt;=100000), " ",IF(INDEX($O$2:$Q$1001,MATCH(ROWS($H$2:H27),$H$2:$H$1001,0),MATCH(COLUMNS($O$1006:O1006),$O$1006:$Q$1006,0)), HYPERLINK("#",""), HYPERLINK(CONCATENATE("#metadata!", ADDRESS(INDEX($J$2:$J$1001,MATCH(ROWS($H$2:H27),$H$2:$H$1001,0),0), INDEX($O$1004:$Q$1004,1,MATCH(COLUMNS($O$1006:O1006),$O$1006:$Q$1006,0)))),"Fix")))</f>
        <v xml:space="preserve"> </v>
      </c>
      <c r="C27" s="3" t="str">
        <f ca="1">IF(OR(INDEX($I$2:$I$1001,MATCH(ROWS($H$2:H27),$H$2:$H$1001,0),1)&gt;=100000,INDEX($O$1005:$Q$1005,1,MATCH(COLUMNS($O$1006:P1006),$O$1006:$Q$1006,0))&gt;=100000), " ",IF(INDEX($O$2:$Q$1001,MATCH(ROWS($H$2:H27),$H$2:$H$1001,0),MATCH(COLUMNS($O$1006:P1006),$O$1006:$Q$1006,0)), HYPERLINK("#",""), HYPERLINK(CONCATENATE("#metadata!", ADDRESS(INDEX($J$2:$J$1001,MATCH(ROWS($H$2:H27),$H$2:$H$1001,0),0), INDEX($O$1004:$Q$1004,1,MATCH(COLUMNS($O$1006:P1006),$O$1006:$Q$1006,0)))),"Fix")))</f>
        <v xml:space="preserve"> </v>
      </c>
      <c r="D27" s="3" t="str">
        <f ca="1">IF(OR(INDEX($I$2:$I$1001,MATCH(ROWS($H$2:H27),$H$2:$H$1001,0),1)&gt;=100000,INDEX($O$1005:$Q$1005,1,MATCH(COLUMNS($O$1006:Q1006),$O$1006:$Q$1006,0))&gt;=100000), " ",IF(INDEX($O$2:$Q$1001,MATCH(ROWS($H$2:H27),$H$2:$H$1001,0),MATCH(COLUMNS($O$1006:Q1006),$O$1006:$Q$1006,0)), HYPERLINK("#",""), HYPERLINK(CONCATENATE("#metadata!", ADDRESS(INDEX($J$2:$J$1001,MATCH(ROWS($H$2:H27),$H$2:$H$1001,0),0), INDEX($O$1004:$Q$1004,1,MATCH(COLUMNS($O$1006:Q1006),$O$1006:$Q$1006,0)))),"Fix")))</f>
        <v xml:space="preserve"> </v>
      </c>
      <c r="H27">
        <v>26</v>
      </c>
      <c r="I27">
        <v>100027</v>
      </c>
      <c r="J27">
        <v>27</v>
      </c>
      <c r="K27" t="b">
        <f t="shared" si="0"/>
        <v>1</v>
      </c>
      <c r="L27" t="b">
        <f>COUNTBLANK(metadata!B27:D27)=COLUMNS(metadata!B27:D27)</f>
        <v>1</v>
      </c>
      <c r="M27" t="str">
        <v/>
      </c>
      <c r="O27" t="b">
        <f ca="1"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P27" t="b">
        <f>AND(IF(metadata!C27="",FALSE,TRUE),EXACT(metadata!C27,"mouse gut metagenome"))</f>
        <v>0</v>
      </c>
      <c r="Q27" t="b">
        <f>AND(IF(metadata!D27="",FALSE,TRUE),EXACT(metadata!D27,"410661"))</f>
        <v>0</v>
      </c>
    </row>
    <row r="28" spans="1:17" x14ac:dyDescent="0.2">
      <c r="A28" s="4" t="str">
        <f ca="1">IF(B28=" "," ",HYPERLINK(CONCATENATE("#metadata!",ADDRESS(INDEX($J$2:$J$1001,MATCH(ROWS($H$2:H28),$H$2:$H$1001,0),0),1)),INDEX($M$2:$M$1001,MATCH(ROWS($H$2:H28),$H$2:$H$1001,0),0)))</f>
        <v xml:space="preserve"> </v>
      </c>
      <c r="B28" s="3" t="str">
        <f ca="1">IF(OR(INDEX($I$2:$I$1001,MATCH(ROWS($H$2:H28),$H$2:$H$1001,0),1)&gt;=100000,INDEX($O$1005:$Q$1005,1,MATCH(COLUMNS($O$1006:O1006),$O$1006:$Q$1006,0))&gt;=100000), " ",IF(INDEX($O$2:$Q$1001,MATCH(ROWS($H$2:H28),$H$2:$H$1001,0),MATCH(COLUMNS($O$1006:O1006),$O$1006:$Q$1006,0)), HYPERLINK("#",""), HYPERLINK(CONCATENATE("#metadata!", ADDRESS(INDEX($J$2:$J$1001,MATCH(ROWS($H$2:H28),$H$2:$H$1001,0),0), INDEX($O$1004:$Q$1004,1,MATCH(COLUMNS($O$1006:O1006),$O$1006:$Q$1006,0)))),"Fix")))</f>
        <v xml:space="preserve"> </v>
      </c>
      <c r="C28" s="3" t="str">
        <f ca="1">IF(OR(INDEX($I$2:$I$1001,MATCH(ROWS($H$2:H28),$H$2:$H$1001,0),1)&gt;=100000,INDEX($O$1005:$Q$1005,1,MATCH(COLUMNS($O$1006:P1006),$O$1006:$Q$1006,0))&gt;=100000), " ",IF(INDEX($O$2:$Q$1001,MATCH(ROWS($H$2:H28),$H$2:$H$1001,0),MATCH(COLUMNS($O$1006:P1006),$O$1006:$Q$1006,0)), HYPERLINK("#",""), HYPERLINK(CONCATENATE("#metadata!", ADDRESS(INDEX($J$2:$J$1001,MATCH(ROWS($H$2:H28),$H$2:$H$1001,0),0), INDEX($O$1004:$Q$1004,1,MATCH(COLUMNS($O$1006:P1006),$O$1006:$Q$1006,0)))),"Fix")))</f>
        <v xml:space="preserve"> </v>
      </c>
      <c r="D28" s="3" t="str">
        <f ca="1">IF(OR(INDEX($I$2:$I$1001,MATCH(ROWS($H$2:H28),$H$2:$H$1001,0),1)&gt;=100000,INDEX($O$1005:$Q$1005,1,MATCH(COLUMNS($O$1006:Q1006),$O$1006:$Q$1006,0))&gt;=100000), " ",IF(INDEX($O$2:$Q$1001,MATCH(ROWS($H$2:H28),$H$2:$H$1001,0),MATCH(COLUMNS($O$1006:Q1006),$O$1006:$Q$1006,0)), HYPERLINK("#",""), HYPERLINK(CONCATENATE("#metadata!", ADDRESS(INDEX($J$2:$J$1001,MATCH(ROWS($H$2:H28),$H$2:$H$1001,0),0), INDEX($O$1004:$Q$1004,1,MATCH(COLUMNS($O$1006:Q1006),$O$1006:$Q$1006,0)))),"Fix")))</f>
        <v xml:space="preserve"> </v>
      </c>
      <c r="H28">
        <v>27</v>
      </c>
      <c r="I28">
        <v>100028</v>
      </c>
      <c r="J28">
        <v>28</v>
      </c>
      <c r="K28" t="b">
        <f t="shared" si="0"/>
        <v>1</v>
      </c>
      <c r="L28" t="b">
        <f>COUNTBLANK(metadata!B28:D28)=COLUMNS(metadata!B28:D28)</f>
        <v>1</v>
      </c>
      <c r="M28" t="str">
        <v/>
      </c>
      <c r="O28" t="b">
        <f ca="1"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P28" t="b">
        <f>AND(IF(metadata!C28="",FALSE,TRUE),EXACT(metadata!C28,"mouse gut metagenome"))</f>
        <v>0</v>
      </c>
      <c r="Q28" t="b">
        <f>AND(IF(metadata!D28="",FALSE,TRUE),EXACT(metadata!D28,"410661"))</f>
        <v>0</v>
      </c>
    </row>
    <row r="29" spans="1:17" x14ac:dyDescent="0.2">
      <c r="A29" s="4" t="str">
        <f ca="1">IF(B29=" "," ",HYPERLINK(CONCATENATE("#metadata!",ADDRESS(INDEX($J$2:$J$1001,MATCH(ROWS($H$2:H29),$H$2:$H$1001,0),0),1)),INDEX($M$2:$M$1001,MATCH(ROWS($H$2:H29),$H$2:$H$1001,0),0)))</f>
        <v xml:space="preserve"> </v>
      </c>
      <c r="B29" s="3" t="str">
        <f ca="1">IF(OR(INDEX($I$2:$I$1001,MATCH(ROWS($H$2:H29),$H$2:$H$1001,0),1)&gt;=100000,INDEX($O$1005:$Q$1005,1,MATCH(COLUMNS($O$1006:O1006),$O$1006:$Q$1006,0))&gt;=100000), " ",IF(INDEX($O$2:$Q$1001,MATCH(ROWS($H$2:H29),$H$2:$H$1001,0),MATCH(COLUMNS($O$1006:O1006),$O$1006:$Q$1006,0)), HYPERLINK("#",""), HYPERLINK(CONCATENATE("#metadata!", ADDRESS(INDEX($J$2:$J$1001,MATCH(ROWS($H$2:H29),$H$2:$H$1001,0),0), INDEX($O$1004:$Q$1004,1,MATCH(COLUMNS($O$1006:O1006),$O$1006:$Q$1006,0)))),"Fix")))</f>
        <v xml:space="preserve"> </v>
      </c>
      <c r="C29" s="3" t="str">
        <f ca="1">IF(OR(INDEX($I$2:$I$1001,MATCH(ROWS($H$2:H29),$H$2:$H$1001,0),1)&gt;=100000,INDEX($O$1005:$Q$1005,1,MATCH(COLUMNS($O$1006:P1006),$O$1006:$Q$1006,0))&gt;=100000), " ",IF(INDEX($O$2:$Q$1001,MATCH(ROWS($H$2:H29),$H$2:$H$1001,0),MATCH(COLUMNS($O$1006:P1006),$O$1006:$Q$1006,0)), HYPERLINK("#",""), HYPERLINK(CONCATENATE("#metadata!", ADDRESS(INDEX($J$2:$J$1001,MATCH(ROWS($H$2:H29),$H$2:$H$1001,0),0), INDEX($O$1004:$Q$1004,1,MATCH(COLUMNS($O$1006:P1006),$O$1006:$Q$1006,0)))),"Fix")))</f>
        <v xml:space="preserve"> </v>
      </c>
      <c r="D29" s="3" t="str">
        <f ca="1">IF(OR(INDEX($I$2:$I$1001,MATCH(ROWS($H$2:H29),$H$2:$H$1001,0),1)&gt;=100000,INDEX($O$1005:$Q$1005,1,MATCH(COLUMNS($O$1006:Q1006),$O$1006:$Q$1006,0))&gt;=100000), " ",IF(INDEX($O$2:$Q$1001,MATCH(ROWS($H$2:H29),$H$2:$H$1001,0),MATCH(COLUMNS($O$1006:Q1006),$O$1006:$Q$1006,0)), HYPERLINK("#",""), HYPERLINK(CONCATENATE("#metadata!", ADDRESS(INDEX($J$2:$J$1001,MATCH(ROWS($H$2:H29),$H$2:$H$1001,0),0), INDEX($O$1004:$Q$1004,1,MATCH(COLUMNS($O$1006:Q1006),$O$1006:$Q$1006,0)))),"Fix")))</f>
        <v xml:space="preserve"> </v>
      </c>
      <c r="H29">
        <v>28</v>
      </c>
      <c r="I29">
        <v>100029</v>
      </c>
      <c r="J29">
        <v>29</v>
      </c>
      <c r="K29" t="b">
        <f t="shared" si="0"/>
        <v>1</v>
      </c>
      <c r="L29" t="b">
        <f>COUNTBLANK(metadata!B29:D29)=COLUMNS(metadata!B29:D29)</f>
        <v>1</v>
      </c>
      <c r="M29" t="str">
        <v/>
      </c>
      <c r="O29" t="b">
        <f ca="1"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P29" t="b">
        <f>AND(IF(metadata!C29="",FALSE,TRUE),EXACT(metadata!C29,"mouse gut metagenome"))</f>
        <v>0</v>
      </c>
      <c r="Q29" t="b">
        <f>AND(IF(metadata!D29="",FALSE,TRUE),EXACT(metadata!D29,"410661"))</f>
        <v>0</v>
      </c>
    </row>
    <row r="30" spans="1:17" x14ac:dyDescent="0.2">
      <c r="A30" s="4" t="str">
        <f ca="1">IF(B30=" "," ",HYPERLINK(CONCATENATE("#metadata!",ADDRESS(INDEX($J$2:$J$1001,MATCH(ROWS($H$2:H30),$H$2:$H$1001,0),0),1)),INDEX($M$2:$M$1001,MATCH(ROWS($H$2:H30),$H$2:$H$1001,0),0)))</f>
        <v xml:space="preserve"> </v>
      </c>
      <c r="B30" s="3" t="str">
        <f ca="1">IF(OR(INDEX($I$2:$I$1001,MATCH(ROWS($H$2:H30),$H$2:$H$1001,0),1)&gt;=100000,INDEX($O$1005:$Q$1005,1,MATCH(COLUMNS($O$1006:O1006),$O$1006:$Q$1006,0))&gt;=100000), " ",IF(INDEX($O$2:$Q$1001,MATCH(ROWS($H$2:H30),$H$2:$H$1001,0),MATCH(COLUMNS($O$1006:O1006),$O$1006:$Q$1006,0)), HYPERLINK("#",""), HYPERLINK(CONCATENATE("#metadata!", ADDRESS(INDEX($J$2:$J$1001,MATCH(ROWS($H$2:H30),$H$2:$H$1001,0),0), INDEX($O$1004:$Q$1004,1,MATCH(COLUMNS($O$1006:O1006),$O$1006:$Q$1006,0)))),"Fix")))</f>
        <v xml:space="preserve"> </v>
      </c>
      <c r="C30" s="3" t="str">
        <f ca="1">IF(OR(INDEX($I$2:$I$1001,MATCH(ROWS($H$2:H30),$H$2:$H$1001,0),1)&gt;=100000,INDEX($O$1005:$Q$1005,1,MATCH(COLUMNS($O$1006:P1006),$O$1006:$Q$1006,0))&gt;=100000), " ",IF(INDEX($O$2:$Q$1001,MATCH(ROWS($H$2:H30),$H$2:$H$1001,0),MATCH(COLUMNS($O$1006:P1006),$O$1006:$Q$1006,0)), HYPERLINK("#",""), HYPERLINK(CONCATENATE("#metadata!", ADDRESS(INDEX($J$2:$J$1001,MATCH(ROWS($H$2:H30),$H$2:$H$1001,0),0), INDEX($O$1004:$Q$1004,1,MATCH(COLUMNS($O$1006:P1006),$O$1006:$Q$1006,0)))),"Fix")))</f>
        <v xml:space="preserve"> </v>
      </c>
      <c r="D30" s="3" t="str">
        <f ca="1">IF(OR(INDEX($I$2:$I$1001,MATCH(ROWS($H$2:H30),$H$2:$H$1001,0),1)&gt;=100000,INDEX($O$1005:$Q$1005,1,MATCH(COLUMNS($O$1006:Q1006),$O$1006:$Q$1006,0))&gt;=100000), " ",IF(INDEX($O$2:$Q$1001,MATCH(ROWS($H$2:H30),$H$2:$H$1001,0),MATCH(COLUMNS($O$1006:Q1006),$O$1006:$Q$1006,0)), HYPERLINK("#",""), HYPERLINK(CONCATENATE("#metadata!", ADDRESS(INDEX($J$2:$J$1001,MATCH(ROWS($H$2:H30),$H$2:$H$1001,0),0), INDEX($O$1004:$Q$1004,1,MATCH(COLUMNS($O$1006:Q1006),$O$1006:$Q$1006,0)))),"Fix")))</f>
        <v xml:space="preserve"> </v>
      </c>
      <c r="H30">
        <v>29</v>
      </c>
      <c r="I30">
        <v>100030</v>
      </c>
      <c r="J30">
        <v>30</v>
      </c>
      <c r="K30" t="b">
        <f t="shared" si="0"/>
        <v>1</v>
      </c>
      <c r="L30" t="b">
        <f>COUNTBLANK(metadata!B30:D30)=COLUMNS(metadata!B30:D30)</f>
        <v>1</v>
      </c>
      <c r="M30" t="str">
        <v/>
      </c>
      <c r="O30" t="b">
        <f ca="1"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P30" t="b">
        <f>AND(IF(metadata!C30="",FALSE,TRUE),EXACT(metadata!C30,"mouse gut metagenome"))</f>
        <v>0</v>
      </c>
      <c r="Q30" t="b">
        <f>AND(IF(metadata!D30="",FALSE,TRUE),EXACT(metadata!D30,"410661"))</f>
        <v>0</v>
      </c>
    </row>
    <row r="31" spans="1:17" x14ac:dyDescent="0.2">
      <c r="A31" s="4" t="str">
        <f ca="1">IF(B31=" "," ",HYPERLINK(CONCATENATE("#metadata!",ADDRESS(INDEX($J$2:$J$1001,MATCH(ROWS($H$2:H31),$H$2:$H$1001,0),0),1)),INDEX($M$2:$M$1001,MATCH(ROWS($H$2:H31),$H$2:$H$1001,0),0)))</f>
        <v xml:space="preserve"> </v>
      </c>
      <c r="B31" s="3" t="str">
        <f ca="1">IF(OR(INDEX($I$2:$I$1001,MATCH(ROWS($H$2:H31),$H$2:$H$1001,0),1)&gt;=100000,INDEX($O$1005:$Q$1005,1,MATCH(COLUMNS($O$1006:O1006),$O$1006:$Q$1006,0))&gt;=100000), " ",IF(INDEX($O$2:$Q$1001,MATCH(ROWS($H$2:H31),$H$2:$H$1001,0),MATCH(COLUMNS($O$1006:O1006),$O$1006:$Q$1006,0)), HYPERLINK("#",""), HYPERLINK(CONCATENATE("#metadata!", ADDRESS(INDEX($J$2:$J$1001,MATCH(ROWS($H$2:H31),$H$2:$H$1001,0),0), INDEX($O$1004:$Q$1004,1,MATCH(COLUMNS($O$1006:O1006),$O$1006:$Q$1006,0)))),"Fix")))</f>
        <v xml:space="preserve"> </v>
      </c>
      <c r="C31" s="3" t="str">
        <f ca="1">IF(OR(INDEX($I$2:$I$1001,MATCH(ROWS($H$2:H31),$H$2:$H$1001,0),1)&gt;=100000,INDEX($O$1005:$Q$1005,1,MATCH(COLUMNS($O$1006:P1006),$O$1006:$Q$1006,0))&gt;=100000), " ",IF(INDEX($O$2:$Q$1001,MATCH(ROWS($H$2:H31),$H$2:$H$1001,0),MATCH(COLUMNS($O$1006:P1006),$O$1006:$Q$1006,0)), HYPERLINK("#",""), HYPERLINK(CONCATENATE("#metadata!", ADDRESS(INDEX($J$2:$J$1001,MATCH(ROWS($H$2:H31),$H$2:$H$1001,0),0), INDEX($O$1004:$Q$1004,1,MATCH(COLUMNS($O$1006:P1006),$O$1006:$Q$1006,0)))),"Fix")))</f>
        <v xml:space="preserve"> </v>
      </c>
      <c r="D31" s="3" t="str">
        <f ca="1">IF(OR(INDEX($I$2:$I$1001,MATCH(ROWS($H$2:H31),$H$2:$H$1001,0),1)&gt;=100000,INDEX($O$1005:$Q$1005,1,MATCH(COLUMNS($O$1006:Q1006),$O$1006:$Q$1006,0))&gt;=100000), " ",IF(INDEX($O$2:$Q$1001,MATCH(ROWS($H$2:H31),$H$2:$H$1001,0),MATCH(COLUMNS($O$1006:Q1006),$O$1006:$Q$1006,0)), HYPERLINK("#",""), HYPERLINK(CONCATENATE("#metadata!", ADDRESS(INDEX($J$2:$J$1001,MATCH(ROWS($H$2:H31),$H$2:$H$1001,0),0), INDEX($O$1004:$Q$1004,1,MATCH(COLUMNS($O$1006:Q1006),$O$1006:$Q$1006,0)))),"Fix")))</f>
        <v xml:space="preserve"> </v>
      </c>
      <c r="H31">
        <v>30</v>
      </c>
      <c r="I31">
        <v>100031</v>
      </c>
      <c r="J31">
        <v>31</v>
      </c>
      <c r="K31" t="b">
        <f t="shared" si="0"/>
        <v>1</v>
      </c>
      <c r="L31" t="b">
        <f>COUNTBLANK(metadata!B31:D31)=COLUMNS(metadata!B31:D31)</f>
        <v>1</v>
      </c>
      <c r="M31" t="str">
        <v/>
      </c>
      <c r="O31" t="b">
        <f ca="1"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P31" t="b">
        <f>AND(IF(metadata!C31="",FALSE,TRUE),EXACT(metadata!C31,"mouse gut metagenome"))</f>
        <v>0</v>
      </c>
      <c r="Q31" t="b">
        <f>AND(IF(metadata!D31="",FALSE,TRUE),EXACT(metadata!D31,"410661"))</f>
        <v>0</v>
      </c>
    </row>
    <row r="32" spans="1:17" x14ac:dyDescent="0.2">
      <c r="A32" s="4" t="str">
        <f ca="1">IF(B32=" "," ",HYPERLINK(CONCATENATE("#metadata!",ADDRESS(INDEX($J$2:$J$1001,MATCH(ROWS($H$2:H32),$H$2:$H$1001,0),0),1)),INDEX($M$2:$M$1001,MATCH(ROWS($H$2:H32),$H$2:$H$1001,0),0)))</f>
        <v xml:space="preserve"> </v>
      </c>
      <c r="B32" s="3" t="str">
        <f ca="1">IF(OR(INDEX($I$2:$I$1001,MATCH(ROWS($H$2:H32),$H$2:$H$1001,0),1)&gt;=100000,INDEX($O$1005:$Q$1005,1,MATCH(COLUMNS($O$1006:O1006),$O$1006:$Q$1006,0))&gt;=100000), " ",IF(INDEX($O$2:$Q$1001,MATCH(ROWS($H$2:H32),$H$2:$H$1001,0),MATCH(COLUMNS($O$1006:O1006),$O$1006:$Q$1006,0)), HYPERLINK("#",""), HYPERLINK(CONCATENATE("#metadata!", ADDRESS(INDEX($J$2:$J$1001,MATCH(ROWS($H$2:H32),$H$2:$H$1001,0),0), INDEX($O$1004:$Q$1004,1,MATCH(COLUMNS($O$1006:O1006),$O$1006:$Q$1006,0)))),"Fix")))</f>
        <v xml:space="preserve"> </v>
      </c>
      <c r="C32" s="3" t="str">
        <f ca="1">IF(OR(INDEX($I$2:$I$1001,MATCH(ROWS($H$2:H32),$H$2:$H$1001,0),1)&gt;=100000,INDEX($O$1005:$Q$1005,1,MATCH(COLUMNS($O$1006:P1006),$O$1006:$Q$1006,0))&gt;=100000), " ",IF(INDEX($O$2:$Q$1001,MATCH(ROWS($H$2:H32),$H$2:$H$1001,0),MATCH(COLUMNS($O$1006:P1006),$O$1006:$Q$1006,0)), HYPERLINK("#",""), HYPERLINK(CONCATENATE("#metadata!", ADDRESS(INDEX($J$2:$J$1001,MATCH(ROWS($H$2:H32),$H$2:$H$1001,0),0), INDEX($O$1004:$Q$1004,1,MATCH(COLUMNS($O$1006:P1006),$O$1006:$Q$1006,0)))),"Fix")))</f>
        <v xml:space="preserve"> </v>
      </c>
      <c r="D32" s="3" t="str">
        <f ca="1">IF(OR(INDEX($I$2:$I$1001,MATCH(ROWS($H$2:H32),$H$2:$H$1001,0),1)&gt;=100000,INDEX($O$1005:$Q$1005,1,MATCH(COLUMNS($O$1006:Q1006),$O$1006:$Q$1006,0))&gt;=100000), " ",IF(INDEX($O$2:$Q$1001,MATCH(ROWS($H$2:H32),$H$2:$H$1001,0),MATCH(COLUMNS($O$1006:Q1006),$O$1006:$Q$1006,0)), HYPERLINK("#",""), HYPERLINK(CONCATENATE("#metadata!", ADDRESS(INDEX($J$2:$J$1001,MATCH(ROWS($H$2:H32),$H$2:$H$1001,0),0), INDEX($O$1004:$Q$1004,1,MATCH(COLUMNS($O$1006:Q1006),$O$1006:$Q$1006,0)))),"Fix")))</f>
        <v xml:space="preserve"> </v>
      </c>
      <c r="H32">
        <v>31</v>
      </c>
      <c r="I32">
        <v>100032</v>
      </c>
      <c r="J32">
        <v>32</v>
      </c>
      <c r="K32" t="b">
        <f t="shared" si="0"/>
        <v>1</v>
      </c>
      <c r="L32" t="b">
        <f>COUNTBLANK(metadata!B32:D32)=COLUMNS(metadata!B32:D32)</f>
        <v>1</v>
      </c>
      <c r="M32" t="str">
        <v/>
      </c>
      <c r="O32" t="b">
        <f ca="1"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P32" t="b">
        <f>AND(IF(metadata!C32="",FALSE,TRUE),EXACT(metadata!C32,"mouse gut metagenome"))</f>
        <v>0</v>
      </c>
      <c r="Q32" t="b">
        <f>AND(IF(metadata!D32="",FALSE,TRUE),EXACT(metadata!D32,"410661"))</f>
        <v>0</v>
      </c>
    </row>
    <row r="33" spans="1:17" x14ac:dyDescent="0.2">
      <c r="A33" s="4" t="str">
        <f ca="1">IF(B33=" "," ",HYPERLINK(CONCATENATE("#metadata!",ADDRESS(INDEX($J$2:$J$1001,MATCH(ROWS($H$2:H33),$H$2:$H$1001,0),0),1)),INDEX($M$2:$M$1001,MATCH(ROWS($H$2:H33),$H$2:$H$1001,0),0)))</f>
        <v xml:space="preserve"> </v>
      </c>
      <c r="B33" s="3" t="str">
        <f ca="1">IF(OR(INDEX($I$2:$I$1001,MATCH(ROWS($H$2:H33),$H$2:$H$1001,0),1)&gt;=100000,INDEX($O$1005:$Q$1005,1,MATCH(COLUMNS($O$1006:O1006),$O$1006:$Q$1006,0))&gt;=100000), " ",IF(INDEX($O$2:$Q$1001,MATCH(ROWS($H$2:H33),$H$2:$H$1001,0),MATCH(COLUMNS($O$1006:O1006),$O$1006:$Q$1006,0)), HYPERLINK("#",""), HYPERLINK(CONCATENATE("#metadata!", ADDRESS(INDEX($J$2:$J$1001,MATCH(ROWS($H$2:H33),$H$2:$H$1001,0),0), INDEX($O$1004:$Q$1004,1,MATCH(COLUMNS($O$1006:O1006),$O$1006:$Q$1006,0)))),"Fix")))</f>
        <v xml:space="preserve"> </v>
      </c>
      <c r="C33" s="3" t="str">
        <f ca="1">IF(OR(INDEX($I$2:$I$1001,MATCH(ROWS($H$2:H33),$H$2:$H$1001,0),1)&gt;=100000,INDEX($O$1005:$Q$1005,1,MATCH(COLUMNS($O$1006:P1006),$O$1006:$Q$1006,0))&gt;=100000), " ",IF(INDEX($O$2:$Q$1001,MATCH(ROWS($H$2:H33),$H$2:$H$1001,0),MATCH(COLUMNS($O$1006:P1006),$O$1006:$Q$1006,0)), HYPERLINK("#",""), HYPERLINK(CONCATENATE("#metadata!", ADDRESS(INDEX($J$2:$J$1001,MATCH(ROWS($H$2:H33),$H$2:$H$1001,0),0), INDEX($O$1004:$Q$1004,1,MATCH(COLUMNS($O$1006:P1006),$O$1006:$Q$1006,0)))),"Fix")))</f>
        <v xml:space="preserve"> </v>
      </c>
      <c r="D33" s="3" t="str">
        <f ca="1">IF(OR(INDEX($I$2:$I$1001,MATCH(ROWS($H$2:H33),$H$2:$H$1001,0),1)&gt;=100000,INDEX($O$1005:$Q$1005,1,MATCH(COLUMNS($O$1006:Q1006),$O$1006:$Q$1006,0))&gt;=100000), " ",IF(INDEX($O$2:$Q$1001,MATCH(ROWS($H$2:H33),$H$2:$H$1001,0),MATCH(COLUMNS($O$1006:Q1006),$O$1006:$Q$1006,0)), HYPERLINK("#",""), HYPERLINK(CONCATENATE("#metadata!", ADDRESS(INDEX($J$2:$J$1001,MATCH(ROWS($H$2:H33),$H$2:$H$1001,0),0), INDEX($O$1004:$Q$1004,1,MATCH(COLUMNS($O$1006:Q1006),$O$1006:$Q$1006,0)))),"Fix")))</f>
        <v xml:space="preserve"> </v>
      </c>
      <c r="H33">
        <v>32</v>
      </c>
      <c r="I33">
        <v>100033</v>
      </c>
      <c r="J33">
        <v>33</v>
      </c>
      <c r="K33" t="b">
        <f t="shared" si="0"/>
        <v>1</v>
      </c>
      <c r="L33" t="b">
        <f>COUNTBLANK(metadata!B33:D33)=COLUMNS(metadata!B33:D33)</f>
        <v>1</v>
      </c>
      <c r="M33" t="str">
        <v/>
      </c>
      <c r="O33" t="b">
        <f ca="1"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P33" t="b">
        <f>AND(IF(metadata!C33="",FALSE,TRUE),EXACT(metadata!C33,"mouse gut metagenome"))</f>
        <v>0</v>
      </c>
      <c r="Q33" t="b">
        <f>AND(IF(metadata!D33="",FALSE,TRUE),EXACT(metadata!D33,"410661"))</f>
        <v>0</v>
      </c>
    </row>
    <row r="34" spans="1:17" x14ac:dyDescent="0.2">
      <c r="A34" s="4" t="str">
        <f ca="1">IF(B34=" "," ",HYPERLINK(CONCATENATE("#metadata!",ADDRESS(INDEX($J$2:$J$1001,MATCH(ROWS($H$2:H34),$H$2:$H$1001,0),0),1)),INDEX($M$2:$M$1001,MATCH(ROWS($H$2:H34),$H$2:$H$1001,0),0)))</f>
        <v xml:space="preserve"> </v>
      </c>
      <c r="B34" s="3" t="str">
        <f ca="1">IF(OR(INDEX($I$2:$I$1001,MATCH(ROWS($H$2:H34),$H$2:$H$1001,0),1)&gt;=100000,INDEX($O$1005:$Q$1005,1,MATCH(COLUMNS($O$1006:O1006),$O$1006:$Q$1006,0))&gt;=100000), " ",IF(INDEX($O$2:$Q$1001,MATCH(ROWS($H$2:H34),$H$2:$H$1001,0),MATCH(COLUMNS($O$1006:O1006),$O$1006:$Q$1006,0)), HYPERLINK("#",""), HYPERLINK(CONCATENATE("#metadata!", ADDRESS(INDEX($J$2:$J$1001,MATCH(ROWS($H$2:H34),$H$2:$H$1001,0),0), INDEX($O$1004:$Q$1004,1,MATCH(COLUMNS($O$1006:O1006),$O$1006:$Q$1006,0)))),"Fix")))</f>
        <v xml:space="preserve"> </v>
      </c>
      <c r="C34" s="3" t="str">
        <f ca="1">IF(OR(INDEX($I$2:$I$1001,MATCH(ROWS($H$2:H34),$H$2:$H$1001,0),1)&gt;=100000,INDEX($O$1005:$Q$1005,1,MATCH(COLUMNS($O$1006:P1006),$O$1006:$Q$1006,0))&gt;=100000), " ",IF(INDEX($O$2:$Q$1001,MATCH(ROWS($H$2:H34),$H$2:$H$1001,0),MATCH(COLUMNS($O$1006:P1006),$O$1006:$Q$1006,0)), HYPERLINK("#",""), HYPERLINK(CONCATENATE("#metadata!", ADDRESS(INDEX($J$2:$J$1001,MATCH(ROWS($H$2:H34),$H$2:$H$1001,0),0), INDEX($O$1004:$Q$1004,1,MATCH(COLUMNS($O$1006:P1006),$O$1006:$Q$1006,0)))),"Fix")))</f>
        <v xml:space="preserve"> </v>
      </c>
      <c r="D34" s="3" t="str">
        <f ca="1">IF(OR(INDEX($I$2:$I$1001,MATCH(ROWS($H$2:H34),$H$2:$H$1001,0),1)&gt;=100000,INDEX($O$1005:$Q$1005,1,MATCH(COLUMNS($O$1006:Q1006),$O$1006:$Q$1006,0))&gt;=100000), " ",IF(INDEX($O$2:$Q$1001,MATCH(ROWS($H$2:H34),$H$2:$H$1001,0),MATCH(COLUMNS($O$1006:Q1006),$O$1006:$Q$1006,0)), HYPERLINK("#",""), HYPERLINK(CONCATENATE("#metadata!", ADDRESS(INDEX($J$2:$J$1001,MATCH(ROWS($H$2:H34),$H$2:$H$1001,0),0), INDEX($O$1004:$Q$1004,1,MATCH(COLUMNS($O$1006:Q1006),$O$1006:$Q$1006,0)))),"Fix")))</f>
        <v xml:space="preserve"> </v>
      </c>
      <c r="H34">
        <v>33</v>
      </c>
      <c r="I34">
        <v>100034</v>
      </c>
      <c r="J34">
        <v>34</v>
      </c>
      <c r="K34" t="b">
        <f t="shared" si="0"/>
        <v>1</v>
      </c>
      <c r="L34" t="b">
        <f>COUNTBLANK(metadata!B34:D34)=COLUMNS(metadata!B34:D34)</f>
        <v>1</v>
      </c>
      <c r="M34" t="str">
        <v/>
      </c>
      <c r="O34" t="b">
        <f ca="1"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P34" t="b">
        <f>AND(IF(metadata!C34="",FALSE,TRUE),EXACT(metadata!C34,"mouse gut metagenome"))</f>
        <v>0</v>
      </c>
      <c r="Q34" t="b">
        <f>AND(IF(metadata!D34="",FALSE,TRUE),EXACT(metadata!D34,"410661"))</f>
        <v>0</v>
      </c>
    </row>
    <row r="35" spans="1:17" x14ac:dyDescent="0.2">
      <c r="A35" s="4" t="str">
        <f ca="1">IF(B35=" "," ",HYPERLINK(CONCATENATE("#metadata!",ADDRESS(INDEX($J$2:$J$1001,MATCH(ROWS($H$2:H35),$H$2:$H$1001,0),0),1)),INDEX($M$2:$M$1001,MATCH(ROWS($H$2:H35),$H$2:$H$1001,0),0)))</f>
        <v xml:space="preserve"> </v>
      </c>
      <c r="B35" s="3" t="str">
        <f ca="1">IF(OR(INDEX($I$2:$I$1001,MATCH(ROWS($H$2:H35),$H$2:$H$1001,0),1)&gt;=100000,INDEX($O$1005:$Q$1005,1,MATCH(COLUMNS($O$1006:O1006),$O$1006:$Q$1006,0))&gt;=100000), " ",IF(INDEX($O$2:$Q$1001,MATCH(ROWS($H$2:H35),$H$2:$H$1001,0),MATCH(COLUMNS($O$1006:O1006),$O$1006:$Q$1006,0)), HYPERLINK("#",""), HYPERLINK(CONCATENATE("#metadata!", ADDRESS(INDEX($J$2:$J$1001,MATCH(ROWS($H$2:H35),$H$2:$H$1001,0),0), INDEX($O$1004:$Q$1004,1,MATCH(COLUMNS($O$1006:O1006),$O$1006:$Q$1006,0)))),"Fix")))</f>
        <v xml:space="preserve"> </v>
      </c>
      <c r="C35" s="3" t="str">
        <f ca="1">IF(OR(INDEX($I$2:$I$1001,MATCH(ROWS($H$2:H35),$H$2:$H$1001,0),1)&gt;=100000,INDEX($O$1005:$Q$1005,1,MATCH(COLUMNS($O$1006:P1006),$O$1006:$Q$1006,0))&gt;=100000), " ",IF(INDEX($O$2:$Q$1001,MATCH(ROWS($H$2:H35),$H$2:$H$1001,0),MATCH(COLUMNS($O$1006:P1006),$O$1006:$Q$1006,0)), HYPERLINK("#",""), HYPERLINK(CONCATENATE("#metadata!", ADDRESS(INDEX($J$2:$J$1001,MATCH(ROWS($H$2:H35),$H$2:$H$1001,0),0), INDEX($O$1004:$Q$1004,1,MATCH(COLUMNS($O$1006:P1006),$O$1006:$Q$1006,0)))),"Fix")))</f>
        <v xml:space="preserve"> </v>
      </c>
      <c r="D35" s="3" t="str">
        <f ca="1">IF(OR(INDEX($I$2:$I$1001,MATCH(ROWS($H$2:H35),$H$2:$H$1001,0),1)&gt;=100000,INDEX($O$1005:$Q$1005,1,MATCH(COLUMNS($O$1006:Q1006),$O$1006:$Q$1006,0))&gt;=100000), " ",IF(INDEX($O$2:$Q$1001,MATCH(ROWS($H$2:H35),$H$2:$H$1001,0),MATCH(COLUMNS($O$1006:Q1006),$O$1006:$Q$1006,0)), HYPERLINK("#",""), HYPERLINK(CONCATENATE("#metadata!", ADDRESS(INDEX($J$2:$J$1001,MATCH(ROWS($H$2:H35),$H$2:$H$1001,0),0), INDEX($O$1004:$Q$1004,1,MATCH(COLUMNS($O$1006:Q1006),$O$1006:$Q$1006,0)))),"Fix")))</f>
        <v xml:space="preserve"> </v>
      </c>
      <c r="H35">
        <v>34</v>
      </c>
      <c r="I35">
        <v>100035</v>
      </c>
      <c r="J35">
        <v>35</v>
      </c>
      <c r="K35" t="b">
        <f t="shared" si="0"/>
        <v>1</v>
      </c>
      <c r="L35" t="b">
        <f>COUNTBLANK(metadata!B35:D35)=COLUMNS(metadata!B35:D35)</f>
        <v>1</v>
      </c>
      <c r="M35" t="str">
        <v/>
      </c>
      <c r="O35" t="b">
        <f ca="1"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P35" t="b">
        <f>AND(IF(metadata!C35="",FALSE,TRUE),EXACT(metadata!C35,"mouse gut metagenome"))</f>
        <v>0</v>
      </c>
      <c r="Q35" t="b">
        <f>AND(IF(metadata!D35="",FALSE,TRUE),EXACT(metadata!D35,"410661"))</f>
        <v>0</v>
      </c>
    </row>
    <row r="36" spans="1:17" x14ac:dyDescent="0.2">
      <c r="A36" s="4" t="str">
        <f ca="1">IF(B36=" "," ",HYPERLINK(CONCATENATE("#metadata!",ADDRESS(INDEX($J$2:$J$1001,MATCH(ROWS($H$2:H36),$H$2:$H$1001,0),0),1)),INDEX($M$2:$M$1001,MATCH(ROWS($H$2:H36),$H$2:$H$1001,0),0)))</f>
        <v xml:space="preserve"> </v>
      </c>
      <c r="B36" s="3" t="str">
        <f ca="1">IF(OR(INDEX($I$2:$I$1001,MATCH(ROWS($H$2:H36),$H$2:$H$1001,0),1)&gt;=100000,INDEX($O$1005:$Q$1005,1,MATCH(COLUMNS($O$1006:O1006),$O$1006:$Q$1006,0))&gt;=100000), " ",IF(INDEX($O$2:$Q$1001,MATCH(ROWS($H$2:H36),$H$2:$H$1001,0),MATCH(COLUMNS($O$1006:O1006),$O$1006:$Q$1006,0)), HYPERLINK("#",""), HYPERLINK(CONCATENATE("#metadata!", ADDRESS(INDEX($J$2:$J$1001,MATCH(ROWS($H$2:H36),$H$2:$H$1001,0),0), INDEX($O$1004:$Q$1004,1,MATCH(COLUMNS($O$1006:O1006),$O$1006:$Q$1006,0)))),"Fix")))</f>
        <v xml:space="preserve"> </v>
      </c>
      <c r="C36" s="3" t="str">
        <f ca="1">IF(OR(INDEX($I$2:$I$1001,MATCH(ROWS($H$2:H36),$H$2:$H$1001,0),1)&gt;=100000,INDEX($O$1005:$Q$1005,1,MATCH(COLUMNS($O$1006:P1006),$O$1006:$Q$1006,0))&gt;=100000), " ",IF(INDEX($O$2:$Q$1001,MATCH(ROWS($H$2:H36),$H$2:$H$1001,0),MATCH(COLUMNS($O$1006:P1006),$O$1006:$Q$1006,0)), HYPERLINK("#",""), HYPERLINK(CONCATENATE("#metadata!", ADDRESS(INDEX($J$2:$J$1001,MATCH(ROWS($H$2:H36),$H$2:$H$1001,0),0), INDEX($O$1004:$Q$1004,1,MATCH(COLUMNS($O$1006:P1006),$O$1006:$Q$1006,0)))),"Fix")))</f>
        <v xml:space="preserve"> </v>
      </c>
      <c r="D36" s="3" t="str">
        <f ca="1">IF(OR(INDEX($I$2:$I$1001,MATCH(ROWS($H$2:H36),$H$2:$H$1001,0),1)&gt;=100000,INDEX($O$1005:$Q$1005,1,MATCH(COLUMNS($O$1006:Q1006),$O$1006:$Q$1006,0))&gt;=100000), " ",IF(INDEX($O$2:$Q$1001,MATCH(ROWS($H$2:H36),$H$2:$H$1001,0),MATCH(COLUMNS($O$1006:Q1006),$O$1006:$Q$1006,0)), HYPERLINK("#",""), HYPERLINK(CONCATENATE("#metadata!", ADDRESS(INDEX($J$2:$J$1001,MATCH(ROWS($H$2:H36),$H$2:$H$1001,0),0), INDEX($O$1004:$Q$1004,1,MATCH(COLUMNS($O$1006:Q1006),$O$1006:$Q$1006,0)))),"Fix")))</f>
        <v xml:space="preserve"> </v>
      </c>
      <c r="H36">
        <v>35</v>
      </c>
      <c r="I36">
        <v>100036</v>
      </c>
      <c r="J36">
        <v>36</v>
      </c>
      <c r="K36" t="b">
        <f t="shared" si="0"/>
        <v>1</v>
      </c>
      <c r="L36" t="b">
        <f>COUNTBLANK(metadata!B36:D36)=COLUMNS(metadata!B36:D36)</f>
        <v>1</v>
      </c>
      <c r="M36" t="str">
        <v/>
      </c>
      <c r="O36" t="b">
        <f ca="1"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P36" t="b">
        <f>AND(IF(metadata!C36="",FALSE,TRUE),EXACT(metadata!C36,"mouse gut metagenome"))</f>
        <v>0</v>
      </c>
      <c r="Q36" t="b">
        <f>AND(IF(metadata!D36="",FALSE,TRUE),EXACT(metadata!D36,"410661"))</f>
        <v>0</v>
      </c>
    </row>
    <row r="37" spans="1:17" x14ac:dyDescent="0.2">
      <c r="A37" s="4" t="str">
        <f ca="1">IF(B37=" "," ",HYPERLINK(CONCATENATE("#metadata!",ADDRESS(INDEX($J$2:$J$1001,MATCH(ROWS($H$2:H37),$H$2:$H$1001,0),0),1)),INDEX($M$2:$M$1001,MATCH(ROWS($H$2:H37),$H$2:$H$1001,0),0)))</f>
        <v xml:space="preserve"> </v>
      </c>
      <c r="B37" s="3" t="str">
        <f ca="1">IF(OR(INDEX($I$2:$I$1001,MATCH(ROWS($H$2:H37),$H$2:$H$1001,0),1)&gt;=100000,INDEX($O$1005:$Q$1005,1,MATCH(COLUMNS($O$1006:O1006),$O$1006:$Q$1006,0))&gt;=100000), " ",IF(INDEX($O$2:$Q$1001,MATCH(ROWS($H$2:H37),$H$2:$H$1001,0),MATCH(COLUMNS($O$1006:O1006),$O$1006:$Q$1006,0)), HYPERLINK("#",""), HYPERLINK(CONCATENATE("#metadata!", ADDRESS(INDEX($J$2:$J$1001,MATCH(ROWS($H$2:H37),$H$2:$H$1001,0),0), INDEX($O$1004:$Q$1004,1,MATCH(COLUMNS($O$1006:O1006),$O$1006:$Q$1006,0)))),"Fix")))</f>
        <v xml:space="preserve"> </v>
      </c>
      <c r="C37" s="3" t="str">
        <f ca="1">IF(OR(INDEX($I$2:$I$1001,MATCH(ROWS($H$2:H37),$H$2:$H$1001,0),1)&gt;=100000,INDEX($O$1005:$Q$1005,1,MATCH(COLUMNS($O$1006:P1006),$O$1006:$Q$1006,0))&gt;=100000), " ",IF(INDEX($O$2:$Q$1001,MATCH(ROWS($H$2:H37),$H$2:$H$1001,0),MATCH(COLUMNS($O$1006:P1006),$O$1006:$Q$1006,0)), HYPERLINK("#",""), HYPERLINK(CONCATENATE("#metadata!", ADDRESS(INDEX($J$2:$J$1001,MATCH(ROWS($H$2:H37),$H$2:$H$1001,0),0), INDEX($O$1004:$Q$1004,1,MATCH(COLUMNS($O$1006:P1006),$O$1006:$Q$1006,0)))),"Fix")))</f>
        <v xml:space="preserve"> </v>
      </c>
      <c r="D37" s="3" t="str">
        <f ca="1">IF(OR(INDEX($I$2:$I$1001,MATCH(ROWS($H$2:H37),$H$2:$H$1001,0),1)&gt;=100000,INDEX($O$1005:$Q$1005,1,MATCH(COLUMNS($O$1006:Q1006),$O$1006:$Q$1006,0))&gt;=100000), " ",IF(INDEX($O$2:$Q$1001,MATCH(ROWS($H$2:H37),$H$2:$H$1001,0),MATCH(COLUMNS($O$1006:Q1006),$O$1006:$Q$1006,0)), HYPERLINK("#",""), HYPERLINK(CONCATENATE("#metadata!", ADDRESS(INDEX($J$2:$J$1001,MATCH(ROWS($H$2:H37),$H$2:$H$1001,0),0), INDEX($O$1004:$Q$1004,1,MATCH(COLUMNS($O$1006:Q1006),$O$1006:$Q$1006,0)))),"Fix")))</f>
        <v xml:space="preserve"> </v>
      </c>
      <c r="H37">
        <v>36</v>
      </c>
      <c r="I37">
        <v>100037</v>
      </c>
      <c r="J37">
        <v>37</v>
      </c>
      <c r="K37" t="b">
        <f t="shared" si="0"/>
        <v>1</v>
      </c>
      <c r="L37" t="b">
        <f>COUNTBLANK(metadata!B37:D37)=COLUMNS(metadata!B37:D37)</f>
        <v>1</v>
      </c>
      <c r="M37" t="str">
        <v/>
      </c>
      <c r="O37" t="b">
        <f ca="1"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P37" t="b">
        <f>AND(IF(metadata!C37="",FALSE,TRUE),EXACT(metadata!C37,"mouse gut metagenome"))</f>
        <v>0</v>
      </c>
      <c r="Q37" t="b">
        <f>AND(IF(metadata!D37="",FALSE,TRUE),EXACT(metadata!D37,"410661"))</f>
        <v>0</v>
      </c>
    </row>
    <row r="38" spans="1:17" x14ac:dyDescent="0.2">
      <c r="A38" s="4" t="str">
        <f ca="1">IF(B38=" "," ",HYPERLINK(CONCATENATE("#metadata!",ADDRESS(INDEX($J$2:$J$1001,MATCH(ROWS($H$2:H38),$H$2:$H$1001,0),0),1)),INDEX($M$2:$M$1001,MATCH(ROWS($H$2:H38),$H$2:$H$1001,0),0)))</f>
        <v xml:space="preserve"> </v>
      </c>
      <c r="B38" s="3" t="str">
        <f ca="1">IF(OR(INDEX($I$2:$I$1001,MATCH(ROWS($H$2:H38),$H$2:$H$1001,0),1)&gt;=100000,INDEX($O$1005:$Q$1005,1,MATCH(COLUMNS($O$1006:O1006),$O$1006:$Q$1006,0))&gt;=100000), " ",IF(INDEX($O$2:$Q$1001,MATCH(ROWS($H$2:H38),$H$2:$H$1001,0),MATCH(COLUMNS($O$1006:O1006),$O$1006:$Q$1006,0)), HYPERLINK("#",""), HYPERLINK(CONCATENATE("#metadata!", ADDRESS(INDEX($J$2:$J$1001,MATCH(ROWS($H$2:H38),$H$2:$H$1001,0),0), INDEX($O$1004:$Q$1004,1,MATCH(COLUMNS($O$1006:O1006),$O$1006:$Q$1006,0)))),"Fix")))</f>
        <v xml:space="preserve"> </v>
      </c>
      <c r="C38" s="3" t="str">
        <f ca="1">IF(OR(INDEX($I$2:$I$1001,MATCH(ROWS($H$2:H38),$H$2:$H$1001,0),1)&gt;=100000,INDEX($O$1005:$Q$1005,1,MATCH(COLUMNS($O$1006:P1006),$O$1006:$Q$1006,0))&gt;=100000), " ",IF(INDEX($O$2:$Q$1001,MATCH(ROWS($H$2:H38),$H$2:$H$1001,0),MATCH(COLUMNS($O$1006:P1006),$O$1006:$Q$1006,0)), HYPERLINK("#",""), HYPERLINK(CONCATENATE("#metadata!", ADDRESS(INDEX($J$2:$J$1001,MATCH(ROWS($H$2:H38),$H$2:$H$1001,0),0), INDEX($O$1004:$Q$1004,1,MATCH(COLUMNS($O$1006:P1006),$O$1006:$Q$1006,0)))),"Fix")))</f>
        <v xml:space="preserve"> </v>
      </c>
      <c r="D38" s="3" t="str">
        <f ca="1">IF(OR(INDEX($I$2:$I$1001,MATCH(ROWS($H$2:H38),$H$2:$H$1001,0),1)&gt;=100000,INDEX($O$1005:$Q$1005,1,MATCH(COLUMNS($O$1006:Q1006),$O$1006:$Q$1006,0))&gt;=100000), " ",IF(INDEX($O$2:$Q$1001,MATCH(ROWS($H$2:H38),$H$2:$H$1001,0),MATCH(COLUMNS($O$1006:Q1006),$O$1006:$Q$1006,0)), HYPERLINK("#",""), HYPERLINK(CONCATENATE("#metadata!", ADDRESS(INDEX($J$2:$J$1001,MATCH(ROWS($H$2:H38),$H$2:$H$1001,0),0), INDEX($O$1004:$Q$1004,1,MATCH(COLUMNS($O$1006:Q1006),$O$1006:$Q$1006,0)))),"Fix")))</f>
        <v xml:space="preserve"> </v>
      </c>
      <c r="H38">
        <v>37</v>
      </c>
      <c r="I38">
        <v>100038</v>
      </c>
      <c r="J38">
        <v>38</v>
      </c>
      <c r="K38" t="b">
        <f t="shared" si="0"/>
        <v>1</v>
      </c>
      <c r="L38" t="b">
        <f>COUNTBLANK(metadata!B38:D38)=COLUMNS(metadata!B38:D38)</f>
        <v>1</v>
      </c>
      <c r="M38" t="str">
        <v/>
      </c>
      <c r="O38" t="b">
        <f ca="1"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P38" t="b">
        <f>AND(IF(metadata!C38="",FALSE,TRUE),EXACT(metadata!C38,"mouse gut metagenome"))</f>
        <v>0</v>
      </c>
      <c r="Q38" t="b">
        <f>AND(IF(metadata!D38="",FALSE,TRUE),EXACT(metadata!D38,"410661"))</f>
        <v>0</v>
      </c>
    </row>
    <row r="39" spans="1:17" x14ac:dyDescent="0.2">
      <c r="A39" s="4" t="str">
        <f ca="1">IF(B39=" "," ",HYPERLINK(CONCATENATE("#metadata!",ADDRESS(INDEX($J$2:$J$1001,MATCH(ROWS($H$2:H39),$H$2:$H$1001,0),0),1)),INDEX($M$2:$M$1001,MATCH(ROWS($H$2:H39),$H$2:$H$1001,0),0)))</f>
        <v xml:space="preserve"> </v>
      </c>
      <c r="B39" s="3" t="str">
        <f ca="1">IF(OR(INDEX($I$2:$I$1001,MATCH(ROWS($H$2:H39),$H$2:$H$1001,0),1)&gt;=100000,INDEX($O$1005:$Q$1005,1,MATCH(COLUMNS($O$1006:O1006),$O$1006:$Q$1006,0))&gt;=100000), " ",IF(INDEX($O$2:$Q$1001,MATCH(ROWS($H$2:H39),$H$2:$H$1001,0),MATCH(COLUMNS($O$1006:O1006),$O$1006:$Q$1006,0)), HYPERLINK("#",""), HYPERLINK(CONCATENATE("#metadata!", ADDRESS(INDEX($J$2:$J$1001,MATCH(ROWS($H$2:H39),$H$2:$H$1001,0),0), INDEX($O$1004:$Q$1004,1,MATCH(COLUMNS($O$1006:O1006),$O$1006:$Q$1006,0)))),"Fix")))</f>
        <v xml:space="preserve"> </v>
      </c>
      <c r="C39" s="3" t="str">
        <f ca="1">IF(OR(INDEX($I$2:$I$1001,MATCH(ROWS($H$2:H39),$H$2:$H$1001,0),1)&gt;=100000,INDEX($O$1005:$Q$1005,1,MATCH(COLUMNS($O$1006:P1006),$O$1006:$Q$1006,0))&gt;=100000), " ",IF(INDEX($O$2:$Q$1001,MATCH(ROWS($H$2:H39),$H$2:$H$1001,0),MATCH(COLUMNS($O$1006:P1006),$O$1006:$Q$1006,0)), HYPERLINK("#",""), HYPERLINK(CONCATENATE("#metadata!", ADDRESS(INDEX($J$2:$J$1001,MATCH(ROWS($H$2:H39),$H$2:$H$1001,0),0), INDEX($O$1004:$Q$1004,1,MATCH(COLUMNS($O$1006:P1006),$O$1006:$Q$1006,0)))),"Fix")))</f>
        <v xml:space="preserve"> </v>
      </c>
      <c r="D39" s="3" t="str">
        <f ca="1">IF(OR(INDEX($I$2:$I$1001,MATCH(ROWS($H$2:H39),$H$2:$H$1001,0),1)&gt;=100000,INDEX($O$1005:$Q$1005,1,MATCH(COLUMNS($O$1006:Q1006),$O$1006:$Q$1006,0))&gt;=100000), " ",IF(INDEX($O$2:$Q$1001,MATCH(ROWS($H$2:H39),$H$2:$H$1001,0),MATCH(COLUMNS($O$1006:Q1006),$O$1006:$Q$1006,0)), HYPERLINK("#",""), HYPERLINK(CONCATENATE("#metadata!", ADDRESS(INDEX($J$2:$J$1001,MATCH(ROWS($H$2:H39),$H$2:$H$1001,0),0), INDEX($O$1004:$Q$1004,1,MATCH(COLUMNS($O$1006:Q1006),$O$1006:$Q$1006,0)))),"Fix")))</f>
        <v xml:space="preserve"> </v>
      </c>
      <c r="H39">
        <v>38</v>
      </c>
      <c r="I39">
        <v>100039</v>
      </c>
      <c r="J39">
        <v>39</v>
      </c>
      <c r="K39" t="b">
        <f t="shared" si="0"/>
        <v>1</v>
      </c>
      <c r="L39" t="b">
        <f>COUNTBLANK(metadata!B39:D39)=COLUMNS(metadata!B39:D39)</f>
        <v>1</v>
      </c>
      <c r="M39" t="str">
        <v/>
      </c>
      <c r="O39" t="b">
        <f ca="1"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P39" t="b">
        <f>AND(IF(metadata!C39="",FALSE,TRUE),EXACT(metadata!C39,"mouse gut metagenome"))</f>
        <v>0</v>
      </c>
      <c r="Q39" t="b">
        <f>AND(IF(metadata!D39="",FALSE,TRUE),EXACT(metadata!D39,"410661"))</f>
        <v>0</v>
      </c>
    </row>
    <row r="40" spans="1:17" x14ac:dyDescent="0.2">
      <c r="A40" s="4" t="str">
        <f ca="1">IF(B40=" "," ",HYPERLINK(CONCATENATE("#metadata!",ADDRESS(INDEX($J$2:$J$1001,MATCH(ROWS($H$2:H40),$H$2:$H$1001,0),0),1)),INDEX($M$2:$M$1001,MATCH(ROWS($H$2:H40),$H$2:$H$1001,0),0)))</f>
        <v xml:space="preserve"> </v>
      </c>
      <c r="B40" s="3" t="str">
        <f ca="1">IF(OR(INDEX($I$2:$I$1001,MATCH(ROWS($H$2:H40),$H$2:$H$1001,0),1)&gt;=100000,INDEX($O$1005:$Q$1005,1,MATCH(COLUMNS($O$1006:O1006),$O$1006:$Q$1006,0))&gt;=100000), " ",IF(INDEX($O$2:$Q$1001,MATCH(ROWS($H$2:H40),$H$2:$H$1001,0),MATCH(COLUMNS($O$1006:O1006),$O$1006:$Q$1006,0)), HYPERLINK("#",""), HYPERLINK(CONCATENATE("#metadata!", ADDRESS(INDEX($J$2:$J$1001,MATCH(ROWS($H$2:H40),$H$2:$H$1001,0),0), INDEX($O$1004:$Q$1004,1,MATCH(COLUMNS($O$1006:O1006),$O$1006:$Q$1006,0)))),"Fix")))</f>
        <v xml:space="preserve"> </v>
      </c>
      <c r="C40" s="3" t="str">
        <f ca="1">IF(OR(INDEX($I$2:$I$1001,MATCH(ROWS($H$2:H40),$H$2:$H$1001,0),1)&gt;=100000,INDEX($O$1005:$Q$1005,1,MATCH(COLUMNS($O$1006:P1006),$O$1006:$Q$1006,0))&gt;=100000), " ",IF(INDEX($O$2:$Q$1001,MATCH(ROWS($H$2:H40),$H$2:$H$1001,0),MATCH(COLUMNS($O$1006:P1006),$O$1006:$Q$1006,0)), HYPERLINK("#",""), HYPERLINK(CONCATENATE("#metadata!", ADDRESS(INDEX($J$2:$J$1001,MATCH(ROWS($H$2:H40),$H$2:$H$1001,0),0), INDEX($O$1004:$Q$1004,1,MATCH(COLUMNS($O$1006:P1006),$O$1006:$Q$1006,0)))),"Fix")))</f>
        <v xml:space="preserve"> </v>
      </c>
      <c r="D40" s="3" t="str">
        <f ca="1">IF(OR(INDEX($I$2:$I$1001,MATCH(ROWS($H$2:H40),$H$2:$H$1001,0),1)&gt;=100000,INDEX($O$1005:$Q$1005,1,MATCH(COLUMNS($O$1006:Q1006),$O$1006:$Q$1006,0))&gt;=100000), " ",IF(INDEX($O$2:$Q$1001,MATCH(ROWS($H$2:H40),$H$2:$H$1001,0),MATCH(COLUMNS($O$1006:Q1006),$O$1006:$Q$1006,0)), HYPERLINK("#",""), HYPERLINK(CONCATENATE("#metadata!", ADDRESS(INDEX($J$2:$J$1001,MATCH(ROWS($H$2:H40),$H$2:$H$1001,0),0), INDEX($O$1004:$Q$1004,1,MATCH(COLUMNS($O$1006:Q1006),$O$1006:$Q$1006,0)))),"Fix")))</f>
        <v xml:space="preserve"> </v>
      </c>
      <c r="H40">
        <v>39</v>
      </c>
      <c r="I40">
        <v>100040</v>
      </c>
      <c r="J40">
        <v>40</v>
      </c>
      <c r="K40" t="b">
        <f t="shared" si="0"/>
        <v>1</v>
      </c>
      <c r="L40" t="b">
        <f>COUNTBLANK(metadata!B40:D40)=COLUMNS(metadata!B40:D40)</f>
        <v>1</v>
      </c>
      <c r="M40" t="str">
        <v/>
      </c>
      <c r="O40" t="b">
        <f ca="1"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P40" t="b">
        <f>AND(IF(metadata!C40="",FALSE,TRUE),EXACT(metadata!C40,"mouse gut metagenome"))</f>
        <v>0</v>
      </c>
      <c r="Q40" t="b">
        <f>AND(IF(metadata!D40="",FALSE,TRUE),EXACT(metadata!D40,"410661"))</f>
        <v>0</v>
      </c>
    </row>
    <row r="41" spans="1:17" x14ac:dyDescent="0.2">
      <c r="A41" s="4" t="str">
        <f ca="1">IF(B41=" "," ",HYPERLINK(CONCATENATE("#metadata!",ADDRESS(INDEX($J$2:$J$1001,MATCH(ROWS($H$2:H41),$H$2:$H$1001,0),0),1)),INDEX($M$2:$M$1001,MATCH(ROWS($H$2:H41),$H$2:$H$1001,0),0)))</f>
        <v xml:space="preserve"> </v>
      </c>
      <c r="B41" s="3" t="str">
        <f ca="1">IF(OR(INDEX($I$2:$I$1001,MATCH(ROWS($H$2:H41),$H$2:$H$1001,0),1)&gt;=100000,INDEX($O$1005:$Q$1005,1,MATCH(COLUMNS($O$1006:O1006),$O$1006:$Q$1006,0))&gt;=100000), " ",IF(INDEX($O$2:$Q$1001,MATCH(ROWS($H$2:H41),$H$2:$H$1001,0),MATCH(COLUMNS($O$1006:O1006),$O$1006:$Q$1006,0)), HYPERLINK("#",""), HYPERLINK(CONCATENATE("#metadata!", ADDRESS(INDEX($J$2:$J$1001,MATCH(ROWS($H$2:H41),$H$2:$H$1001,0),0), INDEX($O$1004:$Q$1004,1,MATCH(COLUMNS($O$1006:O1006),$O$1006:$Q$1006,0)))),"Fix")))</f>
        <v xml:space="preserve"> </v>
      </c>
      <c r="C41" s="3" t="str">
        <f ca="1">IF(OR(INDEX($I$2:$I$1001,MATCH(ROWS($H$2:H41),$H$2:$H$1001,0),1)&gt;=100000,INDEX($O$1005:$Q$1005,1,MATCH(COLUMNS($O$1006:P1006),$O$1006:$Q$1006,0))&gt;=100000), " ",IF(INDEX($O$2:$Q$1001,MATCH(ROWS($H$2:H41),$H$2:$H$1001,0),MATCH(COLUMNS($O$1006:P1006),$O$1006:$Q$1006,0)), HYPERLINK("#",""), HYPERLINK(CONCATENATE("#metadata!", ADDRESS(INDEX($J$2:$J$1001,MATCH(ROWS($H$2:H41),$H$2:$H$1001,0),0), INDEX($O$1004:$Q$1004,1,MATCH(COLUMNS($O$1006:P1006),$O$1006:$Q$1006,0)))),"Fix")))</f>
        <v xml:space="preserve"> </v>
      </c>
      <c r="D41" s="3" t="str">
        <f ca="1">IF(OR(INDEX($I$2:$I$1001,MATCH(ROWS($H$2:H41),$H$2:$H$1001,0),1)&gt;=100000,INDEX($O$1005:$Q$1005,1,MATCH(COLUMNS($O$1006:Q1006),$O$1006:$Q$1006,0))&gt;=100000), " ",IF(INDEX($O$2:$Q$1001,MATCH(ROWS($H$2:H41),$H$2:$H$1001,0),MATCH(COLUMNS($O$1006:Q1006),$O$1006:$Q$1006,0)), HYPERLINK("#",""), HYPERLINK(CONCATENATE("#metadata!", ADDRESS(INDEX($J$2:$J$1001,MATCH(ROWS($H$2:H41),$H$2:$H$1001,0),0), INDEX($O$1004:$Q$1004,1,MATCH(COLUMNS($O$1006:Q1006),$O$1006:$Q$1006,0)))),"Fix")))</f>
        <v xml:space="preserve"> </v>
      </c>
      <c r="H41">
        <v>40</v>
      </c>
      <c r="I41">
        <v>100041</v>
      </c>
      <c r="J41">
        <v>41</v>
      </c>
      <c r="K41" t="b">
        <f t="shared" si="0"/>
        <v>1</v>
      </c>
      <c r="L41" t="b">
        <f>COUNTBLANK(metadata!B41:D41)=COLUMNS(metadata!B41:D41)</f>
        <v>1</v>
      </c>
      <c r="M41" t="str">
        <v/>
      </c>
      <c r="O41" t="b">
        <f ca="1"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P41" t="b">
        <f>AND(IF(metadata!C41="",FALSE,TRUE),EXACT(metadata!C41,"mouse gut metagenome"))</f>
        <v>0</v>
      </c>
      <c r="Q41" t="b">
        <f>AND(IF(metadata!D41="",FALSE,TRUE),EXACT(metadata!D41,"410661"))</f>
        <v>0</v>
      </c>
    </row>
    <row r="42" spans="1:17" x14ac:dyDescent="0.2">
      <c r="A42" s="4" t="str">
        <f ca="1">IF(B42=" "," ",HYPERLINK(CONCATENATE("#metadata!",ADDRESS(INDEX($J$2:$J$1001,MATCH(ROWS($H$2:H42),$H$2:$H$1001,0),0),1)),INDEX($M$2:$M$1001,MATCH(ROWS($H$2:H42),$H$2:$H$1001,0),0)))</f>
        <v xml:space="preserve"> </v>
      </c>
      <c r="B42" s="3" t="str">
        <f ca="1">IF(OR(INDEX($I$2:$I$1001,MATCH(ROWS($H$2:H42),$H$2:$H$1001,0),1)&gt;=100000,INDEX($O$1005:$Q$1005,1,MATCH(COLUMNS($O$1006:O1006),$O$1006:$Q$1006,0))&gt;=100000), " ",IF(INDEX($O$2:$Q$1001,MATCH(ROWS($H$2:H42),$H$2:$H$1001,0),MATCH(COLUMNS($O$1006:O1006),$O$1006:$Q$1006,0)), HYPERLINK("#",""), HYPERLINK(CONCATENATE("#metadata!", ADDRESS(INDEX($J$2:$J$1001,MATCH(ROWS($H$2:H42),$H$2:$H$1001,0),0), INDEX($O$1004:$Q$1004,1,MATCH(COLUMNS($O$1006:O1006),$O$1006:$Q$1006,0)))),"Fix")))</f>
        <v xml:space="preserve"> </v>
      </c>
      <c r="C42" s="3" t="str">
        <f ca="1">IF(OR(INDEX($I$2:$I$1001,MATCH(ROWS($H$2:H42),$H$2:$H$1001,0),1)&gt;=100000,INDEX($O$1005:$Q$1005,1,MATCH(COLUMNS($O$1006:P1006),$O$1006:$Q$1006,0))&gt;=100000), " ",IF(INDEX($O$2:$Q$1001,MATCH(ROWS($H$2:H42),$H$2:$H$1001,0),MATCH(COLUMNS($O$1006:P1006),$O$1006:$Q$1006,0)), HYPERLINK("#",""), HYPERLINK(CONCATENATE("#metadata!", ADDRESS(INDEX($J$2:$J$1001,MATCH(ROWS($H$2:H42),$H$2:$H$1001,0),0), INDEX($O$1004:$Q$1004,1,MATCH(COLUMNS($O$1006:P1006),$O$1006:$Q$1006,0)))),"Fix")))</f>
        <v xml:space="preserve"> </v>
      </c>
      <c r="D42" s="3" t="str">
        <f ca="1">IF(OR(INDEX($I$2:$I$1001,MATCH(ROWS($H$2:H42),$H$2:$H$1001,0),1)&gt;=100000,INDEX($O$1005:$Q$1005,1,MATCH(COLUMNS($O$1006:Q1006),$O$1006:$Q$1006,0))&gt;=100000), " ",IF(INDEX($O$2:$Q$1001,MATCH(ROWS($H$2:H42),$H$2:$H$1001,0),MATCH(COLUMNS($O$1006:Q1006),$O$1006:$Q$1006,0)), HYPERLINK("#",""), HYPERLINK(CONCATENATE("#metadata!", ADDRESS(INDEX($J$2:$J$1001,MATCH(ROWS($H$2:H42),$H$2:$H$1001,0),0), INDEX($O$1004:$Q$1004,1,MATCH(COLUMNS($O$1006:Q1006),$O$1006:$Q$1006,0)))),"Fix")))</f>
        <v xml:space="preserve"> </v>
      </c>
      <c r="H42">
        <v>41</v>
      </c>
      <c r="I42">
        <v>100042</v>
      </c>
      <c r="J42">
        <v>42</v>
      </c>
      <c r="K42" t="b">
        <f t="shared" si="0"/>
        <v>1</v>
      </c>
      <c r="L42" t="b">
        <f>COUNTBLANK(metadata!B42:D42)=COLUMNS(metadata!B42:D42)</f>
        <v>1</v>
      </c>
      <c r="M42" t="str">
        <v/>
      </c>
      <c r="O42" t="b">
        <f ca="1"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P42" t="b">
        <f>AND(IF(metadata!C42="",FALSE,TRUE),EXACT(metadata!C42,"mouse gut metagenome"))</f>
        <v>0</v>
      </c>
      <c r="Q42" t="b">
        <f>AND(IF(metadata!D42="",FALSE,TRUE),EXACT(metadata!D42,"410661"))</f>
        <v>0</v>
      </c>
    </row>
    <row r="43" spans="1:17" x14ac:dyDescent="0.2">
      <c r="A43" s="4" t="str">
        <f ca="1">IF(B43=" "," ",HYPERLINK(CONCATENATE("#metadata!",ADDRESS(INDEX($J$2:$J$1001,MATCH(ROWS($H$2:H43),$H$2:$H$1001,0),0),1)),INDEX($M$2:$M$1001,MATCH(ROWS($H$2:H43),$H$2:$H$1001,0),0)))</f>
        <v xml:space="preserve"> </v>
      </c>
      <c r="B43" s="3" t="str">
        <f ca="1">IF(OR(INDEX($I$2:$I$1001,MATCH(ROWS($H$2:H43),$H$2:$H$1001,0),1)&gt;=100000,INDEX($O$1005:$Q$1005,1,MATCH(COLUMNS($O$1006:O1006),$O$1006:$Q$1006,0))&gt;=100000), " ",IF(INDEX($O$2:$Q$1001,MATCH(ROWS($H$2:H43),$H$2:$H$1001,0),MATCH(COLUMNS($O$1006:O1006),$O$1006:$Q$1006,0)), HYPERLINK("#",""), HYPERLINK(CONCATENATE("#metadata!", ADDRESS(INDEX($J$2:$J$1001,MATCH(ROWS($H$2:H43),$H$2:$H$1001,0),0), INDEX($O$1004:$Q$1004,1,MATCH(COLUMNS($O$1006:O1006),$O$1006:$Q$1006,0)))),"Fix")))</f>
        <v xml:space="preserve"> </v>
      </c>
      <c r="C43" s="3" t="str">
        <f ca="1">IF(OR(INDEX($I$2:$I$1001,MATCH(ROWS($H$2:H43),$H$2:$H$1001,0),1)&gt;=100000,INDEX($O$1005:$Q$1005,1,MATCH(COLUMNS($O$1006:P1006),$O$1006:$Q$1006,0))&gt;=100000), " ",IF(INDEX($O$2:$Q$1001,MATCH(ROWS($H$2:H43),$H$2:$H$1001,0),MATCH(COLUMNS($O$1006:P1006),$O$1006:$Q$1006,0)), HYPERLINK("#",""), HYPERLINK(CONCATENATE("#metadata!", ADDRESS(INDEX($J$2:$J$1001,MATCH(ROWS($H$2:H43),$H$2:$H$1001,0),0), INDEX($O$1004:$Q$1004,1,MATCH(COLUMNS($O$1006:P1006),$O$1006:$Q$1006,0)))),"Fix")))</f>
        <v xml:space="preserve"> </v>
      </c>
      <c r="D43" s="3" t="str">
        <f ca="1">IF(OR(INDEX($I$2:$I$1001,MATCH(ROWS($H$2:H43),$H$2:$H$1001,0),1)&gt;=100000,INDEX($O$1005:$Q$1005,1,MATCH(COLUMNS($O$1006:Q1006),$O$1006:$Q$1006,0))&gt;=100000), " ",IF(INDEX($O$2:$Q$1001,MATCH(ROWS($H$2:H43),$H$2:$H$1001,0),MATCH(COLUMNS($O$1006:Q1006),$O$1006:$Q$1006,0)), HYPERLINK("#",""), HYPERLINK(CONCATENATE("#metadata!", ADDRESS(INDEX($J$2:$J$1001,MATCH(ROWS($H$2:H43),$H$2:$H$1001,0),0), INDEX($O$1004:$Q$1004,1,MATCH(COLUMNS($O$1006:Q1006),$O$1006:$Q$1006,0)))),"Fix")))</f>
        <v xml:space="preserve"> </v>
      </c>
      <c r="H43">
        <v>42</v>
      </c>
      <c r="I43">
        <v>100043</v>
      </c>
      <c r="J43">
        <v>43</v>
      </c>
      <c r="K43" t="b">
        <f t="shared" si="0"/>
        <v>1</v>
      </c>
      <c r="L43" t="b">
        <f>COUNTBLANK(metadata!B43:D43)=COLUMNS(metadata!B43:D43)</f>
        <v>1</v>
      </c>
      <c r="M43" t="str">
        <v/>
      </c>
      <c r="O43" t="b">
        <f ca="1"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P43" t="b">
        <f>AND(IF(metadata!C43="",FALSE,TRUE),EXACT(metadata!C43,"mouse gut metagenome"))</f>
        <v>0</v>
      </c>
      <c r="Q43" t="b">
        <f>AND(IF(metadata!D43="",FALSE,TRUE),EXACT(metadata!D43,"410661"))</f>
        <v>0</v>
      </c>
    </row>
    <row r="44" spans="1:17" x14ac:dyDescent="0.2">
      <c r="A44" s="4" t="str">
        <f ca="1">IF(B44=" "," ",HYPERLINK(CONCATENATE("#metadata!",ADDRESS(INDEX($J$2:$J$1001,MATCH(ROWS($H$2:H44),$H$2:$H$1001,0),0),1)),INDEX($M$2:$M$1001,MATCH(ROWS($H$2:H44),$H$2:$H$1001,0),0)))</f>
        <v xml:space="preserve"> </v>
      </c>
      <c r="B44" s="3" t="str">
        <f ca="1">IF(OR(INDEX($I$2:$I$1001,MATCH(ROWS($H$2:H44),$H$2:$H$1001,0),1)&gt;=100000,INDEX($O$1005:$Q$1005,1,MATCH(COLUMNS($O$1006:O1006),$O$1006:$Q$1006,0))&gt;=100000), " ",IF(INDEX($O$2:$Q$1001,MATCH(ROWS($H$2:H44),$H$2:$H$1001,0),MATCH(COLUMNS($O$1006:O1006),$O$1006:$Q$1006,0)), HYPERLINK("#",""), HYPERLINK(CONCATENATE("#metadata!", ADDRESS(INDEX($J$2:$J$1001,MATCH(ROWS($H$2:H44),$H$2:$H$1001,0),0), INDEX($O$1004:$Q$1004,1,MATCH(COLUMNS($O$1006:O1006),$O$1006:$Q$1006,0)))),"Fix")))</f>
        <v xml:space="preserve"> </v>
      </c>
      <c r="C44" s="3" t="str">
        <f ca="1">IF(OR(INDEX($I$2:$I$1001,MATCH(ROWS($H$2:H44),$H$2:$H$1001,0),1)&gt;=100000,INDEX($O$1005:$Q$1005,1,MATCH(COLUMNS($O$1006:P1006),$O$1006:$Q$1006,0))&gt;=100000), " ",IF(INDEX($O$2:$Q$1001,MATCH(ROWS($H$2:H44),$H$2:$H$1001,0),MATCH(COLUMNS($O$1006:P1006),$O$1006:$Q$1006,0)), HYPERLINK("#",""), HYPERLINK(CONCATENATE("#metadata!", ADDRESS(INDEX($J$2:$J$1001,MATCH(ROWS($H$2:H44),$H$2:$H$1001,0),0), INDEX($O$1004:$Q$1004,1,MATCH(COLUMNS($O$1006:P1006),$O$1006:$Q$1006,0)))),"Fix")))</f>
        <v xml:space="preserve"> </v>
      </c>
      <c r="D44" s="3" t="str">
        <f ca="1">IF(OR(INDEX($I$2:$I$1001,MATCH(ROWS($H$2:H44),$H$2:$H$1001,0),1)&gt;=100000,INDEX($O$1005:$Q$1005,1,MATCH(COLUMNS($O$1006:Q1006),$O$1006:$Q$1006,0))&gt;=100000), " ",IF(INDEX($O$2:$Q$1001,MATCH(ROWS($H$2:H44),$H$2:$H$1001,0),MATCH(COLUMNS($O$1006:Q1006),$O$1006:$Q$1006,0)), HYPERLINK("#",""), HYPERLINK(CONCATENATE("#metadata!", ADDRESS(INDEX($J$2:$J$1001,MATCH(ROWS($H$2:H44),$H$2:$H$1001,0),0), INDEX($O$1004:$Q$1004,1,MATCH(COLUMNS($O$1006:Q1006),$O$1006:$Q$1006,0)))),"Fix")))</f>
        <v xml:space="preserve"> </v>
      </c>
      <c r="H44">
        <v>43</v>
      </c>
      <c r="I44">
        <v>100044</v>
      </c>
      <c r="J44">
        <v>44</v>
      </c>
      <c r="K44" t="b">
        <f t="shared" si="0"/>
        <v>1</v>
      </c>
      <c r="L44" t="b">
        <f>COUNTBLANK(metadata!B44:D44)=COLUMNS(metadata!B44:D44)</f>
        <v>1</v>
      </c>
      <c r="M44" t="str">
        <v/>
      </c>
      <c r="O44" t="b">
        <f ca="1"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P44" t="b">
        <f>AND(IF(metadata!C44="",FALSE,TRUE),EXACT(metadata!C44,"mouse gut metagenome"))</f>
        <v>0</v>
      </c>
      <c r="Q44" t="b">
        <f>AND(IF(metadata!D44="",FALSE,TRUE),EXACT(metadata!D44,"410661"))</f>
        <v>0</v>
      </c>
    </row>
    <row r="45" spans="1:17" x14ac:dyDescent="0.2">
      <c r="A45" s="4" t="str">
        <f ca="1">IF(B45=" "," ",HYPERLINK(CONCATENATE("#metadata!",ADDRESS(INDEX($J$2:$J$1001,MATCH(ROWS($H$2:H45),$H$2:$H$1001,0),0),1)),INDEX($M$2:$M$1001,MATCH(ROWS($H$2:H45),$H$2:$H$1001,0),0)))</f>
        <v xml:space="preserve"> </v>
      </c>
      <c r="B45" s="3" t="str">
        <f ca="1">IF(OR(INDEX($I$2:$I$1001,MATCH(ROWS($H$2:H45),$H$2:$H$1001,0),1)&gt;=100000,INDEX($O$1005:$Q$1005,1,MATCH(COLUMNS($O$1006:O1006),$O$1006:$Q$1006,0))&gt;=100000), " ",IF(INDEX($O$2:$Q$1001,MATCH(ROWS($H$2:H45),$H$2:$H$1001,0),MATCH(COLUMNS($O$1006:O1006),$O$1006:$Q$1006,0)), HYPERLINK("#",""), HYPERLINK(CONCATENATE("#metadata!", ADDRESS(INDEX($J$2:$J$1001,MATCH(ROWS($H$2:H45),$H$2:$H$1001,0),0), INDEX($O$1004:$Q$1004,1,MATCH(COLUMNS($O$1006:O1006),$O$1006:$Q$1006,0)))),"Fix")))</f>
        <v xml:space="preserve"> </v>
      </c>
      <c r="C45" s="3" t="str">
        <f ca="1">IF(OR(INDEX($I$2:$I$1001,MATCH(ROWS($H$2:H45),$H$2:$H$1001,0),1)&gt;=100000,INDEX($O$1005:$Q$1005,1,MATCH(COLUMNS($O$1006:P1006),$O$1006:$Q$1006,0))&gt;=100000), " ",IF(INDEX($O$2:$Q$1001,MATCH(ROWS($H$2:H45),$H$2:$H$1001,0),MATCH(COLUMNS($O$1006:P1006),$O$1006:$Q$1006,0)), HYPERLINK("#",""), HYPERLINK(CONCATENATE("#metadata!", ADDRESS(INDEX($J$2:$J$1001,MATCH(ROWS($H$2:H45),$H$2:$H$1001,0),0), INDEX($O$1004:$Q$1004,1,MATCH(COLUMNS($O$1006:P1006),$O$1006:$Q$1006,0)))),"Fix")))</f>
        <v xml:space="preserve"> </v>
      </c>
      <c r="D45" s="3" t="str">
        <f ca="1">IF(OR(INDEX($I$2:$I$1001,MATCH(ROWS($H$2:H45),$H$2:$H$1001,0),1)&gt;=100000,INDEX($O$1005:$Q$1005,1,MATCH(COLUMNS($O$1006:Q1006),$O$1006:$Q$1006,0))&gt;=100000), " ",IF(INDEX($O$2:$Q$1001,MATCH(ROWS($H$2:H45),$H$2:$H$1001,0),MATCH(COLUMNS($O$1006:Q1006),$O$1006:$Q$1006,0)), HYPERLINK("#",""), HYPERLINK(CONCATENATE("#metadata!", ADDRESS(INDEX($J$2:$J$1001,MATCH(ROWS($H$2:H45),$H$2:$H$1001,0),0), INDEX($O$1004:$Q$1004,1,MATCH(COLUMNS($O$1006:Q1006),$O$1006:$Q$1006,0)))),"Fix")))</f>
        <v xml:space="preserve"> </v>
      </c>
      <c r="H45">
        <v>44</v>
      </c>
      <c r="I45">
        <v>100045</v>
      </c>
      <c r="J45">
        <v>45</v>
      </c>
      <c r="K45" t="b">
        <f t="shared" si="0"/>
        <v>1</v>
      </c>
      <c r="L45" t="b">
        <f>COUNTBLANK(metadata!B45:D45)=COLUMNS(metadata!B45:D45)</f>
        <v>1</v>
      </c>
      <c r="M45" t="str">
        <v/>
      </c>
      <c r="O45" t="b">
        <f ca="1"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P45" t="b">
        <f>AND(IF(metadata!C45="",FALSE,TRUE),EXACT(metadata!C45,"mouse gut metagenome"))</f>
        <v>0</v>
      </c>
      <c r="Q45" t="b">
        <f>AND(IF(metadata!D45="",FALSE,TRUE),EXACT(metadata!D45,"410661"))</f>
        <v>0</v>
      </c>
    </row>
    <row r="46" spans="1:17" x14ac:dyDescent="0.2">
      <c r="A46" s="4" t="str">
        <f ca="1">IF(B46=" "," ",HYPERLINK(CONCATENATE("#metadata!",ADDRESS(INDEX($J$2:$J$1001,MATCH(ROWS($H$2:H46),$H$2:$H$1001,0),0),1)),INDEX($M$2:$M$1001,MATCH(ROWS($H$2:H46),$H$2:$H$1001,0),0)))</f>
        <v xml:space="preserve"> </v>
      </c>
      <c r="B46" s="3" t="str">
        <f ca="1">IF(OR(INDEX($I$2:$I$1001,MATCH(ROWS($H$2:H46),$H$2:$H$1001,0),1)&gt;=100000,INDEX($O$1005:$Q$1005,1,MATCH(COLUMNS($O$1006:O1006),$O$1006:$Q$1006,0))&gt;=100000), " ",IF(INDEX($O$2:$Q$1001,MATCH(ROWS($H$2:H46),$H$2:$H$1001,0),MATCH(COLUMNS($O$1006:O1006),$O$1006:$Q$1006,0)), HYPERLINK("#",""), HYPERLINK(CONCATENATE("#metadata!", ADDRESS(INDEX($J$2:$J$1001,MATCH(ROWS($H$2:H46),$H$2:$H$1001,0),0), INDEX($O$1004:$Q$1004,1,MATCH(COLUMNS($O$1006:O1006),$O$1006:$Q$1006,0)))),"Fix")))</f>
        <v xml:space="preserve"> </v>
      </c>
      <c r="C46" s="3" t="str">
        <f ca="1">IF(OR(INDEX($I$2:$I$1001,MATCH(ROWS($H$2:H46),$H$2:$H$1001,0),1)&gt;=100000,INDEX($O$1005:$Q$1005,1,MATCH(COLUMNS($O$1006:P1006),$O$1006:$Q$1006,0))&gt;=100000), " ",IF(INDEX($O$2:$Q$1001,MATCH(ROWS($H$2:H46),$H$2:$H$1001,0),MATCH(COLUMNS($O$1006:P1006),$O$1006:$Q$1006,0)), HYPERLINK("#",""), HYPERLINK(CONCATENATE("#metadata!", ADDRESS(INDEX($J$2:$J$1001,MATCH(ROWS($H$2:H46),$H$2:$H$1001,0),0), INDEX($O$1004:$Q$1004,1,MATCH(COLUMNS($O$1006:P1006),$O$1006:$Q$1006,0)))),"Fix")))</f>
        <v xml:space="preserve"> </v>
      </c>
      <c r="D46" s="3" t="str">
        <f ca="1">IF(OR(INDEX($I$2:$I$1001,MATCH(ROWS($H$2:H46),$H$2:$H$1001,0),1)&gt;=100000,INDEX($O$1005:$Q$1005,1,MATCH(COLUMNS($O$1006:Q1006),$O$1006:$Q$1006,0))&gt;=100000), " ",IF(INDEX($O$2:$Q$1001,MATCH(ROWS($H$2:H46),$H$2:$H$1001,0),MATCH(COLUMNS($O$1006:Q1006),$O$1006:$Q$1006,0)), HYPERLINK("#",""), HYPERLINK(CONCATENATE("#metadata!", ADDRESS(INDEX($J$2:$J$1001,MATCH(ROWS($H$2:H46),$H$2:$H$1001,0),0), INDEX($O$1004:$Q$1004,1,MATCH(COLUMNS($O$1006:Q1006),$O$1006:$Q$1006,0)))),"Fix")))</f>
        <v xml:space="preserve"> </v>
      </c>
      <c r="H46">
        <v>45</v>
      </c>
      <c r="I46">
        <v>100046</v>
      </c>
      <c r="J46">
        <v>46</v>
      </c>
      <c r="K46" t="b">
        <f t="shared" si="0"/>
        <v>1</v>
      </c>
      <c r="L46" t="b">
        <f>COUNTBLANK(metadata!B46:D46)=COLUMNS(metadata!B46:D46)</f>
        <v>1</v>
      </c>
      <c r="M46" t="str">
        <v/>
      </c>
      <c r="O46" t="b">
        <f ca="1"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P46" t="b">
        <f>AND(IF(metadata!C46="",FALSE,TRUE),EXACT(metadata!C46,"mouse gut metagenome"))</f>
        <v>0</v>
      </c>
      <c r="Q46" t="b">
        <f>AND(IF(metadata!D46="",FALSE,TRUE),EXACT(metadata!D46,"410661"))</f>
        <v>0</v>
      </c>
    </row>
    <row r="47" spans="1:17" x14ac:dyDescent="0.2">
      <c r="A47" s="4" t="str">
        <f ca="1">IF(B47=" "," ",HYPERLINK(CONCATENATE("#metadata!",ADDRESS(INDEX($J$2:$J$1001,MATCH(ROWS($H$2:H47),$H$2:$H$1001,0),0),1)),INDEX($M$2:$M$1001,MATCH(ROWS($H$2:H47),$H$2:$H$1001,0),0)))</f>
        <v xml:space="preserve"> </v>
      </c>
      <c r="B47" s="3" t="str">
        <f ca="1">IF(OR(INDEX($I$2:$I$1001,MATCH(ROWS($H$2:H47),$H$2:$H$1001,0),1)&gt;=100000,INDEX($O$1005:$Q$1005,1,MATCH(COLUMNS($O$1006:O1006),$O$1006:$Q$1006,0))&gt;=100000), " ",IF(INDEX($O$2:$Q$1001,MATCH(ROWS($H$2:H47),$H$2:$H$1001,0),MATCH(COLUMNS($O$1006:O1006),$O$1006:$Q$1006,0)), HYPERLINK("#",""), HYPERLINK(CONCATENATE("#metadata!", ADDRESS(INDEX($J$2:$J$1001,MATCH(ROWS($H$2:H47),$H$2:$H$1001,0),0), INDEX($O$1004:$Q$1004,1,MATCH(COLUMNS($O$1006:O1006),$O$1006:$Q$1006,0)))),"Fix")))</f>
        <v xml:space="preserve"> </v>
      </c>
      <c r="C47" s="3" t="str">
        <f ca="1">IF(OR(INDEX($I$2:$I$1001,MATCH(ROWS($H$2:H47),$H$2:$H$1001,0),1)&gt;=100000,INDEX($O$1005:$Q$1005,1,MATCH(COLUMNS($O$1006:P1006),$O$1006:$Q$1006,0))&gt;=100000), " ",IF(INDEX($O$2:$Q$1001,MATCH(ROWS($H$2:H47),$H$2:$H$1001,0),MATCH(COLUMNS($O$1006:P1006),$O$1006:$Q$1006,0)), HYPERLINK("#",""), HYPERLINK(CONCATENATE("#metadata!", ADDRESS(INDEX($J$2:$J$1001,MATCH(ROWS($H$2:H47),$H$2:$H$1001,0),0), INDEX($O$1004:$Q$1004,1,MATCH(COLUMNS($O$1006:P1006),$O$1006:$Q$1006,0)))),"Fix")))</f>
        <v xml:space="preserve"> </v>
      </c>
      <c r="D47" s="3" t="str">
        <f ca="1">IF(OR(INDEX($I$2:$I$1001,MATCH(ROWS($H$2:H47),$H$2:$H$1001,0),1)&gt;=100000,INDEX($O$1005:$Q$1005,1,MATCH(COLUMNS($O$1006:Q1006),$O$1006:$Q$1006,0))&gt;=100000), " ",IF(INDEX($O$2:$Q$1001,MATCH(ROWS($H$2:H47),$H$2:$H$1001,0),MATCH(COLUMNS($O$1006:Q1006),$O$1006:$Q$1006,0)), HYPERLINK("#",""), HYPERLINK(CONCATENATE("#metadata!", ADDRESS(INDEX($J$2:$J$1001,MATCH(ROWS($H$2:H47),$H$2:$H$1001,0),0), INDEX($O$1004:$Q$1004,1,MATCH(COLUMNS($O$1006:Q1006),$O$1006:$Q$1006,0)))),"Fix")))</f>
        <v xml:space="preserve"> </v>
      </c>
      <c r="H47">
        <v>46</v>
      </c>
      <c r="I47">
        <v>100047</v>
      </c>
      <c r="J47">
        <v>47</v>
      </c>
      <c r="K47" t="b">
        <f t="shared" si="0"/>
        <v>1</v>
      </c>
      <c r="L47" t="b">
        <f>COUNTBLANK(metadata!B47:D47)=COLUMNS(metadata!B47:D47)</f>
        <v>1</v>
      </c>
      <c r="M47" t="str">
        <v/>
      </c>
      <c r="O47" t="b">
        <f ca="1"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P47" t="b">
        <f>AND(IF(metadata!C47="",FALSE,TRUE),EXACT(metadata!C47,"mouse gut metagenome"))</f>
        <v>0</v>
      </c>
      <c r="Q47" t="b">
        <f>AND(IF(metadata!D47="",FALSE,TRUE),EXACT(metadata!D47,"410661"))</f>
        <v>0</v>
      </c>
    </row>
    <row r="48" spans="1:17" x14ac:dyDescent="0.2">
      <c r="A48" s="4" t="str">
        <f ca="1">IF(B48=" "," ",HYPERLINK(CONCATENATE("#metadata!",ADDRESS(INDEX($J$2:$J$1001,MATCH(ROWS($H$2:H48),$H$2:$H$1001,0),0),1)),INDEX($M$2:$M$1001,MATCH(ROWS($H$2:H48),$H$2:$H$1001,0),0)))</f>
        <v xml:space="preserve"> </v>
      </c>
      <c r="B48" s="3" t="str">
        <f ca="1">IF(OR(INDEX($I$2:$I$1001,MATCH(ROWS($H$2:H48),$H$2:$H$1001,0),1)&gt;=100000,INDEX($O$1005:$Q$1005,1,MATCH(COLUMNS($O$1006:O1006),$O$1006:$Q$1006,0))&gt;=100000), " ",IF(INDEX($O$2:$Q$1001,MATCH(ROWS($H$2:H48),$H$2:$H$1001,0),MATCH(COLUMNS($O$1006:O1006),$O$1006:$Q$1006,0)), HYPERLINK("#",""), HYPERLINK(CONCATENATE("#metadata!", ADDRESS(INDEX($J$2:$J$1001,MATCH(ROWS($H$2:H48),$H$2:$H$1001,0),0), INDEX($O$1004:$Q$1004,1,MATCH(COLUMNS($O$1006:O1006),$O$1006:$Q$1006,0)))),"Fix")))</f>
        <v xml:space="preserve"> </v>
      </c>
      <c r="C48" s="3" t="str">
        <f ca="1">IF(OR(INDEX($I$2:$I$1001,MATCH(ROWS($H$2:H48),$H$2:$H$1001,0),1)&gt;=100000,INDEX($O$1005:$Q$1005,1,MATCH(COLUMNS($O$1006:P1006),$O$1006:$Q$1006,0))&gt;=100000), " ",IF(INDEX($O$2:$Q$1001,MATCH(ROWS($H$2:H48),$H$2:$H$1001,0),MATCH(COLUMNS($O$1006:P1006),$O$1006:$Q$1006,0)), HYPERLINK("#",""), HYPERLINK(CONCATENATE("#metadata!", ADDRESS(INDEX($J$2:$J$1001,MATCH(ROWS($H$2:H48),$H$2:$H$1001,0),0), INDEX($O$1004:$Q$1004,1,MATCH(COLUMNS($O$1006:P1006),$O$1006:$Q$1006,0)))),"Fix")))</f>
        <v xml:space="preserve"> </v>
      </c>
      <c r="D48" s="3" t="str">
        <f ca="1">IF(OR(INDEX($I$2:$I$1001,MATCH(ROWS($H$2:H48),$H$2:$H$1001,0),1)&gt;=100000,INDEX($O$1005:$Q$1005,1,MATCH(COLUMNS($O$1006:Q1006),$O$1006:$Q$1006,0))&gt;=100000), " ",IF(INDEX($O$2:$Q$1001,MATCH(ROWS($H$2:H48),$H$2:$H$1001,0),MATCH(COLUMNS($O$1006:Q1006),$O$1006:$Q$1006,0)), HYPERLINK("#",""), HYPERLINK(CONCATENATE("#metadata!", ADDRESS(INDEX($J$2:$J$1001,MATCH(ROWS($H$2:H48),$H$2:$H$1001,0),0), INDEX($O$1004:$Q$1004,1,MATCH(COLUMNS($O$1006:Q1006),$O$1006:$Q$1006,0)))),"Fix")))</f>
        <v xml:space="preserve"> </v>
      </c>
      <c r="H48">
        <v>47</v>
      </c>
      <c r="I48">
        <v>100048</v>
      </c>
      <c r="J48">
        <v>48</v>
      </c>
      <c r="K48" t="b">
        <f t="shared" si="0"/>
        <v>1</v>
      </c>
      <c r="L48" t="b">
        <f>COUNTBLANK(metadata!B48:D48)=COLUMNS(metadata!B48:D48)</f>
        <v>1</v>
      </c>
      <c r="M48" t="str">
        <v/>
      </c>
      <c r="O48" t="b">
        <f ca="1"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P48" t="b">
        <f>AND(IF(metadata!C48="",FALSE,TRUE),EXACT(metadata!C48,"mouse gut metagenome"))</f>
        <v>0</v>
      </c>
      <c r="Q48" t="b">
        <f>AND(IF(metadata!D48="",FALSE,TRUE),EXACT(metadata!D48,"410661"))</f>
        <v>0</v>
      </c>
    </row>
    <row r="49" spans="1:17" x14ac:dyDescent="0.2">
      <c r="A49" s="4" t="str">
        <f ca="1">IF(B49=" "," ",HYPERLINK(CONCATENATE("#metadata!",ADDRESS(INDEX($J$2:$J$1001,MATCH(ROWS($H$2:H49),$H$2:$H$1001,0),0),1)),INDEX($M$2:$M$1001,MATCH(ROWS($H$2:H49),$H$2:$H$1001,0),0)))</f>
        <v xml:space="preserve"> </v>
      </c>
      <c r="B49" s="3" t="str">
        <f ca="1">IF(OR(INDEX($I$2:$I$1001,MATCH(ROWS($H$2:H49),$H$2:$H$1001,0),1)&gt;=100000,INDEX($O$1005:$Q$1005,1,MATCH(COLUMNS($O$1006:O1006),$O$1006:$Q$1006,0))&gt;=100000), " ",IF(INDEX($O$2:$Q$1001,MATCH(ROWS($H$2:H49),$H$2:$H$1001,0),MATCH(COLUMNS($O$1006:O1006),$O$1006:$Q$1006,0)), HYPERLINK("#",""), HYPERLINK(CONCATENATE("#metadata!", ADDRESS(INDEX($J$2:$J$1001,MATCH(ROWS($H$2:H49),$H$2:$H$1001,0),0), INDEX($O$1004:$Q$1004,1,MATCH(COLUMNS($O$1006:O1006),$O$1006:$Q$1006,0)))),"Fix")))</f>
        <v xml:space="preserve"> </v>
      </c>
      <c r="C49" s="3" t="str">
        <f ca="1">IF(OR(INDEX($I$2:$I$1001,MATCH(ROWS($H$2:H49),$H$2:$H$1001,0),1)&gt;=100000,INDEX($O$1005:$Q$1005,1,MATCH(COLUMNS($O$1006:P1006),$O$1006:$Q$1006,0))&gt;=100000), " ",IF(INDEX($O$2:$Q$1001,MATCH(ROWS($H$2:H49),$H$2:$H$1001,0),MATCH(COLUMNS($O$1006:P1006),$O$1006:$Q$1006,0)), HYPERLINK("#",""), HYPERLINK(CONCATENATE("#metadata!", ADDRESS(INDEX($J$2:$J$1001,MATCH(ROWS($H$2:H49),$H$2:$H$1001,0),0), INDEX($O$1004:$Q$1004,1,MATCH(COLUMNS($O$1006:P1006),$O$1006:$Q$1006,0)))),"Fix")))</f>
        <v xml:space="preserve"> </v>
      </c>
      <c r="D49" s="3" t="str">
        <f ca="1">IF(OR(INDEX($I$2:$I$1001,MATCH(ROWS($H$2:H49),$H$2:$H$1001,0),1)&gt;=100000,INDEX($O$1005:$Q$1005,1,MATCH(COLUMNS($O$1006:Q1006),$O$1006:$Q$1006,0))&gt;=100000), " ",IF(INDEX($O$2:$Q$1001,MATCH(ROWS($H$2:H49),$H$2:$H$1001,0),MATCH(COLUMNS($O$1006:Q1006),$O$1006:$Q$1006,0)), HYPERLINK("#",""), HYPERLINK(CONCATENATE("#metadata!", ADDRESS(INDEX($J$2:$J$1001,MATCH(ROWS($H$2:H49),$H$2:$H$1001,0),0), INDEX($O$1004:$Q$1004,1,MATCH(COLUMNS($O$1006:Q1006),$O$1006:$Q$1006,0)))),"Fix")))</f>
        <v xml:space="preserve"> </v>
      </c>
      <c r="H49">
        <v>48</v>
      </c>
      <c r="I49">
        <v>100049</v>
      </c>
      <c r="J49">
        <v>49</v>
      </c>
      <c r="K49" t="b">
        <f t="shared" si="0"/>
        <v>1</v>
      </c>
      <c r="L49" t="b">
        <f>COUNTBLANK(metadata!B49:D49)=COLUMNS(metadata!B49:D49)</f>
        <v>1</v>
      </c>
      <c r="M49" t="str">
        <v/>
      </c>
      <c r="O49" t="b">
        <f ca="1"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P49" t="b">
        <f>AND(IF(metadata!C49="",FALSE,TRUE),EXACT(metadata!C49,"mouse gut metagenome"))</f>
        <v>0</v>
      </c>
      <c r="Q49" t="b">
        <f>AND(IF(metadata!D49="",FALSE,TRUE),EXACT(metadata!D49,"410661"))</f>
        <v>0</v>
      </c>
    </row>
    <row r="50" spans="1:17" x14ac:dyDescent="0.2">
      <c r="A50" s="4" t="str">
        <f ca="1">IF(B50=" "," ",HYPERLINK(CONCATENATE("#metadata!",ADDRESS(INDEX($J$2:$J$1001,MATCH(ROWS($H$2:H50),$H$2:$H$1001,0),0),1)),INDEX($M$2:$M$1001,MATCH(ROWS($H$2:H50),$H$2:$H$1001,0),0)))</f>
        <v xml:space="preserve"> </v>
      </c>
      <c r="B50" s="3" t="str">
        <f ca="1">IF(OR(INDEX($I$2:$I$1001,MATCH(ROWS($H$2:H50),$H$2:$H$1001,0),1)&gt;=100000,INDEX($O$1005:$Q$1005,1,MATCH(COLUMNS($O$1006:O1006),$O$1006:$Q$1006,0))&gt;=100000), " ",IF(INDEX($O$2:$Q$1001,MATCH(ROWS($H$2:H50),$H$2:$H$1001,0),MATCH(COLUMNS($O$1006:O1006),$O$1006:$Q$1006,0)), HYPERLINK("#",""), HYPERLINK(CONCATENATE("#metadata!", ADDRESS(INDEX($J$2:$J$1001,MATCH(ROWS($H$2:H50),$H$2:$H$1001,0),0), INDEX($O$1004:$Q$1004,1,MATCH(COLUMNS($O$1006:O1006),$O$1006:$Q$1006,0)))),"Fix")))</f>
        <v xml:space="preserve"> </v>
      </c>
      <c r="C50" s="3" t="str">
        <f ca="1">IF(OR(INDEX($I$2:$I$1001,MATCH(ROWS($H$2:H50),$H$2:$H$1001,0),1)&gt;=100000,INDEX($O$1005:$Q$1005,1,MATCH(COLUMNS($O$1006:P1006),$O$1006:$Q$1006,0))&gt;=100000), " ",IF(INDEX($O$2:$Q$1001,MATCH(ROWS($H$2:H50),$H$2:$H$1001,0),MATCH(COLUMNS($O$1006:P1006),$O$1006:$Q$1006,0)), HYPERLINK("#",""), HYPERLINK(CONCATENATE("#metadata!", ADDRESS(INDEX($J$2:$J$1001,MATCH(ROWS($H$2:H50),$H$2:$H$1001,0),0), INDEX($O$1004:$Q$1004,1,MATCH(COLUMNS($O$1006:P1006),$O$1006:$Q$1006,0)))),"Fix")))</f>
        <v xml:space="preserve"> </v>
      </c>
      <c r="D50" s="3" t="str">
        <f ca="1">IF(OR(INDEX($I$2:$I$1001,MATCH(ROWS($H$2:H50),$H$2:$H$1001,0),1)&gt;=100000,INDEX($O$1005:$Q$1005,1,MATCH(COLUMNS($O$1006:Q1006),$O$1006:$Q$1006,0))&gt;=100000), " ",IF(INDEX($O$2:$Q$1001,MATCH(ROWS($H$2:H50),$H$2:$H$1001,0),MATCH(COLUMNS($O$1006:Q1006),$O$1006:$Q$1006,0)), HYPERLINK("#",""), HYPERLINK(CONCATENATE("#metadata!", ADDRESS(INDEX($J$2:$J$1001,MATCH(ROWS($H$2:H50),$H$2:$H$1001,0),0), INDEX($O$1004:$Q$1004,1,MATCH(COLUMNS($O$1006:Q1006),$O$1006:$Q$1006,0)))),"Fix")))</f>
        <v xml:space="preserve"> </v>
      </c>
      <c r="H50">
        <v>49</v>
      </c>
      <c r="I50">
        <v>100050</v>
      </c>
      <c r="J50">
        <v>50</v>
      </c>
      <c r="K50" t="b">
        <f t="shared" si="0"/>
        <v>1</v>
      </c>
      <c r="L50" t="b">
        <f>COUNTBLANK(metadata!B50:D50)=COLUMNS(metadata!B50:D50)</f>
        <v>1</v>
      </c>
      <c r="M50" t="str">
        <v/>
      </c>
      <c r="O50" t="b">
        <f ca="1"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P50" t="b">
        <f>AND(IF(metadata!C50="",FALSE,TRUE),EXACT(metadata!C50,"mouse gut metagenome"))</f>
        <v>0</v>
      </c>
      <c r="Q50" t="b">
        <f>AND(IF(metadata!D50="",FALSE,TRUE),EXACT(metadata!D50,"410661"))</f>
        <v>0</v>
      </c>
    </row>
    <row r="51" spans="1:17" x14ac:dyDescent="0.2">
      <c r="A51" s="4" t="str">
        <f ca="1">IF(B51=" "," ",HYPERLINK(CONCATENATE("#metadata!",ADDRESS(INDEX($J$2:$J$1001,MATCH(ROWS($H$2:H51),$H$2:$H$1001,0),0),1)),INDEX($M$2:$M$1001,MATCH(ROWS($H$2:H51),$H$2:$H$1001,0),0)))</f>
        <v xml:space="preserve"> </v>
      </c>
      <c r="B51" s="3" t="str">
        <f ca="1">IF(OR(INDEX($I$2:$I$1001,MATCH(ROWS($H$2:H51),$H$2:$H$1001,0),1)&gt;=100000,INDEX($O$1005:$Q$1005,1,MATCH(COLUMNS($O$1006:O1006),$O$1006:$Q$1006,0))&gt;=100000), " ",IF(INDEX($O$2:$Q$1001,MATCH(ROWS($H$2:H51),$H$2:$H$1001,0),MATCH(COLUMNS($O$1006:O1006),$O$1006:$Q$1006,0)), HYPERLINK("#",""), HYPERLINK(CONCATENATE("#metadata!", ADDRESS(INDEX($J$2:$J$1001,MATCH(ROWS($H$2:H51),$H$2:$H$1001,0),0), INDEX($O$1004:$Q$1004,1,MATCH(COLUMNS($O$1006:O1006),$O$1006:$Q$1006,0)))),"Fix")))</f>
        <v xml:space="preserve"> </v>
      </c>
      <c r="C51" s="3" t="str">
        <f ca="1">IF(OR(INDEX($I$2:$I$1001,MATCH(ROWS($H$2:H51),$H$2:$H$1001,0),1)&gt;=100000,INDEX($O$1005:$Q$1005,1,MATCH(COLUMNS($O$1006:P1006),$O$1006:$Q$1006,0))&gt;=100000), " ",IF(INDEX($O$2:$Q$1001,MATCH(ROWS($H$2:H51),$H$2:$H$1001,0),MATCH(COLUMNS($O$1006:P1006),$O$1006:$Q$1006,0)), HYPERLINK("#",""), HYPERLINK(CONCATENATE("#metadata!", ADDRESS(INDEX($J$2:$J$1001,MATCH(ROWS($H$2:H51),$H$2:$H$1001,0),0), INDEX($O$1004:$Q$1004,1,MATCH(COLUMNS($O$1006:P1006),$O$1006:$Q$1006,0)))),"Fix")))</f>
        <v xml:space="preserve"> </v>
      </c>
      <c r="D51" s="3" t="str">
        <f ca="1">IF(OR(INDEX($I$2:$I$1001,MATCH(ROWS($H$2:H51),$H$2:$H$1001,0),1)&gt;=100000,INDEX($O$1005:$Q$1005,1,MATCH(COLUMNS($O$1006:Q1006),$O$1006:$Q$1006,0))&gt;=100000), " ",IF(INDEX($O$2:$Q$1001,MATCH(ROWS($H$2:H51),$H$2:$H$1001,0),MATCH(COLUMNS($O$1006:Q1006),$O$1006:$Q$1006,0)), HYPERLINK("#",""), HYPERLINK(CONCATENATE("#metadata!", ADDRESS(INDEX($J$2:$J$1001,MATCH(ROWS($H$2:H51),$H$2:$H$1001,0),0), INDEX($O$1004:$Q$1004,1,MATCH(COLUMNS($O$1006:Q1006),$O$1006:$Q$1006,0)))),"Fix")))</f>
        <v xml:space="preserve"> </v>
      </c>
      <c r="H51">
        <v>50</v>
      </c>
      <c r="I51">
        <v>100051</v>
      </c>
      <c r="J51">
        <v>51</v>
      </c>
      <c r="K51" t="b">
        <f t="shared" si="0"/>
        <v>1</v>
      </c>
      <c r="L51" t="b">
        <f>COUNTBLANK(metadata!B51:D51)=COLUMNS(metadata!B51:D51)</f>
        <v>1</v>
      </c>
      <c r="M51" t="str">
        <v/>
      </c>
      <c r="O51" t="b">
        <f ca="1"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P51" t="b">
        <f>AND(IF(metadata!C51="",FALSE,TRUE),EXACT(metadata!C51,"mouse gut metagenome"))</f>
        <v>0</v>
      </c>
      <c r="Q51" t="b">
        <f>AND(IF(metadata!D51="",FALSE,TRUE),EXACT(metadata!D51,"410661"))</f>
        <v>0</v>
      </c>
    </row>
    <row r="52" spans="1:17" x14ac:dyDescent="0.2">
      <c r="A52" s="4" t="str">
        <f ca="1">IF(B52=" "," ",HYPERLINK(CONCATENATE("#metadata!",ADDRESS(INDEX($J$2:$J$1001,MATCH(ROWS($H$2:H52),$H$2:$H$1001,0),0),1)),INDEX($M$2:$M$1001,MATCH(ROWS($H$2:H52),$H$2:$H$1001,0),0)))</f>
        <v xml:space="preserve"> </v>
      </c>
      <c r="B52" s="3" t="str">
        <f ca="1">IF(OR(INDEX($I$2:$I$1001,MATCH(ROWS($H$2:H52),$H$2:$H$1001,0),1)&gt;=100000,INDEX($O$1005:$Q$1005,1,MATCH(COLUMNS($O$1006:O1006),$O$1006:$Q$1006,0))&gt;=100000), " ",IF(INDEX($O$2:$Q$1001,MATCH(ROWS($H$2:H52),$H$2:$H$1001,0),MATCH(COLUMNS($O$1006:O1006),$O$1006:$Q$1006,0)), HYPERLINK("#",""), HYPERLINK(CONCATENATE("#metadata!", ADDRESS(INDEX($J$2:$J$1001,MATCH(ROWS($H$2:H52),$H$2:$H$1001,0),0), INDEX($O$1004:$Q$1004,1,MATCH(COLUMNS($O$1006:O1006),$O$1006:$Q$1006,0)))),"Fix")))</f>
        <v xml:space="preserve"> </v>
      </c>
      <c r="C52" s="3" t="str">
        <f ca="1">IF(OR(INDEX($I$2:$I$1001,MATCH(ROWS($H$2:H52),$H$2:$H$1001,0),1)&gt;=100000,INDEX($O$1005:$Q$1005,1,MATCH(COLUMNS($O$1006:P1006),$O$1006:$Q$1006,0))&gt;=100000), " ",IF(INDEX($O$2:$Q$1001,MATCH(ROWS($H$2:H52),$H$2:$H$1001,0),MATCH(COLUMNS($O$1006:P1006),$O$1006:$Q$1006,0)), HYPERLINK("#",""), HYPERLINK(CONCATENATE("#metadata!", ADDRESS(INDEX($J$2:$J$1001,MATCH(ROWS($H$2:H52),$H$2:$H$1001,0),0), INDEX($O$1004:$Q$1004,1,MATCH(COLUMNS($O$1006:P1006),$O$1006:$Q$1006,0)))),"Fix")))</f>
        <v xml:space="preserve"> </v>
      </c>
      <c r="D52" s="3" t="str">
        <f ca="1">IF(OR(INDEX($I$2:$I$1001,MATCH(ROWS($H$2:H52),$H$2:$H$1001,0),1)&gt;=100000,INDEX($O$1005:$Q$1005,1,MATCH(COLUMNS($O$1006:Q1006),$O$1006:$Q$1006,0))&gt;=100000), " ",IF(INDEX($O$2:$Q$1001,MATCH(ROWS($H$2:H52),$H$2:$H$1001,0),MATCH(COLUMNS($O$1006:Q1006),$O$1006:$Q$1006,0)), HYPERLINK("#",""), HYPERLINK(CONCATENATE("#metadata!", ADDRESS(INDEX($J$2:$J$1001,MATCH(ROWS($H$2:H52),$H$2:$H$1001,0),0), INDEX($O$1004:$Q$1004,1,MATCH(COLUMNS($O$1006:Q1006),$O$1006:$Q$1006,0)))),"Fix")))</f>
        <v xml:space="preserve"> </v>
      </c>
      <c r="H52">
        <v>51</v>
      </c>
      <c r="I52">
        <v>100052</v>
      </c>
      <c r="J52">
        <v>52</v>
      </c>
      <c r="K52" t="b">
        <f t="shared" si="0"/>
        <v>1</v>
      </c>
      <c r="L52" t="b">
        <f>COUNTBLANK(metadata!B52:D52)=COLUMNS(metadata!B52:D52)</f>
        <v>1</v>
      </c>
      <c r="M52" t="str">
        <v/>
      </c>
      <c r="O52" t="b">
        <f ca="1"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P52" t="b">
        <f>AND(IF(metadata!C52="",FALSE,TRUE),EXACT(metadata!C52,"mouse gut metagenome"))</f>
        <v>0</v>
      </c>
      <c r="Q52" t="b">
        <f>AND(IF(metadata!D52="",FALSE,TRUE),EXACT(metadata!D52,"410661"))</f>
        <v>0</v>
      </c>
    </row>
    <row r="53" spans="1:17" x14ac:dyDescent="0.2">
      <c r="A53" s="4" t="str">
        <f ca="1">IF(B53=" "," ",HYPERLINK(CONCATENATE("#metadata!",ADDRESS(INDEX($J$2:$J$1001,MATCH(ROWS($H$2:H53),$H$2:$H$1001,0),0),1)),INDEX($M$2:$M$1001,MATCH(ROWS($H$2:H53),$H$2:$H$1001,0),0)))</f>
        <v xml:space="preserve"> </v>
      </c>
      <c r="B53" s="3" t="str">
        <f ca="1">IF(OR(INDEX($I$2:$I$1001,MATCH(ROWS($H$2:H53),$H$2:$H$1001,0),1)&gt;=100000,INDEX($O$1005:$Q$1005,1,MATCH(COLUMNS($O$1006:O1006),$O$1006:$Q$1006,0))&gt;=100000), " ",IF(INDEX($O$2:$Q$1001,MATCH(ROWS($H$2:H53),$H$2:$H$1001,0),MATCH(COLUMNS($O$1006:O1006),$O$1006:$Q$1006,0)), HYPERLINK("#",""), HYPERLINK(CONCATENATE("#metadata!", ADDRESS(INDEX($J$2:$J$1001,MATCH(ROWS($H$2:H53),$H$2:$H$1001,0),0), INDEX($O$1004:$Q$1004,1,MATCH(COLUMNS($O$1006:O1006),$O$1006:$Q$1006,0)))),"Fix")))</f>
        <v xml:space="preserve"> </v>
      </c>
      <c r="C53" s="3" t="str">
        <f ca="1">IF(OR(INDEX($I$2:$I$1001,MATCH(ROWS($H$2:H53),$H$2:$H$1001,0),1)&gt;=100000,INDEX($O$1005:$Q$1005,1,MATCH(COLUMNS($O$1006:P1006),$O$1006:$Q$1006,0))&gt;=100000), " ",IF(INDEX($O$2:$Q$1001,MATCH(ROWS($H$2:H53),$H$2:$H$1001,0),MATCH(COLUMNS($O$1006:P1006),$O$1006:$Q$1006,0)), HYPERLINK("#",""), HYPERLINK(CONCATENATE("#metadata!", ADDRESS(INDEX($J$2:$J$1001,MATCH(ROWS($H$2:H53),$H$2:$H$1001,0),0), INDEX($O$1004:$Q$1004,1,MATCH(COLUMNS($O$1006:P1006),$O$1006:$Q$1006,0)))),"Fix")))</f>
        <v xml:space="preserve"> </v>
      </c>
      <c r="D53" s="3" t="str">
        <f ca="1">IF(OR(INDEX($I$2:$I$1001,MATCH(ROWS($H$2:H53),$H$2:$H$1001,0),1)&gt;=100000,INDEX($O$1005:$Q$1005,1,MATCH(COLUMNS($O$1006:Q1006),$O$1006:$Q$1006,0))&gt;=100000), " ",IF(INDEX($O$2:$Q$1001,MATCH(ROWS($H$2:H53),$H$2:$H$1001,0),MATCH(COLUMNS($O$1006:Q1006),$O$1006:$Q$1006,0)), HYPERLINK("#",""), HYPERLINK(CONCATENATE("#metadata!", ADDRESS(INDEX($J$2:$J$1001,MATCH(ROWS($H$2:H53),$H$2:$H$1001,0),0), INDEX($O$1004:$Q$1004,1,MATCH(COLUMNS($O$1006:Q1006),$O$1006:$Q$1006,0)))),"Fix")))</f>
        <v xml:space="preserve"> </v>
      </c>
      <c r="H53">
        <v>52</v>
      </c>
      <c r="I53">
        <v>100053</v>
      </c>
      <c r="J53">
        <v>53</v>
      </c>
      <c r="K53" t="b">
        <f t="shared" si="0"/>
        <v>1</v>
      </c>
      <c r="L53" t="b">
        <f>COUNTBLANK(metadata!B53:D53)=COLUMNS(metadata!B53:D53)</f>
        <v>1</v>
      </c>
      <c r="M53" t="str">
        <v/>
      </c>
      <c r="O53" t="b">
        <f ca="1"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P53" t="b">
        <f>AND(IF(metadata!C53="",FALSE,TRUE),EXACT(metadata!C53,"mouse gut metagenome"))</f>
        <v>0</v>
      </c>
      <c r="Q53" t="b">
        <f>AND(IF(metadata!D53="",FALSE,TRUE),EXACT(metadata!D53,"410661"))</f>
        <v>0</v>
      </c>
    </row>
    <row r="54" spans="1:17" x14ac:dyDescent="0.2">
      <c r="A54" s="4" t="str">
        <f ca="1">IF(B54=" "," ",HYPERLINK(CONCATENATE("#metadata!",ADDRESS(INDEX($J$2:$J$1001,MATCH(ROWS($H$2:H54),$H$2:$H$1001,0),0),1)),INDEX($M$2:$M$1001,MATCH(ROWS($H$2:H54),$H$2:$H$1001,0),0)))</f>
        <v xml:space="preserve"> </v>
      </c>
      <c r="B54" s="3" t="str">
        <f ca="1">IF(OR(INDEX($I$2:$I$1001,MATCH(ROWS($H$2:H54),$H$2:$H$1001,0),1)&gt;=100000,INDEX($O$1005:$Q$1005,1,MATCH(COLUMNS($O$1006:O1006),$O$1006:$Q$1006,0))&gt;=100000), " ",IF(INDEX($O$2:$Q$1001,MATCH(ROWS($H$2:H54),$H$2:$H$1001,0),MATCH(COLUMNS($O$1006:O1006),$O$1006:$Q$1006,0)), HYPERLINK("#",""), HYPERLINK(CONCATENATE("#metadata!", ADDRESS(INDEX($J$2:$J$1001,MATCH(ROWS($H$2:H54),$H$2:$H$1001,0),0), INDEX($O$1004:$Q$1004,1,MATCH(COLUMNS($O$1006:O1006),$O$1006:$Q$1006,0)))),"Fix")))</f>
        <v xml:space="preserve"> </v>
      </c>
      <c r="C54" s="3" t="str">
        <f ca="1">IF(OR(INDEX($I$2:$I$1001,MATCH(ROWS($H$2:H54),$H$2:$H$1001,0),1)&gt;=100000,INDEX($O$1005:$Q$1005,1,MATCH(COLUMNS($O$1006:P1006),$O$1006:$Q$1006,0))&gt;=100000), " ",IF(INDEX($O$2:$Q$1001,MATCH(ROWS($H$2:H54),$H$2:$H$1001,0),MATCH(COLUMNS($O$1006:P1006),$O$1006:$Q$1006,0)), HYPERLINK("#",""), HYPERLINK(CONCATENATE("#metadata!", ADDRESS(INDEX($J$2:$J$1001,MATCH(ROWS($H$2:H54),$H$2:$H$1001,0),0), INDEX($O$1004:$Q$1004,1,MATCH(COLUMNS($O$1006:P1006),$O$1006:$Q$1006,0)))),"Fix")))</f>
        <v xml:space="preserve"> </v>
      </c>
      <c r="D54" s="3" t="str">
        <f ca="1">IF(OR(INDEX($I$2:$I$1001,MATCH(ROWS($H$2:H54),$H$2:$H$1001,0),1)&gt;=100000,INDEX($O$1005:$Q$1005,1,MATCH(COLUMNS($O$1006:Q1006),$O$1006:$Q$1006,0))&gt;=100000), " ",IF(INDEX($O$2:$Q$1001,MATCH(ROWS($H$2:H54),$H$2:$H$1001,0),MATCH(COLUMNS($O$1006:Q1006),$O$1006:$Q$1006,0)), HYPERLINK("#",""), HYPERLINK(CONCATENATE("#metadata!", ADDRESS(INDEX($J$2:$J$1001,MATCH(ROWS($H$2:H54),$H$2:$H$1001,0),0), INDEX($O$1004:$Q$1004,1,MATCH(COLUMNS($O$1006:Q1006),$O$1006:$Q$1006,0)))),"Fix")))</f>
        <v xml:space="preserve"> </v>
      </c>
      <c r="H54">
        <v>53</v>
      </c>
      <c r="I54">
        <v>100054</v>
      </c>
      <c r="J54">
        <v>54</v>
      </c>
      <c r="K54" t="b">
        <f t="shared" si="0"/>
        <v>1</v>
      </c>
      <c r="L54" t="b">
        <f>COUNTBLANK(metadata!B54:D54)=COLUMNS(metadata!B54:D54)</f>
        <v>1</v>
      </c>
      <c r="M54" t="str">
        <v/>
      </c>
      <c r="O54" t="b">
        <f ca="1"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P54" t="b">
        <f>AND(IF(metadata!C54="",FALSE,TRUE),EXACT(metadata!C54,"mouse gut metagenome"))</f>
        <v>0</v>
      </c>
      <c r="Q54" t="b">
        <f>AND(IF(metadata!D54="",FALSE,TRUE),EXACT(metadata!D54,"410661"))</f>
        <v>0</v>
      </c>
    </row>
    <row r="55" spans="1:17" x14ac:dyDescent="0.2">
      <c r="A55" s="4" t="str">
        <f ca="1">IF(B55=" "," ",HYPERLINK(CONCATENATE("#metadata!",ADDRESS(INDEX($J$2:$J$1001,MATCH(ROWS($H$2:H55),$H$2:$H$1001,0),0),1)),INDEX($M$2:$M$1001,MATCH(ROWS($H$2:H55),$H$2:$H$1001,0),0)))</f>
        <v xml:space="preserve"> </v>
      </c>
      <c r="B55" s="3" t="str">
        <f ca="1">IF(OR(INDEX($I$2:$I$1001,MATCH(ROWS($H$2:H55),$H$2:$H$1001,0),1)&gt;=100000,INDEX($O$1005:$Q$1005,1,MATCH(COLUMNS($O$1006:O1006),$O$1006:$Q$1006,0))&gt;=100000), " ",IF(INDEX($O$2:$Q$1001,MATCH(ROWS($H$2:H55),$H$2:$H$1001,0),MATCH(COLUMNS($O$1006:O1006),$O$1006:$Q$1006,0)), HYPERLINK("#",""), HYPERLINK(CONCATENATE("#metadata!", ADDRESS(INDEX($J$2:$J$1001,MATCH(ROWS($H$2:H55),$H$2:$H$1001,0),0), INDEX($O$1004:$Q$1004,1,MATCH(COLUMNS($O$1006:O1006),$O$1006:$Q$1006,0)))),"Fix")))</f>
        <v xml:space="preserve"> </v>
      </c>
      <c r="C55" s="3" t="str">
        <f ca="1">IF(OR(INDEX($I$2:$I$1001,MATCH(ROWS($H$2:H55),$H$2:$H$1001,0),1)&gt;=100000,INDEX($O$1005:$Q$1005,1,MATCH(COLUMNS($O$1006:P1006),$O$1006:$Q$1006,0))&gt;=100000), " ",IF(INDEX($O$2:$Q$1001,MATCH(ROWS($H$2:H55),$H$2:$H$1001,0),MATCH(COLUMNS($O$1006:P1006),$O$1006:$Q$1006,0)), HYPERLINK("#",""), HYPERLINK(CONCATENATE("#metadata!", ADDRESS(INDEX($J$2:$J$1001,MATCH(ROWS($H$2:H55),$H$2:$H$1001,0),0), INDEX($O$1004:$Q$1004,1,MATCH(COLUMNS($O$1006:P1006),$O$1006:$Q$1006,0)))),"Fix")))</f>
        <v xml:space="preserve"> </v>
      </c>
      <c r="D55" s="3" t="str">
        <f ca="1">IF(OR(INDEX($I$2:$I$1001,MATCH(ROWS($H$2:H55),$H$2:$H$1001,0),1)&gt;=100000,INDEX($O$1005:$Q$1005,1,MATCH(COLUMNS($O$1006:Q1006),$O$1006:$Q$1006,0))&gt;=100000), " ",IF(INDEX($O$2:$Q$1001,MATCH(ROWS($H$2:H55),$H$2:$H$1001,0),MATCH(COLUMNS($O$1006:Q1006),$O$1006:$Q$1006,0)), HYPERLINK("#",""), HYPERLINK(CONCATENATE("#metadata!", ADDRESS(INDEX($J$2:$J$1001,MATCH(ROWS($H$2:H55),$H$2:$H$1001,0),0), INDEX($O$1004:$Q$1004,1,MATCH(COLUMNS($O$1006:Q1006),$O$1006:$Q$1006,0)))),"Fix")))</f>
        <v xml:space="preserve"> </v>
      </c>
      <c r="H55">
        <v>54</v>
      </c>
      <c r="I55">
        <v>100055</v>
      </c>
      <c r="J55">
        <v>55</v>
      </c>
      <c r="K55" t="b">
        <f t="shared" si="0"/>
        <v>1</v>
      </c>
      <c r="L55" t="b">
        <f>COUNTBLANK(metadata!B55:D55)=COLUMNS(metadata!B55:D55)</f>
        <v>1</v>
      </c>
      <c r="M55" t="str">
        <v/>
      </c>
      <c r="O55" t="b">
        <f ca="1"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P55" t="b">
        <f>AND(IF(metadata!C55="",FALSE,TRUE),EXACT(metadata!C55,"mouse gut metagenome"))</f>
        <v>0</v>
      </c>
      <c r="Q55" t="b">
        <f>AND(IF(metadata!D55="",FALSE,TRUE),EXACT(metadata!D55,"410661"))</f>
        <v>0</v>
      </c>
    </row>
    <row r="56" spans="1:17" x14ac:dyDescent="0.2">
      <c r="A56" s="4" t="str">
        <f ca="1">IF(B56=" "," ",HYPERLINK(CONCATENATE("#metadata!",ADDRESS(INDEX($J$2:$J$1001,MATCH(ROWS($H$2:H56),$H$2:$H$1001,0),0),1)),INDEX($M$2:$M$1001,MATCH(ROWS($H$2:H56),$H$2:$H$1001,0),0)))</f>
        <v xml:space="preserve"> </v>
      </c>
      <c r="B56" s="3" t="str">
        <f ca="1">IF(OR(INDEX($I$2:$I$1001,MATCH(ROWS($H$2:H56),$H$2:$H$1001,0),1)&gt;=100000,INDEX($O$1005:$Q$1005,1,MATCH(COLUMNS($O$1006:O1006),$O$1006:$Q$1006,0))&gt;=100000), " ",IF(INDEX($O$2:$Q$1001,MATCH(ROWS($H$2:H56),$H$2:$H$1001,0),MATCH(COLUMNS($O$1006:O1006),$O$1006:$Q$1006,0)), HYPERLINK("#",""), HYPERLINK(CONCATENATE("#metadata!", ADDRESS(INDEX($J$2:$J$1001,MATCH(ROWS($H$2:H56),$H$2:$H$1001,0),0), INDEX($O$1004:$Q$1004,1,MATCH(COLUMNS($O$1006:O1006),$O$1006:$Q$1006,0)))),"Fix")))</f>
        <v xml:space="preserve"> </v>
      </c>
      <c r="C56" s="3" t="str">
        <f ca="1">IF(OR(INDEX($I$2:$I$1001,MATCH(ROWS($H$2:H56),$H$2:$H$1001,0),1)&gt;=100000,INDEX($O$1005:$Q$1005,1,MATCH(COLUMNS($O$1006:P1006),$O$1006:$Q$1006,0))&gt;=100000), " ",IF(INDEX($O$2:$Q$1001,MATCH(ROWS($H$2:H56),$H$2:$H$1001,0),MATCH(COLUMNS($O$1006:P1006),$O$1006:$Q$1006,0)), HYPERLINK("#",""), HYPERLINK(CONCATENATE("#metadata!", ADDRESS(INDEX($J$2:$J$1001,MATCH(ROWS($H$2:H56),$H$2:$H$1001,0),0), INDEX($O$1004:$Q$1004,1,MATCH(COLUMNS($O$1006:P1006),$O$1006:$Q$1006,0)))),"Fix")))</f>
        <v xml:space="preserve"> </v>
      </c>
      <c r="D56" s="3" t="str">
        <f ca="1">IF(OR(INDEX($I$2:$I$1001,MATCH(ROWS($H$2:H56),$H$2:$H$1001,0),1)&gt;=100000,INDEX($O$1005:$Q$1005,1,MATCH(COLUMNS($O$1006:Q1006),$O$1006:$Q$1006,0))&gt;=100000), " ",IF(INDEX($O$2:$Q$1001,MATCH(ROWS($H$2:H56),$H$2:$H$1001,0),MATCH(COLUMNS($O$1006:Q1006),$O$1006:$Q$1006,0)), HYPERLINK("#",""), HYPERLINK(CONCATENATE("#metadata!", ADDRESS(INDEX($J$2:$J$1001,MATCH(ROWS($H$2:H56),$H$2:$H$1001,0),0), INDEX($O$1004:$Q$1004,1,MATCH(COLUMNS($O$1006:Q1006),$O$1006:$Q$1006,0)))),"Fix")))</f>
        <v xml:space="preserve"> </v>
      </c>
      <c r="H56">
        <v>55</v>
      </c>
      <c r="I56">
        <v>100056</v>
      </c>
      <c r="J56">
        <v>56</v>
      </c>
      <c r="K56" t="b">
        <f t="shared" si="0"/>
        <v>1</v>
      </c>
      <c r="L56" t="b">
        <f>COUNTBLANK(metadata!B56:D56)=COLUMNS(metadata!B56:D56)</f>
        <v>1</v>
      </c>
      <c r="M56" t="str">
        <v/>
      </c>
      <c r="O56" t="b">
        <f ca="1"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P56" t="b">
        <f>AND(IF(metadata!C56="",FALSE,TRUE),EXACT(metadata!C56,"mouse gut metagenome"))</f>
        <v>0</v>
      </c>
      <c r="Q56" t="b">
        <f>AND(IF(metadata!D56="",FALSE,TRUE),EXACT(metadata!D56,"410661"))</f>
        <v>0</v>
      </c>
    </row>
    <row r="57" spans="1:17" x14ac:dyDescent="0.2">
      <c r="A57" s="4" t="str">
        <f ca="1">IF(B57=" "," ",HYPERLINK(CONCATENATE("#metadata!",ADDRESS(INDEX($J$2:$J$1001,MATCH(ROWS($H$2:H57),$H$2:$H$1001,0),0),1)),INDEX($M$2:$M$1001,MATCH(ROWS($H$2:H57),$H$2:$H$1001,0),0)))</f>
        <v xml:space="preserve"> </v>
      </c>
      <c r="B57" s="3" t="str">
        <f ca="1">IF(OR(INDEX($I$2:$I$1001,MATCH(ROWS($H$2:H57),$H$2:$H$1001,0),1)&gt;=100000,INDEX($O$1005:$Q$1005,1,MATCH(COLUMNS($O$1006:O1006),$O$1006:$Q$1006,0))&gt;=100000), " ",IF(INDEX($O$2:$Q$1001,MATCH(ROWS($H$2:H57),$H$2:$H$1001,0),MATCH(COLUMNS($O$1006:O1006),$O$1006:$Q$1006,0)), HYPERLINK("#",""), HYPERLINK(CONCATENATE("#metadata!", ADDRESS(INDEX($J$2:$J$1001,MATCH(ROWS($H$2:H57),$H$2:$H$1001,0),0), INDEX($O$1004:$Q$1004,1,MATCH(COLUMNS($O$1006:O1006),$O$1006:$Q$1006,0)))),"Fix")))</f>
        <v xml:space="preserve"> </v>
      </c>
      <c r="C57" s="3" t="str">
        <f ca="1">IF(OR(INDEX($I$2:$I$1001,MATCH(ROWS($H$2:H57),$H$2:$H$1001,0),1)&gt;=100000,INDEX($O$1005:$Q$1005,1,MATCH(COLUMNS($O$1006:P1006),$O$1006:$Q$1006,0))&gt;=100000), " ",IF(INDEX($O$2:$Q$1001,MATCH(ROWS($H$2:H57),$H$2:$H$1001,0),MATCH(COLUMNS($O$1006:P1006),$O$1006:$Q$1006,0)), HYPERLINK("#",""), HYPERLINK(CONCATENATE("#metadata!", ADDRESS(INDEX($J$2:$J$1001,MATCH(ROWS($H$2:H57),$H$2:$H$1001,0),0), INDEX($O$1004:$Q$1004,1,MATCH(COLUMNS($O$1006:P1006),$O$1006:$Q$1006,0)))),"Fix")))</f>
        <v xml:space="preserve"> </v>
      </c>
      <c r="D57" s="3" t="str">
        <f ca="1">IF(OR(INDEX($I$2:$I$1001,MATCH(ROWS($H$2:H57),$H$2:$H$1001,0),1)&gt;=100000,INDEX($O$1005:$Q$1005,1,MATCH(COLUMNS($O$1006:Q1006),$O$1006:$Q$1006,0))&gt;=100000), " ",IF(INDEX($O$2:$Q$1001,MATCH(ROWS($H$2:H57),$H$2:$H$1001,0),MATCH(COLUMNS($O$1006:Q1006),$O$1006:$Q$1006,0)), HYPERLINK("#",""), HYPERLINK(CONCATENATE("#metadata!", ADDRESS(INDEX($J$2:$J$1001,MATCH(ROWS($H$2:H57),$H$2:$H$1001,0),0), INDEX($O$1004:$Q$1004,1,MATCH(COLUMNS($O$1006:Q1006),$O$1006:$Q$1006,0)))),"Fix")))</f>
        <v xml:space="preserve"> </v>
      </c>
      <c r="H57">
        <v>56</v>
      </c>
      <c r="I57">
        <v>100057</v>
      </c>
      <c r="J57">
        <v>57</v>
      </c>
      <c r="K57" t="b">
        <f t="shared" si="0"/>
        <v>1</v>
      </c>
      <c r="L57" t="b">
        <f>COUNTBLANK(metadata!B57:D57)=COLUMNS(metadata!B57:D57)</f>
        <v>1</v>
      </c>
      <c r="M57" t="str">
        <v/>
      </c>
      <c r="O57" t="b">
        <f ca="1"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P57" t="b">
        <f>AND(IF(metadata!C57="",FALSE,TRUE),EXACT(metadata!C57,"mouse gut metagenome"))</f>
        <v>0</v>
      </c>
      <c r="Q57" t="b">
        <f>AND(IF(metadata!D57="",FALSE,TRUE),EXACT(metadata!D57,"410661"))</f>
        <v>0</v>
      </c>
    </row>
    <row r="58" spans="1:17" x14ac:dyDescent="0.2">
      <c r="A58" s="4" t="str">
        <f ca="1">IF(B58=" "," ",HYPERLINK(CONCATENATE("#metadata!",ADDRESS(INDEX($J$2:$J$1001,MATCH(ROWS($H$2:H58),$H$2:$H$1001,0),0),1)),INDEX($M$2:$M$1001,MATCH(ROWS($H$2:H58),$H$2:$H$1001,0),0)))</f>
        <v xml:space="preserve"> </v>
      </c>
      <c r="B58" s="3" t="str">
        <f ca="1">IF(OR(INDEX($I$2:$I$1001,MATCH(ROWS($H$2:H58),$H$2:$H$1001,0),1)&gt;=100000,INDEX($O$1005:$Q$1005,1,MATCH(COLUMNS($O$1006:O1006),$O$1006:$Q$1006,0))&gt;=100000), " ",IF(INDEX($O$2:$Q$1001,MATCH(ROWS($H$2:H58),$H$2:$H$1001,0),MATCH(COLUMNS($O$1006:O1006),$O$1006:$Q$1006,0)), HYPERLINK("#",""), HYPERLINK(CONCATENATE("#metadata!", ADDRESS(INDEX($J$2:$J$1001,MATCH(ROWS($H$2:H58),$H$2:$H$1001,0),0), INDEX($O$1004:$Q$1004,1,MATCH(COLUMNS($O$1006:O1006),$O$1006:$Q$1006,0)))),"Fix")))</f>
        <v xml:space="preserve"> </v>
      </c>
      <c r="C58" s="3" t="str">
        <f ca="1">IF(OR(INDEX($I$2:$I$1001,MATCH(ROWS($H$2:H58),$H$2:$H$1001,0),1)&gt;=100000,INDEX($O$1005:$Q$1005,1,MATCH(COLUMNS($O$1006:P1006),$O$1006:$Q$1006,0))&gt;=100000), " ",IF(INDEX($O$2:$Q$1001,MATCH(ROWS($H$2:H58),$H$2:$H$1001,0),MATCH(COLUMNS($O$1006:P1006),$O$1006:$Q$1006,0)), HYPERLINK("#",""), HYPERLINK(CONCATENATE("#metadata!", ADDRESS(INDEX($J$2:$J$1001,MATCH(ROWS($H$2:H58),$H$2:$H$1001,0),0), INDEX($O$1004:$Q$1004,1,MATCH(COLUMNS($O$1006:P1006),$O$1006:$Q$1006,0)))),"Fix")))</f>
        <v xml:space="preserve"> </v>
      </c>
      <c r="D58" s="3" t="str">
        <f ca="1">IF(OR(INDEX($I$2:$I$1001,MATCH(ROWS($H$2:H58),$H$2:$H$1001,0),1)&gt;=100000,INDEX($O$1005:$Q$1005,1,MATCH(COLUMNS($O$1006:Q1006),$O$1006:$Q$1006,0))&gt;=100000), " ",IF(INDEX($O$2:$Q$1001,MATCH(ROWS($H$2:H58),$H$2:$H$1001,0),MATCH(COLUMNS($O$1006:Q1006),$O$1006:$Q$1006,0)), HYPERLINK("#",""), HYPERLINK(CONCATENATE("#metadata!", ADDRESS(INDEX($J$2:$J$1001,MATCH(ROWS($H$2:H58),$H$2:$H$1001,0),0), INDEX($O$1004:$Q$1004,1,MATCH(COLUMNS($O$1006:Q1006),$O$1006:$Q$1006,0)))),"Fix")))</f>
        <v xml:space="preserve"> </v>
      </c>
      <c r="H58">
        <v>57</v>
      </c>
      <c r="I58">
        <v>100058</v>
      </c>
      <c r="J58">
        <v>58</v>
      </c>
      <c r="K58" t="b">
        <f t="shared" si="0"/>
        <v>1</v>
      </c>
      <c r="L58" t="b">
        <f>COUNTBLANK(metadata!B58:D58)=COLUMNS(metadata!B58:D58)</f>
        <v>1</v>
      </c>
      <c r="M58" t="str">
        <v/>
      </c>
      <c r="O58" t="b">
        <f ca="1"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P58" t="b">
        <f>AND(IF(metadata!C58="",FALSE,TRUE),EXACT(metadata!C58,"mouse gut metagenome"))</f>
        <v>0</v>
      </c>
      <c r="Q58" t="b">
        <f>AND(IF(metadata!D58="",FALSE,TRUE),EXACT(metadata!D58,"410661"))</f>
        <v>0</v>
      </c>
    </row>
    <row r="59" spans="1:17" x14ac:dyDescent="0.2">
      <c r="A59" s="4" t="str">
        <f ca="1">IF(B59=" "," ",HYPERLINK(CONCATENATE("#metadata!",ADDRESS(INDEX($J$2:$J$1001,MATCH(ROWS($H$2:H59),$H$2:$H$1001,0),0),1)),INDEX($M$2:$M$1001,MATCH(ROWS($H$2:H59),$H$2:$H$1001,0),0)))</f>
        <v xml:space="preserve"> </v>
      </c>
      <c r="B59" s="3" t="str">
        <f ca="1">IF(OR(INDEX($I$2:$I$1001,MATCH(ROWS($H$2:H59),$H$2:$H$1001,0),1)&gt;=100000,INDEX($O$1005:$Q$1005,1,MATCH(COLUMNS($O$1006:O1006),$O$1006:$Q$1006,0))&gt;=100000), " ",IF(INDEX($O$2:$Q$1001,MATCH(ROWS($H$2:H59),$H$2:$H$1001,0),MATCH(COLUMNS($O$1006:O1006),$O$1006:$Q$1006,0)), HYPERLINK("#",""), HYPERLINK(CONCATENATE("#metadata!", ADDRESS(INDEX($J$2:$J$1001,MATCH(ROWS($H$2:H59),$H$2:$H$1001,0),0), INDEX($O$1004:$Q$1004,1,MATCH(COLUMNS($O$1006:O1006),$O$1006:$Q$1006,0)))),"Fix")))</f>
        <v xml:space="preserve"> </v>
      </c>
      <c r="C59" s="3" t="str">
        <f ca="1">IF(OR(INDEX($I$2:$I$1001,MATCH(ROWS($H$2:H59),$H$2:$H$1001,0),1)&gt;=100000,INDEX($O$1005:$Q$1005,1,MATCH(COLUMNS($O$1006:P1006),$O$1006:$Q$1006,0))&gt;=100000), " ",IF(INDEX($O$2:$Q$1001,MATCH(ROWS($H$2:H59),$H$2:$H$1001,0),MATCH(COLUMNS($O$1006:P1006),$O$1006:$Q$1006,0)), HYPERLINK("#",""), HYPERLINK(CONCATENATE("#metadata!", ADDRESS(INDEX($J$2:$J$1001,MATCH(ROWS($H$2:H59),$H$2:$H$1001,0),0), INDEX($O$1004:$Q$1004,1,MATCH(COLUMNS($O$1006:P1006),$O$1006:$Q$1006,0)))),"Fix")))</f>
        <v xml:space="preserve"> </v>
      </c>
      <c r="D59" s="3" t="str">
        <f ca="1">IF(OR(INDEX($I$2:$I$1001,MATCH(ROWS($H$2:H59),$H$2:$H$1001,0),1)&gt;=100000,INDEX($O$1005:$Q$1005,1,MATCH(COLUMNS($O$1006:Q1006),$O$1006:$Q$1006,0))&gt;=100000), " ",IF(INDEX($O$2:$Q$1001,MATCH(ROWS($H$2:H59),$H$2:$H$1001,0),MATCH(COLUMNS($O$1006:Q1006),$O$1006:$Q$1006,0)), HYPERLINK("#",""), HYPERLINK(CONCATENATE("#metadata!", ADDRESS(INDEX($J$2:$J$1001,MATCH(ROWS($H$2:H59),$H$2:$H$1001,0),0), INDEX($O$1004:$Q$1004,1,MATCH(COLUMNS($O$1006:Q1006),$O$1006:$Q$1006,0)))),"Fix")))</f>
        <v xml:space="preserve"> </v>
      </c>
      <c r="H59">
        <v>58</v>
      </c>
      <c r="I59">
        <v>100059</v>
      </c>
      <c r="J59">
        <v>59</v>
      </c>
      <c r="K59" t="b">
        <f t="shared" si="0"/>
        <v>1</v>
      </c>
      <c r="L59" t="b">
        <f>COUNTBLANK(metadata!B59:D59)=COLUMNS(metadata!B59:D59)</f>
        <v>1</v>
      </c>
      <c r="M59" t="str">
        <v/>
      </c>
      <c r="O59" t="b">
        <f ca="1"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P59" t="b">
        <f>AND(IF(metadata!C59="",FALSE,TRUE),EXACT(metadata!C59,"mouse gut metagenome"))</f>
        <v>0</v>
      </c>
      <c r="Q59" t="b">
        <f>AND(IF(metadata!D59="",FALSE,TRUE),EXACT(metadata!D59,"410661"))</f>
        <v>0</v>
      </c>
    </row>
    <row r="60" spans="1:17" x14ac:dyDescent="0.2">
      <c r="A60" s="4" t="str">
        <f ca="1">IF(B60=" "," ",HYPERLINK(CONCATENATE("#metadata!",ADDRESS(INDEX($J$2:$J$1001,MATCH(ROWS($H$2:H60),$H$2:$H$1001,0),0),1)),INDEX($M$2:$M$1001,MATCH(ROWS($H$2:H60),$H$2:$H$1001,0),0)))</f>
        <v xml:space="preserve"> </v>
      </c>
      <c r="B60" s="3" t="str">
        <f ca="1">IF(OR(INDEX($I$2:$I$1001,MATCH(ROWS($H$2:H60),$H$2:$H$1001,0),1)&gt;=100000,INDEX($O$1005:$Q$1005,1,MATCH(COLUMNS($O$1006:O1006),$O$1006:$Q$1006,0))&gt;=100000), " ",IF(INDEX($O$2:$Q$1001,MATCH(ROWS($H$2:H60),$H$2:$H$1001,0),MATCH(COLUMNS($O$1006:O1006),$O$1006:$Q$1006,0)), HYPERLINK("#",""), HYPERLINK(CONCATENATE("#metadata!", ADDRESS(INDEX($J$2:$J$1001,MATCH(ROWS($H$2:H60),$H$2:$H$1001,0),0), INDEX($O$1004:$Q$1004,1,MATCH(COLUMNS($O$1006:O1006),$O$1006:$Q$1006,0)))),"Fix")))</f>
        <v xml:space="preserve"> </v>
      </c>
      <c r="C60" s="3" t="str">
        <f ca="1">IF(OR(INDEX($I$2:$I$1001,MATCH(ROWS($H$2:H60),$H$2:$H$1001,0),1)&gt;=100000,INDEX($O$1005:$Q$1005,1,MATCH(COLUMNS($O$1006:P1006),$O$1006:$Q$1006,0))&gt;=100000), " ",IF(INDEX($O$2:$Q$1001,MATCH(ROWS($H$2:H60),$H$2:$H$1001,0),MATCH(COLUMNS($O$1006:P1006),$O$1006:$Q$1006,0)), HYPERLINK("#",""), HYPERLINK(CONCATENATE("#metadata!", ADDRESS(INDEX($J$2:$J$1001,MATCH(ROWS($H$2:H60),$H$2:$H$1001,0),0), INDEX($O$1004:$Q$1004,1,MATCH(COLUMNS($O$1006:P1006),$O$1006:$Q$1006,0)))),"Fix")))</f>
        <v xml:space="preserve"> </v>
      </c>
      <c r="D60" s="3" t="str">
        <f ca="1">IF(OR(INDEX($I$2:$I$1001,MATCH(ROWS($H$2:H60),$H$2:$H$1001,0),1)&gt;=100000,INDEX($O$1005:$Q$1005,1,MATCH(COLUMNS($O$1006:Q1006),$O$1006:$Q$1006,0))&gt;=100000), " ",IF(INDEX($O$2:$Q$1001,MATCH(ROWS($H$2:H60),$H$2:$H$1001,0),MATCH(COLUMNS($O$1006:Q1006),$O$1006:$Q$1006,0)), HYPERLINK("#",""), HYPERLINK(CONCATENATE("#metadata!", ADDRESS(INDEX($J$2:$J$1001,MATCH(ROWS($H$2:H60),$H$2:$H$1001,0),0), INDEX($O$1004:$Q$1004,1,MATCH(COLUMNS($O$1006:Q1006),$O$1006:$Q$1006,0)))),"Fix")))</f>
        <v xml:space="preserve"> </v>
      </c>
      <c r="H60">
        <v>59</v>
      </c>
      <c r="I60">
        <v>100060</v>
      </c>
      <c r="J60">
        <v>60</v>
      </c>
      <c r="K60" t="b">
        <f t="shared" si="0"/>
        <v>1</v>
      </c>
      <c r="L60" t="b">
        <f>COUNTBLANK(metadata!B60:D60)=COLUMNS(metadata!B60:D60)</f>
        <v>1</v>
      </c>
      <c r="M60" t="str">
        <v/>
      </c>
      <c r="O60" t="b">
        <f ca="1"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P60" t="b">
        <f>AND(IF(metadata!C60="",FALSE,TRUE),EXACT(metadata!C60,"mouse gut metagenome"))</f>
        <v>0</v>
      </c>
      <c r="Q60" t="b">
        <f>AND(IF(metadata!D60="",FALSE,TRUE),EXACT(metadata!D60,"410661"))</f>
        <v>0</v>
      </c>
    </row>
    <row r="61" spans="1:17" x14ac:dyDescent="0.2">
      <c r="A61" s="4" t="str">
        <f ca="1">IF(B61=" "," ",HYPERLINK(CONCATENATE("#metadata!",ADDRESS(INDEX($J$2:$J$1001,MATCH(ROWS($H$2:H61),$H$2:$H$1001,0),0),1)),INDEX($M$2:$M$1001,MATCH(ROWS($H$2:H61),$H$2:$H$1001,0),0)))</f>
        <v xml:space="preserve"> </v>
      </c>
      <c r="B61" s="3" t="str">
        <f ca="1">IF(OR(INDEX($I$2:$I$1001,MATCH(ROWS($H$2:H61),$H$2:$H$1001,0),1)&gt;=100000,INDEX($O$1005:$Q$1005,1,MATCH(COLUMNS($O$1006:O1006),$O$1006:$Q$1006,0))&gt;=100000), " ",IF(INDEX($O$2:$Q$1001,MATCH(ROWS($H$2:H61),$H$2:$H$1001,0),MATCH(COLUMNS($O$1006:O1006),$O$1006:$Q$1006,0)), HYPERLINK("#",""), HYPERLINK(CONCATENATE("#metadata!", ADDRESS(INDEX($J$2:$J$1001,MATCH(ROWS($H$2:H61),$H$2:$H$1001,0),0), INDEX($O$1004:$Q$1004,1,MATCH(COLUMNS($O$1006:O1006),$O$1006:$Q$1006,0)))),"Fix")))</f>
        <v xml:space="preserve"> </v>
      </c>
      <c r="C61" s="3" t="str">
        <f ca="1">IF(OR(INDEX($I$2:$I$1001,MATCH(ROWS($H$2:H61),$H$2:$H$1001,0),1)&gt;=100000,INDEX($O$1005:$Q$1005,1,MATCH(COLUMNS($O$1006:P1006),$O$1006:$Q$1006,0))&gt;=100000), " ",IF(INDEX($O$2:$Q$1001,MATCH(ROWS($H$2:H61),$H$2:$H$1001,0),MATCH(COLUMNS($O$1006:P1006),$O$1006:$Q$1006,0)), HYPERLINK("#",""), HYPERLINK(CONCATENATE("#metadata!", ADDRESS(INDEX($J$2:$J$1001,MATCH(ROWS($H$2:H61),$H$2:$H$1001,0),0), INDEX($O$1004:$Q$1004,1,MATCH(COLUMNS($O$1006:P1006),$O$1006:$Q$1006,0)))),"Fix")))</f>
        <v xml:space="preserve"> </v>
      </c>
      <c r="D61" s="3" t="str">
        <f ca="1">IF(OR(INDEX($I$2:$I$1001,MATCH(ROWS($H$2:H61),$H$2:$H$1001,0),1)&gt;=100000,INDEX($O$1005:$Q$1005,1,MATCH(COLUMNS($O$1006:Q1006),$O$1006:$Q$1006,0))&gt;=100000), " ",IF(INDEX($O$2:$Q$1001,MATCH(ROWS($H$2:H61),$H$2:$H$1001,0),MATCH(COLUMNS($O$1006:Q1006),$O$1006:$Q$1006,0)), HYPERLINK("#",""), HYPERLINK(CONCATENATE("#metadata!", ADDRESS(INDEX($J$2:$J$1001,MATCH(ROWS($H$2:H61),$H$2:$H$1001,0),0), INDEX($O$1004:$Q$1004,1,MATCH(COLUMNS($O$1006:Q1006),$O$1006:$Q$1006,0)))),"Fix")))</f>
        <v xml:space="preserve"> </v>
      </c>
      <c r="H61">
        <v>60</v>
      </c>
      <c r="I61">
        <v>100061</v>
      </c>
      <c r="J61">
        <v>61</v>
      </c>
      <c r="K61" t="b">
        <f t="shared" si="0"/>
        <v>1</v>
      </c>
      <c r="L61" t="b">
        <f>COUNTBLANK(metadata!B61:D61)=COLUMNS(metadata!B61:D61)</f>
        <v>1</v>
      </c>
      <c r="M61" t="str">
        <v/>
      </c>
      <c r="O61" t="b">
        <f ca="1"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P61" t="b">
        <f>AND(IF(metadata!C61="",FALSE,TRUE),EXACT(metadata!C61,"mouse gut metagenome"))</f>
        <v>0</v>
      </c>
      <c r="Q61" t="b">
        <f>AND(IF(metadata!D61="",FALSE,TRUE),EXACT(metadata!D61,"410661"))</f>
        <v>0</v>
      </c>
    </row>
    <row r="62" spans="1:17" x14ac:dyDescent="0.2">
      <c r="A62" s="4" t="str">
        <f ca="1">IF(B62=" "," ",HYPERLINK(CONCATENATE("#metadata!",ADDRESS(INDEX($J$2:$J$1001,MATCH(ROWS($H$2:H62),$H$2:$H$1001,0),0),1)),INDEX($M$2:$M$1001,MATCH(ROWS($H$2:H62),$H$2:$H$1001,0),0)))</f>
        <v xml:space="preserve"> </v>
      </c>
      <c r="B62" s="3" t="str">
        <f ca="1">IF(OR(INDEX($I$2:$I$1001,MATCH(ROWS($H$2:H62),$H$2:$H$1001,0),1)&gt;=100000,INDEX($O$1005:$Q$1005,1,MATCH(COLUMNS($O$1006:O1006),$O$1006:$Q$1006,0))&gt;=100000), " ",IF(INDEX($O$2:$Q$1001,MATCH(ROWS($H$2:H62),$H$2:$H$1001,0),MATCH(COLUMNS($O$1006:O1006),$O$1006:$Q$1006,0)), HYPERLINK("#",""), HYPERLINK(CONCATENATE("#metadata!", ADDRESS(INDEX($J$2:$J$1001,MATCH(ROWS($H$2:H62),$H$2:$H$1001,0),0), INDEX($O$1004:$Q$1004,1,MATCH(COLUMNS($O$1006:O1006),$O$1006:$Q$1006,0)))),"Fix")))</f>
        <v xml:space="preserve"> </v>
      </c>
      <c r="C62" s="3" t="str">
        <f ca="1">IF(OR(INDEX($I$2:$I$1001,MATCH(ROWS($H$2:H62),$H$2:$H$1001,0),1)&gt;=100000,INDEX($O$1005:$Q$1005,1,MATCH(COLUMNS($O$1006:P1006),$O$1006:$Q$1006,0))&gt;=100000), " ",IF(INDEX($O$2:$Q$1001,MATCH(ROWS($H$2:H62),$H$2:$H$1001,0),MATCH(COLUMNS($O$1006:P1006),$O$1006:$Q$1006,0)), HYPERLINK("#",""), HYPERLINK(CONCATENATE("#metadata!", ADDRESS(INDEX($J$2:$J$1001,MATCH(ROWS($H$2:H62),$H$2:$H$1001,0),0), INDEX($O$1004:$Q$1004,1,MATCH(COLUMNS($O$1006:P1006),$O$1006:$Q$1006,0)))),"Fix")))</f>
        <v xml:space="preserve"> </v>
      </c>
      <c r="D62" s="3" t="str">
        <f ca="1">IF(OR(INDEX($I$2:$I$1001,MATCH(ROWS($H$2:H62),$H$2:$H$1001,0),1)&gt;=100000,INDEX($O$1005:$Q$1005,1,MATCH(COLUMNS($O$1006:Q1006),$O$1006:$Q$1006,0))&gt;=100000), " ",IF(INDEX($O$2:$Q$1001,MATCH(ROWS($H$2:H62),$H$2:$H$1001,0),MATCH(COLUMNS($O$1006:Q1006),$O$1006:$Q$1006,0)), HYPERLINK("#",""), HYPERLINK(CONCATENATE("#metadata!", ADDRESS(INDEX($J$2:$J$1001,MATCH(ROWS($H$2:H62),$H$2:$H$1001,0),0), INDEX($O$1004:$Q$1004,1,MATCH(COLUMNS($O$1006:Q1006),$O$1006:$Q$1006,0)))),"Fix")))</f>
        <v xml:space="preserve"> </v>
      </c>
      <c r="H62">
        <v>61</v>
      </c>
      <c r="I62">
        <v>100062</v>
      </c>
      <c r="J62">
        <v>62</v>
      </c>
      <c r="K62" t="b">
        <f t="shared" si="0"/>
        <v>1</v>
      </c>
      <c r="L62" t="b">
        <f>COUNTBLANK(metadata!B62:D62)=COLUMNS(metadata!B62:D62)</f>
        <v>1</v>
      </c>
      <c r="M62" t="str">
        <v/>
      </c>
      <c r="O62" t="b">
        <f ca="1"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P62" t="b">
        <f>AND(IF(metadata!C62="",FALSE,TRUE),EXACT(metadata!C62,"mouse gut metagenome"))</f>
        <v>0</v>
      </c>
      <c r="Q62" t="b">
        <f>AND(IF(metadata!D62="",FALSE,TRUE),EXACT(metadata!D62,"410661"))</f>
        <v>0</v>
      </c>
    </row>
    <row r="63" spans="1:17" x14ac:dyDescent="0.2">
      <c r="A63" s="4" t="str">
        <f ca="1">IF(B63=" "," ",HYPERLINK(CONCATENATE("#metadata!",ADDRESS(INDEX($J$2:$J$1001,MATCH(ROWS($H$2:H63),$H$2:$H$1001,0),0),1)),INDEX($M$2:$M$1001,MATCH(ROWS($H$2:H63),$H$2:$H$1001,0),0)))</f>
        <v xml:space="preserve"> </v>
      </c>
      <c r="B63" s="3" t="str">
        <f ca="1">IF(OR(INDEX($I$2:$I$1001,MATCH(ROWS($H$2:H63),$H$2:$H$1001,0),1)&gt;=100000,INDEX($O$1005:$Q$1005,1,MATCH(COLUMNS($O$1006:O1006),$O$1006:$Q$1006,0))&gt;=100000), " ",IF(INDEX($O$2:$Q$1001,MATCH(ROWS($H$2:H63),$H$2:$H$1001,0),MATCH(COLUMNS($O$1006:O1006),$O$1006:$Q$1006,0)), HYPERLINK("#",""), HYPERLINK(CONCATENATE("#metadata!", ADDRESS(INDEX($J$2:$J$1001,MATCH(ROWS($H$2:H63),$H$2:$H$1001,0),0), INDEX($O$1004:$Q$1004,1,MATCH(COLUMNS($O$1006:O1006),$O$1006:$Q$1006,0)))),"Fix")))</f>
        <v xml:space="preserve"> </v>
      </c>
      <c r="C63" s="3" t="str">
        <f ca="1">IF(OR(INDEX($I$2:$I$1001,MATCH(ROWS($H$2:H63),$H$2:$H$1001,0),1)&gt;=100000,INDEX($O$1005:$Q$1005,1,MATCH(COLUMNS($O$1006:P1006),$O$1006:$Q$1006,0))&gt;=100000), " ",IF(INDEX($O$2:$Q$1001,MATCH(ROWS($H$2:H63),$H$2:$H$1001,0),MATCH(COLUMNS($O$1006:P1006),$O$1006:$Q$1006,0)), HYPERLINK("#",""), HYPERLINK(CONCATENATE("#metadata!", ADDRESS(INDEX($J$2:$J$1001,MATCH(ROWS($H$2:H63),$H$2:$H$1001,0),0), INDEX($O$1004:$Q$1004,1,MATCH(COLUMNS($O$1006:P1006),$O$1006:$Q$1006,0)))),"Fix")))</f>
        <v xml:space="preserve"> </v>
      </c>
      <c r="D63" s="3" t="str">
        <f ca="1">IF(OR(INDEX($I$2:$I$1001,MATCH(ROWS($H$2:H63),$H$2:$H$1001,0),1)&gt;=100000,INDEX($O$1005:$Q$1005,1,MATCH(COLUMNS($O$1006:Q1006),$O$1006:$Q$1006,0))&gt;=100000), " ",IF(INDEX($O$2:$Q$1001,MATCH(ROWS($H$2:H63),$H$2:$H$1001,0),MATCH(COLUMNS($O$1006:Q1006),$O$1006:$Q$1006,0)), HYPERLINK("#",""), HYPERLINK(CONCATENATE("#metadata!", ADDRESS(INDEX($J$2:$J$1001,MATCH(ROWS($H$2:H63),$H$2:$H$1001,0),0), INDEX($O$1004:$Q$1004,1,MATCH(COLUMNS($O$1006:Q1006),$O$1006:$Q$1006,0)))),"Fix")))</f>
        <v xml:space="preserve"> </v>
      </c>
      <c r="H63">
        <v>62</v>
      </c>
      <c r="I63">
        <v>100063</v>
      </c>
      <c r="J63">
        <v>63</v>
      </c>
      <c r="K63" t="b">
        <f t="shared" si="0"/>
        <v>1</v>
      </c>
      <c r="L63" t="b">
        <f>COUNTBLANK(metadata!B63:D63)=COLUMNS(metadata!B63:D63)</f>
        <v>1</v>
      </c>
      <c r="M63" t="str">
        <v/>
      </c>
      <c r="O63" t="b">
        <f ca="1"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P63" t="b">
        <f>AND(IF(metadata!C63="",FALSE,TRUE),EXACT(metadata!C63,"mouse gut metagenome"))</f>
        <v>0</v>
      </c>
      <c r="Q63" t="b">
        <f>AND(IF(metadata!D63="",FALSE,TRUE),EXACT(metadata!D63,"410661"))</f>
        <v>0</v>
      </c>
    </row>
    <row r="64" spans="1:17" x14ac:dyDescent="0.2">
      <c r="A64" s="4" t="str">
        <f ca="1">IF(B64=" "," ",HYPERLINK(CONCATENATE("#metadata!",ADDRESS(INDEX($J$2:$J$1001,MATCH(ROWS($H$2:H64),$H$2:$H$1001,0),0),1)),INDEX($M$2:$M$1001,MATCH(ROWS($H$2:H64),$H$2:$H$1001,0),0)))</f>
        <v xml:space="preserve"> </v>
      </c>
      <c r="B64" s="3" t="str">
        <f ca="1">IF(OR(INDEX($I$2:$I$1001,MATCH(ROWS($H$2:H64),$H$2:$H$1001,0),1)&gt;=100000,INDEX($O$1005:$Q$1005,1,MATCH(COLUMNS($O$1006:O1006),$O$1006:$Q$1006,0))&gt;=100000), " ",IF(INDEX($O$2:$Q$1001,MATCH(ROWS($H$2:H64),$H$2:$H$1001,0),MATCH(COLUMNS($O$1006:O1006),$O$1006:$Q$1006,0)), HYPERLINK("#",""), HYPERLINK(CONCATENATE("#metadata!", ADDRESS(INDEX($J$2:$J$1001,MATCH(ROWS($H$2:H64),$H$2:$H$1001,0),0), INDEX($O$1004:$Q$1004,1,MATCH(COLUMNS($O$1006:O1006),$O$1006:$Q$1006,0)))),"Fix")))</f>
        <v xml:space="preserve"> </v>
      </c>
      <c r="C64" s="3" t="str">
        <f ca="1">IF(OR(INDEX($I$2:$I$1001,MATCH(ROWS($H$2:H64),$H$2:$H$1001,0),1)&gt;=100000,INDEX($O$1005:$Q$1005,1,MATCH(COLUMNS($O$1006:P1006),$O$1006:$Q$1006,0))&gt;=100000), " ",IF(INDEX($O$2:$Q$1001,MATCH(ROWS($H$2:H64),$H$2:$H$1001,0),MATCH(COLUMNS($O$1006:P1006),$O$1006:$Q$1006,0)), HYPERLINK("#",""), HYPERLINK(CONCATENATE("#metadata!", ADDRESS(INDEX($J$2:$J$1001,MATCH(ROWS($H$2:H64),$H$2:$H$1001,0),0), INDEX($O$1004:$Q$1004,1,MATCH(COLUMNS($O$1006:P1006),$O$1006:$Q$1006,0)))),"Fix")))</f>
        <v xml:space="preserve"> </v>
      </c>
      <c r="D64" s="3" t="str">
        <f ca="1">IF(OR(INDEX($I$2:$I$1001,MATCH(ROWS($H$2:H64),$H$2:$H$1001,0),1)&gt;=100000,INDEX($O$1005:$Q$1005,1,MATCH(COLUMNS($O$1006:Q1006),$O$1006:$Q$1006,0))&gt;=100000), " ",IF(INDEX($O$2:$Q$1001,MATCH(ROWS($H$2:H64),$H$2:$H$1001,0),MATCH(COLUMNS($O$1006:Q1006),$O$1006:$Q$1006,0)), HYPERLINK("#",""), HYPERLINK(CONCATENATE("#metadata!", ADDRESS(INDEX($J$2:$J$1001,MATCH(ROWS($H$2:H64),$H$2:$H$1001,0),0), INDEX($O$1004:$Q$1004,1,MATCH(COLUMNS($O$1006:Q1006),$O$1006:$Q$1006,0)))),"Fix")))</f>
        <v xml:space="preserve"> </v>
      </c>
      <c r="H64">
        <v>63</v>
      </c>
      <c r="I64">
        <v>100064</v>
      </c>
      <c r="J64">
        <v>64</v>
      </c>
      <c r="K64" t="b">
        <f t="shared" si="0"/>
        <v>1</v>
      </c>
      <c r="L64" t="b">
        <f>COUNTBLANK(metadata!B64:D64)=COLUMNS(metadata!B64:D64)</f>
        <v>1</v>
      </c>
      <c r="M64" t="str">
        <v/>
      </c>
      <c r="O64" t="b">
        <f ca="1"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P64" t="b">
        <f>AND(IF(metadata!C64="",FALSE,TRUE),EXACT(metadata!C64,"mouse gut metagenome"))</f>
        <v>0</v>
      </c>
      <c r="Q64" t="b">
        <f>AND(IF(metadata!D64="",FALSE,TRUE),EXACT(metadata!D64,"410661"))</f>
        <v>0</v>
      </c>
    </row>
    <row r="65" spans="1:17" x14ac:dyDescent="0.2">
      <c r="A65" s="4" t="str">
        <f ca="1">IF(B65=" "," ",HYPERLINK(CONCATENATE("#metadata!",ADDRESS(INDEX($J$2:$J$1001,MATCH(ROWS($H$2:H65),$H$2:$H$1001,0),0),1)),INDEX($M$2:$M$1001,MATCH(ROWS($H$2:H65),$H$2:$H$1001,0),0)))</f>
        <v xml:space="preserve"> </v>
      </c>
      <c r="B65" s="3" t="str">
        <f ca="1">IF(OR(INDEX($I$2:$I$1001,MATCH(ROWS($H$2:H65),$H$2:$H$1001,0),1)&gt;=100000,INDEX($O$1005:$Q$1005,1,MATCH(COLUMNS($O$1006:O1006),$O$1006:$Q$1006,0))&gt;=100000), " ",IF(INDEX($O$2:$Q$1001,MATCH(ROWS($H$2:H65),$H$2:$H$1001,0),MATCH(COLUMNS($O$1006:O1006),$O$1006:$Q$1006,0)), HYPERLINK("#",""), HYPERLINK(CONCATENATE("#metadata!", ADDRESS(INDEX($J$2:$J$1001,MATCH(ROWS($H$2:H65),$H$2:$H$1001,0),0), INDEX($O$1004:$Q$1004,1,MATCH(COLUMNS($O$1006:O1006),$O$1006:$Q$1006,0)))),"Fix")))</f>
        <v xml:space="preserve"> </v>
      </c>
      <c r="C65" s="3" t="str">
        <f ca="1">IF(OR(INDEX($I$2:$I$1001,MATCH(ROWS($H$2:H65),$H$2:$H$1001,0),1)&gt;=100000,INDEX($O$1005:$Q$1005,1,MATCH(COLUMNS($O$1006:P1006),$O$1006:$Q$1006,0))&gt;=100000), " ",IF(INDEX($O$2:$Q$1001,MATCH(ROWS($H$2:H65),$H$2:$H$1001,0),MATCH(COLUMNS($O$1006:P1006),$O$1006:$Q$1006,0)), HYPERLINK("#",""), HYPERLINK(CONCATENATE("#metadata!", ADDRESS(INDEX($J$2:$J$1001,MATCH(ROWS($H$2:H65),$H$2:$H$1001,0),0), INDEX($O$1004:$Q$1004,1,MATCH(COLUMNS($O$1006:P1006),$O$1006:$Q$1006,0)))),"Fix")))</f>
        <v xml:space="preserve"> </v>
      </c>
      <c r="D65" s="3" t="str">
        <f ca="1">IF(OR(INDEX($I$2:$I$1001,MATCH(ROWS($H$2:H65),$H$2:$H$1001,0),1)&gt;=100000,INDEX($O$1005:$Q$1005,1,MATCH(COLUMNS($O$1006:Q1006),$O$1006:$Q$1006,0))&gt;=100000), " ",IF(INDEX($O$2:$Q$1001,MATCH(ROWS($H$2:H65),$H$2:$H$1001,0),MATCH(COLUMNS($O$1006:Q1006),$O$1006:$Q$1006,0)), HYPERLINK("#",""), HYPERLINK(CONCATENATE("#metadata!", ADDRESS(INDEX($J$2:$J$1001,MATCH(ROWS($H$2:H65),$H$2:$H$1001,0),0), INDEX($O$1004:$Q$1004,1,MATCH(COLUMNS($O$1006:Q1006),$O$1006:$Q$1006,0)))),"Fix")))</f>
        <v xml:space="preserve"> </v>
      </c>
      <c r="H65">
        <v>64</v>
      </c>
      <c r="I65">
        <v>100065</v>
      </c>
      <c r="J65">
        <v>65</v>
      </c>
      <c r="K65" t="b">
        <f t="shared" si="0"/>
        <v>1</v>
      </c>
      <c r="L65" t="b">
        <f>COUNTBLANK(metadata!B65:D65)=COLUMNS(metadata!B65:D65)</f>
        <v>1</v>
      </c>
      <c r="M65" t="str">
        <v/>
      </c>
      <c r="O65" t="b">
        <f ca="1"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P65" t="b">
        <f>AND(IF(metadata!C65="",FALSE,TRUE),EXACT(metadata!C65,"mouse gut metagenome"))</f>
        <v>0</v>
      </c>
      <c r="Q65" t="b">
        <f>AND(IF(metadata!D65="",FALSE,TRUE),EXACT(metadata!D65,"410661"))</f>
        <v>0</v>
      </c>
    </row>
    <row r="66" spans="1:17" x14ac:dyDescent="0.2">
      <c r="A66" s="4" t="str">
        <f ca="1">IF(B66=" "," ",HYPERLINK(CONCATENATE("#metadata!",ADDRESS(INDEX($J$2:$J$1001,MATCH(ROWS($H$2:H66),$H$2:$H$1001,0),0),1)),INDEX($M$2:$M$1001,MATCH(ROWS($H$2:H66),$H$2:$H$1001,0),0)))</f>
        <v xml:space="preserve"> </v>
      </c>
      <c r="B66" s="3" t="str">
        <f ca="1">IF(OR(INDEX($I$2:$I$1001,MATCH(ROWS($H$2:H66),$H$2:$H$1001,0),1)&gt;=100000,INDEX($O$1005:$Q$1005,1,MATCH(COLUMNS($O$1006:O1006),$O$1006:$Q$1006,0))&gt;=100000), " ",IF(INDEX($O$2:$Q$1001,MATCH(ROWS($H$2:H66),$H$2:$H$1001,0),MATCH(COLUMNS($O$1006:O1006),$O$1006:$Q$1006,0)), HYPERLINK("#",""), HYPERLINK(CONCATENATE("#metadata!", ADDRESS(INDEX($J$2:$J$1001,MATCH(ROWS($H$2:H66),$H$2:$H$1001,0),0), INDEX($O$1004:$Q$1004,1,MATCH(COLUMNS($O$1006:O1006),$O$1006:$Q$1006,0)))),"Fix")))</f>
        <v xml:space="preserve"> </v>
      </c>
      <c r="C66" s="3" t="str">
        <f ca="1">IF(OR(INDEX($I$2:$I$1001,MATCH(ROWS($H$2:H66),$H$2:$H$1001,0),1)&gt;=100000,INDEX($O$1005:$Q$1005,1,MATCH(COLUMNS($O$1006:P1006),$O$1006:$Q$1006,0))&gt;=100000), " ",IF(INDEX($O$2:$Q$1001,MATCH(ROWS($H$2:H66),$H$2:$H$1001,0),MATCH(COLUMNS($O$1006:P1006),$O$1006:$Q$1006,0)), HYPERLINK("#",""), HYPERLINK(CONCATENATE("#metadata!", ADDRESS(INDEX($J$2:$J$1001,MATCH(ROWS($H$2:H66),$H$2:$H$1001,0),0), INDEX($O$1004:$Q$1004,1,MATCH(COLUMNS($O$1006:P1006),$O$1006:$Q$1006,0)))),"Fix")))</f>
        <v xml:space="preserve"> </v>
      </c>
      <c r="D66" s="3" t="str">
        <f ca="1">IF(OR(INDEX($I$2:$I$1001,MATCH(ROWS($H$2:H66),$H$2:$H$1001,0),1)&gt;=100000,INDEX($O$1005:$Q$1005,1,MATCH(COLUMNS($O$1006:Q1006),$O$1006:$Q$1006,0))&gt;=100000), " ",IF(INDEX($O$2:$Q$1001,MATCH(ROWS($H$2:H66),$H$2:$H$1001,0),MATCH(COLUMNS($O$1006:Q1006),$O$1006:$Q$1006,0)), HYPERLINK("#",""), HYPERLINK(CONCATENATE("#metadata!", ADDRESS(INDEX($J$2:$J$1001,MATCH(ROWS($H$2:H66),$H$2:$H$1001,0),0), INDEX($O$1004:$Q$1004,1,MATCH(COLUMNS($O$1006:Q1006),$O$1006:$Q$1006,0)))),"Fix")))</f>
        <v xml:space="preserve"> </v>
      </c>
      <c r="H66">
        <v>65</v>
      </c>
      <c r="I66">
        <v>100066</v>
      </c>
      <c r="J66">
        <v>66</v>
      </c>
      <c r="K66" t="b">
        <f t="shared" ref="K66:K129" si="1">IF(L66,TRUE,AND(O66:Q66))</f>
        <v>1</v>
      </c>
      <c r="L66" t="b">
        <f>COUNTBLANK(metadata!B66:D66)=COLUMNS(metadata!B66:D66)</f>
        <v>1</v>
      </c>
      <c r="M66" t="str">
        <v/>
      </c>
      <c r="O66" t="b">
        <f ca="1"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P66" t="b">
        <f>AND(IF(metadata!C66="",FALSE,TRUE),EXACT(metadata!C66,"mouse gut metagenome"))</f>
        <v>0</v>
      </c>
      <c r="Q66" t="b">
        <f>AND(IF(metadata!D66="",FALSE,TRUE),EXACT(metadata!D66,"410661"))</f>
        <v>0</v>
      </c>
    </row>
    <row r="67" spans="1:17" x14ac:dyDescent="0.2">
      <c r="A67" s="4" t="str">
        <f ca="1">IF(B67=" "," ",HYPERLINK(CONCATENATE("#metadata!",ADDRESS(INDEX($J$2:$J$1001,MATCH(ROWS($H$2:H67),$H$2:$H$1001,0),0),1)),INDEX($M$2:$M$1001,MATCH(ROWS($H$2:H67),$H$2:$H$1001,0),0)))</f>
        <v xml:space="preserve"> </v>
      </c>
      <c r="B67" s="3" t="str">
        <f ca="1">IF(OR(INDEX($I$2:$I$1001,MATCH(ROWS($H$2:H67),$H$2:$H$1001,0),1)&gt;=100000,INDEX($O$1005:$Q$1005,1,MATCH(COLUMNS($O$1006:O1006),$O$1006:$Q$1006,0))&gt;=100000), " ",IF(INDEX($O$2:$Q$1001,MATCH(ROWS($H$2:H67),$H$2:$H$1001,0),MATCH(COLUMNS($O$1006:O1006),$O$1006:$Q$1006,0)), HYPERLINK("#",""), HYPERLINK(CONCATENATE("#metadata!", ADDRESS(INDEX($J$2:$J$1001,MATCH(ROWS($H$2:H67),$H$2:$H$1001,0),0), INDEX($O$1004:$Q$1004,1,MATCH(COLUMNS($O$1006:O1006),$O$1006:$Q$1006,0)))),"Fix")))</f>
        <v xml:space="preserve"> </v>
      </c>
      <c r="C67" s="3" t="str">
        <f ca="1">IF(OR(INDEX($I$2:$I$1001,MATCH(ROWS($H$2:H67),$H$2:$H$1001,0),1)&gt;=100000,INDEX($O$1005:$Q$1005,1,MATCH(COLUMNS($O$1006:P1006),$O$1006:$Q$1006,0))&gt;=100000), " ",IF(INDEX($O$2:$Q$1001,MATCH(ROWS($H$2:H67),$H$2:$H$1001,0),MATCH(COLUMNS($O$1006:P1006),$O$1006:$Q$1006,0)), HYPERLINK("#",""), HYPERLINK(CONCATENATE("#metadata!", ADDRESS(INDEX($J$2:$J$1001,MATCH(ROWS($H$2:H67),$H$2:$H$1001,0),0), INDEX($O$1004:$Q$1004,1,MATCH(COLUMNS($O$1006:P1006),$O$1006:$Q$1006,0)))),"Fix")))</f>
        <v xml:space="preserve"> </v>
      </c>
      <c r="D67" s="3" t="str">
        <f ca="1">IF(OR(INDEX($I$2:$I$1001,MATCH(ROWS($H$2:H67),$H$2:$H$1001,0),1)&gt;=100000,INDEX($O$1005:$Q$1005,1,MATCH(COLUMNS($O$1006:Q1006),$O$1006:$Q$1006,0))&gt;=100000), " ",IF(INDEX($O$2:$Q$1001,MATCH(ROWS($H$2:H67),$H$2:$H$1001,0),MATCH(COLUMNS($O$1006:Q1006),$O$1006:$Q$1006,0)), HYPERLINK("#",""), HYPERLINK(CONCATENATE("#metadata!", ADDRESS(INDEX($J$2:$J$1001,MATCH(ROWS($H$2:H67),$H$2:$H$1001,0),0), INDEX($O$1004:$Q$1004,1,MATCH(COLUMNS($O$1006:Q1006),$O$1006:$Q$1006,0)))),"Fix")))</f>
        <v xml:space="preserve"> </v>
      </c>
      <c r="H67">
        <v>66</v>
      </c>
      <c r="I67">
        <v>100067</v>
      </c>
      <c r="J67">
        <v>67</v>
      </c>
      <c r="K67" t="b">
        <f t="shared" si="1"/>
        <v>1</v>
      </c>
      <c r="L67" t="b">
        <f>COUNTBLANK(metadata!B67:D67)=COLUMNS(metadata!B67:D67)</f>
        <v>1</v>
      </c>
      <c r="M67" t="str">
        <v/>
      </c>
      <c r="O67" t="b">
        <f ca="1"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P67" t="b">
        <f>AND(IF(metadata!C67="",FALSE,TRUE),EXACT(metadata!C67,"mouse gut metagenome"))</f>
        <v>0</v>
      </c>
      <c r="Q67" t="b">
        <f>AND(IF(metadata!D67="",FALSE,TRUE),EXACT(metadata!D67,"410661"))</f>
        <v>0</v>
      </c>
    </row>
    <row r="68" spans="1:17" x14ac:dyDescent="0.2">
      <c r="A68" s="4" t="str">
        <f ca="1">IF(B68=" "," ",HYPERLINK(CONCATENATE("#metadata!",ADDRESS(INDEX($J$2:$J$1001,MATCH(ROWS($H$2:H68),$H$2:$H$1001,0),0),1)),INDEX($M$2:$M$1001,MATCH(ROWS($H$2:H68),$H$2:$H$1001,0),0)))</f>
        <v xml:space="preserve"> </v>
      </c>
      <c r="B68" s="3" t="str">
        <f ca="1">IF(OR(INDEX($I$2:$I$1001,MATCH(ROWS($H$2:H68),$H$2:$H$1001,0),1)&gt;=100000,INDEX($O$1005:$Q$1005,1,MATCH(COLUMNS($O$1006:O1006),$O$1006:$Q$1006,0))&gt;=100000), " ",IF(INDEX($O$2:$Q$1001,MATCH(ROWS($H$2:H68),$H$2:$H$1001,0),MATCH(COLUMNS($O$1006:O1006),$O$1006:$Q$1006,0)), HYPERLINK("#",""), HYPERLINK(CONCATENATE("#metadata!", ADDRESS(INDEX($J$2:$J$1001,MATCH(ROWS($H$2:H68),$H$2:$H$1001,0),0), INDEX($O$1004:$Q$1004,1,MATCH(COLUMNS($O$1006:O1006),$O$1006:$Q$1006,0)))),"Fix")))</f>
        <v xml:space="preserve"> </v>
      </c>
      <c r="C68" s="3" t="str">
        <f ca="1">IF(OR(INDEX($I$2:$I$1001,MATCH(ROWS($H$2:H68),$H$2:$H$1001,0),1)&gt;=100000,INDEX($O$1005:$Q$1005,1,MATCH(COLUMNS($O$1006:P1006),$O$1006:$Q$1006,0))&gt;=100000), " ",IF(INDEX($O$2:$Q$1001,MATCH(ROWS($H$2:H68),$H$2:$H$1001,0),MATCH(COLUMNS($O$1006:P1006),$O$1006:$Q$1006,0)), HYPERLINK("#",""), HYPERLINK(CONCATENATE("#metadata!", ADDRESS(INDEX($J$2:$J$1001,MATCH(ROWS($H$2:H68),$H$2:$H$1001,0),0), INDEX($O$1004:$Q$1004,1,MATCH(COLUMNS($O$1006:P1006),$O$1006:$Q$1006,0)))),"Fix")))</f>
        <v xml:space="preserve"> </v>
      </c>
      <c r="D68" s="3" t="str">
        <f ca="1">IF(OR(INDEX($I$2:$I$1001,MATCH(ROWS($H$2:H68),$H$2:$H$1001,0),1)&gt;=100000,INDEX($O$1005:$Q$1005,1,MATCH(COLUMNS($O$1006:Q1006),$O$1006:$Q$1006,0))&gt;=100000), " ",IF(INDEX($O$2:$Q$1001,MATCH(ROWS($H$2:H68),$H$2:$H$1001,0),MATCH(COLUMNS($O$1006:Q1006),$O$1006:$Q$1006,0)), HYPERLINK("#",""), HYPERLINK(CONCATENATE("#metadata!", ADDRESS(INDEX($J$2:$J$1001,MATCH(ROWS($H$2:H68),$H$2:$H$1001,0),0), INDEX($O$1004:$Q$1004,1,MATCH(COLUMNS($O$1006:Q1006),$O$1006:$Q$1006,0)))),"Fix")))</f>
        <v xml:space="preserve"> </v>
      </c>
      <c r="H68">
        <v>67</v>
      </c>
      <c r="I68">
        <v>100068</v>
      </c>
      <c r="J68">
        <v>68</v>
      </c>
      <c r="K68" t="b">
        <f t="shared" si="1"/>
        <v>1</v>
      </c>
      <c r="L68" t="b">
        <f>COUNTBLANK(metadata!B68:D68)=COLUMNS(metadata!B68:D68)</f>
        <v>1</v>
      </c>
      <c r="M68" t="str">
        <v/>
      </c>
      <c r="O68" t="b">
        <f ca="1"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P68" t="b">
        <f>AND(IF(metadata!C68="",FALSE,TRUE),EXACT(metadata!C68,"mouse gut metagenome"))</f>
        <v>0</v>
      </c>
      <c r="Q68" t="b">
        <f>AND(IF(metadata!D68="",FALSE,TRUE),EXACT(metadata!D68,"410661"))</f>
        <v>0</v>
      </c>
    </row>
    <row r="69" spans="1:17" x14ac:dyDescent="0.2">
      <c r="A69" s="4" t="str">
        <f ca="1">IF(B69=" "," ",HYPERLINK(CONCATENATE("#metadata!",ADDRESS(INDEX($J$2:$J$1001,MATCH(ROWS($H$2:H69),$H$2:$H$1001,0),0),1)),INDEX($M$2:$M$1001,MATCH(ROWS($H$2:H69),$H$2:$H$1001,0),0)))</f>
        <v xml:space="preserve"> </v>
      </c>
      <c r="B69" s="3" t="str">
        <f ca="1">IF(OR(INDEX($I$2:$I$1001,MATCH(ROWS($H$2:H69),$H$2:$H$1001,0),1)&gt;=100000,INDEX($O$1005:$Q$1005,1,MATCH(COLUMNS($O$1006:O1006),$O$1006:$Q$1006,0))&gt;=100000), " ",IF(INDEX($O$2:$Q$1001,MATCH(ROWS($H$2:H69),$H$2:$H$1001,0),MATCH(COLUMNS($O$1006:O1006),$O$1006:$Q$1006,0)), HYPERLINK("#",""), HYPERLINK(CONCATENATE("#metadata!", ADDRESS(INDEX($J$2:$J$1001,MATCH(ROWS($H$2:H69),$H$2:$H$1001,0),0), INDEX($O$1004:$Q$1004,1,MATCH(COLUMNS($O$1006:O1006),$O$1006:$Q$1006,0)))),"Fix")))</f>
        <v xml:space="preserve"> </v>
      </c>
      <c r="C69" s="3" t="str">
        <f ca="1">IF(OR(INDEX($I$2:$I$1001,MATCH(ROWS($H$2:H69),$H$2:$H$1001,0),1)&gt;=100000,INDEX($O$1005:$Q$1005,1,MATCH(COLUMNS($O$1006:P1006),$O$1006:$Q$1006,0))&gt;=100000), " ",IF(INDEX($O$2:$Q$1001,MATCH(ROWS($H$2:H69),$H$2:$H$1001,0),MATCH(COLUMNS($O$1006:P1006),$O$1006:$Q$1006,0)), HYPERLINK("#",""), HYPERLINK(CONCATENATE("#metadata!", ADDRESS(INDEX($J$2:$J$1001,MATCH(ROWS($H$2:H69),$H$2:$H$1001,0),0), INDEX($O$1004:$Q$1004,1,MATCH(COLUMNS($O$1006:P1006),$O$1006:$Q$1006,0)))),"Fix")))</f>
        <v xml:space="preserve"> </v>
      </c>
      <c r="D69" s="3" t="str">
        <f ca="1">IF(OR(INDEX($I$2:$I$1001,MATCH(ROWS($H$2:H69),$H$2:$H$1001,0),1)&gt;=100000,INDEX($O$1005:$Q$1005,1,MATCH(COLUMNS($O$1006:Q1006),$O$1006:$Q$1006,0))&gt;=100000), " ",IF(INDEX($O$2:$Q$1001,MATCH(ROWS($H$2:H69),$H$2:$H$1001,0),MATCH(COLUMNS($O$1006:Q1006),$O$1006:$Q$1006,0)), HYPERLINK("#",""), HYPERLINK(CONCATENATE("#metadata!", ADDRESS(INDEX($J$2:$J$1001,MATCH(ROWS($H$2:H69),$H$2:$H$1001,0),0), INDEX($O$1004:$Q$1004,1,MATCH(COLUMNS($O$1006:Q1006),$O$1006:$Q$1006,0)))),"Fix")))</f>
        <v xml:space="preserve"> </v>
      </c>
      <c r="H69">
        <v>68</v>
      </c>
      <c r="I69">
        <v>100069</v>
      </c>
      <c r="J69">
        <v>69</v>
      </c>
      <c r="K69" t="b">
        <f t="shared" si="1"/>
        <v>1</v>
      </c>
      <c r="L69" t="b">
        <f>COUNTBLANK(metadata!B69:D69)=COLUMNS(metadata!B69:D69)</f>
        <v>1</v>
      </c>
      <c r="M69" t="str">
        <v/>
      </c>
      <c r="O69" t="b">
        <f ca="1"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P69" t="b">
        <f>AND(IF(metadata!C69="",FALSE,TRUE),EXACT(metadata!C69,"mouse gut metagenome"))</f>
        <v>0</v>
      </c>
      <c r="Q69" t="b">
        <f>AND(IF(metadata!D69="",FALSE,TRUE),EXACT(metadata!D69,"410661"))</f>
        <v>0</v>
      </c>
    </row>
    <row r="70" spans="1:17" x14ac:dyDescent="0.2">
      <c r="A70" s="4" t="str">
        <f ca="1">IF(B70=" "," ",HYPERLINK(CONCATENATE("#metadata!",ADDRESS(INDEX($J$2:$J$1001,MATCH(ROWS($H$2:H70),$H$2:$H$1001,0),0),1)),INDEX($M$2:$M$1001,MATCH(ROWS($H$2:H70),$H$2:$H$1001,0),0)))</f>
        <v xml:space="preserve"> </v>
      </c>
      <c r="B70" s="3" t="str">
        <f ca="1">IF(OR(INDEX($I$2:$I$1001,MATCH(ROWS($H$2:H70),$H$2:$H$1001,0),1)&gt;=100000,INDEX($O$1005:$Q$1005,1,MATCH(COLUMNS($O$1006:O1006),$O$1006:$Q$1006,0))&gt;=100000), " ",IF(INDEX($O$2:$Q$1001,MATCH(ROWS($H$2:H70),$H$2:$H$1001,0),MATCH(COLUMNS($O$1006:O1006),$O$1006:$Q$1006,0)), HYPERLINK("#",""), HYPERLINK(CONCATENATE("#metadata!", ADDRESS(INDEX($J$2:$J$1001,MATCH(ROWS($H$2:H70),$H$2:$H$1001,0),0), INDEX($O$1004:$Q$1004,1,MATCH(COLUMNS($O$1006:O1006),$O$1006:$Q$1006,0)))),"Fix")))</f>
        <v xml:space="preserve"> </v>
      </c>
      <c r="C70" s="3" t="str">
        <f ca="1">IF(OR(INDEX($I$2:$I$1001,MATCH(ROWS($H$2:H70),$H$2:$H$1001,0),1)&gt;=100000,INDEX($O$1005:$Q$1005,1,MATCH(COLUMNS($O$1006:P1006),$O$1006:$Q$1006,0))&gt;=100000), " ",IF(INDEX($O$2:$Q$1001,MATCH(ROWS($H$2:H70),$H$2:$H$1001,0),MATCH(COLUMNS($O$1006:P1006),$O$1006:$Q$1006,0)), HYPERLINK("#",""), HYPERLINK(CONCATENATE("#metadata!", ADDRESS(INDEX($J$2:$J$1001,MATCH(ROWS($H$2:H70),$H$2:$H$1001,0),0), INDEX($O$1004:$Q$1004,1,MATCH(COLUMNS($O$1006:P1006),$O$1006:$Q$1006,0)))),"Fix")))</f>
        <v xml:space="preserve"> </v>
      </c>
      <c r="D70" s="3" t="str">
        <f ca="1">IF(OR(INDEX($I$2:$I$1001,MATCH(ROWS($H$2:H70),$H$2:$H$1001,0),1)&gt;=100000,INDEX($O$1005:$Q$1005,1,MATCH(COLUMNS($O$1006:Q1006),$O$1006:$Q$1006,0))&gt;=100000), " ",IF(INDEX($O$2:$Q$1001,MATCH(ROWS($H$2:H70),$H$2:$H$1001,0),MATCH(COLUMNS($O$1006:Q1006),$O$1006:$Q$1006,0)), HYPERLINK("#",""), HYPERLINK(CONCATENATE("#metadata!", ADDRESS(INDEX($J$2:$J$1001,MATCH(ROWS($H$2:H70),$H$2:$H$1001,0),0), INDEX($O$1004:$Q$1004,1,MATCH(COLUMNS($O$1006:Q1006),$O$1006:$Q$1006,0)))),"Fix")))</f>
        <v xml:space="preserve"> </v>
      </c>
      <c r="H70">
        <v>69</v>
      </c>
      <c r="I70">
        <v>100070</v>
      </c>
      <c r="J70">
        <v>70</v>
      </c>
      <c r="K70" t="b">
        <f t="shared" si="1"/>
        <v>1</v>
      </c>
      <c r="L70" t="b">
        <f>COUNTBLANK(metadata!B70:D70)=COLUMNS(metadata!B70:D70)</f>
        <v>1</v>
      </c>
      <c r="M70" t="str">
        <v/>
      </c>
      <c r="O70" t="b">
        <f ca="1"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P70" t="b">
        <f>AND(IF(metadata!C70="",FALSE,TRUE),EXACT(metadata!C70,"mouse gut metagenome"))</f>
        <v>0</v>
      </c>
      <c r="Q70" t="b">
        <f>AND(IF(metadata!D70="",FALSE,TRUE),EXACT(metadata!D70,"410661"))</f>
        <v>0</v>
      </c>
    </row>
    <row r="71" spans="1:17" x14ac:dyDescent="0.2">
      <c r="A71" s="4" t="str">
        <f ca="1">IF(B71=" "," ",HYPERLINK(CONCATENATE("#metadata!",ADDRESS(INDEX($J$2:$J$1001,MATCH(ROWS($H$2:H71),$H$2:$H$1001,0),0),1)),INDEX($M$2:$M$1001,MATCH(ROWS($H$2:H71),$H$2:$H$1001,0),0)))</f>
        <v xml:space="preserve"> </v>
      </c>
      <c r="B71" s="3" t="str">
        <f ca="1">IF(OR(INDEX($I$2:$I$1001,MATCH(ROWS($H$2:H71),$H$2:$H$1001,0),1)&gt;=100000,INDEX($O$1005:$Q$1005,1,MATCH(COLUMNS($O$1006:O1006),$O$1006:$Q$1006,0))&gt;=100000), " ",IF(INDEX($O$2:$Q$1001,MATCH(ROWS($H$2:H71),$H$2:$H$1001,0),MATCH(COLUMNS($O$1006:O1006),$O$1006:$Q$1006,0)), HYPERLINK("#",""), HYPERLINK(CONCATENATE("#metadata!", ADDRESS(INDEX($J$2:$J$1001,MATCH(ROWS($H$2:H71),$H$2:$H$1001,0),0), INDEX($O$1004:$Q$1004,1,MATCH(COLUMNS($O$1006:O1006),$O$1006:$Q$1006,0)))),"Fix")))</f>
        <v xml:space="preserve"> </v>
      </c>
      <c r="C71" s="3" t="str">
        <f ca="1">IF(OR(INDEX($I$2:$I$1001,MATCH(ROWS($H$2:H71),$H$2:$H$1001,0),1)&gt;=100000,INDEX($O$1005:$Q$1005,1,MATCH(COLUMNS($O$1006:P1006),$O$1006:$Q$1006,0))&gt;=100000), " ",IF(INDEX($O$2:$Q$1001,MATCH(ROWS($H$2:H71),$H$2:$H$1001,0),MATCH(COLUMNS($O$1006:P1006),$O$1006:$Q$1006,0)), HYPERLINK("#",""), HYPERLINK(CONCATENATE("#metadata!", ADDRESS(INDEX($J$2:$J$1001,MATCH(ROWS($H$2:H71),$H$2:$H$1001,0),0), INDEX($O$1004:$Q$1004,1,MATCH(COLUMNS($O$1006:P1006),$O$1006:$Q$1006,0)))),"Fix")))</f>
        <v xml:space="preserve"> </v>
      </c>
      <c r="D71" s="3" t="str">
        <f ca="1">IF(OR(INDEX($I$2:$I$1001,MATCH(ROWS($H$2:H71),$H$2:$H$1001,0),1)&gt;=100000,INDEX($O$1005:$Q$1005,1,MATCH(COLUMNS($O$1006:Q1006),$O$1006:$Q$1006,0))&gt;=100000), " ",IF(INDEX($O$2:$Q$1001,MATCH(ROWS($H$2:H71),$H$2:$H$1001,0),MATCH(COLUMNS($O$1006:Q1006),$O$1006:$Q$1006,0)), HYPERLINK("#",""), HYPERLINK(CONCATENATE("#metadata!", ADDRESS(INDEX($J$2:$J$1001,MATCH(ROWS($H$2:H71),$H$2:$H$1001,0),0), INDEX($O$1004:$Q$1004,1,MATCH(COLUMNS($O$1006:Q1006),$O$1006:$Q$1006,0)))),"Fix")))</f>
        <v xml:space="preserve"> </v>
      </c>
      <c r="H71">
        <v>70</v>
      </c>
      <c r="I71">
        <v>100071</v>
      </c>
      <c r="J71">
        <v>71</v>
      </c>
      <c r="K71" t="b">
        <f t="shared" si="1"/>
        <v>1</v>
      </c>
      <c r="L71" t="b">
        <f>COUNTBLANK(metadata!B71:D71)=COLUMNS(metadata!B71:D71)</f>
        <v>1</v>
      </c>
      <c r="M71" t="str">
        <v/>
      </c>
      <c r="O71" t="b">
        <f ca="1"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P71" t="b">
        <f>AND(IF(metadata!C71="",FALSE,TRUE),EXACT(metadata!C71,"mouse gut metagenome"))</f>
        <v>0</v>
      </c>
      <c r="Q71" t="b">
        <f>AND(IF(metadata!D71="",FALSE,TRUE),EXACT(metadata!D71,"410661"))</f>
        <v>0</v>
      </c>
    </row>
    <row r="72" spans="1:17" x14ac:dyDescent="0.2">
      <c r="A72" s="4" t="str">
        <f ca="1">IF(B72=" "," ",HYPERLINK(CONCATENATE("#metadata!",ADDRESS(INDEX($J$2:$J$1001,MATCH(ROWS($H$2:H72),$H$2:$H$1001,0),0),1)),INDEX($M$2:$M$1001,MATCH(ROWS($H$2:H72),$H$2:$H$1001,0),0)))</f>
        <v xml:space="preserve"> </v>
      </c>
      <c r="B72" s="3" t="str">
        <f ca="1">IF(OR(INDEX($I$2:$I$1001,MATCH(ROWS($H$2:H72),$H$2:$H$1001,0),1)&gt;=100000,INDEX($O$1005:$Q$1005,1,MATCH(COLUMNS($O$1006:O1006),$O$1006:$Q$1006,0))&gt;=100000), " ",IF(INDEX($O$2:$Q$1001,MATCH(ROWS($H$2:H72),$H$2:$H$1001,0),MATCH(COLUMNS($O$1006:O1006),$O$1006:$Q$1006,0)), HYPERLINK("#",""), HYPERLINK(CONCATENATE("#metadata!", ADDRESS(INDEX($J$2:$J$1001,MATCH(ROWS($H$2:H72),$H$2:$H$1001,0),0), INDEX($O$1004:$Q$1004,1,MATCH(COLUMNS($O$1006:O1006),$O$1006:$Q$1006,0)))),"Fix")))</f>
        <v xml:space="preserve"> </v>
      </c>
      <c r="C72" s="3" t="str">
        <f ca="1">IF(OR(INDEX($I$2:$I$1001,MATCH(ROWS($H$2:H72),$H$2:$H$1001,0),1)&gt;=100000,INDEX($O$1005:$Q$1005,1,MATCH(COLUMNS($O$1006:P1006),$O$1006:$Q$1006,0))&gt;=100000), " ",IF(INDEX($O$2:$Q$1001,MATCH(ROWS($H$2:H72),$H$2:$H$1001,0),MATCH(COLUMNS($O$1006:P1006),$O$1006:$Q$1006,0)), HYPERLINK("#",""), HYPERLINK(CONCATENATE("#metadata!", ADDRESS(INDEX($J$2:$J$1001,MATCH(ROWS($H$2:H72),$H$2:$H$1001,0),0), INDEX($O$1004:$Q$1004,1,MATCH(COLUMNS($O$1006:P1006),$O$1006:$Q$1006,0)))),"Fix")))</f>
        <v xml:space="preserve"> </v>
      </c>
      <c r="D72" s="3" t="str">
        <f ca="1">IF(OR(INDEX($I$2:$I$1001,MATCH(ROWS($H$2:H72),$H$2:$H$1001,0),1)&gt;=100000,INDEX($O$1005:$Q$1005,1,MATCH(COLUMNS($O$1006:Q1006),$O$1006:$Q$1006,0))&gt;=100000), " ",IF(INDEX($O$2:$Q$1001,MATCH(ROWS($H$2:H72),$H$2:$H$1001,0),MATCH(COLUMNS($O$1006:Q1006),$O$1006:$Q$1006,0)), HYPERLINK("#",""), HYPERLINK(CONCATENATE("#metadata!", ADDRESS(INDEX($J$2:$J$1001,MATCH(ROWS($H$2:H72),$H$2:$H$1001,0),0), INDEX($O$1004:$Q$1004,1,MATCH(COLUMNS($O$1006:Q1006),$O$1006:$Q$1006,0)))),"Fix")))</f>
        <v xml:space="preserve"> </v>
      </c>
      <c r="H72">
        <v>71</v>
      </c>
      <c r="I72">
        <v>100072</v>
      </c>
      <c r="J72">
        <v>72</v>
      </c>
      <c r="K72" t="b">
        <f t="shared" si="1"/>
        <v>1</v>
      </c>
      <c r="L72" t="b">
        <f>COUNTBLANK(metadata!B72:D72)=COLUMNS(metadata!B72:D72)</f>
        <v>1</v>
      </c>
      <c r="M72" t="str">
        <v/>
      </c>
      <c r="O72" t="b">
        <f ca="1"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P72" t="b">
        <f>AND(IF(metadata!C72="",FALSE,TRUE),EXACT(metadata!C72,"mouse gut metagenome"))</f>
        <v>0</v>
      </c>
      <c r="Q72" t="b">
        <f>AND(IF(metadata!D72="",FALSE,TRUE),EXACT(metadata!D72,"410661"))</f>
        <v>0</v>
      </c>
    </row>
    <row r="73" spans="1:17" x14ac:dyDescent="0.2">
      <c r="A73" s="4" t="str">
        <f ca="1">IF(B73=" "," ",HYPERLINK(CONCATENATE("#metadata!",ADDRESS(INDEX($J$2:$J$1001,MATCH(ROWS($H$2:H73),$H$2:$H$1001,0),0),1)),INDEX($M$2:$M$1001,MATCH(ROWS($H$2:H73),$H$2:$H$1001,0),0)))</f>
        <v xml:space="preserve"> </v>
      </c>
      <c r="B73" s="3" t="str">
        <f ca="1">IF(OR(INDEX($I$2:$I$1001,MATCH(ROWS($H$2:H73),$H$2:$H$1001,0),1)&gt;=100000,INDEX($O$1005:$Q$1005,1,MATCH(COLUMNS($O$1006:O1006),$O$1006:$Q$1006,0))&gt;=100000), " ",IF(INDEX($O$2:$Q$1001,MATCH(ROWS($H$2:H73),$H$2:$H$1001,0),MATCH(COLUMNS($O$1006:O1006),$O$1006:$Q$1006,0)), HYPERLINK("#",""), HYPERLINK(CONCATENATE("#metadata!", ADDRESS(INDEX($J$2:$J$1001,MATCH(ROWS($H$2:H73),$H$2:$H$1001,0),0), INDEX($O$1004:$Q$1004,1,MATCH(COLUMNS($O$1006:O1006),$O$1006:$Q$1006,0)))),"Fix")))</f>
        <v xml:space="preserve"> </v>
      </c>
      <c r="C73" s="3" t="str">
        <f ca="1">IF(OR(INDEX($I$2:$I$1001,MATCH(ROWS($H$2:H73),$H$2:$H$1001,0),1)&gt;=100000,INDEX($O$1005:$Q$1005,1,MATCH(COLUMNS($O$1006:P1006),$O$1006:$Q$1006,0))&gt;=100000), " ",IF(INDEX($O$2:$Q$1001,MATCH(ROWS($H$2:H73),$H$2:$H$1001,0),MATCH(COLUMNS($O$1006:P1006),$O$1006:$Q$1006,0)), HYPERLINK("#",""), HYPERLINK(CONCATENATE("#metadata!", ADDRESS(INDEX($J$2:$J$1001,MATCH(ROWS($H$2:H73),$H$2:$H$1001,0),0), INDEX($O$1004:$Q$1004,1,MATCH(COLUMNS($O$1006:P1006),$O$1006:$Q$1006,0)))),"Fix")))</f>
        <v xml:space="preserve"> </v>
      </c>
      <c r="D73" s="3" t="str">
        <f ca="1">IF(OR(INDEX($I$2:$I$1001,MATCH(ROWS($H$2:H73),$H$2:$H$1001,0),1)&gt;=100000,INDEX($O$1005:$Q$1005,1,MATCH(COLUMNS($O$1006:Q1006),$O$1006:$Q$1006,0))&gt;=100000), " ",IF(INDEX($O$2:$Q$1001,MATCH(ROWS($H$2:H73),$H$2:$H$1001,0),MATCH(COLUMNS($O$1006:Q1006),$O$1006:$Q$1006,0)), HYPERLINK("#",""), HYPERLINK(CONCATENATE("#metadata!", ADDRESS(INDEX($J$2:$J$1001,MATCH(ROWS($H$2:H73),$H$2:$H$1001,0),0), INDEX($O$1004:$Q$1004,1,MATCH(COLUMNS($O$1006:Q1006),$O$1006:$Q$1006,0)))),"Fix")))</f>
        <v xml:space="preserve"> </v>
      </c>
      <c r="H73">
        <v>72</v>
      </c>
      <c r="I73">
        <v>100073</v>
      </c>
      <c r="J73">
        <v>73</v>
      </c>
      <c r="K73" t="b">
        <f t="shared" si="1"/>
        <v>1</v>
      </c>
      <c r="L73" t="b">
        <f>COUNTBLANK(metadata!B73:D73)=COLUMNS(metadata!B73:D73)</f>
        <v>1</v>
      </c>
      <c r="M73" t="str">
        <v/>
      </c>
      <c r="O73" t="b">
        <f ca="1"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P73" t="b">
        <f>AND(IF(metadata!C73="",FALSE,TRUE),EXACT(metadata!C73,"mouse gut metagenome"))</f>
        <v>0</v>
      </c>
      <c r="Q73" t="b">
        <f>AND(IF(metadata!D73="",FALSE,TRUE),EXACT(metadata!D73,"410661"))</f>
        <v>0</v>
      </c>
    </row>
    <row r="74" spans="1:17" x14ac:dyDescent="0.2">
      <c r="A74" s="4" t="str">
        <f ca="1">IF(B74=" "," ",HYPERLINK(CONCATENATE("#metadata!",ADDRESS(INDEX($J$2:$J$1001,MATCH(ROWS($H$2:H74),$H$2:$H$1001,0),0),1)),INDEX($M$2:$M$1001,MATCH(ROWS($H$2:H74),$H$2:$H$1001,0),0)))</f>
        <v xml:space="preserve"> </v>
      </c>
      <c r="B74" s="3" t="str">
        <f ca="1">IF(OR(INDEX($I$2:$I$1001,MATCH(ROWS($H$2:H74),$H$2:$H$1001,0),1)&gt;=100000,INDEX($O$1005:$Q$1005,1,MATCH(COLUMNS($O$1006:O1006),$O$1006:$Q$1006,0))&gt;=100000), " ",IF(INDEX($O$2:$Q$1001,MATCH(ROWS($H$2:H74),$H$2:$H$1001,0),MATCH(COLUMNS($O$1006:O1006),$O$1006:$Q$1006,0)), HYPERLINK("#",""), HYPERLINK(CONCATENATE("#metadata!", ADDRESS(INDEX($J$2:$J$1001,MATCH(ROWS($H$2:H74),$H$2:$H$1001,0),0), INDEX($O$1004:$Q$1004,1,MATCH(COLUMNS($O$1006:O1006),$O$1006:$Q$1006,0)))),"Fix")))</f>
        <v xml:space="preserve"> </v>
      </c>
      <c r="C74" s="3" t="str">
        <f ca="1">IF(OR(INDEX($I$2:$I$1001,MATCH(ROWS($H$2:H74),$H$2:$H$1001,0),1)&gt;=100000,INDEX($O$1005:$Q$1005,1,MATCH(COLUMNS($O$1006:P1006),$O$1006:$Q$1006,0))&gt;=100000), " ",IF(INDEX($O$2:$Q$1001,MATCH(ROWS($H$2:H74),$H$2:$H$1001,0),MATCH(COLUMNS($O$1006:P1006),$O$1006:$Q$1006,0)), HYPERLINK("#",""), HYPERLINK(CONCATENATE("#metadata!", ADDRESS(INDEX($J$2:$J$1001,MATCH(ROWS($H$2:H74),$H$2:$H$1001,0),0), INDEX($O$1004:$Q$1004,1,MATCH(COLUMNS($O$1006:P1006),$O$1006:$Q$1006,0)))),"Fix")))</f>
        <v xml:space="preserve"> </v>
      </c>
      <c r="D74" s="3" t="str">
        <f ca="1">IF(OR(INDEX($I$2:$I$1001,MATCH(ROWS($H$2:H74),$H$2:$H$1001,0),1)&gt;=100000,INDEX($O$1005:$Q$1005,1,MATCH(COLUMNS($O$1006:Q1006),$O$1006:$Q$1006,0))&gt;=100000), " ",IF(INDEX($O$2:$Q$1001,MATCH(ROWS($H$2:H74),$H$2:$H$1001,0),MATCH(COLUMNS($O$1006:Q1006),$O$1006:$Q$1006,0)), HYPERLINK("#",""), HYPERLINK(CONCATENATE("#metadata!", ADDRESS(INDEX($J$2:$J$1001,MATCH(ROWS($H$2:H74),$H$2:$H$1001,0),0), INDEX($O$1004:$Q$1004,1,MATCH(COLUMNS($O$1006:Q1006),$O$1006:$Q$1006,0)))),"Fix")))</f>
        <v xml:space="preserve"> </v>
      </c>
      <c r="H74">
        <v>73</v>
      </c>
      <c r="I74">
        <v>100074</v>
      </c>
      <c r="J74">
        <v>74</v>
      </c>
      <c r="K74" t="b">
        <f t="shared" si="1"/>
        <v>1</v>
      </c>
      <c r="L74" t="b">
        <f>COUNTBLANK(metadata!B74:D74)=COLUMNS(metadata!B74:D74)</f>
        <v>1</v>
      </c>
      <c r="M74" t="str">
        <v/>
      </c>
      <c r="O74" t="b">
        <f ca="1"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P74" t="b">
        <f>AND(IF(metadata!C74="",FALSE,TRUE),EXACT(metadata!C74,"mouse gut metagenome"))</f>
        <v>0</v>
      </c>
      <c r="Q74" t="b">
        <f>AND(IF(metadata!D74="",FALSE,TRUE),EXACT(metadata!D74,"410661"))</f>
        <v>0</v>
      </c>
    </row>
    <row r="75" spans="1:17" x14ac:dyDescent="0.2">
      <c r="A75" s="4" t="str">
        <f ca="1">IF(B75=" "," ",HYPERLINK(CONCATENATE("#metadata!",ADDRESS(INDEX($J$2:$J$1001,MATCH(ROWS($H$2:H75),$H$2:$H$1001,0),0),1)),INDEX($M$2:$M$1001,MATCH(ROWS($H$2:H75),$H$2:$H$1001,0),0)))</f>
        <v xml:space="preserve"> </v>
      </c>
      <c r="B75" s="3" t="str">
        <f ca="1">IF(OR(INDEX($I$2:$I$1001,MATCH(ROWS($H$2:H75),$H$2:$H$1001,0),1)&gt;=100000,INDEX($O$1005:$Q$1005,1,MATCH(COLUMNS($O$1006:O1006),$O$1006:$Q$1006,0))&gt;=100000), " ",IF(INDEX($O$2:$Q$1001,MATCH(ROWS($H$2:H75),$H$2:$H$1001,0),MATCH(COLUMNS($O$1006:O1006),$O$1006:$Q$1006,0)), HYPERLINK("#",""), HYPERLINK(CONCATENATE("#metadata!", ADDRESS(INDEX($J$2:$J$1001,MATCH(ROWS($H$2:H75),$H$2:$H$1001,0),0), INDEX($O$1004:$Q$1004,1,MATCH(COLUMNS($O$1006:O1006),$O$1006:$Q$1006,0)))),"Fix")))</f>
        <v xml:space="preserve"> </v>
      </c>
      <c r="C75" s="3" t="str">
        <f ca="1">IF(OR(INDEX($I$2:$I$1001,MATCH(ROWS($H$2:H75),$H$2:$H$1001,0),1)&gt;=100000,INDEX($O$1005:$Q$1005,1,MATCH(COLUMNS($O$1006:P1006),$O$1006:$Q$1006,0))&gt;=100000), " ",IF(INDEX($O$2:$Q$1001,MATCH(ROWS($H$2:H75),$H$2:$H$1001,0),MATCH(COLUMNS($O$1006:P1006),$O$1006:$Q$1006,0)), HYPERLINK("#",""), HYPERLINK(CONCATENATE("#metadata!", ADDRESS(INDEX($J$2:$J$1001,MATCH(ROWS($H$2:H75),$H$2:$H$1001,0),0), INDEX($O$1004:$Q$1004,1,MATCH(COLUMNS($O$1006:P1006),$O$1006:$Q$1006,0)))),"Fix")))</f>
        <v xml:space="preserve"> </v>
      </c>
      <c r="D75" s="3" t="str">
        <f ca="1">IF(OR(INDEX($I$2:$I$1001,MATCH(ROWS($H$2:H75),$H$2:$H$1001,0),1)&gt;=100000,INDEX($O$1005:$Q$1005,1,MATCH(COLUMNS($O$1006:Q1006),$O$1006:$Q$1006,0))&gt;=100000), " ",IF(INDEX($O$2:$Q$1001,MATCH(ROWS($H$2:H75),$H$2:$H$1001,0),MATCH(COLUMNS($O$1006:Q1006),$O$1006:$Q$1006,0)), HYPERLINK("#",""), HYPERLINK(CONCATENATE("#metadata!", ADDRESS(INDEX($J$2:$J$1001,MATCH(ROWS($H$2:H75),$H$2:$H$1001,0),0), INDEX($O$1004:$Q$1004,1,MATCH(COLUMNS($O$1006:Q1006),$O$1006:$Q$1006,0)))),"Fix")))</f>
        <v xml:space="preserve"> </v>
      </c>
      <c r="H75">
        <v>74</v>
      </c>
      <c r="I75">
        <v>100075</v>
      </c>
      <c r="J75">
        <v>75</v>
      </c>
      <c r="K75" t="b">
        <f t="shared" si="1"/>
        <v>1</v>
      </c>
      <c r="L75" t="b">
        <f>COUNTBLANK(metadata!B75:D75)=COLUMNS(metadata!B75:D75)</f>
        <v>1</v>
      </c>
      <c r="M75" t="str">
        <v/>
      </c>
      <c r="O75" t="b">
        <f ca="1"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P75" t="b">
        <f>AND(IF(metadata!C75="",FALSE,TRUE),EXACT(metadata!C75,"mouse gut metagenome"))</f>
        <v>0</v>
      </c>
      <c r="Q75" t="b">
        <f>AND(IF(metadata!D75="",FALSE,TRUE),EXACT(metadata!D75,"410661"))</f>
        <v>0</v>
      </c>
    </row>
    <row r="76" spans="1:17" x14ac:dyDescent="0.2">
      <c r="A76" s="4" t="str">
        <f ca="1">IF(B76=" "," ",HYPERLINK(CONCATENATE("#metadata!",ADDRESS(INDEX($J$2:$J$1001,MATCH(ROWS($H$2:H76),$H$2:$H$1001,0),0),1)),INDEX($M$2:$M$1001,MATCH(ROWS($H$2:H76),$H$2:$H$1001,0),0)))</f>
        <v xml:space="preserve"> </v>
      </c>
      <c r="B76" s="3" t="str">
        <f ca="1">IF(OR(INDEX($I$2:$I$1001,MATCH(ROWS($H$2:H76),$H$2:$H$1001,0),1)&gt;=100000,INDEX($O$1005:$Q$1005,1,MATCH(COLUMNS($O$1006:O1006),$O$1006:$Q$1006,0))&gt;=100000), " ",IF(INDEX($O$2:$Q$1001,MATCH(ROWS($H$2:H76),$H$2:$H$1001,0),MATCH(COLUMNS($O$1006:O1006),$O$1006:$Q$1006,0)), HYPERLINK("#",""), HYPERLINK(CONCATENATE("#metadata!", ADDRESS(INDEX($J$2:$J$1001,MATCH(ROWS($H$2:H76),$H$2:$H$1001,0),0), INDEX($O$1004:$Q$1004,1,MATCH(COLUMNS($O$1006:O1006),$O$1006:$Q$1006,0)))),"Fix")))</f>
        <v xml:space="preserve"> </v>
      </c>
      <c r="C76" s="3" t="str">
        <f ca="1">IF(OR(INDEX($I$2:$I$1001,MATCH(ROWS($H$2:H76),$H$2:$H$1001,0),1)&gt;=100000,INDEX($O$1005:$Q$1005,1,MATCH(COLUMNS($O$1006:P1006),$O$1006:$Q$1006,0))&gt;=100000), " ",IF(INDEX($O$2:$Q$1001,MATCH(ROWS($H$2:H76),$H$2:$H$1001,0),MATCH(COLUMNS($O$1006:P1006),$O$1006:$Q$1006,0)), HYPERLINK("#",""), HYPERLINK(CONCATENATE("#metadata!", ADDRESS(INDEX($J$2:$J$1001,MATCH(ROWS($H$2:H76),$H$2:$H$1001,0),0), INDEX($O$1004:$Q$1004,1,MATCH(COLUMNS($O$1006:P1006),$O$1006:$Q$1006,0)))),"Fix")))</f>
        <v xml:space="preserve"> </v>
      </c>
      <c r="D76" s="3" t="str">
        <f ca="1">IF(OR(INDEX($I$2:$I$1001,MATCH(ROWS($H$2:H76),$H$2:$H$1001,0),1)&gt;=100000,INDEX($O$1005:$Q$1005,1,MATCH(COLUMNS($O$1006:Q1006),$O$1006:$Q$1006,0))&gt;=100000), " ",IF(INDEX($O$2:$Q$1001,MATCH(ROWS($H$2:H76),$H$2:$H$1001,0),MATCH(COLUMNS($O$1006:Q1006),$O$1006:$Q$1006,0)), HYPERLINK("#",""), HYPERLINK(CONCATENATE("#metadata!", ADDRESS(INDEX($J$2:$J$1001,MATCH(ROWS($H$2:H76),$H$2:$H$1001,0),0), INDEX($O$1004:$Q$1004,1,MATCH(COLUMNS($O$1006:Q1006),$O$1006:$Q$1006,0)))),"Fix")))</f>
        <v xml:space="preserve"> </v>
      </c>
      <c r="H76">
        <v>75</v>
      </c>
      <c r="I76">
        <v>100076</v>
      </c>
      <c r="J76">
        <v>76</v>
      </c>
      <c r="K76" t="b">
        <f t="shared" si="1"/>
        <v>1</v>
      </c>
      <c r="L76" t="b">
        <f>COUNTBLANK(metadata!B76:D76)=COLUMNS(metadata!B76:D76)</f>
        <v>1</v>
      </c>
      <c r="M76" t="str">
        <v/>
      </c>
      <c r="O76" t="b">
        <f ca="1"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P76" t="b">
        <f>AND(IF(metadata!C76="",FALSE,TRUE),EXACT(metadata!C76,"mouse gut metagenome"))</f>
        <v>0</v>
      </c>
      <c r="Q76" t="b">
        <f>AND(IF(metadata!D76="",FALSE,TRUE),EXACT(metadata!D76,"410661"))</f>
        <v>0</v>
      </c>
    </row>
    <row r="77" spans="1:17" x14ac:dyDescent="0.2">
      <c r="A77" s="4" t="str">
        <f ca="1">IF(B77=" "," ",HYPERLINK(CONCATENATE("#metadata!",ADDRESS(INDEX($J$2:$J$1001,MATCH(ROWS($H$2:H77),$H$2:$H$1001,0),0),1)),INDEX($M$2:$M$1001,MATCH(ROWS($H$2:H77),$H$2:$H$1001,0),0)))</f>
        <v xml:space="preserve"> </v>
      </c>
      <c r="B77" s="3" t="str">
        <f ca="1">IF(OR(INDEX($I$2:$I$1001,MATCH(ROWS($H$2:H77),$H$2:$H$1001,0),1)&gt;=100000,INDEX($O$1005:$Q$1005,1,MATCH(COLUMNS($O$1006:O1006),$O$1006:$Q$1006,0))&gt;=100000), " ",IF(INDEX($O$2:$Q$1001,MATCH(ROWS($H$2:H77),$H$2:$H$1001,0),MATCH(COLUMNS($O$1006:O1006),$O$1006:$Q$1006,0)), HYPERLINK("#",""), HYPERLINK(CONCATENATE("#metadata!", ADDRESS(INDEX($J$2:$J$1001,MATCH(ROWS($H$2:H77),$H$2:$H$1001,0),0), INDEX($O$1004:$Q$1004,1,MATCH(COLUMNS($O$1006:O1006),$O$1006:$Q$1006,0)))),"Fix")))</f>
        <v xml:space="preserve"> </v>
      </c>
      <c r="C77" s="3" t="str">
        <f ca="1">IF(OR(INDEX($I$2:$I$1001,MATCH(ROWS($H$2:H77),$H$2:$H$1001,0),1)&gt;=100000,INDEX($O$1005:$Q$1005,1,MATCH(COLUMNS($O$1006:P1006),$O$1006:$Q$1006,0))&gt;=100000), " ",IF(INDEX($O$2:$Q$1001,MATCH(ROWS($H$2:H77),$H$2:$H$1001,0),MATCH(COLUMNS($O$1006:P1006),$O$1006:$Q$1006,0)), HYPERLINK("#",""), HYPERLINK(CONCATENATE("#metadata!", ADDRESS(INDEX($J$2:$J$1001,MATCH(ROWS($H$2:H77),$H$2:$H$1001,0),0), INDEX($O$1004:$Q$1004,1,MATCH(COLUMNS($O$1006:P1006),$O$1006:$Q$1006,0)))),"Fix")))</f>
        <v xml:space="preserve"> </v>
      </c>
      <c r="D77" s="3" t="str">
        <f ca="1">IF(OR(INDEX($I$2:$I$1001,MATCH(ROWS($H$2:H77),$H$2:$H$1001,0),1)&gt;=100000,INDEX($O$1005:$Q$1005,1,MATCH(COLUMNS($O$1006:Q1006),$O$1006:$Q$1006,0))&gt;=100000), " ",IF(INDEX($O$2:$Q$1001,MATCH(ROWS($H$2:H77),$H$2:$H$1001,0),MATCH(COLUMNS($O$1006:Q1006),$O$1006:$Q$1006,0)), HYPERLINK("#",""), HYPERLINK(CONCATENATE("#metadata!", ADDRESS(INDEX($J$2:$J$1001,MATCH(ROWS($H$2:H77),$H$2:$H$1001,0),0), INDEX($O$1004:$Q$1004,1,MATCH(COLUMNS($O$1006:Q1006),$O$1006:$Q$1006,0)))),"Fix")))</f>
        <v xml:space="preserve"> </v>
      </c>
      <c r="H77">
        <v>76</v>
      </c>
      <c r="I77">
        <v>100077</v>
      </c>
      <c r="J77">
        <v>77</v>
      </c>
      <c r="K77" t="b">
        <f t="shared" si="1"/>
        <v>1</v>
      </c>
      <c r="L77" t="b">
        <f>COUNTBLANK(metadata!B77:D77)=COLUMNS(metadata!B77:D77)</f>
        <v>1</v>
      </c>
      <c r="M77" t="str">
        <v/>
      </c>
      <c r="O77" t="b">
        <f ca="1"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P77" t="b">
        <f>AND(IF(metadata!C77="",FALSE,TRUE),EXACT(metadata!C77,"mouse gut metagenome"))</f>
        <v>0</v>
      </c>
      <c r="Q77" t="b">
        <f>AND(IF(metadata!D77="",FALSE,TRUE),EXACT(metadata!D77,"410661"))</f>
        <v>0</v>
      </c>
    </row>
    <row r="78" spans="1:17" x14ac:dyDescent="0.2">
      <c r="A78" s="4" t="str">
        <f ca="1">IF(B78=" "," ",HYPERLINK(CONCATENATE("#metadata!",ADDRESS(INDEX($J$2:$J$1001,MATCH(ROWS($H$2:H78),$H$2:$H$1001,0),0),1)),INDEX($M$2:$M$1001,MATCH(ROWS($H$2:H78),$H$2:$H$1001,0),0)))</f>
        <v xml:space="preserve"> </v>
      </c>
      <c r="B78" s="3" t="str">
        <f ca="1">IF(OR(INDEX($I$2:$I$1001,MATCH(ROWS($H$2:H78),$H$2:$H$1001,0),1)&gt;=100000,INDEX($O$1005:$Q$1005,1,MATCH(COLUMNS($O$1006:O1006),$O$1006:$Q$1006,0))&gt;=100000), " ",IF(INDEX($O$2:$Q$1001,MATCH(ROWS($H$2:H78),$H$2:$H$1001,0),MATCH(COLUMNS($O$1006:O1006),$O$1006:$Q$1006,0)), HYPERLINK("#",""), HYPERLINK(CONCATENATE("#metadata!", ADDRESS(INDEX($J$2:$J$1001,MATCH(ROWS($H$2:H78),$H$2:$H$1001,0),0), INDEX($O$1004:$Q$1004,1,MATCH(COLUMNS($O$1006:O1006),$O$1006:$Q$1006,0)))),"Fix")))</f>
        <v xml:space="preserve"> </v>
      </c>
      <c r="C78" s="3" t="str">
        <f ca="1">IF(OR(INDEX($I$2:$I$1001,MATCH(ROWS($H$2:H78),$H$2:$H$1001,0),1)&gt;=100000,INDEX($O$1005:$Q$1005,1,MATCH(COLUMNS($O$1006:P1006),$O$1006:$Q$1006,0))&gt;=100000), " ",IF(INDEX($O$2:$Q$1001,MATCH(ROWS($H$2:H78),$H$2:$H$1001,0),MATCH(COLUMNS($O$1006:P1006),$O$1006:$Q$1006,0)), HYPERLINK("#",""), HYPERLINK(CONCATENATE("#metadata!", ADDRESS(INDEX($J$2:$J$1001,MATCH(ROWS($H$2:H78),$H$2:$H$1001,0),0), INDEX($O$1004:$Q$1004,1,MATCH(COLUMNS($O$1006:P1006),$O$1006:$Q$1006,0)))),"Fix")))</f>
        <v xml:space="preserve"> </v>
      </c>
      <c r="D78" s="3" t="str">
        <f ca="1">IF(OR(INDEX($I$2:$I$1001,MATCH(ROWS($H$2:H78),$H$2:$H$1001,0),1)&gt;=100000,INDEX($O$1005:$Q$1005,1,MATCH(COLUMNS($O$1006:Q1006),$O$1006:$Q$1006,0))&gt;=100000), " ",IF(INDEX($O$2:$Q$1001,MATCH(ROWS($H$2:H78),$H$2:$H$1001,0),MATCH(COLUMNS($O$1006:Q1006),$O$1006:$Q$1006,0)), HYPERLINK("#",""), HYPERLINK(CONCATENATE("#metadata!", ADDRESS(INDEX($J$2:$J$1001,MATCH(ROWS($H$2:H78),$H$2:$H$1001,0),0), INDEX($O$1004:$Q$1004,1,MATCH(COLUMNS($O$1006:Q1006),$O$1006:$Q$1006,0)))),"Fix")))</f>
        <v xml:space="preserve"> </v>
      </c>
      <c r="H78">
        <v>77</v>
      </c>
      <c r="I78">
        <v>100078</v>
      </c>
      <c r="J78">
        <v>78</v>
      </c>
      <c r="K78" t="b">
        <f t="shared" si="1"/>
        <v>1</v>
      </c>
      <c r="L78" t="b">
        <f>COUNTBLANK(metadata!B78:D78)=COLUMNS(metadata!B78:D78)</f>
        <v>1</v>
      </c>
      <c r="M78" t="str">
        <v/>
      </c>
      <c r="O78" t="b">
        <f ca="1"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P78" t="b">
        <f>AND(IF(metadata!C78="",FALSE,TRUE),EXACT(metadata!C78,"mouse gut metagenome"))</f>
        <v>0</v>
      </c>
      <c r="Q78" t="b">
        <f>AND(IF(metadata!D78="",FALSE,TRUE),EXACT(metadata!D78,"410661"))</f>
        <v>0</v>
      </c>
    </row>
    <row r="79" spans="1:17" x14ac:dyDescent="0.2">
      <c r="A79" s="4" t="str">
        <f ca="1">IF(B79=" "," ",HYPERLINK(CONCATENATE("#metadata!",ADDRESS(INDEX($J$2:$J$1001,MATCH(ROWS($H$2:H79),$H$2:$H$1001,0),0),1)),INDEX($M$2:$M$1001,MATCH(ROWS($H$2:H79),$H$2:$H$1001,0),0)))</f>
        <v xml:space="preserve"> </v>
      </c>
      <c r="B79" s="3" t="str">
        <f ca="1">IF(OR(INDEX($I$2:$I$1001,MATCH(ROWS($H$2:H79),$H$2:$H$1001,0),1)&gt;=100000,INDEX($O$1005:$Q$1005,1,MATCH(COLUMNS($O$1006:O1006),$O$1006:$Q$1006,0))&gt;=100000), " ",IF(INDEX($O$2:$Q$1001,MATCH(ROWS($H$2:H79),$H$2:$H$1001,0),MATCH(COLUMNS($O$1006:O1006),$O$1006:$Q$1006,0)), HYPERLINK("#",""), HYPERLINK(CONCATENATE("#metadata!", ADDRESS(INDEX($J$2:$J$1001,MATCH(ROWS($H$2:H79),$H$2:$H$1001,0),0), INDEX($O$1004:$Q$1004,1,MATCH(COLUMNS($O$1006:O1006),$O$1006:$Q$1006,0)))),"Fix")))</f>
        <v xml:space="preserve"> </v>
      </c>
      <c r="C79" s="3" t="str">
        <f ca="1">IF(OR(INDEX($I$2:$I$1001,MATCH(ROWS($H$2:H79),$H$2:$H$1001,0),1)&gt;=100000,INDEX($O$1005:$Q$1005,1,MATCH(COLUMNS($O$1006:P1006),$O$1006:$Q$1006,0))&gt;=100000), " ",IF(INDEX($O$2:$Q$1001,MATCH(ROWS($H$2:H79),$H$2:$H$1001,0),MATCH(COLUMNS($O$1006:P1006),$O$1006:$Q$1006,0)), HYPERLINK("#",""), HYPERLINK(CONCATENATE("#metadata!", ADDRESS(INDEX($J$2:$J$1001,MATCH(ROWS($H$2:H79),$H$2:$H$1001,0),0), INDEX($O$1004:$Q$1004,1,MATCH(COLUMNS($O$1006:P1006),$O$1006:$Q$1006,0)))),"Fix")))</f>
        <v xml:space="preserve"> </v>
      </c>
      <c r="D79" s="3" t="str">
        <f ca="1">IF(OR(INDEX($I$2:$I$1001,MATCH(ROWS($H$2:H79),$H$2:$H$1001,0),1)&gt;=100000,INDEX($O$1005:$Q$1005,1,MATCH(COLUMNS($O$1006:Q1006),$O$1006:$Q$1006,0))&gt;=100000), " ",IF(INDEX($O$2:$Q$1001,MATCH(ROWS($H$2:H79),$H$2:$H$1001,0),MATCH(COLUMNS($O$1006:Q1006),$O$1006:$Q$1006,0)), HYPERLINK("#",""), HYPERLINK(CONCATENATE("#metadata!", ADDRESS(INDEX($J$2:$J$1001,MATCH(ROWS($H$2:H79),$H$2:$H$1001,0),0), INDEX($O$1004:$Q$1004,1,MATCH(COLUMNS($O$1006:Q1006),$O$1006:$Q$1006,0)))),"Fix")))</f>
        <v xml:space="preserve"> </v>
      </c>
      <c r="H79">
        <v>78</v>
      </c>
      <c r="I79">
        <v>100079</v>
      </c>
      <c r="J79">
        <v>79</v>
      </c>
      <c r="K79" t="b">
        <f t="shared" si="1"/>
        <v>1</v>
      </c>
      <c r="L79" t="b">
        <f>COUNTBLANK(metadata!B79:D79)=COLUMNS(metadata!B79:D79)</f>
        <v>1</v>
      </c>
      <c r="M79" t="str">
        <v/>
      </c>
      <c r="O79" t="b">
        <f ca="1"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P79" t="b">
        <f>AND(IF(metadata!C79="",FALSE,TRUE),EXACT(metadata!C79,"mouse gut metagenome"))</f>
        <v>0</v>
      </c>
      <c r="Q79" t="b">
        <f>AND(IF(metadata!D79="",FALSE,TRUE),EXACT(metadata!D79,"410661"))</f>
        <v>0</v>
      </c>
    </row>
    <row r="80" spans="1:17" x14ac:dyDescent="0.2">
      <c r="A80" s="4" t="str">
        <f ca="1">IF(B80=" "," ",HYPERLINK(CONCATENATE("#metadata!",ADDRESS(INDEX($J$2:$J$1001,MATCH(ROWS($H$2:H80),$H$2:$H$1001,0),0),1)),INDEX($M$2:$M$1001,MATCH(ROWS($H$2:H80),$H$2:$H$1001,0),0)))</f>
        <v xml:space="preserve"> </v>
      </c>
      <c r="B80" s="3" t="str">
        <f ca="1">IF(OR(INDEX($I$2:$I$1001,MATCH(ROWS($H$2:H80),$H$2:$H$1001,0),1)&gt;=100000,INDEX($O$1005:$Q$1005,1,MATCH(COLUMNS($O$1006:O1006),$O$1006:$Q$1006,0))&gt;=100000), " ",IF(INDEX($O$2:$Q$1001,MATCH(ROWS($H$2:H80),$H$2:$H$1001,0),MATCH(COLUMNS($O$1006:O1006),$O$1006:$Q$1006,0)), HYPERLINK("#",""), HYPERLINK(CONCATENATE("#metadata!", ADDRESS(INDEX($J$2:$J$1001,MATCH(ROWS($H$2:H80),$H$2:$H$1001,0),0), INDEX($O$1004:$Q$1004,1,MATCH(COLUMNS($O$1006:O1006),$O$1006:$Q$1006,0)))),"Fix")))</f>
        <v xml:space="preserve"> </v>
      </c>
      <c r="C80" s="3" t="str">
        <f ca="1">IF(OR(INDEX($I$2:$I$1001,MATCH(ROWS($H$2:H80),$H$2:$H$1001,0),1)&gt;=100000,INDEX($O$1005:$Q$1005,1,MATCH(COLUMNS($O$1006:P1006),$O$1006:$Q$1006,0))&gt;=100000), " ",IF(INDEX($O$2:$Q$1001,MATCH(ROWS($H$2:H80),$H$2:$H$1001,0),MATCH(COLUMNS($O$1006:P1006),$O$1006:$Q$1006,0)), HYPERLINK("#",""), HYPERLINK(CONCATENATE("#metadata!", ADDRESS(INDEX($J$2:$J$1001,MATCH(ROWS($H$2:H80),$H$2:$H$1001,0),0), INDEX($O$1004:$Q$1004,1,MATCH(COLUMNS($O$1006:P1006),$O$1006:$Q$1006,0)))),"Fix")))</f>
        <v xml:space="preserve"> </v>
      </c>
      <c r="D80" s="3" t="str">
        <f ca="1">IF(OR(INDEX($I$2:$I$1001,MATCH(ROWS($H$2:H80),$H$2:$H$1001,0),1)&gt;=100000,INDEX($O$1005:$Q$1005,1,MATCH(COLUMNS($O$1006:Q1006),$O$1006:$Q$1006,0))&gt;=100000), " ",IF(INDEX($O$2:$Q$1001,MATCH(ROWS($H$2:H80),$H$2:$H$1001,0),MATCH(COLUMNS($O$1006:Q1006),$O$1006:$Q$1006,0)), HYPERLINK("#",""), HYPERLINK(CONCATENATE("#metadata!", ADDRESS(INDEX($J$2:$J$1001,MATCH(ROWS($H$2:H80),$H$2:$H$1001,0),0), INDEX($O$1004:$Q$1004,1,MATCH(COLUMNS($O$1006:Q1006),$O$1006:$Q$1006,0)))),"Fix")))</f>
        <v xml:space="preserve"> </v>
      </c>
      <c r="H80">
        <v>79</v>
      </c>
      <c r="I80">
        <v>100080</v>
      </c>
      <c r="J80">
        <v>80</v>
      </c>
      <c r="K80" t="b">
        <f t="shared" si="1"/>
        <v>1</v>
      </c>
      <c r="L80" t="b">
        <f>COUNTBLANK(metadata!B80:D80)=COLUMNS(metadata!B80:D80)</f>
        <v>1</v>
      </c>
      <c r="M80" t="str">
        <v/>
      </c>
      <c r="O80" t="b">
        <f ca="1"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P80" t="b">
        <f>AND(IF(metadata!C80="",FALSE,TRUE),EXACT(metadata!C80,"mouse gut metagenome"))</f>
        <v>0</v>
      </c>
      <c r="Q80" t="b">
        <f>AND(IF(metadata!D80="",FALSE,TRUE),EXACT(metadata!D80,"410661"))</f>
        <v>0</v>
      </c>
    </row>
    <row r="81" spans="1:17" x14ac:dyDescent="0.2">
      <c r="A81" s="4" t="str">
        <f ca="1">IF(B81=" "," ",HYPERLINK(CONCATENATE("#metadata!",ADDRESS(INDEX($J$2:$J$1001,MATCH(ROWS($H$2:H81),$H$2:$H$1001,0),0),1)),INDEX($M$2:$M$1001,MATCH(ROWS($H$2:H81),$H$2:$H$1001,0),0)))</f>
        <v xml:space="preserve"> </v>
      </c>
      <c r="B81" s="3" t="str">
        <f ca="1">IF(OR(INDEX($I$2:$I$1001,MATCH(ROWS($H$2:H81),$H$2:$H$1001,0),1)&gt;=100000,INDEX($O$1005:$Q$1005,1,MATCH(COLUMNS($O$1006:O1006),$O$1006:$Q$1006,0))&gt;=100000), " ",IF(INDEX($O$2:$Q$1001,MATCH(ROWS($H$2:H81),$H$2:$H$1001,0),MATCH(COLUMNS($O$1006:O1006),$O$1006:$Q$1006,0)), HYPERLINK("#",""), HYPERLINK(CONCATENATE("#metadata!", ADDRESS(INDEX($J$2:$J$1001,MATCH(ROWS($H$2:H81),$H$2:$H$1001,0),0), INDEX($O$1004:$Q$1004,1,MATCH(COLUMNS($O$1006:O1006),$O$1006:$Q$1006,0)))),"Fix")))</f>
        <v xml:space="preserve"> </v>
      </c>
      <c r="C81" s="3" t="str">
        <f ca="1">IF(OR(INDEX($I$2:$I$1001,MATCH(ROWS($H$2:H81),$H$2:$H$1001,0),1)&gt;=100000,INDEX($O$1005:$Q$1005,1,MATCH(COLUMNS($O$1006:P1006),$O$1006:$Q$1006,0))&gt;=100000), " ",IF(INDEX($O$2:$Q$1001,MATCH(ROWS($H$2:H81),$H$2:$H$1001,0),MATCH(COLUMNS($O$1006:P1006),$O$1006:$Q$1006,0)), HYPERLINK("#",""), HYPERLINK(CONCATENATE("#metadata!", ADDRESS(INDEX($J$2:$J$1001,MATCH(ROWS($H$2:H81),$H$2:$H$1001,0),0), INDEX($O$1004:$Q$1004,1,MATCH(COLUMNS($O$1006:P1006),$O$1006:$Q$1006,0)))),"Fix")))</f>
        <v xml:space="preserve"> </v>
      </c>
      <c r="D81" s="3" t="str">
        <f ca="1">IF(OR(INDEX($I$2:$I$1001,MATCH(ROWS($H$2:H81),$H$2:$H$1001,0),1)&gt;=100000,INDEX($O$1005:$Q$1005,1,MATCH(COLUMNS($O$1006:Q1006),$O$1006:$Q$1006,0))&gt;=100000), " ",IF(INDEX($O$2:$Q$1001,MATCH(ROWS($H$2:H81),$H$2:$H$1001,0),MATCH(COLUMNS($O$1006:Q1006),$O$1006:$Q$1006,0)), HYPERLINK("#",""), HYPERLINK(CONCATENATE("#metadata!", ADDRESS(INDEX($J$2:$J$1001,MATCH(ROWS($H$2:H81),$H$2:$H$1001,0),0), INDEX($O$1004:$Q$1004,1,MATCH(COLUMNS($O$1006:Q1006),$O$1006:$Q$1006,0)))),"Fix")))</f>
        <v xml:space="preserve"> </v>
      </c>
      <c r="H81">
        <v>80</v>
      </c>
      <c r="I81">
        <v>100081</v>
      </c>
      <c r="J81">
        <v>81</v>
      </c>
      <c r="K81" t="b">
        <f t="shared" si="1"/>
        <v>1</v>
      </c>
      <c r="L81" t="b">
        <f>COUNTBLANK(metadata!B81:D81)=COLUMNS(metadata!B81:D81)</f>
        <v>1</v>
      </c>
      <c r="M81" t="str">
        <v/>
      </c>
      <c r="O81" t="b">
        <f ca="1"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P81" t="b">
        <f>AND(IF(metadata!C81="",FALSE,TRUE),EXACT(metadata!C81,"mouse gut metagenome"))</f>
        <v>0</v>
      </c>
      <c r="Q81" t="b">
        <f>AND(IF(metadata!D81="",FALSE,TRUE),EXACT(metadata!D81,"410661"))</f>
        <v>0</v>
      </c>
    </row>
    <row r="82" spans="1:17" x14ac:dyDescent="0.2">
      <c r="A82" s="4" t="str">
        <f ca="1">IF(B82=" "," ",HYPERLINK(CONCATENATE("#metadata!",ADDRESS(INDEX($J$2:$J$1001,MATCH(ROWS($H$2:H82),$H$2:$H$1001,0),0),1)),INDEX($M$2:$M$1001,MATCH(ROWS($H$2:H82),$H$2:$H$1001,0),0)))</f>
        <v xml:space="preserve"> </v>
      </c>
      <c r="B82" s="3" t="str">
        <f ca="1">IF(OR(INDEX($I$2:$I$1001,MATCH(ROWS($H$2:H82),$H$2:$H$1001,0),1)&gt;=100000,INDEX($O$1005:$Q$1005,1,MATCH(COLUMNS($O$1006:O1006),$O$1006:$Q$1006,0))&gt;=100000), " ",IF(INDEX($O$2:$Q$1001,MATCH(ROWS($H$2:H82),$H$2:$H$1001,0),MATCH(COLUMNS($O$1006:O1006),$O$1006:$Q$1006,0)), HYPERLINK("#",""), HYPERLINK(CONCATENATE("#metadata!", ADDRESS(INDEX($J$2:$J$1001,MATCH(ROWS($H$2:H82),$H$2:$H$1001,0),0), INDEX($O$1004:$Q$1004,1,MATCH(COLUMNS($O$1006:O1006),$O$1006:$Q$1006,0)))),"Fix")))</f>
        <v xml:space="preserve"> </v>
      </c>
      <c r="C82" s="3" t="str">
        <f ca="1">IF(OR(INDEX($I$2:$I$1001,MATCH(ROWS($H$2:H82),$H$2:$H$1001,0),1)&gt;=100000,INDEX($O$1005:$Q$1005,1,MATCH(COLUMNS($O$1006:P1006),$O$1006:$Q$1006,0))&gt;=100000), " ",IF(INDEX($O$2:$Q$1001,MATCH(ROWS($H$2:H82),$H$2:$H$1001,0),MATCH(COLUMNS($O$1006:P1006),$O$1006:$Q$1006,0)), HYPERLINK("#",""), HYPERLINK(CONCATENATE("#metadata!", ADDRESS(INDEX($J$2:$J$1001,MATCH(ROWS($H$2:H82),$H$2:$H$1001,0),0), INDEX($O$1004:$Q$1004,1,MATCH(COLUMNS($O$1006:P1006),$O$1006:$Q$1006,0)))),"Fix")))</f>
        <v xml:space="preserve"> </v>
      </c>
      <c r="D82" s="3" t="str">
        <f ca="1">IF(OR(INDEX($I$2:$I$1001,MATCH(ROWS($H$2:H82),$H$2:$H$1001,0),1)&gt;=100000,INDEX($O$1005:$Q$1005,1,MATCH(COLUMNS($O$1006:Q1006),$O$1006:$Q$1006,0))&gt;=100000), " ",IF(INDEX($O$2:$Q$1001,MATCH(ROWS($H$2:H82),$H$2:$H$1001,0),MATCH(COLUMNS($O$1006:Q1006),$O$1006:$Q$1006,0)), HYPERLINK("#",""), HYPERLINK(CONCATENATE("#metadata!", ADDRESS(INDEX($J$2:$J$1001,MATCH(ROWS($H$2:H82),$H$2:$H$1001,0),0), INDEX($O$1004:$Q$1004,1,MATCH(COLUMNS($O$1006:Q1006),$O$1006:$Q$1006,0)))),"Fix")))</f>
        <v xml:space="preserve"> </v>
      </c>
      <c r="H82">
        <v>81</v>
      </c>
      <c r="I82">
        <v>100082</v>
      </c>
      <c r="J82">
        <v>82</v>
      </c>
      <c r="K82" t="b">
        <f t="shared" si="1"/>
        <v>1</v>
      </c>
      <c r="L82" t="b">
        <f>COUNTBLANK(metadata!B82:D82)=COLUMNS(metadata!B82:D82)</f>
        <v>1</v>
      </c>
      <c r="M82" t="str">
        <v/>
      </c>
      <c r="O82" t="b">
        <f ca="1"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P82" t="b">
        <f>AND(IF(metadata!C82="",FALSE,TRUE),EXACT(metadata!C82,"mouse gut metagenome"))</f>
        <v>0</v>
      </c>
      <c r="Q82" t="b">
        <f>AND(IF(metadata!D82="",FALSE,TRUE),EXACT(metadata!D82,"410661"))</f>
        <v>0</v>
      </c>
    </row>
    <row r="83" spans="1:17" x14ac:dyDescent="0.2">
      <c r="A83" s="4" t="str">
        <f ca="1">IF(B83=" "," ",HYPERLINK(CONCATENATE("#metadata!",ADDRESS(INDEX($J$2:$J$1001,MATCH(ROWS($H$2:H83),$H$2:$H$1001,0),0),1)),INDEX($M$2:$M$1001,MATCH(ROWS($H$2:H83),$H$2:$H$1001,0),0)))</f>
        <v xml:space="preserve"> </v>
      </c>
      <c r="B83" s="3" t="str">
        <f ca="1">IF(OR(INDEX($I$2:$I$1001,MATCH(ROWS($H$2:H83),$H$2:$H$1001,0),1)&gt;=100000,INDEX($O$1005:$Q$1005,1,MATCH(COLUMNS($O$1006:O1006),$O$1006:$Q$1006,0))&gt;=100000), " ",IF(INDEX($O$2:$Q$1001,MATCH(ROWS($H$2:H83),$H$2:$H$1001,0),MATCH(COLUMNS($O$1006:O1006),$O$1006:$Q$1006,0)), HYPERLINK("#",""), HYPERLINK(CONCATENATE("#metadata!", ADDRESS(INDEX($J$2:$J$1001,MATCH(ROWS($H$2:H83),$H$2:$H$1001,0),0), INDEX($O$1004:$Q$1004,1,MATCH(COLUMNS($O$1006:O1006),$O$1006:$Q$1006,0)))),"Fix")))</f>
        <v xml:space="preserve"> </v>
      </c>
      <c r="C83" s="3" t="str">
        <f ca="1">IF(OR(INDEX($I$2:$I$1001,MATCH(ROWS($H$2:H83),$H$2:$H$1001,0),1)&gt;=100000,INDEX($O$1005:$Q$1005,1,MATCH(COLUMNS($O$1006:P1006),$O$1006:$Q$1006,0))&gt;=100000), " ",IF(INDEX($O$2:$Q$1001,MATCH(ROWS($H$2:H83),$H$2:$H$1001,0),MATCH(COLUMNS($O$1006:P1006),$O$1006:$Q$1006,0)), HYPERLINK("#",""), HYPERLINK(CONCATENATE("#metadata!", ADDRESS(INDEX($J$2:$J$1001,MATCH(ROWS($H$2:H83),$H$2:$H$1001,0),0), INDEX($O$1004:$Q$1004,1,MATCH(COLUMNS($O$1006:P1006),$O$1006:$Q$1006,0)))),"Fix")))</f>
        <v xml:space="preserve"> </v>
      </c>
      <c r="D83" s="3" t="str">
        <f ca="1">IF(OR(INDEX($I$2:$I$1001,MATCH(ROWS($H$2:H83),$H$2:$H$1001,0),1)&gt;=100000,INDEX($O$1005:$Q$1005,1,MATCH(COLUMNS($O$1006:Q1006),$O$1006:$Q$1006,0))&gt;=100000), " ",IF(INDEX($O$2:$Q$1001,MATCH(ROWS($H$2:H83),$H$2:$H$1001,0),MATCH(COLUMNS($O$1006:Q1006),$O$1006:$Q$1006,0)), HYPERLINK("#",""), HYPERLINK(CONCATENATE("#metadata!", ADDRESS(INDEX($J$2:$J$1001,MATCH(ROWS($H$2:H83),$H$2:$H$1001,0),0), INDEX($O$1004:$Q$1004,1,MATCH(COLUMNS($O$1006:Q1006),$O$1006:$Q$1006,0)))),"Fix")))</f>
        <v xml:space="preserve"> </v>
      </c>
      <c r="H83">
        <v>82</v>
      </c>
      <c r="I83">
        <v>100083</v>
      </c>
      <c r="J83">
        <v>83</v>
      </c>
      <c r="K83" t="b">
        <f t="shared" si="1"/>
        <v>1</v>
      </c>
      <c r="L83" t="b">
        <f>COUNTBLANK(metadata!B83:D83)=COLUMNS(metadata!B83:D83)</f>
        <v>1</v>
      </c>
      <c r="M83" t="str">
        <v/>
      </c>
      <c r="O83" t="b">
        <f ca="1"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P83" t="b">
        <f>AND(IF(metadata!C83="",FALSE,TRUE),EXACT(metadata!C83,"mouse gut metagenome"))</f>
        <v>0</v>
      </c>
      <c r="Q83" t="b">
        <f>AND(IF(metadata!D83="",FALSE,TRUE),EXACT(metadata!D83,"410661"))</f>
        <v>0</v>
      </c>
    </row>
    <row r="84" spans="1:17" x14ac:dyDescent="0.2">
      <c r="A84" s="4" t="str">
        <f ca="1">IF(B84=" "," ",HYPERLINK(CONCATENATE("#metadata!",ADDRESS(INDEX($J$2:$J$1001,MATCH(ROWS($H$2:H84),$H$2:$H$1001,0),0),1)),INDEX($M$2:$M$1001,MATCH(ROWS($H$2:H84),$H$2:$H$1001,0),0)))</f>
        <v xml:space="preserve"> </v>
      </c>
      <c r="B84" s="3" t="str">
        <f ca="1">IF(OR(INDEX($I$2:$I$1001,MATCH(ROWS($H$2:H84),$H$2:$H$1001,0),1)&gt;=100000,INDEX($O$1005:$Q$1005,1,MATCH(COLUMNS($O$1006:O1006),$O$1006:$Q$1006,0))&gt;=100000), " ",IF(INDEX($O$2:$Q$1001,MATCH(ROWS($H$2:H84),$H$2:$H$1001,0),MATCH(COLUMNS($O$1006:O1006),$O$1006:$Q$1006,0)), HYPERLINK("#",""), HYPERLINK(CONCATENATE("#metadata!", ADDRESS(INDEX($J$2:$J$1001,MATCH(ROWS($H$2:H84),$H$2:$H$1001,0),0), INDEX($O$1004:$Q$1004,1,MATCH(COLUMNS($O$1006:O1006),$O$1006:$Q$1006,0)))),"Fix")))</f>
        <v xml:space="preserve"> </v>
      </c>
      <c r="C84" s="3" t="str">
        <f ca="1">IF(OR(INDEX($I$2:$I$1001,MATCH(ROWS($H$2:H84),$H$2:$H$1001,0),1)&gt;=100000,INDEX($O$1005:$Q$1005,1,MATCH(COLUMNS($O$1006:P1006),$O$1006:$Q$1006,0))&gt;=100000), " ",IF(INDEX($O$2:$Q$1001,MATCH(ROWS($H$2:H84),$H$2:$H$1001,0),MATCH(COLUMNS($O$1006:P1006),$O$1006:$Q$1006,0)), HYPERLINK("#",""), HYPERLINK(CONCATENATE("#metadata!", ADDRESS(INDEX($J$2:$J$1001,MATCH(ROWS($H$2:H84),$H$2:$H$1001,0),0), INDEX($O$1004:$Q$1004,1,MATCH(COLUMNS($O$1006:P1006),$O$1006:$Q$1006,0)))),"Fix")))</f>
        <v xml:space="preserve"> </v>
      </c>
      <c r="D84" s="3" t="str">
        <f ca="1">IF(OR(INDEX($I$2:$I$1001,MATCH(ROWS($H$2:H84),$H$2:$H$1001,0),1)&gt;=100000,INDEX($O$1005:$Q$1005,1,MATCH(COLUMNS($O$1006:Q1006),$O$1006:$Q$1006,0))&gt;=100000), " ",IF(INDEX($O$2:$Q$1001,MATCH(ROWS($H$2:H84),$H$2:$H$1001,0),MATCH(COLUMNS($O$1006:Q1006),$O$1006:$Q$1006,0)), HYPERLINK("#",""), HYPERLINK(CONCATENATE("#metadata!", ADDRESS(INDEX($J$2:$J$1001,MATCH(ROWS($H$2:H84),$H$2:$H$1001,0),0), INDEX($O$1004:$Q$1004,1,MATCH(COLUMNS($O$1006:Q1006),$O$1006:$Q$1006,0)))),"Fix")))</f>
        <v xml:space="preserve"> </v>
      </c>
      <c r="H84">
        <v>83</v>
      </c>
      <c r="I84">
        <v>100084</v>
      </c>
      <c r="J84">
        <v>84</v>
      </c>
      <c r="K84" t="b">
        <f t="shared" si="1"/>
        <v>1</v>
      </c>
      <c r="L84" t="b">
        <f>COUNTBLANK(metadata!B84:D84)=COLUMNS(metadata!B84:D84)</f>
        <v>1</v>
      </c>
      <c r="M84" t="str">
        <v/>
      </c>
      <c r="O84" t="b">
        <f ca="1"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P84" t="b">
        <f>AND(IF(metadata!C84="",FALSE,TRUE),EXACT(metadata!C84,"mouse gut metagenome"))</f>
        <v>0</v>
      </c>
      <c r="Q84" t="b">
        <f>AND(IF(metadata!D84="",FALSE,TRUE),EXACT(metadata!D84,"410661"))</f>
        <v>0</v>
      </c>
    </row>
    <row r="85" spans="1:17" x14ac:dyDescent="0.2">
      <c r="A85" s="4" t="str">
        <f ca="1">IF(B85=" "," ",HYPERLINK(CONCATENATE("#metadata!",ADDRESS(INDEX($J$2:$J$1001,MATCH(ROWS($H$2:H85),$H$2:$H$1001,0),0),1)),INDEX($M$2:$M$1001,MATCH(ROWS($H$2:H85),$H$2:$H$1001,0),0)))</f>
        <v xml:space="preserve"> </v>
      </c>
      <c r="B85" s="3" t="str">
        <f ca="1">IF(OR(INDEX($I$2:$I$1001,MATCH(ROWS($H$2:H85),$H$2:$H$1001,0),1)&gt;=100000,INDEX($O$1005:$Q$1005,1,MATCH(COLUMNS($O$1006:O1006),$O$1006:$Q$1006,0))&gt;=100000), " ",IF(INDEX($O$2:$Q$1001,MATCH(ROWS($H$2:H85),$H$2:$H$1001,0),MATCH(COLUMNS($O$1006:O1006),$O$1006:$Q$1006,0)), HYPERLINK("#",""), HYPERLINK(CONCATENATE("#metadata!", ADDRESS(INDEX($J$2:$J$1001,MATCH(ROWS($H$2:H85),$H$2:$H$1001,0),0), INDEX($O$1004:$Q$1004,1,MATCH(COLUMNS($O$1006:O1006),$O$1006:$Q$1006,0)))),"Fix")))</f>
        <v xml:space="preserve"> </v>
      </c>
      <c r="C85" s="3" t="str">
        <f ca="1">IF(OR(INDEX($I$2:$I$1001,MATCH(ROWS($H$2:H85),$H$2:$H$1001,0),1)&gt;=100000,INDEX($O$1005:$Q$1005,1,MATCH(COLUMNS($O$1006:P1006),$O$1006:$Q$1006,0))&gt;=100000), " ",IF(INDEX($O$2:$Q$1001,MATCH(ROWS($H$2:H85),$H$2:$H$1001,0),MATCH(COLUMNS($O$1006:P1006),$O$1006:$Q$1006,0)), HYPERLINK("#",""), HYPERLINK(CONCATENATE("#metadata!", ADDRESS(INDEX($J$2:$J$1001,MATCH(ROWS($H$2:H85),$H$2:$H$1001,0),0), INDEX($O$1004:$Q$1004,1,MATCH(COLUMNS($O$1006:P1006),$O$1006:$Q$1006,0)))),"Fix")))</f>
        <v xml:space="preserve"> </v>
      </c>
      <c r="D85" s="3" t="str">
        <f ca="1">IF(OR(INDEX($I$2:$I$1001,MATCH(ROWS($H$2:H85),$H$2:$H$1001,0),1)&gt;=100000,INDEX($O$1005:$Q$1005,1,MATCH(COLUMNS($O$1006:Q1006),$O$1006:$Q$1006,0))&gt;=100000), " ",IF(INDEX($O$2:$Q$1001,MATCH(ROWS($H$2:H85),$H$2:$H$1001,0),MATCH(COLUMNS($O$1006:Q1006),$O$1006:$Q$1006,0)), HYPERLINK("#",""), HYPERLINK(CONCATENATE("#metadata!", ADDRESS(INDEX($J$2:$J$1001,MATCH(ROWS($H$2:H85),$H$2:$H$1001,0),0), INDEX($O$1004:$Q$1004,1,MATCH(COLUMNS($O$1006:Q1006),$O$1006:$Q$1006,0)))),"Fix")))</f>
        <v xml:space="preserve"> </v>
      </c>
      <c r="H85">
        <v>84</v>
      </c>
      <c r="I85">
        <v>100085</v>
      </c>
      <c r="J85">
        <v>85</v>
      </c>
      <c r="K85" t="b">
        <f t="shared" si="1"/>
        <v>1</v>
      </c>
      <c r="L85" t="b">
        <f>COUNTBLANK(metadata!B85:D85)=COLUMNS(metadata!B85:D85)</f>
        <v>1</v>
      </c>
      <c r="M85" t="str">
        <v/>
      </c>
      <c r="O85" t="b">
        <f ca="1"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P85" t="b">
        <f>AND(IF(metadata!C85="",FALSE,TRUE),EXACT(metadata!C85,"mouse gut metagenome"))</f>
        <v>0</v>
      </c>
      <c r="Q85" t="b">
        <f>AND(IF(metadata!D85="",FALSE,TRUE),EXACT(metadata!D85,"410661"))</f>
        <v>0</v>
      </c>
    </row>
    <row r="86" spans="1:17" x14ac:dyDescent="0.2">
      <c r="A86" s="4" t="str">
        <f ca="1">IF(B86=" "," ",HYPERLINK(CONCATENATE("#metadata!",ADDRESS(INDEX($J$2:$J$1001,MATCH(ROWS($H$2:H86),$H$2:$H$1001,0),0),1)),INDEX($M$2:$M$1001,MATCH(ROWS($H$2:H86),$H$2:$H$1001,0),0)))</f>
        <v xml:space="preserve"> </v>
      </c>
      <c r="B86" s="3" t="str">
        <f ca="1">IF(OR(INDEX($I$2:$I$1001,MATCH(ROWS($H$2:H86),$H$2:$H$1001,0),1)&gt;=100000,INDEX($O$1005:$Q$1005,1,MATCH(COLUMNS($O$1006:O1006),$O$1006:$Q$1006,0))&gt;=100000), " ",IF(INDEX($O$2:$Q$1001,MATCH(ROWS($H$2:H86),$H$2:$H$1001,0),MATCH(COLUMNS($O$1006:O1006),$O$1006:$Q$1006,0)), HYPERLINK("#",""), HYPERLINK(CONCATENATE("#metadata!", ADDRESS(INDEX($J$2:$J$1001,MATCH(ROWS($H$2:H86),$H$2:$H$1001,0),0), INDEX($O$1004:$Q$1004,1,MATCH(COLUMNS($O$1006:O1006),$O$1006:$Q$1006,0)))),"Fix")))</f>
        <v xml:space="preserve"> </v>
      </c>
      <c r="C86" s="3" t="str">
        <f ca="1">IF(OR(INDEX($I$2:$I$1001,MATCH(ROWS($H$2:H86),$H$2:$H$1001,0),1)&gt;=100000,INDEX($O$1005:$Q$1005,1,MATCH(COLUMNS($O$1006:P1006),$O$1006:$Q$1006,0))&gt;=100000), " ",IF(INDEX($O$2:$Q$1001,MATCH(ROWS($H$2:H86),$H$2:$H$1001,0),MATCH(COLUMNS($O$1006:P1006),$O$1006:$Q$1006,0)), HYPERLINK("#",""), HYPERLINK(CONCATENATE("#metadata!", ADDRESS(INDEX($J$2:$J$1001,MATCH(ROWS($H$2:H86),$H$2:$H$1001,0),0), INDEX($O$1004:$Q$1004,1,MATCH(COLUMNS($O$1006:P1006),$O$1006:$Q$1006,0)))),"Fix")))</f>
        <v xml:space="preserve"> </v>
      </c>
      <c r="D86" s="3" t="str">
        <f ca="1">IF(OR(INDEX($I$2:$I$1001,MATCH(ROWS($H$2:H86),$H$2:$H$1001,0),1)&gt;=100000,INDEX($O$1005:$Q$1005,1,MATCH(COLUMNS($O$1006:Q1006),$O$1006:$Q$1006,0))&gt;=100000), " ",IF(INDEX($O$2:$Q$1001,MATCH(ROWS($H$2:H86),$H$2:$H$1001,0),MATCH(COLUMNS($O$1006:Q1006),$O$1006:$Q$1006,0)), HYPERLINK("#",""), HYPERLINK(CONCATENATE("#metadata!", ADDRESS(INDEX($J$2:$J$1001,MATCH(ROWS($H$2:H86),$H$2:$H$1001,0),0), INDEX($O$1004:$Q$1004,1,MATCH(COLUMNS($O$1006:Q1006),$O$1006:$Q$1006,0)))),"Fix")))</f>
        <v xml:space="preserve"> </v>
      </c>
      <c r="H86">
        <v>85</v>
      </c>
      <c r="I86">
        <v>100086</v>
      </c>
      <c r="J86">
        <v>86</v>
      </c>
      <c r="K86" t="b">
        <f t="shared" si="1"/>
        <v>1</v>
      </c>
      <c r="L86" t="b">
        <f>COUNTBLANK(metadata!B86:D86)=COLUMNS(metadata!B86:D86)</f>
        <v>1</v>
      </c>
      <c r="M86" t="str">
        <v/>
      </c>
      <c r="O86" t="b">
        <f ca="1"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P86" t="b">
        <f>AND(IF(metadata!C86="",FALSE,TRUE),EXACT(metadata!C86,"mouse gut metagenome"))</f>
        <v>0</v>
      </c>
      <c r="Q86" t="b">
        <f>AND(IF(metadata!D86="",FALSE,TRUE),EXACT(metadata!D86,"410661"))</f>
        <v>0</v>
      </c>
    </row>
    <row r="87" spans="1:17" x14ac:dyDescent="0.2">
      <c r="A87" s="4" t="str">
        <f ca="1">IF(B87=" "," ",HYPERLINK(CONCATENATE("#metadata!",ADDRESS(INDEX($J$2:$J$1001,MATCH(ROWS($H$2:H87),$H$2:$H$1001,0),0),1)),INDEX($M$2:$M$1001,MATCH(ROWS($H$2:H87),$H$2:$H$1001,0),0)))</f>
        <v xml:space="preserve"> </v>
      </c>
      <c r="B87" s="3" t="str">
        <f ca="1">IF(OR(INDEX($I$2:$I$1001,MATCH(ROWS($H$2:H87),$H$2:$H$1001,0),1)&gt;=100000,INDEX($O$1005:$Q$1005,1,MATCH(COLUMNS($O$1006:O1006),$O$1006:$Q$1006,0))&gt;=100000), " ",IF(INDEX($O$2:$Q$1001,MATCH(ROWS($H$2:H87),$H$2:$H$1001,0),MATCH(COLUMNS($O$1006:O1006),$O$1006:$Q$1006,0)), HYPERLINK("#",""), HYPERLINK(CONCATENATE("#metadata!", ADDRESS(INDEX($J$2:$J$1001,MATCH(ROWS($H$2:H87),$H$2:$H$1001,0),0), INDEX($O$1004:$Q$1004,1,MATCH(COLUMNS($O$1006:O1006),$O$1006:$Q$1006,0)))),"Fix")))</f>
        <v xml:space="preserve"> </v>
      </c>
      <c r="C87" s="3" t="str">
        <f ca="1">IF(OR(INDEX($I$2:$I$1001,MATCH(ROWS($H$2:H87),$H$2:$H$1001,0),1)&gt;=100000,INDEX($O$1005:$Q$1005,1,MATCH(COLUMNS($O$1006:P1006),$O$1006:$Q$1006,0))&gt;=100000), " ",IF(INDEX($O$2:$Q$1001,MATCH(ROWS($H$2:H87),$H$2:$H$1001,0),MATCH(COLUMNS($O$1006:P1006),$O$1006:$Q$1006,0)), HYPERLINK("#",""), HYPERLINK(CONCATENATE("#metadata!", ADDRESS(INDEX($J$2:$J$1001,MATCH(ROWS($H$2:H87),$H$2:$H$1001,0),0), INDEX($O$1004:$Q$1004,1,MATCH(COLUMNS($O$1006:P1006),$O$1006:$Q$1006,0)))),"Fix")))</f>
        <v xml:space="preserve"> </v>
      </c>
      <c r="D87" s="3" t="str">
        <f ca="1">IF(OR(INDEX($I$2:$I$1001,MATCH(ROWS($H$2:H87),$H$2:$H$1001,0),1)&gt;=100000,INDEX($O$1005:$Q$1005,1,MATCH(COLUMNS($O$1006:Q1006),$O$1006:$Q$1006,0))&gt;=100000), " ",IF(INDEX($O$2:$Q$1001,MATCH(ROWS($H$2:H87),$H$2:$H$1001,0),MATCH(COLUMNS($O$1006:Q1006),$O$1006:$Q$1006,0)), HYPERLINK("#",""), HYPERLINK(CONCATENATE("#metadata!", ADDRESS(INDEX($J$2:$J$1001,MATCH(ROWS($H$2:H87),$H$2:$H$1001,0),0), INDEX($O$1004:$Q$1004,1,MATCH(COLUMNS($O$1006:Q1006),$O$1006:$Q$1006,0)))),"Fix")))</f>
        <v xml:space="preserve"> </v>
      </c>
      <c r="H87">
        <v>86</v>
      </c>
      <c r="I87">
        <v>100087</v>
      </c>
      <c r="J87">
        <v>87</v>
      </c>
      <c r="K87" t="b">
        <f t="shared" si="1"/>
        <v>1</v>
      </c>
      <c r="L87" t="b">
        <f>COUNTBLANK(metadata!B87:D87)=COLUMNS(metadata!B87:D87)</f>
        <v>1</v>
      </c>
      <c r="M87" t="str">
        <v/>
      </c>
      <c r="O87" t="b">
        <f ca="1"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P87" t="b">
        <f>AND(IF(metadata!C87="",FALSE,TRUE),EXACT(metadata!C87,"mouse gut metagenome"))</f>
        <v>0</v>
      </c>
      <c r="Q87" t="b">
        <f>AND(IF(metadata!D87="",FALSE,TRUE),EXACT(metadata!D87,"410661"))</f>
        <v>0</v>
      </c>
    </row>
    <row r="88" spans="1:17" x14ac:dyDescent="0.2">
      <c r="A88" s="4" t="str">
        <f ca="1">IF(B88=" "," ",HYPERLINK(CONCATENATE("#metadata!",ADDRESS(INDEX($J$2:$J$1001,MATCH(ROWS($H$2:H88),$H$2:$H$1001,0),0),1)),INDEX($M$2:$M$1001,MATCH(ROWS($H$2:H88),$H$2:$H$1001,0),0)))</f>
        <v xml:space="preserve"> </v>
      </c>
      <c r="B88" s="3" t="str">
        <f ca="1">IF(OR(INDEX($I$2:$I$1001,MATCH(ROWS($H$2:H88),$H$2:$H$1001,0),1)&gt;=100000,INDEX($O$1005:$Q$1005,1,MATCH(COLUMNS($O$1006:O1006),$O$1006:$Q$1006,0))&gt;=100000), " ",IF(INDEX($O$2:$Q$1001,MATCH(ROWS($H$2:H88),$H$2:$H$1001,0),MATCH(COLUMNS($O$1006:O1006),$O$1006:$Q$1006,0)), HYPERLINK("#",""), HYPERLINK(CONCATENATE("#metadata!", ADDRESS(INDEX($J$2:$J$1001,MATCH(ROWS($H$2:H88),$H$2:$H$1001,0),0), INDEX($O$1004:$Q$1004,1,MATCH(COLUMNS($O$1006:O1006),$O$1006:$Q$1006,0)))),"Fix")))</f>
        <v xml:space="preserve"> </v>
      </c>
      <c r="C88" s="3" t="str">
        <f ca="1">IF(OR(INDEX($I$2:$I$1001,MATCH(ROWS($H$2:H88),$H$2:$H$1001,0),1)&gt;=100000,INDEX($O$1005:$Q$1005,1,MATCH(COLUMNS($O$1006:P1006),$O$1006:$Q$1006,0))&gt;=100000), " ",IF(INDEX($O$2:$Q$1001,MATCH(ROWS($H$2:H88),$H$2:$H$1001,0),MATCH(COLUMNS($O$1006:P1006),$O$1006:$Q$1006,0)), HYPERLINK("#",""), HYPERLINK(CONCATENATE("#metadata!", ADDRESS(INDEX($J$2:$J$1001,MATCH(ROWS($H$2:H88),$H$2:$H$1001,0),0), INDEX($O$1004:$Q$1004,1,MATCH(COLUMNS($O$1006:P1006),$O$1006:$Q$1006,0)))),"Fix")))</f>
        <v xml:space="preserve"> </v>
      </c>
      <c r="D88" s="3" t="str">
        <f ca="1">IF(OR(INDEX($I$2:$I$1001,MATCH(ROWS($H$2:H88),$H$2:$H$1001,0),1)&gt;=100000,INDEX($O$1005:$Q$1005,1,MATCH(COLUMNS($O$1006:Q1006),$O$1006:$Q$1006,0))&gt;=100000), " ",IF(INDEX($O$2:$Q$1001,MATCH(ROWS($H$2:H88),$H$2:$H$1001,0),MATCH(COLUMNS($O$1006:Q1006),$O$1006:$Q$1006,0)), HYPERLINK("#",""), HYPERLINK(CONCATENATE("#metadata!", ADDRESS(INDEX($J$2:$J$1001,MATCH(ROWS($H$2:H88),$H$2:$H$1001,0),0), INDEX($O$1004:$Q$1004,1,MATCH(COLUMNS($O$1006:Q1006),$O$1006:$Q$1006,0)))),"Fix")))</f>
        <v xml:space="preserve"> </v>
      </c>
      <c r="H88">
        <v>87</v>
      </c>
      <c r="I88">
        <v>100088</v>
      </c>
      <c r="J88">
        <v>88</v>
      </c>
      <c r="K88" t="b">
        <f t="shared" si="1"/>
        <v>1</v>
      </c>
      <c r="L88" t="b">
        <f>COUNTBLANK(metadata!B88:D88)=COLUMNS(metadata!B88:D88)</f>
        <v>1</v>
      </c>
      <c r="M88" t="str">
        <v/>
      </c>
      <c r="O88" t="b">
        <f ca="1"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P88" t="b">
        <f>AND(IF(metadata!C88="",FALSE,TRUE),EXACT(metadata!C88,"mouse gut metagenome"))</f>
        <v>0</v>
      </c>
      <c r="Q88" t="b">
        <f>AND(IF(metadata!D88="",FALSE,TRUE),EXACT(metadata!D88,"410661"))</f>
        <v>0</v>
      </c>
    </row>
    <row r="89" spans="1:17" x14ac:dyDescent="0.2">
      <c r="A89" s="4" t="str">
        <f ca="1">IF(B89=" "," ",HYPERLINK(CONCATENATE("#metadata!",ADDRESS(INDEX($J$2:$J$1001,MATCH(ROWS($H$2:H89),$H$2:$H$1001,0),0),1)),INDEX($M$2:$M$1001,MATCH(ROWS($H$2:H89),$H$2:$H$1001,0),0)))</f>
        <v xml:space="preserve"> </v>
      </c>
      <c r="B89" s="3" t="str">
        <f ca="1">IF(OR(INDEX($I$2:$I$1001,MATCH(ROWS($H$2:H89),$H$2:$H$1001,0),1)&gt;=100000,INDEX($O$1005:$Q$1005,1,MATCH(COLUMNS($O$1006:O1006),$O$1006:$Q$1006,0))&gt;=100000), " ",IF(INDEX($O$2:$Q$1001,MATCH(ROWS($H$2:H89),$H$2:$H$1001,0),MATCH(COLUMNS($O$1006:O1006),$O$1006:$Q$1006,0)), HYPERLINK("#",""), HYPERLINK(CONCATENATE("#metadata!", ADDRESS(INDEX($J$2:$J$1001,MATCH(ROWS($H$2:H89),$H$2:$H$1001,0),0), INDEX($O$1004:$Q$1004,1,MATCH(COLUMNS($O$1006:O1006),$O$1006:$Q$1006,0)))),"Fix")))</f>
        <v xml:space="preserve"> </v>
      </c>
      <c r="C89" s="3" t="str">
        <f ca="1">IF(OR(INDEX($I$2:$I$1001,MATCH(ROWS($H$2:H89),$H$2:$H$1001,0),1)&gt;=100000,INDEX($O$1005:$Q$1005,1,MATCH(COLUMNS($O$1006:P1006),$O$1006:$Q$1006,0))&gt;=100000), " ",IF(INDEX($O$2:$Q$1001,MATCH(ROWS($H$2:H89),$H$2:$H$1001,0),MATCH(COLUMNS($O$1006:P1006),$O$1006:$Q$1006,0)), HYPERLINK("#",""), HYPERLINK(CONCATENATE("#metadata!", ADDRESS(INDEX($J$2:$J$1001,MATCH(ROWS($H$2:H89),$H$2:$H$1001,0),0), INDEX($O$1004:$Q$1004,1,MATCH(COLUMNS($O$1006:P1006),$O$1006:$Q$1006,0)))),"Fix")))</f>
        <v xml:space="preserve"> </v>
      </c>
      <c r="D89" s="3" t="str">
        <f ca="1">IF(OR(INDEX($I$2:$I$1001,MATCH(ROWS($H$2:H89),$H$2:$H$1001,0),1)&gt;=100000,INDEX($O$1005:$Q$1005,1,MATCH(COLUMNS($O$1006:Q1006),$O$1006:$Q$1006,0))&gt;=100000), " ",IF(INDEX($O$2:$Q$1001,MATCH(ROWS($H$2:H89),$H$2:$H$1001,0),MATCH(COLUMNS($O$1006:Q1006),$O$1006:$Q$1006,0)), HYPERLINK("#",""), HYPERLINK(CONCATENATE("#metadata!", ADDRESS(INDEX($J$2:$J$1001,MATCH(ROWS($H$2:H89),$H$2:$H$1001,0),0), INDEX($O$1004:$Q$1004,1,MATCH(COLUMNS($O$1006:Q1006),$O$1006:$Q$1006,0)))),"Fix")))</f>
        <v xml:space="preserve"> </v>
      </c>
      <c r="H89">
        <v>88</v>
      </c>
      <c r="I89">
        <v>100089</v>
      </c>
      <c r="J89">
        <v>89</v>
      </c>
      <c r="K89" t="b">
        <f t="shared" si="1"/>
        <v>1</v>
      </c>
      <c r="L89" t="b">
        <f>COUNTBLANK(metadata!B89:D89)=COLUMNS(metadata!B89:D89)</f>
        <v>1</v>
      </c>
      <c r="M89" t="str">
        <v/>
      </c>
      <c r="O89" t="b">
        <f ca="1"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P89" t="b">
        <f>AND(IF(metadata!C89="",FALSE,TRUE),EXACT(metadata!C89,"mouse gut metagenome"))</f>
        <v>0</v>
      </c>
      <c r="Q89" t="b">
        <f>AND(IF(metadata!D89="",FALSE,TRUE),EXACT(metadata!D89,"410661"))</f>
        <v>0</v>
      </c>
    </row>
    <row r="90" spans="1:17" x14ac:dyDescent="0.2">
      <c r="A90" s="4" t="str">
        <f ca="1">IF(B90=" "," ",HYPERLINK(CONCATENATE("#metadata!",ADDRESS(INDEX($J$2:$J$1001,MATCH(ROWS($H$2:H90),$H$2:$H$1001,0),0),1)),INDEX($M$2:$M$1001,MATCH(ROWS($H$2:H90),$H$2:$H$1001,0),0)))</f>
        <v xml:space="preserve"> </v>
      </c>
      <c r="B90" s="3" t="str">
        <f ca="1">IF(OR(INDEX($I$2:$I$1001,MATCH(ROWS($H$2:H90),$H$2:$H$1001,0),1)&gt;=100000,INDEX($O$1005:$Q$1005,1,MATCH(COLUMNS($O$1006:O1006),$O$1006:$Q$1006,0))&gt;=100000), " ",IF(INDEX($O$2:$Q$1001,MATCH(ROWS($H$2:H90),$H$2:$H$1001,0),MATCH(COLUMNS($O$1006:O1006),$O$1006:$Q$1006,0)), HYPERLINK("#",""), HYPERLINK(CONCATENATE("#metadata!", ADDRESS(INDEX($J$2:$J$1001,MATCH(ROWS($H$2:H90),$H$2:$H$1001,0),0), INDEX($O$1004:$Q$1004,1,MATCH(COLUMNS($O$1006:O1006),$O$1006:$Q$1006,0)))),"Fix")))</f>
        <v xml:space="preserve"> </v>
      </c>
      <c r="C90" s="3" t="str">
        <f ca="1">IF(OR(INDEX($I$2:$I$1001,MATCH(ROWS($H$2:H90),$H$2:$H$1001,0),1)&gt;=100000,INDEX($O$1005:$Q$1005,1,MATCH(COLUMNS($O$1006:P1006),$O$1006:$Q$1006,0))&gt;=100000), " ",IF(INDEX($O$2:$Q$1001,MATCH(ROWS($H$2:H90),$H$2:$H$1001,0),MATCH(COLUMNS($O$1006:P1006),$O$1006:$Q$1006,0)), HYPERLINK("#",""), HYPERLINK(CONCATENATE("#metadata!", ADDRESS(INDEX($J$2:$J$1001,MATCH(ROWS($H$2:H90),$H$2:$H$1001,0),0), INDEX($O$1004:$Q$1004,1,MATCH(COLUMNS($O$1006:P1006),$O$1006:$Q$1006,0)))),"Fix")))</f>
        <v xml:space="preserve"> </v>
      </c>
      <c r="D90" s="3" t="str">
        <f ca="1">IF(OR(INDEX($I$2:$I$1001,MATCH(ROWS($H$2:H90),$H$2:$H$1001,0),1)&gt;=100000,INDEX($O$1005:$Q$1005,1,MATCH(COLUMNS($O$1006:Q1006),$O$1006:$Q$1006,0))&gt;=100000), " ",IF(INDEX($O$2:$Q$1001,MATCH(ROWS($H$2:H90),$H$2:$H$1001,0),MATCH(COLUMNS($O$1006:Q1006),$O$1006:$Q$1006,0)), HYPERLINK("#",""), HYPERLINK(CONCATENATE("#metadata!", ADDRESS(INDEX($J$2:$J$1001,MATCH(ROWS($H$2:H90),$H$2:$H$1001,0),0), INDEX($O$1004:$Q$1004,1,MATCH(COLUMNS($O$1006:Q1006),$O$1006:$Q$1006,0)))),"Fix")))</f>
        <v xml:space="preserve"> </v>
      </c>
      <c r="H90">
        <v>89</v>
      </c>
      <c r="I90">
        <v>100090</v>
      </c>
      <c r="J90">
        <v>90</v>
      </c>
      <c r="K90" t="b">
        <f t="shared" si="1"/>
        <v>1</v>
      </c>
      <c r="L90" t="b">
        <f>COUNTBLANK(metadata!B90:D90)=COLUMNS(metadata!B90:D90)</f>
        <v>1</v>
      </c>
      <c r="M90" t="str">
        <v/>
      </c>
      <c r="O90" t="b">
        <f ca="1"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P90" t="b">
        <f>AND(IF(metadata!C90="",FALSE,TRUE),EXACT(metadata!C90,"mouse gut metagenome"))</f>
        <v>0</v>
      </c>
      <c r="Q90" t="b">
        <f>AND(IF(metadata!D90="",FALSE,TRUE),EXACT(metadata!D90,"410661"))</f>
        <v>0</v>
      </c>
    </row>
    <row r="91" spans="1:17" x14ac:dyDescent="0.2">
      <c r="A91" s="4" t="str">
        <f ca="1">IF(B91=" "," ",HYPERLINK(CONCATENATE("#metadata!",ADDRESS(INDEX($J$2:$J$1001,MATCH(ROWS($H$2:H91),$H$2:$H$1001,0),0),1)),INDEX($M$2:$M$1001,MATCH(ROWS($H$2:H91),$H$2:$H$1001,0),0)))</f>
        <v xml:space="preserve"> </v>
      </c>
      <c r="B91" s="3" t="str">
        <f ca="1">IF(OR(INDEX($I$2:$I$1001,MATCH(ROWS($H$2:H91),$H$2:$H$1001,0),1)&gt;=100000,INDEX($O$1005:$Q$1005,1,MATCH(COLUMNS($O$1006:O1006),$O$1006:$Q$1006,0))&gt;=100000), " ",IF(INDEX($O$2:$Q$1001,MATCH(ROWS($H$2:H91),$H$2:$H$1001,0),MATCH(COLUMNS($O$1006:O1006),$O$1006:$Q$1006,0)), HYPERLINK("#",""), HYPERLINK(CONCATENATE("#metadata!", ADDRESS(INDEX($J$2:$J$1001,MATCH(ROWS($H$2:H91),$H$2:$H$1001,0),0), INDEX($O$1004:$Q$1004,1,MATCH(COLUMNS($O$1006:O1006),$O$1006:$Q$1006,0)))),"Fix")))</f>
        <v xml:space="preserve"> </v>
      </c>
      <c r="C91" s="3" t="str">
        <f ca="1">IF(OR(INDEX($I$2:$I$1001,MATCH(ROWS($H$2:H91),$H$2:$H$1001,0),1)&gt;=100000,INDEX($O$1005:$Q$1005,1,MATCH(COLUMNS($O$1006:P1006),$O$1006:$Q$1006,0))&gt;=100000), " ",IF(INDEX($O$2:$Q$1001,MATCH(ROWS($H$2:H91),$H$2:$H$1001,0),MATCH(COLUMNS($O$1006:P1006),$O$1006:$Q$1006,0)), HYPERLINK("#",""), HYPERLINK(CONCATENATE("#metadata!", ADDRESS(INDEX($J$2:$J$1001,MATCH(ROWS($H$2:H91),$H$2:$H$1001,0),0), INDEX($O$1004:$Q$1004,1,MATCH(COLUMNS($O$1006:P1006),$O$1006:$Q$1006,0)))),"Fix")))</f>
        <v xml:space="preserve"> </v>
      </c>
      <c r="D91" s="3" t="str">
        <f ca="1">IF(OR(INDEX($I$2:$I$1001,MATCH(ROWS($H$2:H91),$H$2:$H$1001,0),1)&gt;=100000,INDEX($O$1005:$Q$1005,1,MATCH(COLUMNS($O$1006:Q1006),$O$1006:$Q$1006,0))&gt;=100000), " ",IF(INDEX($O$2:$Q$1001,MATCH(ROWS($H$2:H91),$H$2:$H$1001,0),MATCH(COLUMNS($O$1006:Q1006),$O$1006:$Q$1006,0)), HYPERLINK("#",""), HYPERLINK(CONCATENATE("#metadata!", ADDRESS(INDEX($J$2:$J$1001,MATCH(ROWS($H$2:H91),$H$2:$H$1001,0),0), INDEX($O$1004:$Q$1004,1,MATCH(COLUMNS($O$1006:Q1006),$O$1006:$Q$1006,0)))),"Fix")))</f>
        <v xml:space="preserve"> </v>
      </c>
      <c r="H91">
        <v>90</v>
      </c>
      <c r="I91">
        <v>100091</v>
      </c>
      <c r="J91">
        <v>91</v>
      </c>
      <c r="K91" t="b">
        <f t="shared" si="1"/>
        <v>1</v>
      </c>
      <c r="L91" t="b">
        <f>COUNTBLANK(metadata!B91:D91)=COLUMNS(metadata!B91:D91)</f>
        <v>1</v>
      </c>
      <c r="M91" t="str">
        <v/>
      </c>
      <c r="O91" t="b">
        <f ca="1"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P91" t="b">
        <f>AND(IF(metadata!C91="",FALSE,TRUE),EXACT(metadata!C91,"mouse gut metagenome"))</f>
        <v>0</v>
      </c>
      <c r="Q91" t="b">
        <f>AND(IF(metadata!D91="",FALSE,TRUE),EXACT(metadata!D91,"410661"))</f>
        <v>0</v>
      </c>
    </row>
    <row r="92" spans="1:17" x14ac:dyDescent="0.2">
      <c r="A92" s="4" t="str">
        <f ca="1">IF(B92=" "," ",HYPERLINK(CONCATENATE("#metadata!",ADDRESS(INDEX($J$2:$J$1001,MATCH(ROWS($H$2:H92),$H$2:$H$1001,0),0),1)),INDEX($M$2:$M$1001,MATCH(ROWS($H$2:H92),$H$2:$H$1001,0),0)))</f>
        <v xml:space="preserve"> </v>
      </c>
      <c r="B92" s="3" t="str">
        <f ca="1">IF(OR(INDEX($I$2:$I$1001,MATCH(ROWS($H$2:H92),$H$2:$H$1001,0),1)&gt;=100000,INDEX($O$1005:$Q$1005,1,MATCH(COLUMNS($O$1006:O1006),$O$1006:$Q$1006,0))&gt;=100000), " ",IF(INDEX($O$2:$Q$1001,MATCH(ROWS($H$2:H92),$H$2:$H$1001,0),MATCH(COLUMNS($O$1006:O1006),$O$1006:$Q$1006,0)), HYPERLINK("#",""), HYPERLINK(CONCATENATE("#metadata!", ADDRESS(INDEX($J$2:$J$1001,MATCH(ROWS($H$2:H92),$H$2:$H$1001,0),0), INDEX($O$1004:$Q$1004,1,MATCH(COLUMNS($O$1006:O1006),$O$1006:$Q$1006,0)))),"Fix")))</f>
        <v xml:space="preserve"> </v>
      </c>
      <c r="C92" s="3" t="str">
        <f ca="1">IF(OR(INDEX($I$2:$I$1001,MATCH(ROWS($H$2:H92),$H$2:$H$1001,0),1)&gt;=100000,INDEX($O$1005:$Q$1005,1,MATCH(COLUMNS($O$1006:P1006),$O$1006:$Q$1006,0))&gt;=100000), " ",IF(INDEX($O$2:$Q$1001,MATCH(ROWS($H$2:H92),$H$2:$H$1001,0),MATCH(COLUMNS($O$1006:P1006),$O$1006:$Q$1006,0)), HYPERLINK("#",""), HYPERLINK(CONCATENATE("#metadata!", ADDRESS(INDEX($J$2:$J$1001,MATCH(ROWS($H$2:H92),$H$2:$H$1001,0),0), INDEX($O$1004:$Q$1004,1,MATCH(COLUMNS($O$1006:P1006),$O$1006:$Q$1006,0)))),"Fix")))</f>
        <v xml:space="preserve"> </v>
      </c>
      <c r="D92" s="3" t="str">
        <f ca="1">IF(OR(INDEX($I$2:$I$1001,MATCH(ROWS($H$2:H92),$H$2:$H$1001,0),1)&gt;=100000,INDEX($O$1005:$Q$1005,1,MATCH(COLUMNS($O$1006:Q1006),$O$1006:$Q$1006,0))&gt;=100000), " ",IF(INDEX($O$2:$Q$1001,MATCH(ROWS($H$2:H92),$H$2:$H$1001,0),MATCH(COLUMNS($O$1006:Q1006),$O$1006:$Q$1006,0)), HYPERLINK("#",""), HYPERLINK(CONCATENATE("#metadata!", ADDRESS(INDEX($J$2:$J$1001,MATCH(ROWS($H$2:H92),$H$2:$H$1001,0),0), INDEX($O$1004:$Q$1004,1,MATCH(COLUMNS($O$1006:Q1006),$O$1006:$Q$1006,0)))),"Fix")))</f>
        <v xml:space="preserve"> </v>
      </c>
      <c r="H92">
        <v>91</v>
      </c>
      <c r="I92">
        <v>100092</v>
      </c>
      <c r="J92">
        <v>92</v>
      </c>
      <c r="K92" t="b">
        <f t="shared" si="1"/>
        <v>1</v>
      </c>
      <c r="L92" t="b">
        <f>COUNTBLANK(metadata!B92:D92)=COLUMNS(metadata!B92:D92)</f>
        <v>1</v>
      </c>
      <c r="M92" t="str">
        <v/>
      </c>
      <c r="O92" t="b">
        <f ca="1"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P92" t="b">
        <f>AND(IF(metadata!C92="",FALSE,TRUE),EXACT(metadata!C92,"mouse gut metagenome"))</f>
        <v>0</v>
      </c>
      <c r="Q92" t="b">
        <f>AND(IF(metadata!D92="",FALSE,TRUE),EXACT(metadata!D92,"410661"))</f>
        <v>0</v>
      </c>
    </row>
    <row r="93" spans="1:17" x14ac:dyDescent="0.2">
      <c r="A93" s="4" t="str">
        <f ca="1">IF(B93=" "," ",HYPERLINK(CONCATENATE("#metadata!",ADDRESS(INDEX($J$2:$J$1001,MATCH(ROWS($H$2:H93),$H$2:$H$1001,0),0),1)),INDEX($M$2:$M$1001,MATCH(ROWS($H$2:H93),$H$2:$H$1001,0),0)))</f>
        <v xml:space="preserve"> </v>
      </c>
      <c r="B93" s="3" t="str">
        <f ca="1">IF(OR(INDEX($I$2:$I$1001,MATCH(ROWS($H$2:H93),$H$2:$H$1001,0),1)&gt;=100000,INDEX($O$1005:$Q$1005,1,MATCH(COLUMNS($O$1006:O1006),$O$1006:$Q$1006,0))&gt;=100000), " ",IF(INDEX($O$2:$Q$1001,MATCH(ROWS($H$2:H93),$H$2:$H$1001,0),MATCH(COLUMNS($O$1006:O1006),$O$1006:$Q$1006,0)), HYPERLINK("#",""), HYPERLINK(CONCATENATE("#metadata!", ADDRESS(INDEX($J$2:$J$1001,MATCH(ROWS($H$2:H93),$H$2:$H$1001,0),0), INDEX($O$1004:$Q$1004,1,MATCH(COLUMNS($O$1006:O1006),$O$1006:$Q$1006,0)))),"Fix")))</f>
        <v xml:space="preserve"> </v>
      </c>
      <c r="C93" s="3" t="str">
        <f ca="1">IF(OR(INDEX($I$2:$I$1001,MATCH(ROWS($H$2:H93),$H$2:$H$1001,0),1)&gt;=100000,INDEX($O$1005:$Q$1005,1,MATCH(COLUMNS($O$1006:P1006),$O$1006:$Q$1006,0))&gt;=100000), " ",IF(INDEX($O$2:$Q$1001,MATCH(ROWS($H$2:H93),$H$2:$H$1001,0),MATCH(COLUMNS($O$1006:P1006),$O$1006:$Q$1006,0)), HYPERLINK("#",""), HYPERLINK(CONCATENATE("#metadata!", ADDRESS(INDEX($J$2:$J$1001,MATCH(ROWS($H$2:H93),$H$2:$H$1001,0),0), INDEX($O$1004:$Q$1004,1,MATCH(COLUMNS($O$1006:P1006),$O$1006:$Q$1006,0)))),"Fix")))</f>
        <v xml:space="preserve"> </v>
      </c>
      <c r="D93" s="3" t="str">
        <f ca="1">IF(OR(INDEX($I$2:$I$1001,MATCH(ROWS($H$2:H93),$H$2:$H$1001,0),1)&gt;=100000,INDEX($O$1005:$Q$1005,1,MATCH(COLUMNS($O$1006:Q1006),$O$1006:$Q$1006,0))&gt;=100000), " ",IF(INDEX($O$2:$Q$1001,MATCH(ROWS($H$2:H93),$H$2:$H$1001,0),MATCH(COLUMNS($O$1006:Q1006),$O$1006:$Q$1006,0)), HYPERLINK("#",""), HYPERLINK(CONCATENATE("#metadata!", ADDRESS(INDEX($J$2:$J$1001,MATCH(ROWS($H$2:H93),$H$2:$H$1001,0),0), INDEX($O$1004:$Q$1004,1,MATCH(COLUMNS($O$1006:Q1006),$O$1006:$Q$1006,0)))),"Fix")))</f>
        <v xml:space="preserve"> </v>
      </c>
      <c r="H93">
        <v>92</v>
      </c>
      <c r="I93">
        <v>100093</v>
      </c>
      <c r="J93">
        <v>93</v>
      </c>
      <c r="K93" t="b">
        <f t="shared" si="1"/>
        <v>1</v>
      </c>
      <c r="L93" t="b">
        <f>COUNTBLANK(metadata!B93:D93)=COLUMNS(metadata!B93:D93)</f>
        <v>1</v>
      </c>
      <c r="M93" t="str">
        <v/>
      </c>
      <c r="O93" t="b">
        <f ca="1"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P93" t="b">
        <f>AND(IF(metadata!C93="",FALSE,TRUE),EXACT(metadata!C93,"mouse gut metagenome"))</f>
        <v>0</v>
      </c>
      <c r="Q93" t="b">
        <f>AND(IF(metadata!D93="",FALSE,TRUE),EXACT(metadata!D93,"410661"))</f>
        <v>0</v>
      </c>
    </row>
    <row r="94" spans="1:17" x14ac:dyDescent="0.2">
      <c r="A94" s="4" t="str">
        <f ca="1">IF(B94=" "," ",HYPERLINK(CONCATENATE("#metadata!",ADDRESS(INDEX($J$2:$J$1001,MATCH(ROWS($H$2:H94),$H$2:$H$1001,0),0),1)),INDEX($M$2:$M$1001,MATCH(ROWS($H$2:H94),$H$2:$H$1001,0),0)))</f>
        <v xml:space="preserve"> </v>
      </c>
      <c r="B94" s="3" t="str">
        <f ca="1">IF(OR(INDEX($I$2:$I$1001,MATCH(ROWS($H$2:H94),$H$2:$H$1001,0),1)&gt;=100000,INDEX($O$1005:$Q$1005,1,MATCH(COLUMNS($O$1006:O1006),$O$1006:$Q$1006,0))&gt;=100000), " ",IF(INDEX($O$2:$Q$1001,MATCH(ROWS($H$2:H94),$H$2:$H$1001,0),MATCH(COLUMNS($O$1006:O1006),$O$1006:$Q$1006,0)), HYPERLINK("#",""), HYPERLINK(CONCATENATE("#metadata!", ADDRESS(INDEX($J$2:$J$1001,MATCH(ROWS($H$2:H94),$H$2:$H$1001,0),0), INDEX($O$1004:$Q$1004,1,MATCH(COLUMNS($O$1006:O1006),$O$1006:$Q$1006,0)))),"Fix")))</f>
        <v xml:space="preserve"> </v>
      </c>
      <c r="C94" s="3" t="str">
        <f ca="1">IF(OR(INDEX($I$2:$I$1001,MATCH(ROWS($H$2:H94),$H$2:$H$1001,0),1)&gt;=100000,INDEX($O$1005:$Q$1005,1,MATCH(COLUMNS($O$1006:P1006),$O$1006:$Q$1006,0))&gt;=100000), " ",IF(INDEX($O$2:$Q$1001,MATCH(ROWS($H$2:H94),$H$2:$H$1001,0),MATCH(COLUMNS($O$1006:P1006),$O$1006:$Q$1006,0)), HYPERLINK("#",""), HYPERLINK(CONCATENATE("#metadata!", ADDRESS(INDEX($J$2:$J$1001,MATCH(ROWS($H$2:H94),$H$2:$H$1001,0),0), INDEX($O$1004:$Q$1004,1,MATCH(COLUMNS($O$1006:P1006),$O$1006:$Q$1006,0)))),"Fix")))</f>
        <v xml:space="preserve"> </v>
      </c>
      <c r="D94" s="3" t="str">
        <f ca="1">IF(OR(INDEX($I$2:$I$1001,MATCH(ROWS($H$2:H94),$H$2:$H$1001,0),1)&gt;=100000,INDEX($O$1005:$Q$1005,1,MATCH(COLUMNS($O$1006:Q1006),$O$1006:$Q$1006,0))&gt;=100000), " ",IF(INDEX($O$2:$Q$1001,MATCH(ROWS($H$2:H94),$H$2:$H$1001,0),MATCH(COLUMNS($O$1006:Q1006),$O$1006:$Q$1006,0)), HYPERLINK("#",""), HYPERLINK(CONCATENATE("#metadata!", ADDRESS(INDEX($J$2:$J$1001,MATCH(ROWS($H$2:H94),$H$2:$H$1001,0),0), INDEX($O$1004:$Q$1004,1,MATCH(COLUMNS($O$1006:Q1006),$O$1006:$Q$1006,0)))),"Fix")))</f>
        <v xml:space="preserve"> </v>
      </c>
      <c r="H94">
        <v>93</v>
      </c>
      <c r="I94">
        <v>100094</v>
      </c>
      <c r="J94">
        <v>94</v>
      </c>
      <c r="K94" t="b">
        <f t="shared" si="1"/>
        <v>1</v>
      </c>
      <c r="L94" t="b">
        <f>COUNTBLANK(metadata!B94:D94)=COLUMNS(metadata!B94:D94)</f>
        <v>1</v>
      </c>
      <c r="M94" t="str">
        <v/>
      </c>
      <c r="O94" t="b">
        <f ca="1"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P94" t="b">
        <f>AND(IF(metadata!C94="",FALSE,TRUE),EXACT(metadata!C94,"mouse gut metagenome"))</f>
        <v>0</v>
      </c>
      <c r="Q94" t="b">
        <f>AND(IF(metadata!D94="",FALSE,TRUE),EXACT(metadata!D94,"410661"))</f>
        <v>0</v>
      </c>
    </row>
    <row r="95" spans="1:17" x14ac:dyDescent="0.2">
      <c r="A95" s="4" t="str">
        <f ca="1">IF(B95=" "," ",HYPERLINK(CONCATENATE("#metadata!",ADDRESS(INDEX($J$2:$J$1001,MATCH(ROWS($H$2:H95),$H$2:$H$1001,0),0),1)),INDEX($M$2:$M$1001,MATCH(ROWS($H$2:H95),$H$2:$H$1001,0),0)))</f>
        <v xml:space="preserve"> </v>
      </c>
      <c r="B95" s="3" t="str">
        <f ca="1">IF(OR(INDEX($I$2:$I$1001,MATCH(ROWS($H$2:H95),$H$2:$H$1001,0),1)&gt;=100000,INDEX($O$1005:$Q$1005,1,MATCH(COLUMNS($O$1006:O1006),$O$1006:$Q$1006,0))&gt;=100000), " ",IF(INDEX($O$2:$Q$1001,MATCH(ROWS($H$2:H95),$H$2:$H$1001,0),MATCH(COLUMNS($O$1006:O1006),$O$1006:$Q$1006,0)), HYPERLINK("#",""), HYPERLINK(CONCATENATE("#metadata!", ADDRESS(INDEX($J$2:$J$1001,MATCH(ROWS($H$2:H95),$H$2:$H$1001,0),0), INDEX($O$1004:$Q$1004,1,MATCH(COLUMNS($O$1006:O1006),$O$1006:$Q$1006,0)))),"Fix")))</f>
        <v xml:space="preserve"> </v>
      </c>
      <c r="C95" s="3" t="str">
        <f ca="1">IF(OR(INDEX($I$2:$I$1001,MATCH(ROWS($H$2:H95),$H$2:$H$1001,0),1)&gt;=100000,INDEX($O$1005:$Q$1005,1,MATCH(COLUMNS($O$1006:P1006),$O$1006:$Q$1006,0))&gt;=100000), " ",IF(INDEX($O$2:$Q$1001,MATCH(ROWS($H$2:H95),$H$2:$H$1001,0),MATCH(COLUMNS($O$1006:P1006),$O$1006:$Q$1006,0)), HYPERLINK("#",""), HYPERLINK(CONCATENATE("#metadata!", ADDRESS(INDEX($J$2:$J$1001,MATCH(ROWS($H$2:H95),$H$2:$H$1001,0),0), INDEX($O$1004:$Q$1004,1,MATCH(COLUMNS($O$1006:P1006),$O$1006:$Q$1006,0)))),"Fix")))</f>
        <v xml:space="preserve"> </v>
      </c>
      <c r="D95" s="3" t="str">
        <f ca="1">IF(OR(INDEX($I$2:$I$1001,MATCH(ROWS($H$2:H95),$H$2:$H$1001,0),1)&gt;=100000,INDEX($O$1005:$Q$1005,1,MATCH(COLUMNS($O$1006:Q1006),$O$1006:$Q$1006,0))&gt;=100000), " ",IF(INDEX($O$2:$Q$1001,MATCH(ROWS($H$2:H95),$H$2:$H$1001,0),MATCH(COLUMNS($O$1006:Q1006),$O$1006:$Q$1006,0)), HYPERLINK("#",""), HYPERLINK(CONCATENATE("#metadata!", ADDRESS(INDEX($J$2:$J$1001,MATCH(ROWS($H$2:H95),$H$2:$H$1001,0),0), INDEX($O$1004:$Q$1004,1,MATCH(COLUMNS($O$1006:Q1006),$O$1006:$Q$1006,0)))),"Fix")))</f>
        <v xml:space="preserve"> </v>
      </c>
      <c r="H95">
        <v>94</v>
      </c>
      <c r="I95">
        <v>100095</v>
      </c>
      <c r="J95">
        <v>95</v>
      </c>
      <c r="K95" t="b">
        <f t="shared" si="1"/>
        <v>1</v>
      </c>
      <c r="L95" t="b">
        <f>COUNTBLANK(metadata!B95:D95)=COLUMNS(metadata!B95:D95)</f>
        <v>1</v>
      </c>
      <c r="M95" t="str">
        <v/>
      </c>
      <c r="O95" t="b">
        <f ca="1"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P95" t="b">
        <f>AND(IF(metadata!C95="",FALSE,TRUE),EXACT(metadata!C95,"mouse gut metagenome"))</f>
        <v>0</v>
      </c>
      <c r="Q95" t="b">
        <f>AND(IF(metadata!D95="",FALSE,TRUE),EXACT(metadata!D95,"410661"))</f>
        <v>0</v>
      </c>
    </row>
    <row r="96" spans="1:17" x14ac:dyDescent="0.2">
      <c r="A96" s="4" t="str">
        <f ca="1">IF(B96=" "," ",HYPERLINK(CONCATENATE("#metadata!",ADDRESS(INDEX($J$2:$J$1001,MATCH(ROWS($H$2:H96),$H$2:$H$1001,0),0),1)),INDEX($M$2:$M$1001,MATCH(ROWS($H$2:H96),$H$2:$H$1001,0),0)))</f>
        <v xml:space="preserve"> </v>
      </c>
      <c r="B96" s="3" t="str">
        <f ca="1">IF(OR(INDEX($I$2:$I$1001,MATCH(ROWS($H$2:H96),$H$2:$H$1001,0),1)&gt;=100000,INDEX($O$1005:$Q$1005,1,MATCH(COLUMNS($O$1006:O1006),$O$1006:$Q$1006,0))&gt;=100000), " ",IF(INDEX($O$2:$Q$1001,MATCH(ROWS($H$2:H96),$H$2:$H$1001,0),MATCH(COLUMNS($O$1006:O1006),$O$1006:$Q$1006,0)), HYPERLINK("#",""), HYPERLINK(CONCATENATE("#metadata!", ADDRESS(INDEX($J$2:$J$1001,MATCH(ROWS($H$2:H96),$H$2:$H$1001,0),0), INDEX($O$1004:$Q$1004,1,MATCH(COLUMNS($O$1006:O1006),$O$1006:$Q$1006,0)))),"Fix")))</f>
        <v xml:space="preserve"> </v>
      </c>
      <c r="C96" s="3" t="str">
        <f ca="1">IF(OR(INDEX($I$2:$I$1001,MATCH(ROWS($H$2:H96),$H$2:$H$1001,0),1)&gt;=100000,INDEX($O$1005:$Q$1005,1,MATCH(COLUMNS($O$1006:P1006),$O$1006:$Q$1006,0))&gt;=100000), " ",IF(INDEX($O$2:$Q$1001,MATCH(ROWS($H$2:H96),$H$2:$H$1001,0),MATCH(COLUMNS($O$1006:P1006),$O$1006:$Q$1006,0)), HYPERLINK("#",""), HYPERLINK(CONCATENATE("#metadata!", ADDRESS(INDEX($J$2:$J$1001,MATCH(ROWS($H$2:H96),$H$2:$H$1001,0),0), INDEX($O$1004:$Q$1004,1,MATCH(COLUMNS($O$1006:P1006),$O$1006:$Q$1006,0)))),"Fix")))</f>
        <v xml:space="preserve"> </v>
      </c>
      <c r="D96" s="3" t="str">
        <f ca="1">IF(OR(INDEX($I$2:$I$1001,MATCH(ROWS($H$2:H96),$H$2:$H$1001,0),1)&gt;=100000,INDEX($O$1005:$Q$1005,1,MATCH(COLUMNS($O$1006:Q1006),$O$1006:$Q$1006,0))&gt;=100000), " ",IF(INDEX($O$2:$Q$1001,MATCH(ROWS($H$2:H96),$H$2:$H$1001,0),MATCH(COLUMNS($O$1006:Q1006),$O$1006:$Q$1006,0)), HYPERLINK("#",""), HYPERLINK(CONCATENATE("#metadata!", ADDRESS(INDEX($J$2:$J$1001,MATCH(ROWS($H$2:H96),$H$2:$H$1001,0),0), INDEX($O$1004:$Q$1004,1,MATCH(COLUMNS($O$1006:Q1006),$O$1006:$Q$1006,0)))),"Fix")))</f>
        <v xml:space="preserve"> </v>
      </c>
      <c r="H96">
        <v>95</v>
      </c>
      <c r="I96">
        <v>100096</v>
      </c>
      <c r="J96">
        <v>96</v>
      </c>
      <c r="K96" t="b">
        <f t="shared" si="1"/>
        <v>1</v>
      </c>
      <c r="L96" t="b">
        <f>COUNTBLANK(metadata!B96:D96)=COLUMNS(metadata!B96:D96)</f>
        <v>1</v>
      </c>
      <c r="M96" t="str">
        <v/>
      </c>
      <c r="O96" t="b">
        <f ca="1"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P96" t="b">
        <f>AND(IF(metadata!C96="",FALSE,TRUE),EXACT(metadata!C96,"mouse gut metagenome"))</f>
        <v>0</v>
      </c>
      <c r="Q96" t="b">
        <f>AND(IF(metadata!D96="",FALSE,TRUE),EXACT(metadata!D96,"410661"))</f>
        <v>0</v>
      </c>
    </row>
    <row r="97" spans="1:17" x14ac:dyDescent="0.2">
      <c r="A97" s="4" t="str">
        <f ca="1">IF(B97=" "," ",HYPERLINK(CONCATENATE("#metadata!",ADDRESS(INDEX($J$2:$J$1001,MATCH(ROWS($H$2:H97),$H$2:$H$1001,0),0),1)),INDEX($M$2:$M$1001,MATCH(ROWS($H$2:H97),$H$2:$H$1001,0),0)))</f>
        <v xml:space="preserve"> </v>
      </c>
      <c r="B97" s="3" t="str">
        <f ca="1">IF(OR(INDEX($I$2:$I$1001,MATCH(ROWS($H$2:H97),$H$2:$H$1001,0),1)&gt;=100000,INDEX($O$1005:$Q$1005,1,MATCH(COLUMNS($O$1006:O1006),$O$1006:$Q$1006,0))&gt;=100000), " ",IF(INDEX($O$2:$Q$1001,MATCH(ROWS($H$2:H97),$H$2:$H$1001,0),MATCH(COLUMNS($O$1006:O1006),$O$1006:$Q$1006,0)), HYPERLINK("#",""), HYPERLINK(CONCATENATE("#metadata!", ADDRESS(INDEX($J$2:$J$1001,MATCH(ROWS($H$2:H97),$H$2:$H$1001,0),0), INDEX($O$1004:$Q$1004,1,MATCH(COLUMNS($O$1006:O1006),$O$1006:$Q$1006,0)))),"Fix")))</f>
        <v xml:space="preserve"> </v>
      </c>
      <c r="C97" s="3" t="str">
        <f ca="1">IF(OR(INDEX($I$2:$I$1001,MATCH(ROWS($H$2:H97),$H$2:$H$1001,0),1)&gt;=100000,INDEX($O$1005:$Q$1005,1,MATCH(COLUMNS($O$1006:P1006),$O$1006:$Q$1006,0))&gt;=100000), " ",IF(INDEX($O$2:$Q$1001,MATCH(ROWS($H$2:H97),$H$2:$H$1001,0),MATCH(COLUMNS($O$1006:P1006),$O$1006:$Q$1006,0)), HYPERLINK("#",""), HYPERLINK(CONCATENATE("#metadata!", ADDRESS(INDEX($J$2:$J$1001,MATCH(ROWS($H$2:H97),$H$2:$H$1001,0),0), INDEX($O$1004:$Q$1004,1,MATCH(COLUMNS($O$1006:P1006),$O$1006:$Q$1006,0)))),"Fix")))</f>
        <v xml:space="preserve"> </v>
      </c>
      <c r="D97" s="3" t="str">
        <f ca="1">IF(OR(INDEX($I$2:$I$1001,MATCH(ROWS($H$2:H97),$H$2:$H$1001,0),1)&gt;=100000,INDEX($O$1005:$Q$1005,1,MATCH(COLUMNS($O$1006:Q1006),$O$1006:$Q$1006,0))&gt;=100000), " ",IF(INDEX($O$2:$Q$1001,MATCH(ROWS($H$2:H97),$H$2:$H$1001,0),MATCH(COLUMNS($O$1006:Q1006),$O$1006:$Q$1006,0)), HYPERLINK("#",""), HYPERLINK(CONCATENATE("#metadata!", ADDRESS(INDEX($J$2:$J$1001,MATCH(ROWS($H$2:H97),$H$2:$H$1001,0),0), INDEX($O$1004:$Q$1004,1,MATCH(COLUMNS($O$1006:Q1006),$O$1006:$Q$1006,0)))),"Fix")))</f>
        <v xml:space="preserve"> </v>
      </c>
      <c r="H97">
        <v>96</v>
      </c>
      <c r="I97">
        <v>100097</v>
      </c>
      <c r="J97">
        <v>97</v>
      </c>
      <c r="K97" t="b">
        <f t="shared" si="1"/>
        <v>1</v>
      </c>
      <c r="L97" t="b">
        <f>COUNTBLANK(metadata!B97:D97)=COLUMNS(metadata!B97:D97)</f>
        <v>1</v>
      </c>
      <c r="M97" t="str">
        <v/>
      </c>
      <c r="O97" t="b">
        <f ca="1"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P97" t="b">
        <f>AND(IF(metadata!C97="",FALSE,TRUE),EXACT(metadata!C97,"mouse gut metagenome"))</f>
        <v>0</v>
      </c>
      <c r="Q97" t="b">
        <f>AND(IF(metadata!D97="",FALSE,TRUE),EXACT(metadata!D97,"410661"))</f>
        <v>0</v>
      </c>
    </row>
    <row r="98" spans="1:17" x14ac:dyDescent="0.2">
      <c r="A98" s="4" t="str">
        <f ca="1">IF(B98=" "," ",HYPERLINK(CONCATENATE("#metadata!",ADDRESS(INDEX($J$2:$J$1001,MATCH(ROWS($H$2:H98),$H$2:$H$1001,0),0),1)),INDEX($M$2:$M$1001,MATCH(ROWS($H$2:H98),$H$2:$H$1001,0),0)))</f>
        <v xml:space="preserve"> </v>
      </c>
      <c r="B98" s="3" t="str">
        <f ca="1">IF(OR(INDEX($I$2:$I$1001,MATCH(ROWS($H$2:H98),$H$2:$H$1001,0),1)&gt;=100000,INDEX($O$1005:$Q$1005,1,MATCH(COLUMNS($O$1006:O1006),$O$1006:$Q$1006,0))&gt;=100000), " ",IF(INDEX($O$2:$Q$1001,MATCH(ROWS($H$2:H98),$H$2:$H$1001,0),MATCH(COLUMNS($O$1006:O1006),$O$1006:$Q$1006,0)), HYPERLINK("#",""), HYPERLINK(CONCATENATE("#metadata!", ADDRESS(INDEX($J$2:$J$1001,MATCH(ROWS($H$2:H98),$H$2:$H$1001,0),0), INDEX($O$1004:$Q$1004,1,MATCH(COLUMNS($O$1006:O1006),$O$1006:$Q$1006,0)))),"Fix")))</f>
        <v xml:space="preserve"> </v>
      </c>
      <c r="C98" s="3" t="str">
        <f ca="1">IF(OR(INDEX($I$2:$I$1001,MATCH(ROWS($H$2:H98),$H$2:$H$1001,0),1)&gt;=100000,INDEX($O$1005:$Q$1005,1,MATCH(COLUMNS($O$1006:P1006),$O$1006:$Q$1006,0))&gt;=100000), " ",IF(INDEX($O$2:$Q$1001,MATCH(ROWS($H$2:H98),$H$2:$H$1001,0),MATCH(COLUMNS($O$1006:P1006),$O$1006:$Q$1006,0)), HYPERLINK("#",""), HYPERLINK(CONCATENATE("#metadata!", ADDRESS(INDEX($J$2:$J$1001,MATCH(ROWS($H$2:H98),$H$2:$H$1001,0),0), INDEX($O$1004:$Q$1004,1,MATCH(COLUMNS($O$1006:P1006),$O$1006:$Q$1006,0)))),"Fix")))</f>
        <v xml:space="preserve"> </v>
      </c>
      <c r="D98" s="3" t="str">
        <f ca="1">IF(OR(INDEX($I$2:$I$1001,MATCH(ROWS($H$2:H98),$H$2:$H$1001,0),1)&gt;=100000,INDEX($O$1005:$Q$1005,1,MATCH(COLUMNS($O$1006:Q1006),$O$1006:$Q$1006,0))&gt;=100000), " ",IF(INDEX($O$2:$Q$1001,MATCH(ROWS($H$2:H98),$H$2:$H$1001,0),MATCH(COLUMNS($O$1006:Q1006),$O$1006:$Q$1006,0)), HYPERLINK("#",""), HYPERLINK(CONCATENATE("#metadata!", ADDRESS(INDEX($J$2:$J$1001,MATCH(ROWS($H$2:H98),$H$2:$H$1001,0),0), INDEX($O$1004:$Q$1004,1,MATCH(COLUMNS($O$1006:Q1006),$O$1006:$Q$1006,0)))),"Fix")))</f>
        <v xml:space="preserve"> </v>
      </c>
      <c r="H98">
        <v>97</v>
      </c>
      <c r="I98">
        <v>100098</v>
      </c>
      <c r="J98">
        <v>98</v>
      </c>
      <c r="K98" t="b">
        <f t="shared" si="1"/>
        <v>1</v>
      </c>
      <c r="L98" t="b">
        <f>COUNTBLANK(metadata!B98:D98)=COLUMNS(metadata!B98:D98)</f>
        <v>1</v>
      </c>
      <c r="M98" t="str">
        <v/>
      </c>
      <c r="O98" t="b">
        <f ca="1"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P98" t="b">
        <f>AND(IF(metadata!C98="",FALSE,TRUE),EXACT(metadata!C98,"mouse gut metagenome"))</f>
        <v>0</v>
      </c>
      <c r="Q98" t="b">
        <f>AND(IF(metadata!D98="",FALSE,TRUE),EXACT(metadata!D98,"410661"))</f>
        <v>0</v>
      </c>
    </row>
    <row r="99" spans="1:17" x14ac:dyDescent="0.2">
      <c r="A99" s="4" t="str">
        <f ca="1">IF(B99=" "," ",HYPERLINK(CONCATENATE("#metadata!",ADDRESS(INDEX($J$2:$J$1001,MATCH(ROWS($H$2:H99),$H$2:$H$1001,0),0),1)),INDEX($M$2:$M$1001,MATCH(ROWS($H$2:H99),$H$2:$H$1001,0),0)))</f>
        <v xml:space="preserve"> </v>
      </c>
      <c r="B99" s="3" t="str">
        <f ca="1">IF(OR(INDEX($I$2:$I$1001,MATCH(ROWS($H$2:H99),$H$2:$H$1001,0),1)&gt;=100000,INDEX($O$1005:$Q$1005,1,MATCH(COLUMNS($O$1006:O1006),$O$1006:$Q$1006,0))&gt;=100000), " ",IF(INDEX($O$2:$Q$1001,MATCH(ROWS($H$2:H99),$H$2:$H$1001,0),MATCH(COLUMNS($O$1006:O1006),$O$1006:$Q$1006,0)), HYPERLINK("#",""), HYPERLINK(CONCATENATE("#metadata!", ADDRESS(INDEX($J$2:$J$1001,MATCH(ROWS($H$2:H99),$H$2:$H$1001,0),0), INDEX($O$1004:$Q$1004,1,MATCH(COLUMNS($O$1006:O1006),$O$1006:$Q$1006,0)))),"Fix")))</f>
        <v xml:space="preserve"> </v>
      </c>
      <c r="C99" s="3" t="str">
        <f ca="1">IF(OR(INDEX($I$2:$I$1001,MATCH(ROWS($H$2:H99),$H$2:$H$1001,0),1)&gt;=100000,INDEX($O$1005:$Q$1005,1,MATCH(COLUMNS($O$1006:P1006),$O$1006:$Q$1006,0))&gt;=100000), " ",IF(INDEX($O$2:$Q$1001,MATCH(ROWS($H$2:H99),$H$2:$H$1001,0),MATCH(COLUMNS($O$1006:P1006),$O$1006:$Q$1006,0)), HYPERLINK("#",""), HYPERLINK(CONCATENATE("#metadata!", ADDRESS(INDEX($J$2:$J$1001,MATCH(ROWS($H$2:H99),$H$2:$H$1001,0),0), INDEX($O$1004:$Q$1004,1,MATCH(COLUMNS($O$1006:P1006),$O$1006:$Q$1006,0)))),"Fix")))</f>
        <v xml:space="preserve"> </v>
      </c>
      <c r="D99" s="3" t="str">
        <f ca="1">IF(OR(INDEX($I$2:$I$1001,MATCH(ROWS($H$2:H99),$H$2:$H$1001,0),1)&gt;=100000,INDEX($O$1005:$Q$1005,1,MATCH(COLUMNS($O$1006:Q1006),$O$1006:$Q$1006,0))&gt;=100000), " ",IF(INDEX($O$2:$Q$1001,MATCH(ROWS($H$2:H99),$H$2:$H$1001,0),MATCH(COLUMNS($O$1006:Q1006),$O$1006:$Q$1006,0)), HYPERLINK("#",""), HYPERLINK(CONCATENATE("#metadata!", ADDRESS(INDEX($J$2:$J$1001,MATCH(ROWS($H$2:H99),$H$2:$H$1001,0),0), INDEX($O$1004:$Q$1004,1,MATCH(COLUMNS($O$1006:Q1006),$O$1006:$Q$1006,0)))),"Fix")))</f>
        <v xml:space="preserve"> </v>
      </c>
      <c r="H99">
        <v>98</v>
      </c>
      <c r="I99">
        <v>100099</v>
      </c>
      <c r="J99">
        <v>99</v>
      </c>
      <c r="K99" t="b">
        <f t="shared" si="1"/>
        <v>1</v>
      </c>
      <c r="L99" t="b">
        <f>COUNTBLANK(metadata!B99:D99)=COLUMNS(metadata!B99:D99)</f>
        <v>1</v>
      </c>
      <c r="M99" t="str">
        <v/>
      </c>
      <c r="O99" t="b">
        <f ca="1"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P99" t="b">
        <f>AND(IF(metadata!C99="",FALSE,TRUE),EXACT(metadata!C99,"mouse gut metagenome"))</f>
        <v>0</v>
      </c>
      <c r="Q99" t="b">
        <f>AND(IF(metadata!D99="",FALSE,TRUE),EXACT(metadata!D99,"410661"))</f>
        <v>0</v>
      </c>
    </row>
    <row r="100" spans="1:17" x14ac:dyDescent="0.2">
      <c r="A100" s="4" t="str">
        <f ca="1">IF(B100=" "," ",HYPERLINK(CONCATENATE("#metadata!",ADDRESS(INDEX($J$2:$J$1001,MATCH(ROWS($H$2:H100),$H$2:$H$1001,0),0),1)),INDEX($M$2:$M$1001,MATCH(ROWS($H$2:H100),$H$2:$H$1001,0),0)))</f>
        <v xml:space="preserve"> </v>
      </c>
      <c r="B100" s="3" t="str">
        <f ca="1">IF(OR(INDEX($I$2:$I$1001,MATCH(ROWS($H$2:H100),$H$2:$H$1001,0),1)&gt;=100000,INDEX($O$1005:$Q$1005,1,MATCH(COLUMNS($O$1006:O1006),$O$1006:$Q$1006,0))&gt;=100000), " ",IF(INDEX($O$2:$Q$1001,MATCH(ROWS($H$2:H100),$H$2:$H$1001,0),MATCH(COLUMNS($O$1006:O1006),$O$1006:$Q$1006,0)), HYPERLINK("#",""), HYPERLINK(CONCATENATE("#metadata!", ADDRESS(INDEX($J$2:$J$1001,MATCH(ROWS($H$2:H100),$H$2:$H$1001,0),0), INDEX($O$1004:$Q$1004,1,MATCH(COLUMNS($O$1006:O1006),$O$1006:$Q$1006,0)))),"Fix")))</f>
        <v xml:space="preserve"> </v>
      </c>
      <c r="C100" s="3" t="str">
        <f ca="1">IF(OR(INDEX($I$2:$I$1001,MATCH(ROWS($H$2:H100),$H$2:$H$1001,0),1)&gt;=100000,INDEX($O$1005:$Q$1005,1,MATCH(COLUMNS($O$1006:P1006),$O$1006:$Q$1006,0))&gt;=100000), " ",IF(INDEX($O$2:$Q$1001,MATCH(ROWS($H$2:H100),$H$2:$H$1001,0),MATCH(COLUMNS($O$1006:P1006),$O$1006:$Q$1006,0)), HYPERLINK("#",""), HYPERLINK(CONCATENATE("#metadata!", ADDRESS(INDEX($J$2:$J$1001,MATCH(ROWS($H$2:H100),$H$2:$H$1001,0),0), INDEX($O$1004:$Q$1004,1,MATCH(COLUMNS($O$1006:P1006),$O$1006:$Q$1006,0)))),"Fix")))</f>
        <v xml:space="preserve"> </v>
      </c>
      <c r="D100" s="3" t="str">
        <f ca="1">IF(OR(INDEX($I$2:$I$1001,MATCH(ROWS($H$2:H100),$H$2:$H$1001,0),1)&gt;=100000,INDEX($O$1005:$Q$1005,1,MATCH(COLUMNS($O$1006:Q1006),$O$1006:$Q$1006,0))&gt;=100000), " ",IF(INDEX($O$2:$Q$1001,MATCH(ROWS($H$2:H100),$H$2:$H$1001,0),MATCH(COLUMNS($O$1006:Q1006),$O$1006:$Q$1006,0)), HYPERLINK("#",""), HYPERLINK(CONCATENATE("#metadata!", ADDRESS(INDEX($J$2:$J$1001,MATCH(ROWS($H$2:H100),$H$2:$H$1001,0),0), INDEX($O$1004:$Q$1004,1,MATCH(COLUMNS($O$1006:Q1006),$O$1006:$Q$1006,0)))),"Fix")))</f>
        <v xml:space="preserve"> </v>
      </c>
      <c r="H100">
        <v>99</v>
      </c>
      <c r="I100">
        <v>100100</v>
      </c>
      <c r="J100">
        <v>100</v>
      </c>
      <c r="K100" t="b">
        <f t="shared" si="1"/>
        <v>1</v>
      </c>
      <c r="L100" t="b">
        <f>COUNTBLANK(metadata!B100:D100)=COLUMNS(metadata!B100:D100)</f>
        <v>1</v>
      </c>
      <c r="M100" t="str">
        <v/>
      </c>
      <c r="O100" t="b">
        <f ca="1"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P100" t="b">
        <f>AND(IF(metadata!C100="",FALSE,TRUE),EXACT(metadata!C100,"mouse gut metagenome"))</f>
        <v>0</v>
      </c>
      <c r="Q100" t="b">
        <f>AND(IF(metadata!D100="",FALSE,TRUE),EXACT(metadata!D100,"410661"))</f>
        <v>0</v>
      </c>
    </row>
    <row r="101" spans="1:17" x14ac:dyDescent="0.2">
      <c r="A101" s="4" t="str">
        <f ca="1">IF(B101=" "," ",HYPERLINK(CONCATENATE("#metadata!",ADDRESS(INDEX($J$2:$J$1001,MATCH(ROWS($H$2:H101),$H$2:$H$1001,0),0),1)),INDEX($M$2:$M$1001,MATCH(ROWS($H$2:H101),$H$2:$H$1001,0),0)))</f>
        <v xml:space="preserve"> </v>
      </c>
      <c r="B101" s="3" t="str">
        <f ca="1">IF(OR(INDEX($I$2:$I$1001,MATCH(ROWS($H$2:H101),$H$2:$H$1001,0),1)&gt;=100000,INDEX($O$1005:$Q$1005,1,MATCH(COLUMNS($O$1006:O1006),$O$1006:$Q$1006,0))&gt;=100000), " ",IF(INDEX($O$2:$Q$1001,MATCH(ROWS($H$2:H101),$H$2:$H$1001,0),MATCH(COLUMNS($O$1006:O1006),$O$1006:$Q$1006,0)), HYPERLINK("#",""), HYPERLINK(CONCATENATE("#metadata!", ADDRESS(INDEX($J$2:$J$1001,MATCH(ROWS($H$2:H101),$H$2:$H$1001,0),0), INDEX($O$1004:$Q$1004,1,MATCH(COLUMNS($O$1006:O1006),$O$1006:$Q$1006,0)))),"Fix")))</f>
        <v xml:space="preserve"> </v>
      </c>
      <c r="C101" s="3" t="str">
        <f ca="1">IF(OR(INDEX($I$2:$I$1001,MATCH(ROWS($H$2:H101),$H$2:$H$1001,0),1)&gt;=100000,INDEX($O$1005:$Q$1005,1,MATCH(COLUMNS($O$1006:P1006),$O$1006:$Q$1006,0))&gt;=100000), " ",IF(INDEX($O$2:$Q$1001,MATCH(ROWS($H$2:H101),$H$2:$H$1001,0),MATCH(COLUMNS($O$1006:P1006),$O$1006:$Q$1006,0)), HYPERLINK("#",""), HYPERLINK(CONCATENATE("#metadata!", ADDRESS(INDEX($J$2:$J$1001,MATCH(ROWS($H$2:H101),$H$2:$H$1001,0),0), INDEX($O$1004:$Q$1004,1,MATCH(COLUMNS($O$1006:P1006),$O$1006:$Q$1006,0)))),"Fix")))</f>
        <v xml:space="preserve"> </v>
      </c>
      <c r="D101" s="3" t="str">
        <f ca="1">IF(OR(INDEX($I$2:$I$1001,MATCH(ROWS($H$2:H101),$H$2:$H$1001,0),1)&gt;=100000,INDEX($O$1005:$Q$1005,1,MATCH(COLUMNS($O$1006:Q1006),$O$1006:$Q$1006,0))&gt;=100000), " ",IF(INDEX($O$2:$Q$1001,MATCH(ROWS($H$2:H101),$H$2:$H$1001,0),MATCH(COLUMNS($O$1006:Q1006),$O$1006:$Q$1006,0)), HYPERLINK("#",""), HYPERLINK(CONCATENATE("#metadata!", ADDRESS(INDEX($J$2:$J$1001,MATCH(ROWS($H$2:H101),$H$2:$H$1001,0),0), INDEX($O$1004:$Q$1004,1,MATCH(COLUMNS($O$1006:Q1006),$O$1006:$Q$1006,0)))),"Fix")))</f>
        <v xml:space="preserve"> </v>
      </c>
      <c r="H101">
        <v>100</v>
      </c>
      <c r="I101">
        <v>100101</v>
      </c>
      <c r="J101">
        <v>101</v>
      </c>
      <c r="K101" t="b">
        <f t="shared" si="1"/>
        <v>1</v>
      </c>
      <c r="L101" t="b">
        <f>COUNTBLANK(metadata!B101:D101)=COLUMNS(metadata!B101:D101)</f>
        <v>1</v>
      </c>
      <c r="M101" t="str">
        <v/>
      </c>
      <c r="O101" t="b">
        <f ca="1"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P101" t="b">
        <f>AND(IF(metadata!C101="",FALSE,TRUE),EXACT(metadata!C101,"mouse gut metagenome"))</f>
        <v>0</v>
      </c>
      <c r="Q101" t="b">
        <f>AND(IF(metadata!D101="",FALSE,TRUE),EXACT(metadata!D101,"410661"))</f>
        <v>0</v>
      </c>
    </row>
    <row r="102" spans="1:17" x14ac:dyDescent="0.2">
      <c r="A102" s="4" t="str">
        <f ca="1">IF(B102=" "," ",HYPERLINK(CONCATENATE("#metadata!",ADDRESS(INDEX($J$2:$J$1001,MATCH(ROWS($H$2:H102),$H$2:$H$1001,0),0),1)),INDEX($M$2:$M$1001,MATCH(ROWS($H$2:H102),$H$2:$H$1001,0),0)))</f>
        <v xml:space="preserve"> </v>
      </c>
      <c r="B102" s="3" t="str">
        <f ca="1">IF(OR(INDEX($I$2:$I$1001,MATCH(ROWS($H$2:H102),$H$2:$H$1001,0),1)&gt;=100000,INDEX($O$1005:$Q$1005,1,MATCH(COLUMNS($O$1006:O1006),$O$1006:$Q$1006,0))&gt;=100000), " ",IF(INDEX($O$2:$Q$1001,MATCH(ROWS($H$2:H102),$H$2:$H$1001,0),MATCH(COLUMNS($O$1006:O1006),$O$1006:$Q$1006,0)), HYPERLINK("#",""), HYPERLINK(CONCATENATE("#metadata!", ADDRESS(INDEX($J$2:$J$1001,MATCH(ROWS($H$2:H102),$H$2:$H$1001,0),0), INDEX($O$1004:$Q$1004,1,MATCH(COLUMNS($O$1006:O1006),$O$1006:$Q$1006,0)))),"Fix")))</f>
        <v xml:space="preserve"> </v>
      </c>
      <c r="C102" s="3" t="str">
        <f ca="1">IF(OR(INDEX($I$2:$I$1001,MATCH(ROWS($H$2:H102),$H$2:$H$1001,0),1)&gt;=100000,INDEX($O$1005:$Q$1005,1,MATCH(COLUMNS($O$1006:P1006),$O$1006:$Q$1006,0))&gt;=100000), " ",IF(INDEX($O$2:$Q$1001,MATCH(ROWS($H$2:H102),$H$2:$H$1001,0),MATCH(COLUMNS($O$1006:P1006),$O$1006:$Q$1006,0)), HYPERLINK("#",""), HYPERLINK(CONCATENATE("#metadata!", ADDRESS(INDEX($J$2:$J$1001,MATCH(ROWS($H$2:H102),$H$2:$H$1001,0),0), INDEX($O$1004:$Q$1004,1,MATCH(COLUMNS($O$1006:P1006),$O$1006:$Q$1006,0)))),"Fix")))</f>
        <v xml:space="preserve"> </v>
      </c>
      <c r="D102" s="3" t="str">
        <f ca="1">IF(OR(INDEX($I$2:$I$1001,MATCH(ROWS($H$2:H102),$H$2:$H$1001,0),1)&gt;=100000,INDEX($O$1005:$Q$1005,1,MATCH(COLUMNS($O$1006:Q1006),$O$1006:$Q$1006,0))&gt;=100000), " ",IF(INDEX($O$2:$Q$1001,MATCH(ROWS($H$2:H102),$H$2:$H$1001,0),MATCH(COLUMNS($O$1006:Q1006),$O$1006:$Q$1006,0)), HYPERLINK("#",""), HYPERLINK(CONCATENATE("#metadata!", ADDRESS(INDEX($J$2:$J$1001,MATCH(ROWS($H$2:H102),$H$2:$H$1001,0),0), INDEX($O$1004:$Q$1004,1,MATCH(COLUMNS($O$1006:Q1006),$O$1006:$Q$1006,0)))),"Fix")))</f>
        <v xml:space="preserve"> </v>
      </c>
      <c r="H102">
        <v>101</v>
      </c>
      <c r="I102">
        <v>100102</v>
      </c>
      <c r="J102">
        <v>102</v>
      </c>
      <c r="K102" t="b">
        <f t="shared" si="1"/>
        <v>1</v>
      </c>
      <c r="L102" t="b">
        <f>COUNTBLANK(metadata!B102:D102)=COLUMNS(metadata!B102:D102)</f>
        <v>1</v>
      </c>
      <c r="M102" t="str">
        <v/>
      </c>
      <c r="O102" t="b">
        <f ca="1"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P102" t="b">
        <f>AND(IF(metadata!C102="",FALSE,TRUE),EXACT(metadata!C102,"mouse gut metagenome"))</f>
        <v>0</v>
      </c>
      <c r="Q102" t="b">
        <f>AND(IF(metadata!D102="",FALSE,TRUE),EXACT(metadata!D102,"410661"))</f>
        <v>0</v>
      </c>
    </row>
    <row r="103" spans="1:17" x14ac:dyDescent="0.2">
      <c r="A103" s="4" t="str">
        <f ca="1">IF(B103=" "," ",HYPERLINK(CONCATENATE("#metadata!",ADDRESS(INDEX($J$2:$J$1001,MATCH(ROWS($H$2:H103),$H$2:$H$1001,0),0),1)),INDEX($M$2:$M$1001,MATCH(ROWS($H$2:H103),$H$2:$H$1001,0),0)))</f>
        <v xml:space="preserve"> </v>
      </c>
      <c r="B103" s="3" t="str">
        <f ca="1">IF(OR(INDEX($I$2:$I$1001,MATCH(ROWS($H$2:H103),$H$2:$H$1001,0),1)&gt;=100000,INDEX($O$1005:$Q$1005,1,MATCH(COLUMNS($O$1006:O1006),$O$1006:$Q$1006,0))&gt;=100000), " ",IF(INDEX($O$2:$Q$1001,MATCH(ROWS($H$2:H103),$H$2:$H$1001,0),MATCH(COLUMNS($O$1006:O1006),$O$1006:$Q$1006,0)), HYPERLINK("#",""), HYPERLINK(CONCATENATE("#metadata!", ADDRESS(INDEX($J$2:$J$1001,MATCH(ROWS($H$2:H103),$H$2:$H$1001,0),0), INDEX($O$1004:$Q$1004,1,MATCH(COLUMNS($O$1006:O1006),$O$1006:$Q$1006,0)))),"Fix")))</f>
        <v xml:space="preserve"> </v>
      </c>
      <c r="C103" s="3" t="str">
        <f ca="1">IF(OR(INDEX($I$2:$I$1001,MATCH(ROWS($H$2:H103),$H$2:$H$1001,0),1)&gt;=100000,INDEX($O$1005:$Q$1005,1,MATCH(COLUMNS($O$1006:P1006),$O$1006:$Q$1006,0))&gt;=100000), " ",IF(INDEX($O$2:$Q$1001,MATCH(ROWS($H$2:H103),$H$2:$H$1001,0),MATCH(COLUMNS($O$1006:P1006),$O$1006:$Q$1006,0)), HYPERLINK("#",""), HYPERLINK(CONCATENATE("#metadata!", ADDRESS(INDEX($J$2:$J$1001,MATCH(ROWS($H$2:H103),$H$2:$H$1001,0),0), INDEX($O$1004:$Q$1004,1,MATCH(COLUMNS($O$1006:P1006),$O$1006:$Q$1006,0)))),"Fix")))</f>
        <v xml:space="preserve"> </v>
      </c>
      <c r="D103" s="3" t="str">
        <f ca="1">IF(OR(INDEX($I$2:$I$1001,MATCH(ROWS($H$2:H103),$H$2:$H$1001,0),1)&gt;=100000,INDEX($O$1005:$Q$1005,1,MATCH(COLUMNS($O$1006:Q1006),$O$1006:$Q$1006,0))&gt;=100000), " ",IF(INDEX($O$2:$Q$1001,MATCH(ROWS($H$2:H103),$H$2:$H$1001,0),MATCH(COLUMNS($O$1006:Q1006),$O$1006:$Q$1006,0)), HYPERLINK("#",""), HYPERLINK(CONCATENATE("#metadata!", ADDRESS(INDEX($J$2:$J$1001,MATCH(ROWS($H$2:H103),$H$2:$H$1001,0),0), INDEX($O$1004:$Q$1004,1,MATCH(COLUMNS($O$1006:Q1006),$O$1006:$Q$1006,0)))),"Fix")))</f>
        <v xml:space="preserve"> </v>
      </c>
      <c r="H103">
        <v>102</v>
      </c>
      <c r="I103">
        <v>100103</v>
      </c>
      <c r="J103">
        <v>103</v>
      </c>
      <c r="K103" t="b">
        <f t="shared" si="1"/>
        <v>1</v>
      </c>
      <c r="L103" t="b">
        <f>COUNTBLANK(metadata!B103:D103)=COLUMNS(metadata!B103:D103)</f>
        <v>1</v>
      </c>
      <c r="M103" t="str">
        <v/>
      </c>
      <c r="O103" t="b">
        <f ca="1"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P103" t="b">
        <f>AND(IF(metadata!C103="",FALSE,TRUE),EXACT(metadata!C103,"mouse gut metagenome"))</f>
        <v>0</v>
      </c>
      <c r="Q103" t="b">
        <f>AND(IF(metadata!D103="",FALSE,TRUE),EXACT(metadata!D103,"410661"))</f>
        <v>0</v>
      </c>
    </row>
    <row r="104" spans="1:17" x14ac:dyDescent="0.2">
      <c r="A104" s="4" t="str">
        <f ca="1">IF(B104=" "," ",HYPERLINK(CONCATENATE("#metadata!",ADDRESS(INDEX($J$2:$J$1001,MATCH(ROWS($H$2:H104),$H$2:$H$1001,0),0),1)),INDEX($M$2:$M$1001,MATCH(ROWS($H$2:H104),$H$2:$H$1001,0),0)))</f>
        <v xml:space="preserve"> </v>
      </c>
      <c r="B104" s="3" t="str">
        <f ca="1">IF(OR(INDEX($I$2:$I$1001,MATCH(ROWS($H$2:H104),$H$2:$H$1001,0),1)&gt;=100000,INDEX($O$1005:$Q$1005,1,MATCH(COLUMNS($O$1006:O1006),$O$1006:$Q$1006,0))&gt;=100000), " ",IF(INDEX($O$2:$Q$1001,MATCH(ROWS($H$2:H104),$H$2:$H$1001,0),MATCH(COLUMNS($O$1006:O1006),$O$1006:$Q$1006,0)), HYPERLINK("#",""), HYPERLINK(CONCATENATE("#metadata!", ADDRESS(INDEX($J$2:$J$1001,MATCH(ROWS($H$2:H104),$H$2:$H$1001,0),0), INDEX($O$1004:$Q$1004,1,MATCH(COLUMNS($O$1006:O1006),$O$1006:$Q$1006,0)))),"Fix")))</f>
        <v xml:space="preserve"> </v>
      </c>
      <c r="C104" s="3" t="str">
        <f ca="1">IF(OR(INDEX($I$2:$I$1001,MATCH(ROWS($H$2:H104),$H$2:$H$1001,0),1)&gt;=100000,INDEX($O$1005:$Q$1005,1,MATCH(COLUMNS($O$1006:P1006),$O$1006:$Q$1006,0))&gt;=100000), " ",IF(INDEX($O$2:$Q$1001,MATCH(ROWS($H$2:H104),$H$2:$H$1001,0),MATCH(COLUMNS($O$1006:P1006),$O$1006:$Q$1006,0)), HYPERLINK("#",""), HYPERLINK(CONCATENATE("#metadata!", ADDRESS(INDEX($J$2:$J$1001,MATCH(ROWS($H$2:H104),$H$2:$H$1001,0),0), INDEX($O$1004:$Q$1004,1,MATCH(COLUMNS($O$1006:P1006),$O$1006:$Q$1006,0)))),"Fix")))</f>
        <v xml:space="preserve"> </v>
      </c>
      <c r="D104" s="3" t="str">
        <f ca="1">IF(OR(INDEX($I$2:$I$1001,MATCH(ROWS($H$2:H104),$H$2:$H$1001,0),1)&gt;=100000,INDEX($O$1005:$Q$1005,1,MATCH(COLUMNS($O$1006:Q1006),$O$1006:$Q$1006,0))&gt;=100000), " ",IF(INDEX($O$2:$Q$1001,MATCH(ROWS($H$2:H104),$H$2:$H$1001,0),MATCH(COLUMNS($O$1006:Q1006),$O$1006:$Q$1006,0)), HYPERLINK("#",""), HYPERLINK(CONCATENATE("#metadata!", ADDRESS(INDEX($J$2:$J$1001,MATCH(ROWS($H$2:H104),$H$2:$H$1001,0),0), INDEX($O$1004:$Q$1004,1,MATCH(COLUMNS($O$1006:Q1006),$O$1006:$Q$1006,0)))),"Fix")))</f>
        <v xml:space="preserve"> </v>
      </c>
      <c r="H104">
        <v>103</v>
      </c>
      <c r="I104">
        <v>100104</v>
      </c>
      <c r="J104">
        <v>104</v>
      </c>
      <c r="K104" t="b">
        <f t="shared" si="1"/>
        <v>1</v>
      </c>
      <c r="L104" t="b">
        <f>COUNTBLANK(metadata!B104:D104)=COLUMNS(metadata!B104:D104)</f>
        <v>1</v>
      </c>
      <c r="M104" t="str">
        <v/>
      </c>
      <c r="O104" t="b">
        <f ca="1"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P104" t="b">
        <f>AND(IF(metadata!C104="",FALSE,TRUE),EXACT(metadata!C104,"mouse gut metagenome"))</f>
        <v>0</v>
      </c>
      <c r="Q104" t="b">
        <f>AND(IF(metadata!D104="",FALSE,TRUE),EXACT(metadata!D104,"410661"))</f>
        <v>0</v>
      </c>
    </row>
    <row r="105" spans="1:17" x14ac:dyDescent="0.2">
      <c r="A105" s="4" t="str">
        <f ca="1">IF(B105=" "," ",HYPERLINK(CONCATENATE("#metadata!",ADDRESS(INDEX($J$2:$J$1001,MATCH(ROWS($H$2:H105),$H$2:$H$1001,0),0),1)),INDEX($M$2:$M$1001,MATCH(ROWS($H$2:H105),$H$2:$H$1001,0),0)))</f>
        <v xml:space="preserve"> </v>
      </c>
      <c r="B105" s="3" t="str">
        <f ca="1">IF(OR(INDEX($I$2:$I$1001,MATCH(ROWS($H$2:H105),$H$2:$H$1001,0),1)&gt;=100000,INDEX($O$1005:$Q$1005,1,MATCH(COLUMNS($O$1006:O1006),$O$1006:$Q$1006,0))&gt;=100000), " ",IF(INDEX($O$2:$Q$1001,MATCH(ROWS($H$2:H105),$H$2:$H$1001,0),MATCH(COLUMNS($O$1006:O1006),$O$1006:$Q$1006,0)), HYPERLINK("#",""), HYPERLINK(CONCATENATE("#metadata!", ADDRESS(INDEX($J$2:$J$1001,MATCH(ROWS($H$2:H105),$H$2:$H$1001,0),0), INDEX($O$1004:$Q$1004,1,MATCH(COLUMNS($O$1006:O1006),$O$1006:$Q$1006,0)))),"Fix")))</f>
        <v xml:space="preserve"> </v>
      </c>
      <c r="C105" s="3" t="str">
        <f ca="1">IF(OR(INDEX($I$2:$I$1001,MATCH(ROWS($H$2:H105),$H$2:$H$1001,0),1)&gt;=100000,INDEX($O$1005:$Q$1005,1,MATCH(COLUMNS($O$1006:P1006),$O$1006:$Q$1006,0))&gt;=100000), " ",IF(INDEX($O$2:$Q$1001,MATCH(ROWS($H$2:H105),$H$2:$H$1001,0),MATCH(COLUMNS($O$1006:P1006),$O$1006:$Q$1006,0)), HYPERLINK("#",""), HYPERLINK(CONCATENATE("#metadata!", ADDRESS(INDEX($J$2:$J$1001,MATCH(ROWS($H$2:H105),$H$2:$H$1001,0),0), INDEX($O$1004:$Q$1004,1,MATCH(COLUMNS($O$1006:P1006),$O$1006:$Q$1006,0)))),"Fix")))</f>
        <v xml:space="preserve"> </v>
      </c>
      <c r="D105" s="3" t="str">
        <f ca="1">IF(OR(INDEX($I$2:$I$1001,MATCH(ROWS($H$2:H105),$H$2:$H$1001,0),1)&gt;=100000,INDEX($O$1005:$Q$1005,1,MATCH(COLUMNS($O$1006:Q1006),$O$1006:$Q$1006,0))&gt;=100000), " ",IF(INDEX($O$2:$Q$1001,MATCH(ROWS($H$2:H105),$H$2:$H$1001,0),MATCH(COLUMNS($O$1006:Q1006),$O$1006:$Q$1006,0)), HYPERLINK("#",""), HYPERLINK(CONCATENATE("#metadata!", ADDRESS(INDEX($J$2:$J$1001,MATCH(ROWS($H$2:H105),$H$2:$H$1001,0),0), INDEX($O$1004:$Q$1004,1,MATCH(COLUMNS($O$1006:Q1006),$O$1006:$Q$1006,0)))),"Fix")))</f>
        <v xml:space="preserve"> </v>
      </c>
      <c r="H105">
        <v>104</v>
      </c>
      <c r="I105">
        <v>100105</v>
      </c>
      <c r="J105">
        <v>105</v>
      </c>
      <c r="K105" t="b">
        <f t="shared" si="1"/>
        <v>1</v>
      </c>
      <c r="L105" t="b">
        <f>COUNTBLANK(metadata!B105:D105)=COLUMNS(metadata!B105:D105)</f>
        <v>1</v>
      </c>
      <c r="M105" t="str">
        <v/>
      </c>
      <c r="O105" t="b">
        <f ca="1"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P105" t="b">
        <f>AND(IF(metadata!C105="",FALSE,TRUE),EXACT(metadata!C105,"mouse gut metagenome"))</f>
        <v>0</v>
      </c>
      <c r="Q105" t="b">
        <f>AND(IF(metadata!D105="",FALSE,TRUE),EXACT(metadata!D105,"410661"))</f>
        <v>0</v>
      </c>
    </row>
    <row r="106" spans="1:17" x14ac:dyDescent="0.2">
      <c r="A106" s="4" t="str">
        <f ca="1">IF(B106=" "," ",HYPERLINK(CONCATENATE("#metadata!",ADDRESS(INDEX($J$2:$J$1001,MATCH(ROWS($H$2:H106),$H$2:$H$1001,0),0),1)),INDEX($M$2:$M$1001,MATCH(ROWS($H$2:H106),$H$2:$H$1001,0),0)))</f>
        <v xml:space="preserve"> </v>
      </c>
      <c r="B106" s="3" t="str">
        <f ca="1">IF(OR(INDEX($I$2:$I$1001,MATCH(ROWS($H$2:H106),$H$2:$H$1001,0),1)&gt;=100000,INDEX($O$1005:$Q$1005,1,MATCH(COLUMNS($O$1006:O1006),$O$1006:$Q$1006,0))&gt;=100000), " ",IF(INDEX($O$2:$Q$1001,MATCH(ROWS($H$2:H106),$H$2:$H$1001,0),MATCH(COLUMNS($O$1006:O1006),$O$1006:$Q$1006,0)), HYPERLINK("#",""), HYPERLINK(CONCATENATE("#metadata!", ADDRESS(INDEX($J$2:$J$1001,MATCH(ROWS($H$2:H106),$H$2:$H$1001,0),0), INDEX($O$1004:$Q$1004,1,MATCH(COLUMNS($O$1006:O1006),$O$1006:$Q$1006,0)))),"Fix")))</f>
        <v xml:space="preserve"> </v>
      </c>
      <c r="C106" s="3" t="str">
        <f ca="1">IF(OR(INDEX($I$2:$I$1001,MATCH(ROWS($H$2:H106),$H$2:$H$1001,0),1)&gt;=100000,INDEX($O$1005:$Q$1005,1,MATCH(COLUMNS($O$1006:P1006),$O$1006:$Q$1006,0))&gt;=100000), " ",IF(INDEX($O$2:$Q$1001,MATCH(ROWS($H$2:H106),$H$2:$H$1001,0),MATCH(COLUMNS($O$1006:P1006),$O$1006:$Q$1006,0)), HYPERLINK("#",""), HYPERLINK(CONCATENATE("#metadata!", ADDRESS(INDEX($J$2:$J$1001,MATCH(ROWS($H$2:H106),$H$2:$H$1001,0),0), INDEX($O$1004:$Q$1004,1,MATCH(COLUMNS($O$1006:P1006),$O$1006:$Q$1006,0)))),"Fix")))</f>
        <v xml:space="preserve"> </v>
      </c>
      <c r="D106" s="3" t="str">
        <f ca="1">IF(OR(INDEX($I$2:$I$1001,MATCH(ROWS($H$2:H106),$H$2:$H$1001,0),1)&gt;=100000,INDEX($O$1005:$Q$1005,1,MATCH(COLUMNS($O$1006:Q1006),$O$1006:$Q$1006,0))&gt;=100000), " ",IF(INDEX($O$2:$Q$1001,MATCH(ROWS($H$2:H106),$H$2:$H$1001,0),MATCH(COLUMNS($O$1006:Q1006),$O$1006:$Q$1006,0)), HYPERLINK("#",""), HYPERLINK(CONCATENATE("#metadata!", ADDRESS(INDEX($J$2:$J$1001,MATCH(ROWS($H$2:H106),$H$2:$H$1001,0),0), INDEX($O$1004:$Q$1004,1,MATCH(COLUMNS($O$1006:Q1006),$O$1006:$Q$1006,0)))),"Fix")))</f>
        <v xml:space="preserve"> </v>
      </c>
      <c r="H106">
        <v>105</v>
      </c>
      <c r="I106">
        <v>100106</v>
      </c>
      <c r="J106">
        <v>106</v>
      </c>
      <c r="K106" t="b">
        <f t="shared" si="1"/>
        <v>1</v>
      </c>
      <c r="L106" t="b">
        <f>COUNTBLANK(metadata!B106:D106)=COLUMNS(metadata!B106:D106)</f>
        <v>1</v>
      </c>
      <c r="M106" t="str">
        <v/>
      </c>
      <c r="O106" t="b">
        <f ca="1"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P106" t="b">
        <f>AND(IF(metadata!C106="",FALSE,TRUE),EXACT(metadata!C106,"mouse gut metagenome"))</f>
        <v>0</v>
      </c>
      <c r="Q106" t="b">
        <f>AND(IF(metadata!D106="",FALSE,TRUE),EXACT(metadata!D106,"410661"))</f>
        <v>0</v>
      </c>
    </row>
    <row r="107" spans="1:17" x14ac:dyDescent="0.2">
      <c r="A107" s="4" t="str">
        <f ca="1">IF(B107=" "," ",HYPERLINK(CONCATENATE("#metadata!",ADDRESS(INDEX($J$2:$J$1001,MATCH(ROWS($H$2:H107),$H$2:$H$1001,0),0),1)),INDEX($M$2:$M$1001,MATCH(ROWS($H$2:H107),$H$2:$H$1001,0),0)))</f>
        <v xml:space="preserve"> </v>
      </c>
      <c r="B107" s="3" t="str">
        <f ca="1">IF(OR(INDEX($I$2:$I$1001,MATCH(ROWS($H$2:H107),$H$2:$H$1001,0),1)&gt;=100000,INDEX($O$1005:$Q$1005,1,MATCH(COLUMNS($O$1006:O1006),$O$1006:$Q$1006,0))&gt;=100000), " ",IF(INDEX($O$2:$Q$1001,MATCH(ROWS($H$2:H107),$H$2:$H$1001,0),MATCH(COLUMNS($O$1006:O1006),$O$1006:$Q$1006,0)), HYPERLINK("#",""), HYPERLINK(CONCATENATE("#metadata!", ADDRESS(INDEX($J$2:$J$1001,MATCH(ROWS($H$2:H107),$H$2:$H$1001,0),0), INDEX($O$1004:$Q$1004,1,MATCH(COLUMNS($O$1006:O1006),$O$1006:$Q$1006,0)))),"Fix")))</f>
        <v xml:space="preserve"> </v>
      </c>
      <c r="C107" s="3" t="str">
        <f ca="1">IF(OR(INDEX($I$2:$I$1001,MATCH(ROWS($H$2:H107),$H$2:$H$1001,0),1)&gt;=100000,INDEX($O$1005:$Q$1005,1,MATCH(COLUMNS($O$1006:P1006),$O$1006:$Q$1006,0))&gt;=100000), " ",IF(INDEX($O$2:$Q$1001,MATCH(ROWS($H$2:H107),$H$2:$H$1001,0),MATCH(COLUMNS($O$1006:P1006),$O$1006:$Q$1006,0)), HYPERLINK("#",""), HYPERLINK(CONCATENATE("#metadata!", ADDRESS(INDEX($J$2:$J$1001,MATCH(ROWS($H$2:H107),$H$2:$H$1001,0),0), INDEX($O$1004:$Q$1004,1,MATCH(COLUMNS($O$1006:P1006),$O$1006:$Q$1006,0)))),"Fix")))</f>
        <v xml:space="preserve"> </v>
      </c>
      <c r="D107" s="3" t="str">
        <f ca="1">IF(OR(INDEX($I$2:$I$1001,MATCH(ROWS($H$2:H107),$H$2:$H$1001,0),1)&gt;=100000,INDEX($O$1005:$Q$1005,1,MATCH(COLUMNS($O$1006:Q1006),$O$1006:$Q$1006,0))&gt;=100000), " ",IF(INDEX($O$2:$Q$1001,MATCH(ROWS($H$2:H107),$H$2:$H$1001,0),MATCH(COLUMNS($O$1006:Q1006),$O$1006:$Q$1006,0)), HYPERLINK("#",""), HYPERLINK(CONCATENATE("#metadata!", ADDRESS(INDEX($J$2:$J$1001,MATCH(ROWS($H$2:H107),$H$2:$H$1001,0),0), INDEX($O$1004:$Q$1004,1,MATCH(COLUMNS($O$1006:Q1006),$O$1006:$Q$1006,0)))),"Fix")))</f>
        <v xml:space="preserve"> </v>
      </c>
      <c r="H107">
        <v>106</v>
      </c>
      <c r="I107">
        <v>100107</v>
      </c>
      <c r="J107">
        <v>107</v>
      </c>
      <c r="K107" t="b">
        <f t="shared" si="1"/>
        <v>1</v>
      </c>
      <c r="L107" t="b">
        <f>COUNTBLANK(metadata!B107:D107)=COLUMNS(metadata!B107:D107)</f>
        <v>1</v>
      </c>
      <c r="M107" t="str">
        <v/>
      </c>
      <c r="O107" t="b">
        <f ca="1"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P107" t="b">
        <f>AND(IF(metadata!C107="",FALSE,TRUE),EXACT(metadata!C107,"mouse gut metagenome"))</f>
        <v>0</v>
      </c>
      <c r="Q107" t="b">
        <f>AND(IF(metadata!D107="",FALSE,TRUE),EXACT(metadata!D107,"410661"))</f>
        <v>0</v>
      </c>
    </row>
    <row r="108" spans="1:17" x14ac:dyDescent="0.2">
      <c r="A108" s="4" t="str">
        <f ca="1">IF(B108=" "," ",HYPERLINK(CONCATENATE("#metadata!",ADDRESS(INDEX($J$2:$J$1001,MATCH(ROWS($H$2:H108),$H$2:$H$1001,0),0),1)),INDEX($M$2:$M$1001,MATCH(ROWS($H$2:H108),$H$2:$H$1001,0),0)))</f>
        <v xml:space="preserve"> </v>
      </c>
      <c r="B108" s="3" t="str">
        <f ca="1">IF(OR(INDEX($I$2:$I$1001,MATCH(ROWS($H$2:H108),$H$2:$H$1001,0),1)&gt;=100000,INDEX($O$1005:$Q$1005,1,MATCH(COLUMNS($O$1006:O1006),$O$1006:$Q$1006,0))&gt;=100000), " ",IF(INDEX($O$2:$Q$1001,MATCH(ROWS($H$2:H108),$H$2:$H$1001,0),MATCH(COLUMNS($O$1006:O1006),$O$1006:$Q$1006,0)), HYPERLINK("#",""), HYPERLINK(CONCATENATE("#metadata!", ADDRESS(INDEX($J$2:$J$1001,MATCH(ROWS($H$2:H108),$H$2:$H$1001,0),0), INDEX($O$1004:$Q$1004,1,MATCH(COLUMNS($O$1006:O1006),$O$1006:$Q$1006,0)))),"Fix")))</f>
        <v xml:space="preserve"> </v>
      </c>
      <c r="C108" s="3" t="str">
        <f ca="1">IF(OR(INDEX($I$2:$I$1001,MATCH(ROWS($H$2:H108),$H$2:$H$1001,0),1)&gt;=100000,INDEX($O$1005:$Q$1005,1,MATCH(COLUMNS($O$1006:P1006),$O$1006:$Q$1006,0))&gt;=100000), " ",IF(INDEX($O$2:$Q$1001,MATCH(ROWS($H$2:H108),$H$2:$H$1001,0),MATCH(COLUMNS($O$1006:P1006),$O$1006:$Q$1006,0)), HYPERLINK("#",""), HYPERLINK(CONCATENATE("#metadata!", ADDRESS(INDEX($J$2:$J$1001,MATCH(ROWS($H$2:H108),$H$2:$H$1001,0),0), INDEX($O$1004:$Q$1004,1,MATCH(COLUMNS($O$1006:P1006),$O$1006:$Q$1006,0)))),"Fix")))</f>
        <v xml:space="preserve"> </v>
      </c>
      <c r="D108" s="3" t="str">
        <f ca="1">IF(OR(INDEX($I$2:$I$1001,MATCH(ROWS($H$2:H108),$H$2:$H$1001,0),1)&gt;=100000,INDEX($O$1005:$Q$1005,1,MATCH(COLUMNS($O$1006:Q1006),$O$1006:$Q$1006,0))&gt;=100000), " ",IF(INDEX($O$2:$Q$1001,MATCH(ROWS($H$2:H108),$H$2:$H$1001,0),MATCH(COLUMNS($O$1006:Q1006),$O$1006:$Q$1006,0)), HYPERLINK("#",""), HYPERLINK(CONCATENATE("#metadata!", ADDRESS(INDEX($J$2:$J$1001,MATCH(ROWS($H$2:H108),$H$2:$H$1001,0),0), INDEX($O$1004:$Q$1004,1,MATCH(COLUMNS($O$1006:Q1006),$O$1006:$Q$1006,0)))),"Fix")))</f>
        <v xml:space="preserve"> </v>
      </c>
      <c r="H108">
        <v>107</v>
      </c>
      <c r="I108">
        <v>100108</v>
      </c>
      <c r="J108">
        <v>108</v>
      </c>
      <c r="K108" t="b">
        <f t="shared" si="1"/>
        <v>1</v>
      </c>
      <c r="L108" t="b">
        <f>COUNTBLANK(metadata!B108:D108)=COLUMNS(metadata!B108:D108)</f>
        <v>1</v>
      </c>
      <c r="M108" t="str">
        <v/>
      </c>
      <c r="O108" t="b">
        <f ca="1"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P108" t="b">
        <f>AND(IF(metadata!C108="",FALSE,TRUE),EXACT(metadata!C108,"mouse gut metagenome"))</f>
        <v>0</v>
      </c>
      <c r="Q108" t="b">
        <f>AND(IF(metadata!D108="",FALSE,TRUE),EXACT(metadata!D108,"410661"))</f>
        <v>0</v>
      </c>
    </row>
    <row r="109" spans="1:17" x14ac:dyDescent="0.2">
      <c r="A109" s="4" t="str">
        <f ca="1">IF(B109=" "," ",HYPERLINK(CONCATENATE("#metadata!",ADDRESS(INDEX($J$2:$J$1001,MATCH(ROWS($H$2:H109),$H$2:$H$1001,0),0),1)),INDEX($M$2:$M$1001,MATCH(ROWS($H$2:H109),$H$2:$H$1001,0),0)))</f>
        <v xml:space="preserve"> </v>
      </c>
      <c r="B109" s="3" t="str">
        <f ca="1">IF(OR(INDEX($I$2:$I$1001,MATCH(ROWS($H$2:H109),$H$2:$H$1001,0),1)&gt;=100000,INDEX($O$1005:$Q$1005,1,MATCH(COLUMNS($O$1006:O1006),$O$1006:$Q$1006,0))&gt;=100000), " ",IF(INDEX($O$2:$Q$1001,MATCH(ROWS($H$2:H109),$H$2:$H$1001,0),MATCH(COLUMNS($O$1006:O1006),$O$1006:$Q$1006,0)), HYPERLINK("#",""), HYPERLINK(CONCATENATE("#metadata!", ADDRESS(INDEX($J$2:$J$1001,MATCH(ROWS($H$2:H109),$H$2:$H$1001,0),0), INDEX($O$1004:$Q$1004,1,MATCH(COLUMNS($O$1006:O1006),$O$1006:$Q$1006,0)))),"Fix")))</f>
        <v xml:space="preserve"> </v>
      </c>
      <c r="C109" s="3" t="str">
        <f ca="1">IF(OR(INDEX($I$2:$I$1001,MATCH(ROWS($H$2:H109),$H$2:$H$1001,0),1)&gt;=100000,INDEX($O$1005:$Q$1005,1,MATCH(COLUMNS($O$1006:P1006),$O$1006:$Q$1006,0))&gt;=100000), " ",IF(INDEX($O$2:$Q$1001,MATCH(ROWS($H$2:H109),$H$2:$H$1001,0),MATCH(COLUMNS($O$1006:P1006),$O$1006:$Q$1006,0)), HYPERLINK("#",""), HYPERLINK(CONCATENATE("#metadata!", ADDRESS(INDEX($J$2:$J$1001,MATCH(ROWS($H$2:H109),$H$2:$H$1001,0),0), INDEX($O$1004:$Q$1004,1,MATCH(COLUMNS($O$1006:P1006),$O$1006:$Q$1006,0)))),"Fix")))</f>
        <v xml:space="preserve"> </v>
      </c>
      <c r="D109" s="3" t="str">
        <f ca="1">IF(OR(INDEX($I$2:$I$1001,MATCH(ROWS($H$2:H109),$H$2:$H$1001,0),1)&gt;=100000,INDEX($O$1005:$Q$1005,1,MATCH(COLUMNS($O$1006:Q1006),$O$1006:$Q$1006,0))&gt;=100000), " ",IF(INDEX($O$2:$Q$1001,MATCH(ROWS($H$2:H109),$H$2:$H$1001,0),MATCH(COLUMNS($O$1006:Q1006),$O$1006:$Q$1006,0)), HYPERLINK("#",""), HYPERLINK(CONCATENATE("#metadata!", ADDRESS(INDEX($J$2:$J$1001,MATCH(ROWS($H$2:H109),$H$2:$H$1001,0),0), INDEX($O$1004:$Q$1004,1,MATCH(COLUMNS($O$1006:Q1006),$O$1006:$Q$1006,0)))),"Fix")))</f>
        <v xml:space="preserve"> </v>
      </c>
      <c r="H109">
        <v>108</v>
      </c>
      <c r="I109">
        <v>100109</v>
      </c>
      <c r="J109">
        <v>109</v>
      </c>
      <c r="K109" t="b">
        <f t="shared" si="1"/>
        <v>1</v>
      </c>
      <c r="L109" t="b">
        <f>COUNTBLANK(metadata!B109:D109)=COLUMNS(metadata!B109:D109)</f>
        <v>1</v>
      </c>
      <c r="M109" t="str">
        <v/>
      </c>
      <c r="O109" t="b">
        <f ca="1"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P109" t="b">
        <f>AND(IF(metadata!C109="",FALSE,TRUE),EXACT(metadata!C109,"mouse gut metagenome"))</f>
        <v>0</v>
      </c>
      <c r="Q109" t="b">
        <f>AND(IF(metadata!D109="",FALSE,TRUE),EXACT(metadata!D109,"410661"))</f>
        <v>0</v>
      </c>
    </row>
    <row r="110" spans="1:17" x14ac:dyDescent="0.2">
      <c r="A110" s="4" t="str">
        <f ca="1">IF(B110=" "," ",HYPERLINK(CONCATENATE("#metadata!",ADDRESS(INDEX($J$2:$J$1001,MATCH(ROWS($H$2:H110),$H$2:$H$1001,0),0),1)),INDEX($M$2:$M$1001,MATCH(ROWS($H$2:H110),$H$2:$H$1001,0),0)))</f>
        <v xml:space="preserve"> </v>
      </c>
      <c r="B110" s="3" t="str">
        <f ca="1">IF(OR(INDEX($I$2:$I$1001,MATCH(ROWS($H$2:H110),$H$2:$H$1001,0),1)&gt;=100000,INDEX($O$1005:$Q$1005,1,MATCH(COLUMNS($O$1006:O1006),$O$1006:$Q$1006,0))&gt;=100000), " ",IF(INDEX($O$2:$Q$1001,MATCH(ROWS($H$2:H110),$H$2:$H$1001,0),MATCH(COLUMNS($O$1006:O1006),$O$1006:$Q$1006,0)), HYPERLINK("#",""), HYPERLINK(CONCATENATE("#metadata!", ADDRESS(INDEX($J$2:$J$1001,MATCH(ROWS($H$2:H110),$H$2:$H$1001,0),0), INDEX($O$1004:$Q$1004,1,MATCH(COLUMNS($O$1006:O1006),$O$1006:$Q$1006,0)))),"Fix")))</f>
        <v xml:space="preserve"> </v>
      </c>
      <c r="C110" s="3" t="str">
        <f ca="1">IF(OR(INDEX($I$2:$I$1001,MATCH(ROWS($H$2:H110),$H$2:$H$1001,0),1)&gt;=100000,INDEX($O$1005:$Q$1005,1,MATCH(COLUMNS($O$1006:P1006),$O$1006:$Q$1006,0))&gt;=100000), " ",IF(INDEX($O$2:$Q$1001,MATCH(ROWS($H$2:H110),$H$2:$H$1001,0),MATCH(COLUMNS($O$1006:P1006),$O$1006:$Q$1006,0)), HYPERLINK("#",""), HYPERLINK(CONCATENATE("#metadata!", ADDRESS(INDEX($J$2:$J$1001,MATCH(ROWS($H$2:H110),$H$2:$H$1001,0),0), INDEX($O$1004:$Q$1004,1,MATCH(COLUMNS($O$1006:P1006),$O$1006:$Q$1006,0)))),"Fix")))</f>
        <v xml:space="preserve"> </v>
      </c>
      <c r="D110" s="3" t="str">
        <f ca="1">IF(OR(INDEX($I$2:$I$1001,MATCH(ROWS($H$2:H110),$H$2:$H$1001,0),1)&gt;=100000,INDEX($O$1005:$Q$1005,1,MATCH(COLUMNS($O$1006:Q1006),$O$1006:$Q$1006,0))&gt;=100000), " ",IF(INDEX($O$2:$Q$1001,MATCH(ROWS($H$2:H110),$H$2:$H$1001,0),MATCH(COLUMNS($O$1006:Q1006),$O$1006:$Q$1006,0)), HYPERLINK("#",""), HYPERLINK(CONCATENATE("#metadata!", ADDRESS(INDEX($J$2:$J$1001,MATCH(ROWS($H$2:H110),$H$2:$H$1001,0),0), INDEX($O$1004:$Q$1004,1,MATCH(COLUMNS($O$1006:Q1006),$O$1006:$Q$1006,0)))),"Fix")))</f>
        <v xml:space="preserve"> </v>
      </c>
      <c r="H110">
        <v>109</v>
      </c>
      <c r="I110">
        <v>100110</v>
      </c>
      <c r="J110">
        <v>110</v>
      </c>
      <c r="K110" t="b">
        <f t="shared" si="1"/>
        <v>1</v>
      </c>
      <c r="L110" t="b">
        <f>COUNTBLANK(metadata!B110:D110)=COLUMNS(metadata!B110:D110)</f>
        <v>1</v>
      </c>
      <c r="M110" t="str">
        <v/>
      </c>
      <c r="O110" t="b">
        <f ca="1"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P110" t="b">
        <f>AND(IF(metadata!C110="",FALSE,TRUE),EXACT(metadata!C110,"mouse gut metagenome"))</f>
        <v>0</v>
      </c>
      <c r="Q110" t="b">
        <f>AND(IF(metadata!D110="",FALSE,TRUE),EXACT(metadata!D110,"410661"))</f>
        <v>0</v>
      </c>
    </row>
    <row r="111" spans="1:17" x14ac:dyDescent="0.2">
      <c r="A111" s="4" t="str">
        <f ca="1">IF(B111=" "," ",HYPERLINK(CONCATENATE("#metadata!",ADDRESS(INDEX($J$2:$J$1001,MATCH(ROWS($H$2:H111),$H$2:$H$1001,0),0),1)),INDEX($M$2:$M$1001,MATCH(ROWS($H$2:H111),$H$2:$H$1001,0),0)))</f>
        <v xml:space="preserve"> </v>
      </c>
      <c r="B111" s="3" t="str">
        <f ca="1">IF(OR(INDEX($I$2:$I$1001,MATCH(ROWS($H$2:H111),$H$2:$H$1001,0),1)&gt;=100000,INDEX($O$1005:$Q$1005,1,MATCH(COLUMNS($O$1006:O1006),$O$1006:$Q$1006,0))&gt;=100000), " ",IF(INDEX($O$2:$Q$1001,MATCH(ROWS($H$2:H111),$H$2:$H$1001,0),MATCH(COLUMNS($O$1006:O1006),$O$1006:$Q$1006,0)), HYPERLINK("#",""), HYPERLINK(CONCATENATE("#metadata!", ADDRESS(INDEX($J$2:$J$1001,MATCH(ROWS($H$2:H111),$H$2:$H$1001,0),0), INDEX($O$1004:$Q$1004,1,MATCH(COLUMNS($O$1006:O1006),$O$1006:$Q$1006,0)))),"Fix")))</f>
        <v xml:space="preserve"> </v>
      </c>
      <c r="C111" s="3" t="str">
        <f ca="1">IF(OR(INDEX($I$2:$I$1001,MATCH(ROWS($H$2:H111),$H$2:$H$1001,0),1)&gt;=100000,INDEX($O$1005:$Q$1005,1,MATCH(COLUMNS($O$1006:P1006),$O$1006:$Q$1006,0))&gt;=100000), " ",IF(INDEX($O$2:$Q$1001,MATCH(ROWS($H$2:H111),$H$2:$H$1001,0),MATCH(COLUMNS($O$1006:P1006),$O$1006:$Q$1006,0)), HYPERLINK("#",""), HYPERLINK(CONCATENATE("#metadata!", ADDRESS(INDEX($J$2:$J$1001,MATCH(ROWS($H$2:H111),$H$2:$H$1001,0),0), INDEX($O$1004:$Q$1004,1,MATCH(COLUMNS($O$1006:P1006),$O$1006:$Q$1006,0)))),"Fix")))</f>
        <v xml:space="preserve"> </v>
      </c>
      <c r="D111" s="3" t="str">
        <f ca="1">IF(OR(INDEX($I$2:$I$1001,MATCH(ROWS($H$2:H111),$H$2:$H$1001,0),1)&gt;=100000,INDEX($O$1005:$Q$1005,1,MATCH(COLUMNS($O$1006:Q1006),$O$1006:$Q$1006,0))&gt;=100000), " ",IF(INDEX($O$2:$Q$1001,MATCH(ROWS($H$2:H111),$H$2:$H$1001,0),MATCH(COLUMNS($O$1006:Q1006),$O$1006:$Q$1006,0)), HYPERLINK("#",""), HYPERLINK(CONCATENATE("#metadata!", ADDRESS(INDEX($J$2:$J$1001,MATCH(ROWS($H$2:H111),$H$2:$H$1001,0),0), INDEX($O$1004:$Q$1004,1,MATCH(COLUMNS($O$1006:Q1006),$O$1006:$Q$1006,0)))),"Fix")))</f>
        <v xml:space="preserve"> </v>
      </c>
      <c r="H111">
        <v>110</v>
      </c>
      <c r="I111">
        <v>100111</v>
      </c>
      <c r="J111">
        <v>111</v>
      </c>
      <c r="K111" t="b">
        <f t="shared" si="1"/>
        <v>1</v>
      </c>
      <c r="L111" t="b">
        <f>COUNTBLANK(metadata!B111:D111)=COLUMNS(metadata!B111:D111)</f>
        <v>1</v>
      </c>
      <c r="M111" t="str">
        <v/>
      </c>
      <c r="O111" t="b">
        <f ca="1"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P111" t="b">
        <f>AND(IF(metadata!C111="",FALSE,TRUE),EXACT(metadata!C111,"mouse gut metagenome"))</f>
        <v>0</v>
      </c>
      <c r="Q111" t="b">
        <f>AND(IF(metadata!D111="",FALSE,TRUE),EXACT(metadata!D111,"410661"))</f>
        <v>0</v>
      </c>
    </row>
    <row r="112" spans="1:17" x14ac:dyDescent="0.2">
      <c r="A112" s="4" t="str">
        <f ca="1">IF(B112=" "," ",HYPERLINK(CONCATENATE("#metadata!",ADDRESS(INDEX($J$2:$J$1001,MATCH(ROWS($H$2:H112),$H$2:$H$1001,0),0),1)),INDEX($M$2:$M$1001,MATCH(ROWS($H$2:H112),$H$2:$H$1001,0),0)))</f>
        <v xml:space="preserve"> </v>
      </c>
      <c r="B112" s="3" t="str">
        <f ca="1">IF(OR(INDEX($I$2:$I$1001,MATCH(ROWS($H$2:H112),$H$2:$H$1001,0),1)&gt;=100000,INDEX($O$1005:$Q$1005,1,MATCH(COLUMNS($O$1006:O1006),$O$1006:$Q$1006,0))&gt;=100000), " ",IF(INDEX($O$2:$Q$1001,MATCH(ROWS($H$2:H112),$H$2:$H$1001,0),MATCH(COLUMNS($O$1006:O1006),$O$1006:$Q$1006,0)), HYPERLINK("#",""), HYPERLINK(CONCATENATE("#metadata!", ADDRESS(INDEX($J$2:$J$1001,MATCH(ROWS($H$2:H112),$H$2:$H$1001,0),0), INDEX($O$1004:$Q$1004,1,MATCH(COLUMNS($O$1006:O1006),$O$1006:$Q$1006,0)))),"Fix")))</f>
        <v xml:space="preserve"> </v>
      </c>
      <c r="C112" s="3" t="str">
        <f ca="1">IF(OR(INDEX($I$2:$I$1001,MATCH(ROWS($H$2:H112),$H$2:$H$1001,0),1)&gt;=100000,INDEX($O$1005:$Q$1005,1,MATCH(COLUMNS($O$1006:P1006),$O$1006:$Q$1006,0))&gt;=100000), " ",IF(INDEX($O$2:$Q$1001,MATCH(ROWS($H$2:H112),$H$2:$H$1001,0),MATCH(COLUMNS($O$1006:P1006),$O$1006:$Q$1006,0)), HYPERLINK("#",""), HYPERLINK(CONCATENATE("#metadata!", ADDRESS(INDEX($J$2:$J$1001,MATCH(ROWS($H$2:H112),$H$2:$H$1001,0),0), INDEX($O$1004:$Q$1004,1,MATCH(COLUMNS($O$1006:P1006),$O$1006:$Q$1006,0)))),"Fix")))</f>
        <v xml:space="preserve"> </v>
      </c>
      <c r="D112" s="3" t="str">
        <f ca="1">IF(OR(INDEX($I$2:$I$1001,MATCH(ROWS($H$2:H112),$H$2:$H$1001,0),1)&gt;=100000,INDEX($O$1005:$Q$1005,1,MATCH(COLUMNS($O$1006:Q1006),$O$1006:$Q$1006,0))&gt;=100000), " ",IF(INDEX($O$2:$Q$1001,MATCH(ROWS($H$2:H112),$H$2:$H$1001,0),MATCH(COLUMNS($O$1006:Q1006),$O$1006:$Q$1006,0)), HYPERLINK("#",""), HYPERLINK(CONCATENATE("#metadata!", ADDRESS(INDEX($J$2:$J$1001,MATCH(ROWS($H$2:H112),$H$2:$H$1001,0),0), INDEX($O$1004:$Q$1004,1,MATCH(COLUMNS($O$1006:Q1006),$O$1006:$Q$1006,0)))),"Fix")))</f>
        <v xml:space="preserve"> </v>
      </c>
      <c r="H112">
        <v>111</v>
      </c>
      <c r="I112">
        <v>100112</v>
      </c>
      <c r="J112">
        <v>112</v>
      </c>
      <c r="K112" t="b">
        <f t="shared" si="1"/>
        <v>1</v>
      </c>
      <c r="L112" t="b">
        <f>COUNTBLANK(metadata!B112:D112)=COLUMNS(metadata!B112:D112)</f>
        <v>1</v>
      </c>
      <c r="M112" t="str">
        <v/>
      </c>
      <c r="O112" t="b">
        <f ca="1"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P112" t="b">
        <f>AND(IF(metadata!C112="",FALSE,TRUE),EXACT(metadata!C112,"mouse gut metagenome"))</f>
        <v>0</v>
      </c>
      <c r="Q112" t="b">
        <f>AND(IF(metadata!D112="",FALSE,TRUE),EXACT(metadata!D112,"410661"))</f>
        <v>0</v>
      </c>
    </row>
    <row r="113" spans="1:17" x14ac:dyDescent="0.2">
      <c r="A113" s="4" t="str">
        <f ca="1">IF(B113=" "," ",HYPERLINK(CONCATENATE("#metadata!",ADDRESS(INDEX($J$2:$J$1001,MATCH(ROWS($H$2:H113),$H$2:$H$1001,0),0),1)),INDEX($M$2:$M$1001,MATCH(ROWS($H$2:H113),$H$2:$H$1001,0),0)))</f>
        <v xml:space="preserve"> </v>
      </c>
      <c r="B113" s="3" t="str">
        <f ca="1">IF(OR(INDEX($I$2:$I$1001,MATCH(ROWS($H$2:H113),$H$2:$H$1001,0),1)&gt;=100000,INDEX($O$1005:$Q$1005,1,MATCH(COLUMNS($O$1006:O1006),$O$1006:$Q$1006,0))&gt;=100000), " ",IF(INDEX($O$2:$Q$1001,MATCH(ROWS($H$2:H113),$H$2:$H$1001,0),MATCH(COLUMNS($O$1006:O1006),$O$1006:$Q$1006,0)), HYPERLINK("#",""), HYPERLINK(CONCATENATE("#metadata!", ADDRESS(INDEX($J$2:$J$1001,MATCH(ROWS($H$2:H113),$H$2:$H$1001,0),0), INDEX($O$1004:$Q$1004,1,MATCH(COLUMNS($O$1006:O1006),$O$1006:$Q$1006,0)))),"Fix")))</f>
        <v xml:space="preserve"> </v>
      </c>
      <c r="C113" s="3" t="str">
        <f ca="1">IF(OR(INDEX($I$2:$I$1001,MATCH(ROWS($H$2:H113),$H$2:$H$1001,0),1)&gt;=100000,INDEX($O$1005:$Q$1005,1,MATCH(COLUMNS($O$1006:P1006),$O$1006:$Q$1006,0))&gt;=100000), " ",IF(INDEX($O$2:$Q$1001,MATCH(ROWS($H$2:H113),$H$2:$H$1001,0),MATCH(COLUMNS($O$1006:P1006),$O$1006:$Q$1006,0)), HYPERLINK("#",""), HYPERLINK(CONCATENATE("#metadata!", ADDRESS(INDEX($J$2:$J$1001,MATCH(ROWS($H$2:H113),$H$2:$H$1001,0),0), INDEX($O$1004:$Q$1004,1,MATCH(COLUMNS($O$1006:P1006),$O$1006:$Q$1006,0)))),"Fix")))</f>
        <v xml:space="preserve"> </v>
      </c>
      <c r="D113" s="3" t="str">
        <f ca="1">IF(OR(INDEX($I$2:$I$1001,MATCH(ROWS($H$2:H113),$H$2:$H$1001,0),1)&gt;=100000,INDEX($O$1005:$Q$1005,1,MATCH(COLUMNS($O$1006:Q1006),$O$1006:$Q$1006,0))&gt;=100000), " ",IF(INDEX($O$2:$Q$1001,MATCH(ROWS($H$2:H113),$H$2:$H$1001,0),MATCH(COLUMNS($O$1006:Q1006),$O$1006:$Q$1006,0)), HYPERLINK("#",""), HYPERLINK(CONCATENATE("#metadata!", ADDRESS(INDEX($J$2:$J$1001,MATCH(ROWS($H$2:H113),$H$2:$H$1001,0),0), INDEX($O$1004:$Q$1004,1,MATCH(COLUMNS($O$1006:Q1006),$O$1006:$Q$1006,0)))),"Fix")))</f>
        <v xml:space="preserve"> </v>
      </c>
      <c r="H113">
        <v>112</v>
      </c>
      <c r="I113">
        <v>100113</v>
      </c>
      <c r="J113">
        <v>113</v>
      </c>
      <c r="K113" t="b">
        <f t="shared" si="1"/>
        <v>1</v>
      </c>
      <c r="L113" t="b">
        <f>COUNTBLANK(metadata!B113:D113)=COLUMNS(metadata!B113:D113)</f>
        <v>1</v>
      </c>
      <c r="M113" t="str">
        <v/>
      </c>
      <c r="O113" t="b">
        <f ca="1"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P113" t="b">
        <f>AND(IF(metadata!C113="",FALSE,TRUE),EXACT(metadata!C113,"mouse gut metagenome"))</f>
        <v>0</v>
      </c>
      <c r="Q113" t="b">
        <f>AND(IF(metadata!D113="",FALSE,TRUE),EXACT(metadata!D113,"410661"))</f>
        <v>0</v>
      </c>
    </row>
    <row r="114" spans="1:17" x14ac:dyDescent="0.2">
      <c r="A114" s="4" t="str">
        <f ca="1">IF(B114=" "," ",HYPERLINK(CONCATENATE("#metadata!",ADDRESS(INDEX($J$2:$J$1001,MATCH(ROWS($H$2:H114),$H$2:$H$1001,0),0),1)),INDEX($M$2:$M$1001,MATCH(ROWS($H$2:H114),$H$2:$H$1001,0),0)))</f>
        <v xml:space="preserve"> </v>
      </c>
      <c r="B114" s="3" t="str">
        <f ca="1">IF(OR(INDEX($I$2:$I$1001,MATCH(ROWS($H$2:H114),$H$2:$H$1001,0),1)&gt;=100000,INDEX($O$1005:$Q$1005,1,MATCH(COLUMNS($O$1006:O1006),$O$1006:$Q$1006,0))&gt;=100000), " ",IF(INDEX($O$2:$Q$1001,MATCH(ROWS($H$2:H114),$H$2:$H$1001,0),MATCH(COLUMNS($O$1006:O1006),$O$1006:$Q$1006,0)), HYPERLINK("#",""), HYPERLINK(CONCATENATE("#metadata!", ADDRESS(INDEX($J$2:$J$1001,MATCH(ROWS($H$2:H114),$H$2:$H$1001,0),0), INDEX($O$1004:$Q$1004,1,MATCH(COLUMNS($O$1006:O1006),$O$1006:$Q$1006,0)))),"Fix")))</f>
        <v xml:space="preserve"> </v>
      </c>
      <c r="C114" s="3" t="str">
        <f ca="1">IF(OR(INDEX($I$2:$I$1001,MATCH(ROWS($H$2:H114),$H$2:$H$1001,0),1)&gt;=100000,INDEX($O$1005:$Q$1005,1,MATCH(COLUMNS($O$1006:P1006),$O$1006:$Q$1006,0))&gt;=100000), " ",IF(INDEX($O$2:$Q$1001,MATCH(ROWS($H$2:H114),$H$2:$H$1001,0),MATCH(COLUMNS($O$1006:P1006),$O$1006:$Q$1006,0)), HYPERLINK("#",""), HYPERLINK(CONCATENATE("#metadata!", ADDRESS(INDEX($J$2:$J$1001,MATCH(ROWS($H$2:H114),$H$2:$H$1001,0),0), INDEX($O$1004:$Q$1004,1,MATCH(COLUMNS($O$1006:P1006),$O$1006:$Q$1006,0)))),"Fix")))</f>
        <v xml:space="preserve"> </v>
      </c>
      <c r="D114" s="3" t="str">
        <f ca="1">IF(OR(INDEX($I$2:$I$1001,MATCH(ROWS($H$2:H114),$H$2:$H$1001,0),1)&gt;=100000,INDEX($O$1005:$Q$1005,1,MATCH(COLUMNS($O$1006:Q1006),$O$1006:$Q$1006,0))&gt;=100000), " ",IF(INDEX($O$2:$Q$1001,MATCH(ROWS($H$2:H114),$H$2:$H$1001,0),MATCH(COLUMNS($O$1006:Q1006),$O$1006:$Q$1006,0)), HYPERLINK("#",""), HYPERLINK(CONCATENATE("#metadata!", ADDRESS(INDEX($J$2:$J$1001,MATCH(ROWS($H$2:H114),$H$2:$H$1001,0),0), INDEX($O$1004:$Q$1004,1,MATCH(COLUMNS($O$1006:Q1006),$O$1006:$Q$1006,0)))),"Fix")))</f>
        <v xml:space="preserve"> </v>
      </c>
      <c r="H114">
        <v>113</v>
      </c>
      <c r="I114">
        <v>100114</v>
      </c>
      <c r="J114">
        <v>114</v>
      </c>
      <c r="K114" t="b">
        <f t="shared" si="1"/>
        <v>1</v>
      </c>
      <c r="L114" t="b">
        <f>COUNTBLANK(metadata!B114:D114)=COLUMNS(metadata!B114:D114)</f>
        <v>1</v>
      </c>
      <c r="M114" t="str">
        <v/>
      </c>
      <c r="O114" t="b">
        <f ca="1"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P114" t="b">
        <f>AND(IF(metadata!C114="",FALSE,TRUE),EXACT(metadata!C114,"mouse gut metagenome"))</f>
        <v>0</v>
      </c>
      <c r="Q114" t="b">
        <f>AND(IF(metadata!D114="",FALSE,TRUE),EXACT(metadata!D114,"410661"))</f>
        <v>0</v>
      </c>
    </row>
    <row r="115" spans="1:17" x14ac:dyDescent="0.2">
      <c r="A115" s="4" t="str">
        <f ca="1">IF(B115=" "," ",HYPERLINK(CONCATENATE("#metadata!",ADDRESS(INDEX($J$2:$J$1001,MATCH(ROWS($H$2:H115),$H$2:$H$1001,0),0),1)),INDEX($M$2:$M$1001,MATCH(ROWS($H$2:H115),$H$2:$H$1001,0),0)))</f>
        <v xml:space="preserve"> </v>
      </c>
      <c r="B115" s="3" t="str">
        <f ca="1">IF(OR(INDEX($I$2:$I$1001,MATCH(ROWS($H$2:H115),$H$2:$H$1001,0),1)&gt;=100000,INDEX($O$1005:$Q$1005,1,MATCH(COLUMNS($O$1006:O1006),$O$1006:$Q$1006,0))&gt;=100000), " ",IF(INDEX($O$2:$Q$1001,MATCH(ROWS($H$2:H115),$H$2:$H$1001,0),MATCH(COLUMNS($O$1006:O1006),$O$1006:$Q$1006,0)), HYPERLINK("#",""), HYPERLINK(CONCATENATE("#metadata!", ADDRESS(INDEX($J$2:$J$1001,MATCH(ROWS($H$2:H115),$H$2:$H$1001,0),0), INDEX($O$1004:$Q$1004,1,MATCH(COLUMNS($O$1006:O1006),$O$1006:$Q$1006,0)))),"Fix")))</f>
        <v xml:space="preserve"> </v>
      </c>
      <c r="C115" s="3" t="str">
        <f ca="1">IF(OR(INDEX($I$2:$I$1001,MATCH(ROWS($H$2:H115),$H$2:$H$1001,0),1)&gt;=100000,INDEX($O$1005:$Q$1005,1,MATCH(COLUMNS($O$1006:P1006),$O$1006:$Q$1006,0))&gt;=100000), " ",IF(INDEX($O$2:$Q$1001,MATCH(ROWS($H$2:H115),$H$2:$H$1001,0),MATCH(COLUMNS($O$1006:P1006),$O$1006:$Q$1006,0)), HYPERLINK("#",""), HYPERLINK(CONCATENATE("#metadata!", ADDRESS(INDEX($J$2:$J$1001,MATCH(ROWS($H$2:H115),$H$2:$H$1001,0),0), INDEX($O$1004:$Q$1004,1,MATCH(COLUMNS($O$1006:P1006),$O$1006:$Q$1006,0)))),"Fix")))</f>
        <v xml:space="preserve"> </v>
      </c>
      <c r="D115" s="3" t="str">
        <f ca="1">IF(OR(INDEX($I$2:$I$1001,MATCH(ROWS($H$2:H115),$H$2:$H$1001,0),1)&gt;=100000,INDEX($O$1005:$Q$1005,1,MATCH(COLUMNS($O$1006:Q1006),$O$1006:$Q$1006,0))&gt;=100000), " ",IF(INDEX($O$2:$Q$1001,MATCH(ROWS($H$2:H115),$H$2:$H$1001,0),MATCH(COLUMNS($O$1006:Q1006),$O$1006:$Q$1006,0)), HYPERLINK("#",""), HYPERLINK(CONCATENATE("#metadata!", ADDRESS(INDEX($J$2:$J$1001,MATCH(ROWS($H$2:H115),$H$2:$H$1001,0),0), INDEX($O$1004:$Q$1004,1,MATCH(COLUMNS($O$1006:Q1006),$O$1006:$Q$1006,0)))),"Fix")))</f>
        <v xml:space="preserve"> </v>
      </c>
      <c r="H115">
        <v>114</v>
      </c>
      <c r="I115">
        <v>100115</v>
      </c>
      <c r="J115">
        <v>115</v>
      </c>
      <c r="K115" t="b">
        <f t="shared" si="1"/>
        <v>1</v>
      </c>
      <c r="L115" t="b">
        <f>COUNTBLANK(metadata!B115:D115)=COLUMNS(metadata!B115:D115)</f>
        <v>1</v>
      </c>
      <c r="M115" t="str">
        <v/>
      </c>
      <c r="O115" t="b">
        <f ca="1"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P115" t="b">
        <f>AND(IF(metadata!C115="",FALSE,TRUE),EXACT(metadata!C115,"mouse gut metagenome"))</f>
        <v>0</v>
      </c>
      <c r="Q115" t="b">
        <f>AND(IF(metadata!D115="",FALSE,TRUE),EXACT(metadata!D115,"410661"))</f>
        <v>0</v>
      </c>
    </row>
    <row r="116" spans="1:17" x14ac:dyDescent="0.2">
      <c r="A116" s="4" t="str">
        <f ca="1">IF(B116=" "," ",HYPERLINK(CONCATENATE("#metadata!",ADDRESS(INDEX($J$2:$J$1001,MATCH(ROWS($H$2:H116),$H$2:$H$1001,0),0),1)),INDEX($M$2:$M$1001,MATCH(ROWS($H$2:H116),$H$2:$H$1001,0),0)))</f>
        <v xml:space="preserve"> </v>
      </c>
      <c r="B116" s="3" t="str">
        <f ca="1">IF(OR(INDEX($I$2:$I$1001,MATCH(ROWS($H$2:H116),$H$2:$H$1001,0),1)&gt;=100000,INDEX($O$1005:$Q$1005,1,MATCH(COLUMNS($O$1006:O1006),$O$1006:$Q$1006,0))&gt;=100000), " ",IF(INDEX($O$2:$Q$1001,MATCH(ROWS($H$2:H116),$H$2:$H$1001,0),MATCH(COLUMNS($O$1006:O1006),$O$1006:$Q$1006,0)), HYPERLINK("#",""), HYPERLINK(CONCATENATE("#metadata!", ADDRESS(INDEX($J$2:$J$1001,MATCH(ROWS($H$2:H116),$H$2:$H$1001,0),0), INDEX($O$1004:$Q$1004,1,MATCH(COLUMNS($O$1006:O1006),$O$1006:$Q$1006,0)))),"Fix")))</f>
        <v xml:space="preserve"> </v>
      </c>
      <c r="C116" s="3" t="str">
        <f ca="1">IF(OR(INDEX($I$2:$I$1001,MATCH(ROWS($H$2:H116),$H$2:$H$1001,0),1)&gt;=100000,INDEX($O$1005:$Q$1005,1,MATCH(COLUMNS($O$1006:P1006),$O$1006:$Q$1006,0))&gt;=100000), " ",IF(INDEX($O$2:$Q$1001,MATCH(ROWS($H$2:H116),$H$2:$H$1001,0),MATCH(COLUMNS($O$1006:P1006),$O$1006:$Q$1006,0)), HYPERLINK("#",""), HYPERLINK(CONCATENATE("#metadata!", ADDRESS(INDEX($J$2:$J$1001,MATCH(ROWS($H$2:H116),$H$2:$H$1001,0),0), INDEX($O$1004:$Q$1004,1,MATCH(COLUMNS($O$1006:P1006),$O$1006:$Q$1006,0)))),"Fix")))</f>
        <v xml:space="preserve"> </v>
      </c>
      <c r="D116" s="3" t="str">
        <f ca="1">IF(OR(INDEX($I$2:$I$1001,MATCH(ROWS($H$2:H116),$H$2:$H$1001,0),1)&gt;=100000,INDEX($O$1005:$Q$1005,1,MATCH(COLUMNS($O$1006:Q1006),$O$1006:$Q$1006,0))&gt;=100000), " ",IF(INDEX($O$2:$Q$1001,MATCH(ROWS($H$2:H116),$H$2:$H$1001,0),MATCH(COLUMNS($O$1006:Q1006),$O$1006:$Q$1006,0)), HYPERLINK("#",""), HYPERLINK(CONCATENATE("#metadata!", ADDRESS(INDEX($J$2:$J$1001,MATCH(ROWS($H$2:H116),$H$2:$H$1001,0),0), INDEX($O$1004:$Q$1004,1,MATCH(COLUMNS($O$1006:Q1006),$O$1006:$Q$1006,0)))),"Fix")))</f>
        <v xml:space="preserve"> </v>
      </c>
      <c r="H116">
        <v>115</v>
      </c>
      <c r="I116">
        <v>100116</v>
      </c>
      <c r="J116">
        <v>116</v>
      </c>
      <c r="K116" t="b">
        <f t="shared" si="1"/>
        <v>1</v>
      </c>
      <c r="L116" t="b">
        <f>COUNTBLANK(metadata!B116:D116)=COLUMNS(metadata!B116:D116)</f>
        <v>1</v>
      </c>
      <c r="M116" t="str">
        <v/>
      </c>
      <c r="O116" t="b">
        <f ca="1"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P116" t="b">
        <f>AND(IF(metadata!C116="",FALSE,TRUE),EXACT(metadata!C116,"mouse gut metagenome"))</f>
        <v>0</v>
      </c>
      <c r="Q116" t="b">
        <f>AND(IF(metadata!D116="",FALSE,TRUE),EXACT(metadata!D116,"410661"))</f>
        <v>0</v>
      </c>
    </row>
    <row r="117" spans="1:17" x14ac:dyDescent="0.2">
      <c r="A117" s="4" t="str">
        <f ca="1">IF(B117=" "," ",HYPERLINK(CONCATENATE("#metadata!",ADDRESS(INDEX($J$2:$J$1001,MATCH(ROWS($H$2:H117),$H$2:$H$1001,0),0),1)),INDEX($M$2:$M$1001,MATCH(ROWS($H$2:H117),$H$2:$H$1001,0),0)))</f>
        <v xml:space="preserve"> </v>
      </c>
      <c r="B117" s="3" t="str">
        <f ca="1">IF(OR(INDEX($I$2:$I$1001,MATCH(ROWS($H$2:H117),$H$2:$H$1001,0),1)&gt;=100000,INDEX($O$1005:$Q$1005,1,MATCH(COLUMNS($O$1006:O1006),$O$1006:$Q$1006,0))&gt;=100000), " ",IF(INDEX($O$2:$Q$1001,MATCH(ROWS($H$2:H117),$H$2:$H$1001,0),MATCH(COLUMNS($O$1006:O1006),$O$1006:$Q$1006,0)), HYPERLINK("#",""), HYPERLINK(CONCATENATE("#metadata!", ADDRESS(INDEX($J$2:$J$1001,MATCH(ROWS($H$2:H117),$H$2:$H$1001,0),0), INDEX($O$1004:$Q$1004,1,MATCH(COLUMNS($O$1006:O1006),$O$1006:$Q$1006,0)))),"Fix")))</f>
        <v xml:space="preserve"> </v>
      </c>
      <c r="C117" s="3" t="str">
        <f ca="1">IF(OR(INDEX($I$2:$I$1001,MATCH(ROWS($H$2:H117),$H$2:$H$1001,0),1)&gt;=100000,INDEX($O$1005:$Q$1005,1,MATCH(COLUMNS($O$1006:P1006),$O$1006:$Q$1006,0))&gt;=100000), " ",IF(INDEX($O$2:$Q$1001,MATCH(ROWS($H$2:H117),$H$2:$H$1001,0),MATCH(COLUMNS($O$1006:P1006),$O$1006:$Q$1006,0)), HYPERLINK("#",""), HYPERLINK(CONCATENATE("#metadata!", ADDRESS(INDEX($J$2:$J$1001,MATCH(ROWS($H$2:H117),$H$2:$H$1001,0),0), INDEX($O$1004:$Q$1004,1,MATCH(COLUMNS($O$1006:P1006),$O$1006:$Q$1006,0)))),"Fix")))</f>
        <v xml:space="preserve"> </v>
      </c>
      <c r="D117" s="3" t="str">
        <f ca="1">IF(OR(INDEX($I$2:$I$1001,MATCH(ROWS($H$2:H117),$H$2:$H$1001,0),1)&gt;=100000,INDEX($O$1005:$Q$1005,1,MATCH(COLUMNS($O$1006:Q1006),$O$1006:$Q$1006,0))&gt;=100000), " ",IF(INDEX($O$2:$Q$1001,MATCH(ROWS($H$2:H117),$H$2:$H$1001,0),MATCH(COLUMNS($O$1006:Q1006),$O$1006:$Q$1006,0)), HYPERLINK("#",""), HYPERLINK(CONCATENATE("#metadata!", ADDRESS(INDEX($J$2:$J$1001,MATCH(ROWS($H$2:H117),$H$2:$H$1001,0),0), INDEX($O$1004:$Q$1004,1,MATCH(COLUMNS($O$1006:Q1006),$O$1006:$Q$1006,0)))),"Fix")))</f>
        <v xml:space="preserve"> </v>
      </c>
      <c r="H117">
        <v>116</v>
      </c>
      <c r="I117">
        <v>100117</v>
      </c>
      <c r="J117">
        <v>117</v>
      </c>
      <c r="K117" t="b">
        <f t="shared" si="1"/>
        <v>1</v>
      </c>
      <c r="L117" t="b">
        <f>COUNTBLANK(metadata!B117:D117)=COLUMNS(metadata!B117:D117)</f>
        <v>1</v>
      </c>
      <c r="M117" t="str">
        <v/>
      </c>
      <c r="O117" t="b">
        <f ca="1"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P117" t="b">
        <f>AND(IF(metadata!C117="",FALSE,TRUE),EXACT(metadata!C117,"mouse gut metagenome"))</f>
        <v>0</v>
      </c>
      <c r="Q117" t="b">
        <f>AND(IF(metadata!D117="",FALSE,TRUE),EXACT(metadata!D117,"410661"))</f>
        <v>0</v>
      </c>
    </row>
    <row r="118" spans="1:17" x14ac:dyDescent="0.2">
      <c r="A118" s="4" t="str">
        <f ca="1">IF(B118=" "," ",HYPERLINK(CONCATENATE("#metadata!",ADDRESS(INDEX($J$2:$J$1001,MATCH(ROWS($H$2:H118),$H$2:$H$1001,0),0),1)),INDEX($M$2:$M$1001,MATCH(ROWS($H$2:H118),$H$2:$H$1001,0),0)))</f>
        <v xml:space="preserve"> </v>
      </c>
      <c r="B118" s="3" t="str">
        <f ca="1">IF(OR(INDEX($I$2:$I$1001,MATCH(ROWS($H$2:H118),$H$2:$H$1001,0),1)&gt;=100000,INDEX($O$1005:$Q$1005,1,MATCH(COLUMNS($O$1006:O1006),$O$1006:$Q$1006,0))&gt;=100000), " ",IF(INDEX($O$2:$Q$1001,MATCH(ROWS($H$2:H118),$H$2:$H$1001,0),MATCH(COLUMNS($O$1006:O1006),$O$1006:$Q$1006,0)), HYPERLINK("#",""), HYPERLINK(CONCATENATE("#metadata!", ADDRESS(INDEX($J$2:$J$1001,MATCH(ROWS($H$2:H118),$H$2:$H$1001,0),0), INDEX($O$1004:$Q$1004,1,MATCH(COLUMNS($O$1006:O1006),$O$1006:$Q$1006,0)))),"Fix")))</f>
        <v xml:space="preserve"> </v>
      </c>
      <c r="C118" s="3" t="str">
        <f ca="1">IF(OR(INDEX($I$2:$I$1001,MATCH(ROWS($H$2:H118),$H$2:$H$1001,0),1)&gt;=100000,INDEX($O$1005:$Q$1005,1,MATCH(COLUMNS($O$1006:P1006),$O$1006:$Q$1006,0))&gt;=100000), " ",IF(INDEX($O$2:$Q$1001,MATCH(ROWS($H$2:H118),$H$2:$H$1001,0),MATCH(COLUMNS($O$1006:P1006),$O$1006:$Q$1006,0)), HYPERLINK("#",""), HYPERLINK(CONCATENATE("#metadata!", ADDRESS(INDEX($J$2:$J$1001,MATCH(ROWS($H$2:H118),$H$2:$H$1001,0),0), INDEX($O$1004:$Q$1004,1,MATCH(COLUMNS($O$1006:P1006),$O$1006:$Q$1006,0)))),"Fix")))</f>
        <v xml:space="preserve"> </v>
      </c>
      <c r="D118" s="3" t="str">
        <f ca="1">IF(OR(INDEX($I$2:$I$1001,MATCH(ROWS($H$2:H118),$H$2:$H$1001,0),1)&gt;=100000,INDEX($O$1005:$Q$1005,1,MATCH(COLUMNS($O$1006:Q1006),$O$1006:$Q$1006,0))&gt;=100000), " ",IF(INDEX($O$2:$Q$1001,MATCH(ROWS($H$2:H118),$H$2:$H$1001,0),MATCH(COLUMNS($O$1006:Q1006),$O$1006:$Q$1006,0)), HYPERLINK("#",""), HYPERLINK(CONCATENATE("#metadata!", ADDRESS(INDEX($J$2:$J$1001,MATCH(ROWS($H$2:H118),$H$2:$H$1001,0),0), INDEX($O$1004:$Q$1004,1,MATCH(COLUMNS($O$1006:Q1006),$O$1006:$Q$1006,0)))),"Fix")))</f>
        <v xml:space="preserve"> </v>
      </c>
      <c r="H118">
        <v>117</v>
      </c>
      <c r="I118">
        <v>100118</v>
      </c>
      <c r="J118">
        <v>118</v>
      </c>
      <c r="K118" t="b">
        <f t="shared" si="1"/>
        <v>1</v>
      </c>
      <c r="L118" t="b">
        <f>COUNTBLANK(metadata!B118:D118)=COLUMNS(metadata!B118:D118)</f>
        <v>1</v>
      </c>
      <c r="M118" t="str">
        <v/>
      </c>
      <c r="O118" t="b">
        <f ca="1"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P118" t="b">
        <f>AND(IF(metadata!C118="",FALSE,TRUE),EXACT(metadata!C118,"mouse gut metagenome"))</f>
        <v>0</v>
      </c>
      <c r="Q118" t="b">
        <f>AND(IF(metadata!D118="",FALSE,TRUE),EXACT(metadata!D118,"410661"))</f>
        <v>0</v>
      </c>
    </row>
    <row r="119" spans="1:17" x14ac:dyDescent="0.2">
      <c r="A119" s="4" t="str">
        <f ca="1">IF(B119=" "," ",HYPERLINK(CONCATENATE("#metadata!",ADDRESS(INDEX($J$2:$J$1001,MATCH(ROWS($H$2:H119),$H$2:$H$1001,0),0),1)),INDEX($M$2:$M$1001,MATCH(ROWS($H$2:H119),$H$2:$H$1001,0),0)))</f>
        <v xml:space="preserve"> </v>
      </c>
      <c r="B119" s="3" t="str">
        <f ca="1">IF(OR(INDEX($I$2:$I$1001,MATCH(ROWS($H$2:H119),$H$2:$H$1001,0),1)&gt;=100000,INDEX($O$1005:$Q$1005,1,MATCH(COLUMNS($O$1006:O1006),$O$1006:$Q$1006,0))&gt;=100000), " ",IF(INDEX($O$2:$Q$1001,MATCH(ROWS($H$2:H119),$H$2:$H$1001,0),MATCH(COLUMNS($O$1006:O1006),$O$1006:$Q$1006,0)), HYPERLINK("#",""), HYPERLINK(CONCATENATE("#metadata!", ADDRESS(INDEX($J$2:$J$1001,MATCH(ROWS($H$2:H119),$H$2:$H$1001,0),0), INDEX($O$1004:$Q$1004,1,MATCH(COLUMNS($O$1006:O1006),$O$1006:$Q$1006,0)))),"Fix")))</f>
        <v xml:space="preserve"> </v>
      </c>
      <c r="C119" s="3" t="str">
        <f ca="1">IF(OR(INDEX($I$2:$I$1001,MATCH(ROWS($H$2:H119),$H$2:$H$1001,0),1)&gt;=100000,INDEX($O$1005:$Q$1005,1,MATCH(COLUMNS($O$1006:P1006),$O$1006:$Q$1006,0))&gt;=100000), " ",IF(INDEX($O$2:$Q$1001,MATCH(ROWS($H$2:H119),$H$2:$H$1001,0),MATCH(COLUMNS($O$1006:P1006),$O$1006:$Q$1006,0)), HYPERLINK("#",""), HYPERLINK(CONCATENATE("#metadata!", ADDRESS(INDEX($J$2:$J$1001,MATCH(ROWS($H$2:H119),$H$2:$H$1001,0),0), INDEX($O$1004:$Q$1004,1,MATCH(COLUMNS($O$1006:P1006),$O$1006:$Q$1006,0)))),"Fix")))</f>
        <v xml:space="preserve"> </v>
      </c>
      <c r="D119" s="3" t="str">
        <f ca="1">IF(OR(INDEX($I$2:$I$1001,MATCH(ROWS($H$2:H119),$H$2:$H$1001,0),1)&gt;=100000,INDEX($O$1005:$Q$1005,1,MATCH(COLUMNS($O$1006:Q1006),$O$1006:$Q$1006,0))&gt;=100000), " ",IF(INDEX($O$2:$Q$1001,MATCH(ROWS($H$2:H119),$H$2:$H$1001,0),MATCH(COLUMNS($O$1006:Q1006),$O$1006:$Q$1006,0)), HYPERLINK("#",""), HYPERLINK(CONCATENATE("#metadata!", ADDRESS(INDEX($J$2:$J$1001,MATCH(ROWS($H$2:H119),$H$2:$H$1001,0),0), INDEX($O$1004:$Q$1004,1,MATCH(COLUMNS($O$1006:Q1006),$O$1006:$Q$1006,0)))),"Fix")))</f>
        <v xml:space="preserve"> </v>
      </c>
      <c r="H119">
        <v>118</v>
      </c>
      <c r="I119">
        <v>100119</v>
      </c>
      <c r="J119">
        <v>119</v>
      </c>
      <c r="K119" t="b">
        <f t="shared" si="1"/>
        <v>1</v>
      </c>
      <c r="L119" t="b">
        <f>COUNTBLANK(metadata!B119:D119)=COLUMNS(metadata!B119:D119)</f>
        <v>1</v>
      </c>
      <c r="M119" t="str">
        <v/>
      </c>
      <c r="O119" t="b">
        <f ca="1"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P119" t="b">
        <f>AND(IF(metadata!C119="",FALSE,TRUE),EXACT(metadata!C119,"mouse gut metagenome"))</f>
        <v>0</v>
      </c>
      <c r="Q119" t="b">
        <f>AND(IF(metadata!D119="",FALSE,TRUE),EXACT(metadata!D119,"410661"))</f>
        <v>0</v>
      </c>
    </row>
    <row r="120" spans="1:17" x14ac:dyDescent="0.2">
      <c r="A120" s="4" t="str">
        <f ca="1">IF(B120=" "," ",HYPERLINK(CONCATENATE("#metadata!",ADDRESS(INDEX($J$2:$J$1001,MATCH(ROWS($H$2:H120),$H$2:$H$1001,0),0),1)),INDEX($M$2:$M$1001,MATCH(ROWS($H$2:H120),$H$2:$H$1001,0),0)))</f>
        <v xml:space="preserve"> </v>
      </c>
      <c r="B120" s="3" t="str">
        <f ca="1">IF(OR(INDEX($I$2:$I$1001,MATCH(ROWS($H$2:H120),$H$2:$H$1001,0),1)&gt;=100000,INDEX($O$1005:$Q$1005,1,MATCH(COLUMNS($O$1006:O1006),$O$1006:$Q$1006,0))&gt;=100000), " ",IF(INDEX($O$2:$Q$1001,MATCH(ROWS($H$2:H120),$H$2:$H$1001,0),MATCH(COLUMNS($O$1006:O1006),$O$1006:$Q$1006,0)), HYPERLINK("#",""), HYPERLINK(CONCATENATE("#metadata!", ADDRESS(INDEX($J$2:$J$1001,MATCH(ROWS($H$2:H120),$H$2:$H$1001,0),0), INDEX($O$1004:$Q$1004,1,MATCH(COLUMNS($O$1006:O1006),$O$1006:$Q$1006,0)))),"Fix")))</f>
        <v xml:space="preserve"> </v>
      </c>
      <c r="C120" s="3" t="str">
        <f ca="1">IF(OR(INDEX($I$2:$I$1001,MATCH(ROWS($H$2:H120),$H$2:$H$1001,0),1)&gt;=100000,INDEX($O$1005:$Q$1005,1,MATCH(COLUMNS($O$1006:P1006),$O$1006:$Q$1006,0))&gt;=100000), " ",IF(INDEX($O$2:$Q$1001,MATCH(ROWS($H$2:H120),$H$2:$H$1001,0),MATCH(COLUMNS($O$1006:P1006),$O$1006:$Q$1006,0)), HYPERLINK("#",""), HYPERLINK(CONCATENATE("#metadata!", ADDRESS(INDEX($J$2:$J$1001,MATCH(ROWS($H$2:H120),$H$2:$H$1001,0),0), INDEX($O$1004:$Q$1004,1,MATCH(COLUMNS($O$1006:P1006),$O$1006:$Q$1006,0)))),"Fix")))</f>
        <v xml:space="preserve"> </v>
      </c>
      <c r="D120" s="3" t="str">
        <f ca="1">IF(OR(INDEX($I$2:$I$1001,MATCH(ROWS($H$2:H120),$H$2:$H$1001,0),1)&gt;=100000,INDEX($O$1005:$Q$1005,1,MATCH(COLUMNS($O$1006:Q1006),$O$1006:$Q$1006,0))&gt;=100000), " ",IF(INDEX($O$2:$Q$1001,MATCH(ROWS($H$2:H120),$H$2:$H$1001,0),MATCH(COLUMNS($O$1006:Q1006),$O$1006:$Q$1006,0)), HYPERLINK("#",""), HYPERLINK(CONCATENATE("#metadata!", ADDRESS(INDEX($J$2:$J$1001,MATCH(ROWS($H$2:H120),$H$2:$H$1001,0),0), INDEX($O$1004:$Q$1004,1,MATCH(COLUMNS($O$1006:Q1006),$O$1006:$Q$1006,0)))),"Fix")))</f>
        <v xml:space="preserve"> </v>
      </c>
      <c r="H120">
        <v>119</v>
      </c>
      <c r="I120">
        <v>100120</v>
      </c>
      <c r="J120">
        <v>120</v>
      </c>
      <c r="K120" t="b">
        <f t="shared" si="1"/>
        <v>1</v>
      </c>
      <c r="L120" t="b">
        <f>COUNTBLANK(metadata!B120:D120)=COLUMNS(metadata!B120:D120)</f>
        <v>1</v>
      </c>
      <c r="M120" t="str">
        <v/>
      </c>
      <c r="O120" t="b">
        <f ca="1"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P120" t="b">
        <f>AND(IF(metadata!C120="",FALSE,TRUE),EXACT(metadata!C120,"mouse gut metagenome"))</f>
        <v>0</v>
      </c>
      <c r="Q120" t="b">
        <f>AND(IF(metadata!D120="",FALSE,TRUE),EXACT(metadata!D120,"410661"))</f>
        <v>0</v>
      </c>
    </row>
    <row r="121" spans="1:17" x14ac:dyDescent="0.2">
      <c r="A121" s="4" t="str">
        <f ca="1">IF(B121=" "," ",HYPERLINK(CONCATENATE("#metadata!",ADDRESS(INDEX($J$2:$J$1001,MATCH(ROWS($H$2:H121),$H$2:$H$1001,0),0),1)),INDEX($M$2:$M$1001,MATCH(ROWS($H$2:H121),$H$2:$H$1001,0),0)))</f>
        <v xml:space="preserve"> </v>
      </c>
      <c r="B121" s="3" t="str">
        <f ca="1">IF(OR(INDEX($I$2:$I$1001,MATCH(ROWS($H$2:H121),$H$2:$H$1001,0),1)&gt;=100000,INDEX($O$1005:$Q$1005,1,MATCH(COLUMNS($O$1006:O1006),$O$1006:$Q$1006,0))&gt;=100000), " ",IF(INDEX($O$2:$Q$1001,MATCH(ROWS($H$2:H121),$H$2:$H$1001,0),MATCH(COLUMNS($O$1006:O1006),$O$1006:$Q$1006,0)), HYPERLINK("#",""), HYPERLINK(CONCATENATE("#metadata!", ADDRESS(INDEX($J$2:$J$1001,MATCH(ROWS($H$2:H121),$H$2:$H$1001,0),0), INDEX($O$1004:$Q$1004,1,MATCH(COLUMNS($O$1006:O1006),$O$1006:$Q$1006,0)))),"Fix")))</f>
        <v xml:space="preserve"> </v>
      </c>
      <c r="C121" s="3" t="str">
        <f ca="1">IF(OR(INDEX($I$2:$I$1001,MATCH(ROWS($H$2:H121),$H$2:$H$1001,0),1)&gt;=100000,INDEX($O$1005:$Q$1005,1,MATCH(COLUMNS($O$1006:P1006),$O$1006:$Q$1006,0))&gt;=100000), " ",IF(INDEX($O$2:$Q$1001,MATCH(ROWS($H$2:H121),$H$2:$H$1001,0),MATCH(COLUMNS($O$1006:P1006),$O$1006:$Q$1006,0)), HYPERLINK("#",""), HYPERLINK(CONCATENATE("#metadata!", ADDRESS(INDEX($J$2:$J$1001,MATCH(ROWS($H$2:H121),$H$2:$H$1001,0),0), INDEX($O$1004:$Q$1004,1,MATCH(COLUMNS($O$1006:P1006),$O$1006:$Q$1006,0)))),"Fix")))</f>
        <v xml:space="preserve"> </v>
      </c>
      <c r="D121" s="3" t="str">
        <f ca="1">IF(OR(INDEX($I$2:$I$1001,MATCH(ROWS($H$2:H121),$H$2:$H$1001,0),1)&gt;=100000,INDEX($O$1005:$Q$1005,1,MATCH(COLUMNS($O$1006:Q1006),$O$1006:$Q$1006,0))&gt;=100000), " ",IF(INDEX($O$2:$Q$1001,MATCH(ROWS($H$2:H121),$H$2:$H$1001,0),MATCH(COLUMNS($O$1006:Q1006),$O$1006:$Q$1006,0)), HYPERLINK("#",""), HYPERLINK(CONCATENATE("#metadata!", ADDRESS(INDEX($J$2:$J$1001,MATCH(ROWS($H$2:H121),$H$2:$H$1001,0),0), INDEX($O$1004:$Q$1004,1,MATCH(COLUMNS($O$1006:Q1006),$O$1006:$Q$1006,0)))),"Fix")))</f>
        <v xml:space="preserve"> </v>
      </c>
      <c r="H121">
        <v>120</v>
      </c>
      <c r="I121">
        <v>100121</v>
      </c>
      <c r="J121">
        <v>121</v>
      </c>
      <c r="K121" t="b">
        <f t="shared" si="1"/>
        <v>1</v>
      </c>
      <c r="L121" t="b">
        <f>COUNTBLANK(metadata!B121:D121)=COLUMNS(metadata!B121:D121)</f>
        <v>1</v>
      </c>
      <c r="M121" t="str">
        <v/>
      </c>
      <c r="O121" t="b">
        <f ca="1"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P121" t="b">
        <f>AND(IF(metadata!C121="",FALSE,TRUE),EXACT(metadata!C121,"mouse gut metagenome"))</f>
        <v>0</v>
      </c>
      <c r="Q121" t="b">
        <f>AND(IF(metadata!D121="",FALSE,TRUE),EXACT(metadata!D121,"410661"))</f>
        <v>0</v>
      </c>
    </row>
    <row r="122" spans="1:17" x14ac:dyDescent="0.2">
      <c r="A122" s="4" t="str">
        <f ca="1">IF(B122=" "," ",HYPERLINK(CONCATENATE("#metadata!",ADDRESS(INDEX($J$2:$J$1001,MATCH(ROWS($H$2:H122),$H$2:$H$1001,0),0),1)),INDEX($M$2:$M$1001,MATCH(ROWS($H$2:H122),$H$2:$H$1001,0),0)))</f>
        <v xml:space="preserve"> </v>
      </c>
      <c r="B122" s="3" t="str">
        <f ca="1">IF(OR(INDEX($I$2:$I$1001,MATCH(ROWS($H$2:H122),$H$2:$H$1001,0),1)&gt;=100000,INDEX($O$1005:$Q$1005,1,MATCH(COLUMNS($O$1006:O1006),$O$1006:$Q$1006,0))&gt;=100000), " ",IF(INDEX($O$2:$Q$1001,MATCH(ROWS($H$2:H122),$H$2:$H$1001,0),MATCH(COLUMNS($O$1006:O1006),$O$1006:$Q$1006,0)), HYPERLINK("#",""), HYPERLINK(CONCATENATE("#metadata!", ADDRESS(INDEX($J$2:$J$1001,MATCH(ROWS($H$2:H122),$H$2:$H$1001,0),0), INDEX($O$1004:$Q$1004,1,MATCH(COLUMNS($O$1006:O1006),$O$1006:$Q$1006,0)))),"Fix")))</f>
        <v xml:space="preserve"> </v>
      </c>
      <c r="C122" s="3" t="str">
        <f ca="1">IF(OR(INDEX($I$2:$I$1001,MATCH(ROWS($H$2:H122),$H$2:$H$1001,0),1)&gt;=100000,INDEX($O$1005:$Q$1005,1,MATCH(COLUMNS($O$1006:P1006),$O$1006:$Q$1006,0))&gt;=100000), " ",IF(INDEX($O$2:$Q$1001,MATCH(ROWS($H$2:H122),$H$2:$H$1001,0),MATCH(COLUMNS($O$1006:P1006),$O$1006:$Q$1006,0)), HYPERLINK("#",""), HYPERLINK(CONCATENATE("#metadata!", ADDRESS(INDEX($J$2:$J$1001,MATCH(ROWS($H$2:H122),$H$2:$H$1001,0),0), INDEX($O$1004:$Q$1004,1,MATCH(COLUMNS($O$1006:P1006),$O$1006:$Q$1006,0)))),"Fix")))</f>
        <v xml:space="preserve"> </v>
      </c>
      <c r="D122" s="3" t="str">
        <f ca="1">IF(OR(INDEX($I$2:$I$1001,MATCH(ROWS($H$2:H122),$H$2:$H$1001,0),1)&gt;=100000,INDEX($O$1005:$Q$1005,1,MATCH(COLUMNS($O$1006:Q1006),$O$1006:$Q$1006,0))&gt;=100000), " ",IF(INDEX($O$2:$Q$1001,MATCH(ROWS($H$2:H122),$H$2:$H$1001,0),MATCH(COLUMNS($O$1006:Q1006),$O$1006:$Q$1006,0)), HYPERLINK("#",""), HYPERLINK(CONCATENATE("#metadata!", ADDRESS(INDEX($J$2:$J$1001,MATCH(ROWS($H$2:H122),$H$2:$H$1001,0),0), INDEX($O$1004:$Q$1004,1,MATCH(COLUMNS($O$1006:Q1006),$O$1006:$Q$1006,0)))),"Fix")))</f>
        <v xml:space="preserve"> </v>
      </c>
      <c r="H122">
        <v>121</v>
      </c>
      <c r="I122">
        <v>100122</v>
      </c>
      <c r="J122">
        <v>122</v>
      </c>
      <c r="K122" t="b">
        <f t="shared" si="1"/>
        <v>1</v>
      </c>
      <c r="L122" t="b">
        <f>COUNTBLANK(metadata!B122:D122)=COLUMNS(metadata!B122:D122)</f>
        <v>1</v>
      </c>
      <c r="M122" t="str">
        <v/>
      </c>
      <c r="O122" t="b">
        <f ca="1"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P122" t="b">
        <f>AND(IF(metadata!C122="",FALSE,TRUE),EXACT(metadata!C122,"mouse gut metagenome"))</f>
        <v>0</v>
      </c>
      <c r="Q122" t="b">
        <f>AND(IF(metadata!D122="",FALSE,TRUE),EXACT(metadata!D122,"410661"))</f>
        <v>0</v>
      </c>
    </row>
    <row r="123" spans="1:17" x14ac:dyDescent="0.2">
      <c r="A123" s="4" t="str">
        <f ca="1">IF(B123=" "," ",HYPERLINK(CONCATENATE("#metadata!",ADDRESS(INDEX($J$2:$J$1001,MATCH(ROWS($H$2:H123),$H$2:$H$1001,0),0),1)),INDEX($M$2:$M$1001,MATCH(ROWS($H$2:H123),$H$2:$H$1001,0),0)))</f>
        <v xml:space="preserve"> </v>
      </c>
      <c r="B123" s="3" t="str">
        <f ca="1">IF(OR(INDEX($I$2:$I$1001,MATCH(ROWS($H$2:H123),$H$2:$H$1001,0),1)&gt;=100000,INDEX($O$1005:$Q$1005,1,MATCH(COLUMNS($O$1006:O1006),$O$1006:$Q$1006,0))&gt;=100000), " ",IF(INDEX($O$2:$Q$1001,MATCH(ROWS($H$2:H123),$H$2:$H$1001,0),MATCH(COLUMNS($O$1006:O1006),$O$1006:$Q$1006,0)), HYPERLINK("#",""), HYPERLINK(CONCATENATE("#metadata!", ADDRESS(INDEX($J$2:$J$1001,MATCH(ROWS($H$2:H123),$H$2:$H$1001,0),0), INDEX($O$1004:$Q$1004,1,MATCH(COLUMNS($O$1006:O1006),$O$1006:$Q$1006,0)))),"Fix")))</f>
        <v xml:space="preserve"> </v>
      </c>
      <c r="C123" s="3" t="str">
        <f ca="1">IF(OR(INDEX($I$2:$I$1001,MATCH(ROWS($H$2:H123),$H$2:$H$1001,0),1)&gt;=100000,INDEX($O$1005:$Q$1005,1,MATCH(COLUMNS($O$1006:P1006),$O$1006:$Q$1006,0))&gt;=100000), " ",IF(INDEX($O$2:$Q$1001,MATCH(ROWS($H$2:H123),$H$2:$H$1001,0),MATCH(COLUMNS($O$1006:P1006),$O$1006:$Q$1006,0)), HYPERLINK("#",""), HYPERLINK(CONCATENATE("#metadata!", ADDRESS(INDEX($J$2:$J$1001,MATCH(ROWS($H$2:H123),$H$2:$H$1001,0),0), INDEX($O$1004:$Q$1004,1,MATCH(COLUMNS($O$1006:P1006),$O$1006:$Q$1006,0)))),"Fix")))</f>
        <v xml:space="preserve"> </v>
      </c>
      <c r="D123" s="3" t="str">
        <f ca="1">IF(OR(INDEX($I$2:$I$1001,MATCH(ROWS($H$2:H123),$H$2:$H$1001,0),1)&gt;=100000,INDEX($O$1005:$Q$1005,1,MATCH(COLUMNS($O$1006:Q1006),$O$1006:$Q$1006,0))&gt;=100000), " ",IF(INDEX($O$2:$Q$1001,MATCH(ROWS($H$2:H123),$H$2:$H$1001,0),MATCH(COLUMNS($O$1006:Q1006),$O$1006:$Q$1006,0)), HYPERLINK("#",""), HYPERLINK(CONCATENATE("#metadata!", ADDRESS(INDEX($J$2:$J$1001,MATCH(ROWS($H$2:H123),$H$2:$H$1001,0),0), INDEX($O$1004:$Q$1004,1,MATCH(COLUMNS($O$1006:Q1006),$O$1006:$Q$1006,0)))),"Fix")))</f>
        <v xml:space="preserve"> </v>
      </c>
      <c r="H123">
        <v>122</v>
      </c>
      <c r="I123">
        <v>100123</v>
      </c>
      <c r="J123">
        <v>123</v>
      </c>
      <c r="K123" t="b">
        <f t="shared" si="1"/>
        <v>1</v>
      </c>
      <c r="L123" t="b">
        <f>COUNTBLANK(metadata!B123:D123)=COLUMNS(metadata!B123:D123)</f>
        <v>1</v>
      </c>
      <c r="M123" t="str">
        <v/>
      </c>
      <c r="O123" t="b">
        <f ca="1"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P123" t="b">
        <f>AND(IF(metadata!C123="",FALSE,TRUE),EXACT(metadata!C123,"mouse gut metagenome"))</f>
        <v>0</v>
      </c>
      <c r="Q123" t="b">
        <f>AND(IF(metadata!D123="",FALSE,TRUE),EXACT(metadata!D123,"410661"))</f>
        <v>0</v>
      </c>
    </row>
    <row r="124" spans="1:17" x14ac:dyDescent="0.2">
      <c r="A124" s="4" t="str">
        <f ca="1">IF(B124=" "," ",HYPERLINK(CONCATENATE("#metadata!",ADDRESS(INDEX($J$2:$J$1001,MATCH(ROWS($H$2:H124),$H$2:$H$1001,0),0),1)),INDEX($M$2:$M$1001,MATCH(ROWS($H$2:H124),$H$2:$H$1001,0),0)))</f>
        <v xml:space="preserve"> </v>
      </c>
      <c r="B124" s="3" t="str">
        <f ca="1">IF(OR(INDEX($I$2:$I$1001,MATCH(ROWS($H$2:H124),$H$2:$H$1001,0),1)&gt;=100000,INDEX($O$1005:$Q$1005,1,MATCH(COLUMNS($O$1006:O1006),$O$1006:$Q$1006,0))&gt;=100000), " ",IF(INDEX($O$2:$Q$1001,MATCH(ROWS($H$2:H124),$H$2:$H$1001,0),MATCH(COLUMNS($O$1006:O1006),$O$1006:$Q$1006,0)), HYPERLINK("#",""), HYPERLINK(CONCATENATE("#metadata!", ADDRESS(INDEX($J$2:$J$1001,MATCH(ROWS($H$2:H124),$H$2:$H$1001,0),0), INDEX($O$1004:$Q$1004,1,MATCH(COLUMNS($O$1006:O1006),$O$1006:$Q$1006,0)))),"Fix")))</f>
        <v xml:space="preserve"> </v>
      </c>
      <c r="C124" s="3" t="str">
        <f ca="1">IF(OR(INDEX($I$2:$I$1001,MATCH(ROWS($H$2:H124),$H$2:$H$1001,0),1)&gt;=100000,INDEX($O$1005:$Q$1005,1,MATCH(COLUMNS($O$1006:P1006),$O$1006:$Q$1006,0))&gt;=100000), " ",IF(INDEX($O$2:$Q$1001,MATCH(ROWS($H$2:H124),$H$2:$H$1001,0),MATCH(COLUMNS($O$1006:P1006),$O$1006:$Q$1006,0)), HYPERLINK("#",""), HYPERLINK(CONCATENATE("#metadata!", ADDRESS(INDEX($J$2:$J$1001,MATCH(ROWS($H$2:H124),$H$2:$H$1001,0),0), INDEX($O$1004:$Q$1004,1,MATCH(COLUMNS($O$1006:P1006),$O$1006:$Q$1006,0)))),"Fix")))</f>
        <v xml:space="preserve"> </v>
      </c>
      <c r="D124" s="3" t="str">
        <f ca="1">IF(OR(INDEX($I$2:$I$1001,MATCH(ROWS($H$2:H124),$H$2:$H$1001,0),1)&gt;=100000,INDEX($O$1005:$Q$1005,1,MATCH(COLUMNS($O$1006:Q1006),$O$1006:$Q$1006,0))&gt;=100000), " ",IF(INDEX($O$2:$Q$1001,MATCH(ROWS($H$2:H124),$H$2:$H$1001,0),MATCH(COLUMNS($O$1006:Q1006),$O$1006:$Q$1006,0)), HYPERLINK("#",""), HYPERLINK(CONCATENATE("#metadata!", ADDRESS(INDEX($J$2:$J$1001,MATCH(ROWS($H$2:H124),$H$2:$H$1001,0),0), INDEX($O$1004:$Q$1004,1,MATCH(COLUMNS($O$1006:Q1006),$O$1006:$Q$1006,0)))),"Fix")))</f>
        <v xml:space="preserve"> </v>
      </c>
      <c r="H124">
        <v>123</v>
      </c>
      <c r="I124">
        <v>100124</v>
      </c>
      <c r="J124">
        <v>124</v>
      </c>
      <c r="K124" t="b">
        <f t="shared" si="1"/>
        <v>1</v>
      </c>
      <c r="L124" t="b">
        <f>COUNTBLANK(metadata!B124:D124)=COLUMNS(metadata!B124:D124)</f>
        <v>1</v>
      </c>
      <c r="M124" t="str">
        <v/>
      </c>
      <c r="O124" t="b">
        <f ca="1"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P124" t="b">
        <f>AND(IF(metadata!C124="",FALSE,TRUE),EXACT(metadata!C124,"mouse gut metagenome"))</f>
        <v>0</v>
      </c>
      <c r="Q124" t="b">
        <f>AND(IF(metadata!D124="",FALSE,TRUE),EXACT(metadata!D124,"410661"))</f>
        <v>0</v>
      </c>
    </row>
    <row r="125" spans="1:17" x14ac:dyDescent="0.2">
      <c r="A125" s="4" t="str">
        <f ca="1">IF(B125=" "," ",HYPERLINK(CONCATENATE("#metadata!",ADDRESS(INDEX($J$2:$J$1001,MATCH(ROWS($H$2:H125),$H$2:$H$1001,0),0),1)),INDEX($M$2:$M$1001,MATCH(ROWS($H$2:H125),$H$2:$H$1001,0),0)))</f>
        <v xml:space="preserve"> </v>
      </c>
      <c r="B125" s="3" t="str">
        <f ca="1">IF(OR(INDEX($I$2:$I$1001,MATCH(ROWS($H$2:H125),$H$2:$H$1001,0),1)&gt;=100000,INDEX($O$1005:$Q$1005,1,MATCH(COLUMNS($O$1006:O1006),$O$1006:$Q$1006,0))&gt;=100000), " ",IF(INDEX($O$2:$Q$1001,MATCH(ROWS($H$2:H125),$H$2:$H$1001,0),MATCH(COLUMNS($O$1006:O1006),$O$1006:$Q$1006,0)), HYPERLINK("#",""), HYPERLINK(CONCATENATE("#metadata!", ADDRESS(INDEX($J$2:$J$1001,MATCH(ROWS($H$2:H125),$H$2:$H$1001,0),0), INDEX($O$1004:$Q$1004,1,MATCH(COLUMNS($O$1006:O1006),$O$1006:$Q$1006,0)))),"Fix")))</f>
        <v xml:space="preserve"> </v>
      </c>
      <c r="C125" s="3" t="str">
        <f ca="1">IF(OR(INDEX($I$2:$I$1001,MATCH(ROWS($H$2:H125),$H$2:$H$1001,0),1)&gt;=100000,INDEX($O$1005:$Q$1005,1,MATCH(COLUMNS($O$1006:P1006),$O$1006:$Q$1006,0))&gt;=100000), " ",IF(INDEX($O$2:$Q$1001,MATCH(ROWS($H$2:H125),$H$2:$H$1001,0),MATCH(COLUMNS($O$1006:P1006),$O$1006:$Q$1006,0)), HYPERLINK("#",""), HYPERLINK(CONCATENATE("#metadata!", ADDRESS(INDEX($J$2:$J$1001,MATCH(ROWS($H$2:H125),$H$2:$H$1001,0),0), INDEX($O$1004:$Q$1004,1,MATCH(COLUMNS($O$1006:P1006),$O$1006:$Q$1006,0)))),"Fix")))</f>
        <v xml:space="preserve"> </v>
      </c>
      <c r="D125" s="3" t="str">
        <f ca="1">IF(OR(INDEX($I$2:$I$1001,MATCH(ROWS($H$2:H125),$H$2:$H$1001,0),1)&gt;=100000,INDEX($O$1005:$Q$1005,1,MATCH(COLUMNS($O$1006:Q1006),$O$1006:$Q$1006,0))&gt;=100000), " ",IF(INDEX($O$2:$Q$1001,MATCH(ROWS($H$2:H125),$H$2:$H$1001,0),MATCH(COLUMNS($O$1006:Q1006),$O$1006:$Q$1006,0)), HYPERLINK("#",""), HYPERLINK(CONCATENATE("#metadata!", ADDRESS(INDEX($J$2:$J$1001,MATCH(ROWS($H$2:H125),$H$2:$H$1001,0),0), INDEX($O$1004:$Q$1004,1,MATCH(COLUMNS($O$1006:Q1006),$O$1006:$Q$1006,0)))),"Fix")))</f>
        <v xml:space="preserve"> </v>
      </c>
      <c r="H125">
        <v>124</v>
      </c>
      <c r="I125">
        <v>100125</v>
      </c>
      <c r="J125">
        <v>125</v>
      </c>
      <c r="K125" t="b">
        <f t="shared" si="1"/>
        <v>1</v>
      </c>
      <c r="L125" t="b">
        <f>COUNTBLANK(metadata!B125:D125)=COLUMNS(metadata!B125:D125)</f>
        <v>1</v>
      </c>
      <c r="M125" t="str">
        <v/>
      </c>
      <c r="O125" t="b">
        <f ca="1"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P125" t="b">
        <f>AND(IF(metadata!C125="",FALSE,TRUE),EXACT(metadata!C125,"mouse gut metagenome"))</f>
        <v>0</v>
      </c>
      <c r="Q125" t="b">
        <f>AND(IF(metadata!D125="",FALSE,TRUE),EXACT(metadata!D125,"410661"))</f>
        <v>0</v>
      </c>
    </row>
    <row r="126" spans="1:17" x14ac:dyDescent="0.2">
      <c r="A126" s="4" t="str">
        <f ca="1">IF(B126=" "," ",HYPERLINK(CONCATENATE("#metadata!",ADDRESS(INDEX($J$2:$J$1001,MATCH(ROWS($H$2:H126),$H$2:$H$1001,0),0),1)),INDEX($M$2:$M$1001,MATCH(ROWS($H$2:H126),$H$2:$H$1001,0),0)))</f>
        <v xml:space="preserve"> </v>
      </c>
      <c r="B126" s="3" t="str">
        <f ca="1">IF(OR(INDEX($I$2:$I$1001,MATCH(ROWS($H$2:H126),$H$2:$H$1001,0),1)&gt;=100000,INDEX($O$1005:$Q$1005,1,MATCH(COLUMNS($O$1006:O1006),$O$1006:$Q$1006,0))&gt;=100000), " ",IF(INDEX($O$2:$Q$1001,MATCH(ROWS($H$2:H126),$H$2:$H$1001,0),MATCH(COLUMNS($O$1006:O1006),$O$1006:$Q$1006,0)), HYPERLINK("#",""), HYPERLINK(CONCATENATE("#metadata!", ADDRESS(INDEX($J$2:$J$1001,MATCH(ROWS($H$2:H126),$H$2:$H$1001,0),0), INDEX($O$1004:$Q$1004,1,MATCH(COLUMNS($O$1006:O1006),$O$1006:$Q$1006,0)))),"Fix")))</f>
        <v xml:space="preserve"> </v>
      </c>
      <c r="C126" s="3" t="str">
        <f ca="1">IF(OR(INDEX($I$2:$I$1001,MATCH(ROWS($H$2:H126),$H$2:$H$1001,0),1)&gt;=100000,INDEX($O$1005:$Q$1005,1,MATCH(COLUMNS($O$1006:P1006),$O$1006:$Q$1006,0))&gt;=100000), " ",IF(INDEX($O$2:$Q$1001,MATCH(ROWS($H$2:H126),$H$2:$H$1001,0),MATCH(COLUMNS($O$1006:P1006),$O$1006:$Q$1006,0)), HYPERLINK("#",""), HYPERLINK(CONCATENATE("#metadata!", ADDRESS(INDEX($J$2:$J$1001,MATCH(ROWS($H$2:H126),$H$2:$H$1001,0),0), INDEX($O$1004:$Q$1004,1,MATCH(COLUMNS($O$1006:P1006),$O$1006:$Q$1006,0)))),"Fix")))</f>
        <v xml:space="preserve"> </v>
      </c>
      <c r="D126" s="3" t="str">
        <f ca="1">IF(OR(INDEX($I$2:$I$1001,MATCH(ROWS($H$2:H126),$H$2:$H$1001,0),1)&gt;=100000,INDEX($O$1005:$Q$1005,1,MATCH(COLUMNS($O$1006:Q1006),$O$1006:$Q$1006,0))&gt;=100000), " ",IF(INDEX($O$2:$Q$1001,MATCH(ROWS($H$2:H126),$H$2:$H$1001,0),MATCH(COLUMNS($O$1006:Q1006),$O$1006:$Q$1006,0)), HYPERLINK("#",""), HYPERLINK(CONCATENATE("#metadata!", ADDRESS(INDEX($J$2:$J$1001,MATCH(ROWS($H$2:H126),$H$2:$H$1001,0),0), INDEX($O$1004:$Q$1004,1,MATCH(COLUMNS($O$1006:Q1006),$O$1006:$Q$1006,0)))),"Fix")))</f>
        <v xml:space="preserve"> </v>
      </c>
      <c r="H126">
        <v>125</v>
      </c>
      <c r="I126">
        <v>100126</v>
      </c>
      <c r="J126">
        <v>126</v>
      </c>
      <c r="K126" t="b">
        <f t="shared" si="1"/>
        <v>1</v>
      </c>
      <c r="L126" t="b">
        <f>COUNTBLANK(metadata!B126:D126)=COLUMNS(metadata!B126:D126)</f>
        <v>1</v>
      </c>
      <c r="M126" t="str">
        <v/>
      </c>
      <c r="O126" t="b">
        <f ca="1"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P126" t="b">
        <f>AND(IF(metadata!C126="",FALSE,TRUE),EXACT(metadata!C126,"mouse gut metagenome"))</f>
        <v>0</v>
      </c>
      <c r="Q126" t="b">
        <f>AND(IF(metadata!D126="",FALSE,TRUE),EXACT(metadata!D126,"410661"))</f>
        <v>0</v>
      </c>
    </row>
    <row r="127" spans="1:17" x14ac:dyDescent="0.2">
      <c r="A127" s="4" t="str">
        <f ca="1">IF(B127=" "," ",HYPERLINK(CONCATENATE("#metadata!",ADDRESS(INDEX($J$2:$J$1001,MATCH(ROWS($H$2:H127),$H$2:$H$1001,0),0),1)),INDEX($M$2:$M$1001,MATCH(ROWS($H$2:H127),$H$2:$H$1001,0),0)))</f>
        <v xml:space="preserve"> </v>
      </c>
      <c r="B127" s="3" t="str">
        <f ca="1">IF(OR(INDEX($I$2:$I$1001,MATCH(ROWS($H$2:H127),$H$2:$H$1001,0),1)&gt;=100000,INDEX($O$1005:$Q$1005,1,MATCH(COLUMNS($O$1006:O1006),$O$1006:$Q$1006,0))&gt;=100000), " ",IF(INDEX($O$2:$Q$1001,MATCH(ROWS($H$2:H127),$H$2:$H$1001,0),MATCH(COLUMNS($O$1006:O1006),$O$1006:$Q$1006,0)), HYPERLINK("#",""), HYPERLINK(CONCATENATE("#metadata!", ADDRESS(INDEX($J$2:$J$1001,MATCH(ROWS($H$2:H127),$H$2:$H$1001,0),0), INDEX($O$1004:$Q$1004,1,MATCH(COLUMNS($O$1006:O1006),$O$1006:$Q$1006,0)))),"Fix")))</f>
        <v xml:space="preserve"> </v>
      </c>
      <c r="C127" s="3" t="str">
        <f ca="1">IF(OR(INDEX($I$2:$I$1001,MATCH(ROWS($H$2:H127),$H$2:$H$1001,0),1)&gt;=100000,INDEX($O$1005:$Q$1005,1,MATCH(COLUMNS($O$1006:P1006),$O$1006:$Q$1006,0))&gt;=100000), " ",IF(INDEX($O$2:$Q$1001,MATCH(ROWS($H$2:H127),$H$2:$H$1001,0),MATCH(COLUMNS($O$1006:P1006),$O$1006:$Q$1006,0)), HYPERLINK("#",""), HYPERLINK(CONCATENATE("#metadata!", ADDRESS(INDEX($J$2:$J$1001,MATCH(ROWS($H$2:H127),$H$2:$H$1001,0),0), INDEX($O$1004:$Q$1004,1,MATCH(COLUMNS($O$1006:P1006),$O$1006:$Q$1006,0)))),"Fix")))</f>
        <v xml:space="preserve"> </v>
      </c>
      <c r="D127" s="3" t="str">
        <f ca="1">IF(OR(INDEX($I$2:$I$1001,MATCH(ROWS($H$2:H127),$H$2:$H$1001,0),1)&gt;=100000,INDEX($O$1005:$Q$1005,1,MATCH(COLUMNS($O$1006:Q1006),$O$1006:$Q$1006,0))&gt;=100000), " ",IF(INDEX($O$2:$Q$1001,MATCH(ROWS($H$2:H127),$H$2:$H$1001,0),MATCH(COLUMNS($O$1006:Q1006),$O$1006:$Q$1006,0)), HYPERLINK("#",""), HYPERLINK(CONCATENATE("#metadata!", ADDRESS(INDEX($J$2:$J$1001,MATCH(ROWS($H$2:H127),$H$2:$H$1001,0),0), INDEX($O$1004:$Q$1004,1,MATCH(COLUMNS($O$1006:Q1006),$O$1006:$Q$1006,0)))),"Fix")))</f>
        <v xml:space="preserve"> </v>
      </c>
      <c r="H127">
        <v>126</v>
      </c>
      <c r="I127">
        <v>100127</v>
      </c>
      <c r="J127">
        <v>127</v>
      </c>
      <c r="K127" t="b">
        <f t="shared" si="1"/>
        <v>1</v>
      </c>
      <c r="L127" t="b">
        <f>COUNTBLANK(metadata!B127:D127)=COLUMNS(metadata!B127:D127)</f>
        <v>1</v>
      </c>
      <c r="M127" t="str">
        <v/>
      </c>
      <c r="O127" t="b">
        <f ca="1"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P127" t="b">
        <f>AND(IF(metadata!C127="",FALSE,TRUE),EXACT(metadata!C127,"mouse gut metagenome"))</f>
        <v>0</v>
      </c>
      <c r="Q127" t="b">
        <f>AND(IF(metadata!D127="",FALSE,TRUE),EXACT(metadata!D127,"410661"))</f>
        <v>0</v>
      </c>
    </row>
    <row r="128" spans="1:17" x14ac:dyDescent="0.2">
      <c r="A128" s="4" t="str">
        <f ca="1">IF(B128=" "," ",HYPERLINK(CONCATENATE("#metadata!",ADDRESS(INDEX($J$2:$J$1001,MATCH(ROWS($H$2:H128),$H$2:$H$1001,0),0),1)),INDEX($M$2:$M$1001,MATCH(ROWS($H$2:H128),$H$2:$H$1001,0),0)))</f>
        <v xml:space="preserve"> </v>
      </c>
      <c r="B128" s="3" t="str">
        <f ca="1">IF(OR(INDEX($I$2:$I$1001,MATCH(ROWS($H$2:H128),$H$2:$H$1001,0),1)&gt;=100000,INDEX($O$1005:$Q$1005,1,MATCH(COLUMNS($O$1006:O1006),$O$1006:$Q$1006,0))&gt;=100000), " ",IF(INDEX($O$2:$Q$1001,MATCH(ROWS($H$2:H128),$H$2:$H$1001,0),MATCH(COLUMNS($O$1006:O1006),$O$1006:$Q$1006,0)), HYPERLINK("#",""), HYPERLINK(CONCATENATE("#metadata!", ADDRESS(INDEX($J$2:$J$1001,MATCH(ROWS($H$2:H128),$H$2:$H$1001,0),0), INDEX($O$1004:$Q$1004,1,MATCH(COLUMNS($O$1006:O1006),$O$1006:$Q$1006,0)))),"Fix")))</f>
        <v xml:space="preserve"> </v>
      </c>
      <c r="C128" s="3" t="str">
        <f ca="1">IF(OR(INDEX($I$2:$I$1001,MATCH(ROWS($H$2:H128),$H$2:$H$1001,0),1)&gt;=100000,INDEX($O$1005:$Q$1005,1,MATCH(COLUMNS($O$1006:P1006),$O$1006:$Q$1006,0))&gt;=100000), " ",IF(INDEX($O$2:$Q$1001,MATCH(ROWS($H$2:H128),$H$2:$H$1001,0),MATCH(COLUMNS($O$1006:P1006),$O$1006:$Q$1006,0)), HYPERLINK("#",""), HYPERLINK(CONCATENATE("#metadata!", ADDRESS(INDEX($J$2:$J$1001,MATCH(ROWS($H$2:H128),$H$2:$H$1001,0),0), INDEX($O$1004:$Q$1004,1,MATCH(COLUMNS($O$1006:P1006),$O$1006:$Q$1006,0)))),"Fix")))</f>
        <v xml:space="preserve"> </v>
      </c>
      <c r="D128" s="3" t="str">
        <f ca="1">IF(OR(INDEX($I$2:$I$1001,MATCH(ROWS($H$2:H128),$H$2:$H$1001,0),1)&gt;=100000,INDEX($O$1005:$Q$1005,1,MATCH(COLUMNS($O$1006:Q1006),$O$1006:$Q$1006,0))&gt;=100000), " ",IF(INDEX($O$2:$Q$1001,MATCH(ROWS($H$2:H128),$H$2:$H$1001,0),MATCH(COLUMNS($O$1006:Q1006),$O$1006:$Q$1006,0)), HYPERLINK("#",""), HYPERLINK(CONCATENATE("#metadata!", ADDRESS(INDEX($J$2:$J$1001,MATCH(ROWS($H$2:H128),$H$2:$H$1001,0),0), INDEX($O$1004:$Q$1004,1,MATCH(COLUMNS($O$1006:Q1006),$O$1006:$Q$1006,0)))),"Fix")))</f>
        <v xml:space="preserve"> </v>
      </c>
      <c r="H128">
        <v>127</v>
      </c>
      <c r="I128">
        <v>100128</v>
      </c>
      <c r="J128">
        <v>128</v>
      </c>
      <c r="K128" t="b">
        <f t="shared" si="1"/>
        <v>1</v>
      </c>
      <c r="L128" t="b">
        <f>COUNTBLANK(metadata!B128:D128)=COLUMNS(metadata!B128:D128)</f>
        <v>1</v>
      </c>
      <c r="M128" t="str">
        <v/>
      </c>
      <c r="O128" t="b">
        <f ca="1"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P128" t="b">
        <f>AND(IF(metadata!C128="",FALSE,TRUE),EXACT(metadata!C128,"mouse gut metagenome"))</f>
        <v>0</v>
      </c>
      <c r="Q128" t="b">
        <f>AND(IF(metadata!D128="",FALSE,TRUE),EXACT(metadata!D128,"410661"))</f>
        <v>0</v>
      </c>
    </row>
    <row r="129" spans="1:17" x14ac:dyDescent="0.2">
      <c r="A129" s="4" t="str">
        <f ca="1">IF(B129=" "," ",HYPERLINK(CONCATENATE("#metadata!",ADDRESS(INDEX($J$2:$J$1001,MATCH(ROWS($H$2:H129),$H$2:$H$1001,0),0),1)),INDEX($M$2:$M$1001,MATCH(ROWS($H$2:H129),$H$2:$H$1001,0),0)))</f>
        <v xml:space="preserve"> </v>
      </c>
      <c r="B129" s="3" t="str">
        <f ca="1">IF(OR(INDEX($I$2:$I$1001,MATCH(ROWS($H$2:H129),$H$2:$H$1001,0),1)&gt;=100000,INDEX($O$1005:$Q$1005,1,MATCH(COLUMNS($O$1006:O1006),$O$1006:$Q$1006,0))&gt;=100000), " ",IF(INDEX($O$2:$Q$1001,MATCH(ROWS($H$2:H129),$H$2:$H$1001,0),MATCH(COLUMNS($O$1006:O1006),$O$1006:$Q$1006,0)), HYPERLINK("#",""), HYPERLINK(CONCATENATE("#metadata!", ADDRESS(INDEX($J$2:$J$1001,MATCH(ROWS($H$2:H129),$H$2:$H$1001,0),0), INDEX($O$1004:$Q$1004,1,MATCH(COLUMNS($O$1006:O1006),$O$1006:$Q$1006,0)))),"Fix")))</f>
        <v xml:space="preserve"> </v>
      </c>
      <c r="C129" s="3" t="str">
        <f ca="1">IF(OR(INDEX($I$2:$I$1001,MATCH(ROWS($H$2:H129),$H$2:$H$1001,0),1)&gt;=100000,INDEX($O$1005:$Q$1005,1,MATCH(COLUMNS($O$1006:P1006),$O$1006:$Q$1006,0))&gt;=100000), " ",IF(INDEX($O$2:$Q$1001,MATCH(ROWS($H$2:H129),$H$2:$H$1001,0),MATCH(COLUMNS($O$1006:P1006),$O$1006:$Q$1006,0)), HYPERLINK("#",""), HYPERLINK(CONCATENATE("#metadata!", ADDRESS(INDEX($J$2:$J$1001,MATCH(ROWS($H$2:H129),$H$2:$H$1001,0),0), INDEX($O$1004:$Q$1004,1,MATCH(COLUMNS($O$1006:P1006),$O$1006:$Q$1006,0)))),"Fix")))</f>
        <v xml:space="preserve"> </v>
      </c>
      <c r="D129" s="3" t="str">
        <f ca="1">IF(OR(INDEX($I$2:$I$1001,MATCH(ROWS($H$2:H129),$H$2:$H$1001,0),1)&gt;=100000,INDEX($O$1005:$Q$1005,1,MATCH(COLUMNS($O$1006:Q1006),$O$1006:$Q$1006,0))&gt;=100000), " ",IF(INDEX($O$2:$Q$1001,MATCH(ROWS($H$2:H129),$H$2:$H$1001,0),MATCH(COLUMNS($O$1006:Q1006),$O$1006:$Q$1006,0)), HYPERLINK("#",""), HYPERLINK(CONCATENATE("#metadata!", ADDRESS(INDEX($J$2:$J$1001,MATCH(ROWS($H$2:H129),$H$2:$H$1001,0),0), INDEX($O$1004:$Q$1004,1,MATCH(COLUMNS($O$1006:Q1006),$O$1006:$Q$1006,0)))),"Fix")))</f>
        <v xml:space="preserve"> </v>
      </c>
      <c r="H129">
        <v>128</v>
      </c>
      <c r="I129">
        <v>100129</v>
      </c>
      <c r="J129">
        <v>129</v>
      </c>
      <c r="K129" t="b">
        <f t="shared" si="1"/>
        <v>1</v>
      </c>
      <c r="L129" t="b">
        <f>COUNTBLANK(metadata!B129:D129)=COLUMNS(metadata!B129:D129)</f>
        <v>1</v>
      </c>
      <c r="M129" t="str">
        <v/>
      </c>
      <c r="O129" t="b">
        <f ca="1"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P129" t="b">
        <f>AND(IF(metadata!C129="",FALSE,TRUE),EXACT(metadata!C129,"mouse gut metagenome"))</f>
        <v>0</v>
      </c>
      <c r="Q129" t="b">
        <f>AND(IF(metadata!D129="",FALSE,TRUE),EXACT(metadata!D129,"410661"))</f>
        <v>0</v>
      </c>
    </row>
    <row r="130" spans="1:17" x14ac:dyDescent="0.2">
      <c r="A130" s="4" t="str">
        <f ca="1">IF(B130=" "," ",HYPERLINK(CONCATENATE("#metadata!",ADDRESS(INDEX($J$2:$J$1001,MATCH(ROWS($H$2:H130),$H$2:$H$1001,0),0),1)),INDEX($M$2:$M$1001,MATCH(ROWS($H$2:H130),$H$2:$H$1001,0),0)))</f>
        <v xml:space="preserve"> </v>
      </c>
      <c r="B130" s="3" t="str">
        <f ca="1">IF(OR(INDEX($I$2:$I$1001,MATCH(ROWS($H$2:H130),$H$2:$H$1001,0),1)&gt;=100000,INDEX($O$1005:$Q$1005,1,MATCH(COLUMNS($O$1006:O1006),$O$1006:$Q$1006,0))&gt;=100000), " ",IF(INDEX($O$2:$Q$1001,MATCH(ROWS($H$2:H130),$H$2:$H$1001,0),MATCH(COLUMNS($O$1006:O1006),$O$1006:$Q$1006,0)), HYPERLINK("#",""), HYPERLINK(CONCATENATE("#metadata!", ADDRESS(INDEX($J$2:$J$1001,MATCH(ROWS($H$2:H130),$H$2:$H$1001,0),0), INDEX($O$1004:$Q$1004,1,MATCH(COLUMNS($O$1006:O1006),$O$1006:$Q$1006,0)))),"Fix")))</f>
        <v xml:space="preserve"> </v>
      </c>
      <c r="C130" s="3" t="str">
        <f ca="1">IF(OR(INDEX($I$2:$I$1001,MATCH(ROWS($H$2:H130),$H$2:$H$1001,0),1)&gt;=100000,INDEX($O$1005:$Q$1005,1,MATCH(COLUMNS($O$1006:P1006),$O$1006:$Q$1006,0))&gt;=100000), " ",IF(INDEX($O$2:$Q$1001,MATCH(ROWS($H$2:H130),$H$2:$H$1001,0),MATCH(COLUMNS($O$1006:P1006),$O$1006:$Q$1006,0)), HYPERLINK("#",""), HYPERLINK(CONCATENATE("#metadata!", ADDRESS(INDEX($J$2:$J$1001,MATCH(ROWS($H$2:H130),$H$2:$H$1001,0),0), INDEX($O$1004:$Q$1004,1,MATCH(COLUMNS($O$1006:P1006),$O$1006:$Q$1006,0)))),"Fix")))</f>
        <v xml:space="preserve"> </v>
      </c>
      <c r="D130" s="3" t="str">
        <f ca="1">IF(OR(INDEX($I$2:$I$1001,MATCH(ROWS($H$2:H130),$H$2:$H$1001,0),1)&gt;=100000,INDEX($O$1005:$Q$1005,1,MATCH(COLUMNS($O$1006:Q1006),$O$1006:$Q$1006,0))&gt;=100000), " ",IF(INDEX($O$2:$Q$1001,MATCH(ROWS($H$2:H130),$H$2:$H$1001,0),MATCH(COLUMNS($O$1006:Q1006),$O$1006:$Q$1006,0)), HYPERLINK("#",""), HYPERLINK(CONCATENATE("#metadata!", ADDRESS(INDEX($J$2:$J$1001,MATCH(ROWS($H$2:H130),$H$2:$H$1001,0),0), INDEX($O$1004:$Q$1004,1,MATCH(COLUMNS($O$1006:Q1006),$O$1006:$Q$1006,0)))),"Fix")))</f>
        <v xml:space="preserve"> </v>
      </c>
      <c r="H130">
        <v>129</v>
      </c>
      <c r="I130">
        <v>100130</v>
      </c>
      <c r="J130">
        <v>130</v>
      </c>
      <c r="K130" t="b">
        <f t="shared" ref="K130:K193" si="2">IF(L130,TRUE,AND(O130:Q130))</f>
        <v>1</v>
      </c>
      <c r="L130" t="b">
        <f>COUNTBLANK(metadata!B130:D130)=COLUMNS(metadata!B130:D130)</f>
        <v>1</v>
      </c>
      <c r="M130" t="str">
        <v/>
      </c>
      <c r="O130" t="b">
        <f ca="1"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P130" t="b">
        <f>AND(IF(metadata!C130="",FALSE,TRUE),EXACT(metadata!C130,"mouse gut metagenome"))</f>
        <v>0</v>
      </c>
      <c r="Q130" t="b">
        <f>AND(IF(metadata!D130="",FALSE,TRUE),EXACT(metadata!D130,"410661"))</f>
        <v>0</v>
      </c>
    </row>
    <row r="131" spans="1:17" x14ac:dyDescent="0.2">
      <c r="A131" s="4" t="str">
        <f ca="1">IF(B131=" "," ",HYPERLINK(CONCATENATE("#metadata!",ADDRESS(INDEX($J$2:$J$1001,MATCH(ROWS($H$2:H131),$H$2:$H$1001,0),0),1)),INDEX($M$2:$M$1001,MATCH(ROWS($H$2:H131),$H$2:$H$1001,0),0)))</f>
        <v xml:space="preserve"> </v>
      </c>
      <c r="B131" s="3" t="str">
        <f ca="1">IF(OR(INDEX($I$2:$I$1001,MATCH(ROWS($H$2:H131),$H$2:$H$1001,0),1)&gt;=100000,INDEX($O$1005:$Q$1005,1,MATCH(COLUMNS($O$1006:O1006),$O$1006:$Q$1006,0))&gt;=100000), " ",IF(INDEX($O$2:$Q$1001,MATCH(ROWS($H$2:H131),$H$2:$H$1001,0),MATCH(COLUMNS($O$1006:O1006),$O$1006:$Q$1006,0)), HYPERLINK("#",""), HYPERLINK(CONCATENATE("#metadata!", ADDRESS(INDEX($J$2:$J$1001,MATCH(ROWS($H$2:H131),$H$2:$H$1001,0),0), INDEX($O$1004:$Q$1004,1,MATCH(COLUMNS($O$1006:O1006),$O$1006:$Q$1006,0)))),"Fix")))</f>
        <v xml:space="preserve"> </v>
      </c>
      <c r="C131" s="3" t="str">
        <f ca="1">IF(OR(INDEX($I$2:$I$1001,MATCH(ROWS($H$2:H131),$H$2:$H$1001,0),1)&gt;=100000,INDEX($O$1005:$Q$1005,1,MATCH(COLUMNS($O$1006:P1006),$O$1006:$Q$1006,0))&gt;=100000), " ",IF(INDEX($O$2:$Q$1001,MATCH(ROWS($H$2:H131),$H$2:$H$1001,0),MATCH(COLUMNS($O$1006:P1006),$O$1006:$Q$1006,0)), HYPERLINK("#",""), HYPERLINK(CONCATENATE("#metadata!", ADDRESS(INDEX($J$2:$J$1001,MATCH(ROWS($H$2:H131),$H$2:$H$1001,0),0), INDEX($O$1004:$Q$1004,1,MATCH(COLUMNS($O$1006:P1006),$O$1006:$Q$1006,0)))),"Fix")))</f>
        <v xml:space="preserve"> </v>
      </c>
      <c r="D131" s="3" t="str">
        <f ca="1">IF(OR(INDEX($I$2:$I$1001,MATCH(ROWS($H$2:H131),$H$2:$H$1001,0),1)&gt;=100000,INDEX($O$1005:$Q$1005,1,MATCH(COLUMNS($O$1006:Q1006),$O$1006:$Q$1006,0))&gt;=100000), " ",IF(INDEX($O$2:$Q$1001,MATCH(ROWS($H$2:H131),$H$2:$H$1001,0),MATCH(COLUMNS($O$1006:Q1006),$O$1006:$Q$1006,0)), HYPERLINK("#",""), HYPERLINK(CONCATENATE("#metadata!", ADDRESS(INDEX($J$2:$J$1001,MATCH(ROWS($H$2:H131),$H$2:$H$1001,0),0), INDEX($O$1004:$Q$1004,1,MATCH(COLUMNS($O$1006:Q1006),$O$1006:$Q$1006,0)))),"Fix")))</f>
        <v xml:space="preserve"> </v>
      </c>
      <c r="H131">
        <v>130</v>
      </c>
      <c r="I131">
        <v>100131</v>
      </c>
      <c r="J131">
        <v>131</v>
      </c>
      <c r="K131" t="b">
        <f t="shared" si="2"/>
        <v>1</v>
      </c>
      <c r="L131" t="b">
        <f>COUNTBLANK(metadata!B131:D131)=COLUMNS(metadata!B131:D131)</f>
        <v>1</v>
      </c>
      <c r="M131" t="str">
        <v/>
      </c>
      <c r="O131" t="b">
        <f ca="1"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P131" t="b">
        <f>AND(IF(metadata!C131="",FALSE,TRUE),EXACT(metadata!C131,"mouse gut metagenome"))</f>
        <v>0</v>
      </c>
      <c r="Q131" t="b">
        <f>AND(IF(metadata!D131="",FALSE,TRUE),EXACT(metadata!D131,"410661"))</f>
        <v>0</v>
      </c>
    </row>
    <row r="132" spans="1:17" x14ac:dyDescent="0.2">
      <c r="A132" s="4" t="str">
        <f ca="1">IF(B132=" "," ",HYPERLINK(CONCATENATE("#metadata!",ADDRESS(INDEX($J$2:$J$1001,MATCH(ROWS($H$2:H132),$H$2:$H$1001,0),0),1)),INDEX($M$2:$M$1001,MATCH(ROWS($H$2:H132),$H$2:$H$1001,0),0)))</f>
        <v xml:space="preserve"> </v>
      </c>
      <c r="B132" s="3" t="str">
        <f ca="1">IF(OR(INDEX($I$2:$I$1001,MATCH(ROWS($H$2:H132),$H$2:$H$1001,0),1)&gt;=100000,INDEX($O$1005:$Q$1005,1,MATCH(COLUMNS($O$1006:O1006),$O$1006:$Q$1006,0))&gt;=100000), " ",IF(INDEX($O$2:$Q$1001,MATCH(ROWS($H$2:H132),$H$2:$H$1001,0),MATCH(COLUMNS($O$1006:O1006),$O$1006:$Q$1006,0)), HYPERLINK("#",""), HYPERLINK(CONCATENATE("#metadata!", ADDRESS(INDEX($J$2:$J$1001,MATCH(ROWS($H$2:H132),$H$2:$H$1001,0),0), INDEX($O$1004:$Q$1004,1,MATCH(COLUMNS($O$1006:O1006),$O$1006:$Q$1006,0)))),"Fix")))</f>
        <v xml:space="preserve"> </v>
      </c>
      <c r="C132" s="3" t="str">
        <f ca="1">IF(OR(INDEX($I$2:$I$1001,MATCH(ROWS($H$2:H132),$H$2:$H$1001,0),1)&gt;=100000,INDEX($O$1005:$Q$1005,1,MATCH(COLUMNS($O$1006:P1006),$O$1006:$Q$1006,0))&gt;=100000), " ",IF(INDEX($O$2:$Q$1001,MATCH(ROWS($H$2:H132),$H$2:$H$1001,0),MATCH(COLUMNS($O$1006:P1006),$O$1006:$Q$1006,0)), HYPERLINK("#",""), HYPERLINK(CONCATENATE("#metadata!", ADDRESS(INDEX($J$2:$J$1001,MATCH(ROWS($H$2:H132),$H$2:$H$1001,0),0), INDEX($O$1004:$Q$1004,1,MATCH(COLUMNS($O$1006:P1006),$O$1006:$Q$1006,0)))),"Fix")))</f>
        <v xml:space="preserve"> </v>
      </c>
      <c r="D132" s="3" t="str">
        <f ca="1">IF(OR(INDEX($I$2:$I$1001,MATCH(ROWS($H$2:H132),$H$2:$H$1001,0),1)&gt;=100000,INDEX($O$1005:$Q$1005,1,MATCH(COLUMNS($O$1006:Q1006),$O$1006:$Q$1006,0))&gt;=100000), " ",IF(INDEX($O$2:$Q$1001,MATCH(ROWS($H$2:H132),$H$2:$H$1001,0),MATCH(COLUMNS($O$1006:Q1006),$O$1006:$Q$1006,0)), HYPERLINK("#",""), HYPERLINK(CONCATENATE("#metadata!", ADDRESS(INDEX($J$2:$J$1001,MATCH(ROWS($H$2:H132),$H$2:$H$1001,0),0), INDEX($O$1004:$Q$1004,1,MATCH(COLUMNS($O$1006:Q1006),$O$1006:$Q$1006,0)))),"Fix")))</f>
        <v xml:space="preserve"> </v>
      </c>
      <c r="H132">
        <v>131</v>
      </c>
      <c r="I132">
        <v>100132</v>
      </c>
      <c r="J132">
        <v>132</v>
      </c>
      <c r="K132" t="b">
        <f t="shared" si="2"/>
        <v>1</v>
      </c>
      <c r="L132" t="b">
        <f>COUNTBLANK(metadata!B132:D132)=COLUMNS(metadata!B132:D132)</f>
        <v>1</v>
      </c>
      <c r="M132" t="str">
        <v/>
      </c>
      <c r="O132" t="b">
        <f ca="1"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P132" t="b">
        <f>AND(IF(metadata!C132="",FALSE,TRUE),EXACT(metadata!C132,"mouse gut metagenome"))</f>
        <v>0</v>
      </c>
      <c r="Q132" t="b">
        <f>AND(IF(metadata!D132="",FALSE,TRUE),EXACT(metadata!D132,"410661"))</f>
        <v>0</v>
      </c>
    </row>
    <row r="133" spans="1:17" x14ac:dyDescent="0.2">
      <c r="A133" s="4" t="str">
        <f ca="1">IF(B133=" "," ",HYPERLINK(CONCATENATE("#metadata!",ADDRESS(INDEX($J$2:$J$1001,MATCH(ROWS($H$2:H133),$H$2:$H$1001,0),0),1)),INDEX($M$2:$M$1001,MATCH(ROWS($H$2:H133),$H$2:$H$1001,0),0)))</f>
        <v xml:space="preserve"> </v>
      </c>
      <c r="B133" s="3" t="str">
        <f ca="1">IF(OR(INDEX($I$2:$I$1001,MATCH(ROWS($H$2:H133),$H$2:$H$1001,0),1)&gt;=100000,INDEX($O$1005:$Q$1005,1,MATCH(COLUMNS($O$1006:O1006),$O$1006:$Q$1006,0))&gt;=100000), " ",IF(INDEX($O$2:$Q$1001,MATCH(ROWS($H$2:H133),$H$2:$H$1001,0),MATCH(COLUMNS($O$1006:O1006),$O$1006:$Q$1006,0)), HYPERLINK("#",""), HYPERLINK(CONCATENATE("#metadata!", ADDRESS(INDEX($J$2:$J$1001,MATCH(ROWS($H$2:H133),$H$2:$H$1001,0),0), INDEX($O$1004:$Q$1004,1,MATCH(COLUMNS($O$1006:O1006),$O$1006:$Q$1006,0)))),"Fix")))</f>
        <v xml:space="preserve"> </v>
      </c>
      <c r="C133" s="3" t="str">
        <f ca="1">IF(OR(INDEX($I$2:$I$1001,MATCH(ROWS($H$2:H133),$H$2:$H$1001,0),1)&gt;=100000,INDEX($O$1005:$Q$1005,1,MATCH(COLUMNS($O$1006:P1006),$O$1006:$Q$1006,0))&gt;=100000), " ",IF(INDEX($O$2:$Q$1001,MATCH(ROWS($H$2:H133),$H$2:$H$1001,0),MATCH(COLUMNS($O$1006:P1006),$O$1006:$Q$1006,0)), HYPERLINK("#",""), HYPERLINK(CONCATENATE("#metadata!", ADDRESS(INDEX($J$2:$J$1001,MATCH(ROWS($H$2:H133),$H$2:$H$1001,0),0), INDEX($O$1004:$Q$1004,1,MATCH(COLUMNS($O$1006:P1006),$O$1006:$Q$1006,0)))),"Fix")))</f>
        <v xml:space="preserve"> </v>
      </c>
      <c r="D133" s="3" t="str">
        <f ca="1">IF(OR(INDEX($I$2:$I$1001,MATCH(ROWS($H$2:H133),$H$2:$H$1001,0),1)&gt;=100000,INDEX($O$1005:$Q$1005,1,MATCH(COLUMNS($O$1006:Q1006),$O$1006:$Q$1006,0))&gt;=100000), " ",IF(INDEX($O$2:$Q$1001,MATCH(ROWS($H$2:H133),$H$2:$H$1001,0),MATCH(COLUMNS($O$1006:Q1006),$O$1006:$Q$1006,0)), HYPERLINK("#",""), HYPERLINK(CONCATENATE("#metadata!", ADDRESS(INDEX($J$2:$J$1001,MATCH(ROWS($H$2:H133),$H$2:$H$1001,0),0), INDEX($O$1004:$Q$1004,1,MATCH(COLUMNS($O$1006:Q1006),$O$1006:$Q$1006,0)))),"Fix")))</f>
        <v xml:space="preserve"> </v>
      </c>
      <c r="H133">
        <v>132</v>
      </c>
      <c r="I133">
        <v>100133</v>
      </c>
      <c r="J133">
        <v>133</v>
      </c>
      <c r="K133" t="b">
        <f t="shared" si="2"/>
        <v>1</v>
      </c>
      <c r="L133" t="b">
        <f>COUNTBLANK(metadata!B133:D133)=COLUMNS(metadata!B133:D133)</f>
        <v>1</v>
      </c>
      <c r="M133" t="str">
        <v/>
      </c>
      <c r="O133" t="b">
        <f ca="1"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P133" t="b">
        <f>AND(IF(metadata!C133="",FALSE,TRUE),EXACT(metadata!C133,"mouse gut metagenome"))</f>
        <v>0</v>
      </c>
      <c r="Q133" t="b">
        <f>AND(IF(metadata!D133="",FALSE,TRUE),EXACT(metadata!D133,"410661"))</f>
        <v>0</v>
      </c>
    </row>
    <row r="134" spans="1:17" x14ac:dyDescent="0.2">
      <c r="A134" s="4" t="str">
        <f ca="1">IF(B134=" "," ",HYPERLINK(CONCATENATE("#metadata!",ADDRESS(INDEX($J$2:$J$1001,MATCH(ROWS($H$2:H134),$H$2:$H$1001,0),0),1)),INDEX($M$2:$M$1001,MATCH(ROWS($H$2:H134),$H$2:$H$1001,0),0)))</f>
        <v xml:space="preserve"> </v>
      </c>
      <c r="B134" s="3" t="str">
        <f ca="1">IF(OR(INDEX($I$2:$I$1001,MATCH(ROWS($H$2:H134),$H$2:$H$1001,0),1)&gt;=100000,INDEX($O$1005:$Q$1005,1,MATCH(COLUMNS($O$1006:O1006),$O$1006:$Q$1006,0))&gt;=100000), " ",IF(INDEX($O$2:$Q$1001,MATCH(ROWS($H$2:H134),$H$2:$H$1001,0),MATCH(COLUMNS($O$1006:O1006),$O$1006:$Q$1006,0)), HYPERLINK("#",""), HYPERLINK(CONCATENATE("#metadata!", ADDRESS(INDEX($J$2:$J$1001,MATCH(ROWS($H$2:H134),$H$2:$H$1001,0),0), INDEX($O$1004:$Q$1004,1,MATCH(COLUMNS($O$1006:O1006),$O$1006:$Q$1006,0)))),"Fix")))</f>
        <v xml:space="preserve"> </v>
      </c>
      <c r="C134" s="3" t="str">
        <f ca="1">IF(OR(INDEX($I$2:$I$1001,MATCH(ROWS($H$2:H134),$H$2:$H$1001,0),1)&gt;=100000,INDEX($O$1005:$Q$1005,1,MATCH(COLUMNS($O$1006:P1006),$O$1006:$Q$1006,0))&gt;=100000), " ",IF(INDEX($O$2:$Q$1001,MATCH(ROWS($H$2:H134),$H$2:$H$1001,0),MATCH(COLUMNS($O$1006:P1006),$O$1006:$Q$1006,0)), HYPERLINK("#",""), HYPERLINK(CONCATENATE("#metadata!", ADDRESS(INDEX($J$2:$J$1001,MATCH(ROWS($H$2:H134),$H$2:$H$1001,0),0), INDEX($O$1004:$Q$1004,1,MATCH(COLUMNS($O$1006:P1006),$O$1006:$Q$1006,0)))),"Fix")))</f>
        <v xml:space="preserve"> </v>
      </c>
      <c r="D134" s="3" t="str">
        <f ca="1">IF(OR(INDEX($I$2:$I$1001,MATCH(ROWS($H$2:H134),$H$2:$H$1001,0),1)&gt;=100000,INDEX($O$1005:$Q$1005,1,MATCH(COLUMNS($O$1006:Q1006),$O$1006:$Q$1006,0))&gt;=100000), " ",IF(INDEX($O$2:$Q$1001,MATCH(ROWS($H$2:H134),$H$2:$H$1001,0),MATCH(COLUMNS($O$1006:Q1006),$O$1006:$Q$1006,0)), HYPERLINK("#",""), HYPERLINK(CONCATENATE("#metadata!", ADDRESS(INDEX($J$2:$J$1001,MATCH(ROWS($H$2:H134),$H$2:$H$1001,0),0), INDEX($O$1004:$Q$1004,1,MATCH(COLUMNS($O$1006:Q1006),$O$1006:$Q$1006,0)))),"Fix")))</f>
        <v xml:space="preserve"> </v>
      </c>
      <c r="H134">
        <v>133</v>
      </c>
      <c r="I134">
        <v>100134</v>
      </c>
      <c r="J134">
        <v>134</v>
      </c>
      <c r="K134" t="b">
        <f t="shared" si="2"/>
        <v>1</v>
      </c>
      <c r="L134" t="b">
        <f>COUNTBLANK(metadata!B134:D134)=COLUMNS(metadata!B134:D134)</f>
        <v>1</v>
      </c>
      <c r="M134" t="str">
        <v/>
      </c>
      <c r="O134" t="b">
        <f ca="1"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P134" t="b">
        <f>AND(IF(metadata!C134="",FALSE,TRUE),EXACT(metadata!C134,"mouse gut metagenome"))</f>
        <v>0</v>
      </c>
      <c r="Q134" t="b">
        <f>AND(IF(metadata!D134="",FALSE,TRUE),EXACT(metadata!D134,"410661"))</f>
        <v>0</v>
      </c>
    </row>
    <row r="135" spans="1:17" x14ac:dyDescent="0.2">
      <c r="A135" s="4" t="str">
        <f ca="1">IF(B135=" "," ",HYPERLINK(CONCATENATE("#metadata!",ADDRESS(INDEX($J$2:$J$1001,MATCH(ROWS($H$2:H135),$H$2:$H$1001,0),0),1)),INDEX($M$2:$M$1001,MATCH(ROWS($H$2:H135),$H$2:$H$1001,0),0)))</f>
        <v xml:space="preserve"> </v>
      </c>
      <c r="B135" s="3" t="str">
        <f ca="1">IF(OR(INDEX($I$2:$I$1001,MATCH(ROWS($H$2:H135),$H$2:$H$1001,0),1)&gt;=100000,INDEX($O$1005:$Q$1005,1,MATCH(COLUMNS($O$1006:O1006),$O$1006:$Q$1006,0))&gt;=100000), " ",IF(INDEX($O$2:$Q$1001,MATCH(ROWS($H$2:H135),$H$2:$H$1001,0),MATCH(COLUMNS($O$1006:O1006),$O$1006:$Q$1006,0)), HYPERLINK("#",""), HYPERLINK(CONCATENATE("#metadata!", ADDRESS(INDEX($J$2:$J$1001,MATCH(ROWS($H$2:H135),$H$2:$H$1001,0),0), INDEX($O$1004:$Q$1004,1,MATCH(COLUMNS($O$1006:O1006),$O$1006:$Q$1006,0)))),"Fix")))</f>
        <v xml:space="preserve"> </v>
      </c>
      <c r="C135" s="3" t="str">
        <f ca="1">IF(OR(INDEX($I$2:$I$1001,MATCH(ROWS($H$2:H135),$H$2:$H$1001,0),1)&gt;=100000,INDEX($O$1005:$Q$1005,1,MATCH(COLUMNS($O$1006:P1006),$O$1006:$Q$1006,0))&gt;=100000), " ",IF(INDEX($O$2:$Q$1001,MATCH(ROWS($H$2:H135),$H$2:$H$1001,0),MATCH(COLUMNS($O$1006:P1006),$O$1006:$Q$1006,0)), HYPERLINK("#",""), HYPERLINK(CONCATENATE("#metadata!", ADDRESS(INDEX($J$2:$J$1001,MATCH(ROWS($H$2:H135),$H$2:$H$1001,0),0), INDEX($O$1004:$Q$1004,1,MATCH(COLUMNS($O$1006:P1006),$O$1006:$Q$1006,0)))),"Fix")))</f>
        <v xml:space="preserve"> </v>
      </c>
      <c r="D135" s="3" t="str">
        <f ca="1">IF(OR(INDEX($I$2:$I$1001,MATCH(ROWS($H$2:H135),$H$2:$H$1001,0),1)&gt;=100000,INDEX($O$1005:$Q$1005,1,MATCH(COLUMNS($O$1006:Q1006),$O$1006:$Q$1006,0))&gt;=100000), " ",IF(INDEX($O$2:$Q$1001,MATCH(ROWS($H$2:H135),$H$2:$H$1001,0),MATCH(COLUMNS($O$1006:Q1006),$O$1006:$Q$1006,0)), HYPERLINK("#",""), HYPERLINK(CONCATENATE("#metadata!", ADDRESS(INDEX($J$2:$J$1001,MATCH(ROWS($H$2:H135),$H$2:$H$1001,0),0), INDEX($O$1004:$Q$1004,1,MATCH(COLUMNS($O$1006:Q1006),$O$1006:$Q$1006,0)))),"Fix")))</f>
        <v xml:space="preserve"> </v>
      </c>
      <c r="H135">
        <v>134</v>
      </c>
      <c r="I135">
        <v>100135</v>
      </c>
      <c r="J135">
        <v>135</v>
      </c>
      <c r="K135" t="b">
        <f t="shared" si="2"/>
        <v>1</v>
      </c>
      <c r="L135" t="b">
        <f>COUNTBLANK(metadata!B135:D135)=COLUMNS(metadata!B135:D135)</f>
        <v>1</v>
      </c>
      <c r="M135" t="str">
        <v/>
      </c>
      <c r="O135" t="b">
        <f ca="1"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P135" t="b">
        <f>AND(IF(metadata!C135="",FALSE,TRUE),EXACT(metadata!C135,"mouse gut metagenome"))</f>
        <v>0</v>
      </c>
      <c r="Q135" t="b">
        <f>AND(IF(metadata!D135="",FALSE,TRUE),EXACT(metadata!D135,"410661"))</f>
        <v>0</v>
      </c>
    </row>
    <row r="136" spans="1:17" x14ac:dyDescent="0.2">
      <c r="A136" s="4" t="str">
        <f ca="1">IF(B136=" "," ",HYPERLINK(CONCATENATE("#metadata!",ADDRESS(INDEX($J$2:$J$1001,MATCH(ROWS($H$2:H136),$H$2:$H$1001,0),0),1)),INDEX($M$2:$M$1001,MATCH(ROWS($H$2:H136),$H$2:$H$1001,0),0)))</f>
        <v xml:space="preserve"> </v>
      </c>
      <c r="B136" s="3" t="str">
        <f ca="1">IF(OR(INDEX($I$2:$I$1001,MATCH(ROWS($H$2:H136),$H$2:$H$1001,0),1)&gt;=100000,INDEX($O$1005:$Q$1005,1,MATCH(COLUMNS($O$1006:O1006),$O$1006:$Q$1006,0))&gt;=100000), " ",IF(INDEX($O$2:$Q$1001,MATCH(ROWS($H$2:H136),$H$2:$H$1001,0),MATCH(COLUMNS($O$1006:O1006),$O$1006:$Q$1006,0)), HYPERLINK("#",""), HYPERLINK(CONCATENATE("#metadata!", ADDRESS(INDEX($J$2:$J$1001,MATCH(ROWS($H$2:H136),$H$2:$H$1001,0),0), INDEX($O$1004:$Q$1004,1,MATCH(COLUMNS($O$1006:O1006),$O$1006:$Q$1006,0)))),"Fix")))</f>
        <v xml:space="preserve"> </v>
      </c>
      <c r="C136" s="3" t="str">
        <f ca="1">IF(OR(INDEX($I$2:$I$1001,MATCH(ROWS($H$2:H136),$H$2:$H$1001,0),1)&gt;=100000,INDEX($O$1005:$Q$1005,1,MATCH(COLUMNS($O$1006:P1006),$O$1006:$Q$1006,0))&gt;=100000), " ",IF(INDEX($O$2:$Q$1001,MATCH(ROWS($H$2:H136),$H$2:$H$1001,0),MATCH(COLUMNS($O$1006:P1006),$O$1006:$Q$1006,0)), HYPERLINK("#",""), HYPERLINK(CONCATENATE("#metadata!", ADDRESS(INDEX($J$2:$J$1001,MATCH(ROWS($H$2:H136),$H$2:$H$1001,0),0), INDEX($O$1004:$Q$1004,1,MATCH(COLUMNS($O$1006:P1006),$O$1006:$Q$1006,0)))),"Fix")))</f>
        <v xml:space="preserve"> </v>
      </c>
      <c r="D136" s="3" t="str">
        <f ca="1">IF(OR(INDEX($I$2:$I$1001,MATCH(ROWS($H$2:H136),$H$2:$H$1001,0),1)&gt;=100000,INDEX($O$1005:$Q$1005,1,MATCH(COLUMNS($O$1006:Q1006),$O$1006:$Q$1006,0))&gt;=100000), " ",IF(INDEX($O$2:$Q$1001,MATCH(ROWS($H$2:H136),$H$2:$H$1001,0),MATCH(COLUMNS($O$1006:Q1006),$O$1006:$Q$1006,0)), HYPERLINK("#",""), HYPERLINK(CONCATENATE("#metadata!", ADDRESS(INDEX($J$2:$J$1001,MATCH(ROWS($H$2:H136),$H$2:$H$1001,0),0), INDEX($O$1004:$Q$1004,1,MATCH(COLUMNS($O$1006:Q1006),$O$1006:$Q$1006,0)))),"Fix")))</f>
        <v xml:space="preserve"> </v>
      </c>
      <c r="H136">
        <v>135</v>
      </c>
      <c r="I136">
        <v>100136</v>
      </c>
      <c r="J136">
        <v>136</v>
      </c>
      <c r="K136" t="b">
        <f t="shared" si="2"/>
        <v>1</v>
      </c>
      <c r="L136" t="b">
        <f>COUNTBLANK(metadata!B136:D136)=COLUMNS(metadata!B136:D136)</f>
        <v>1</v>
      </c>
      <c r="M136" t="str">
        <v/>
      </c>
      <c r="O136" t="b">
        <f ca="1"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P136" t="b">
        <f>AND(IF(metadata!C136="",FALSE,TRUE),EXACT(metadata!C136,"mouse gut metagenome"))</f>
        <v>0</v>
      </c>
      <c r="Q136" t="b">
        <f>AND(IF(metadata!D136="",FALSE,TRUE),EXACT(metadata!D136,"410661"))</f>
        <v>0</v>
      </c>
    </row>
    <row r="137" spans="1:17" x14ac:dyDescent="0.2">
      <c r="A137" s="4" t="str">
        <f ca="1">IF(B137=" "," ",HYPERLINK(CONCATENATE("#metadata!",ADDRESS(INDEX($J$2:$J$1001,MATCH(ROWS($H$2:H137),$H$2:$H$1001,0),0),1)),INDEX($M$2:$M$1001,MATCH(ROWS($H$2:H137),$H$2:$H$1001,0),0)))</f>
        <v xml:space="preserve"> </v>
      </c>
      <c r="B137" s="3" t="str">
        <f ca="1">IF(OR(INDEX($I$2:$I$1001,MATCH(ROWS($H$2:H137),$H$2:$H$1001,0),1)&gt;=100000,INDEX($O$1005:$Q$1005,1,MATCH(COLUMNS($O$1006:O1006),$O$1006:$Q$1006,0))&gt;=100000), " ",IF(INDEX($O$2:$Q$1001,MATCH(ROWS($H$2:H137),$H$2:$H$1001,0),MATCH(COLUMNS($O$1006:O1006),$O$1006:$Q$1006,0)), HYPERLINK("#",""), HYPERLINK(CONCATENATE("#metadata!", ADDRESS(INDEX($J$2:$J$1001,MATCH(ROWS($H$2:H137),$H$2:$H$1001,0),0), INDEX($O$1004:$Q$1004,1,MATCH(COLUMNS($O$1006:O1006),$O$1006:$Q$1006,0)))),"Fix")))</f>
        <v xml:space="preserve"> </v>
      </c>
      <c r="C137" s="3" t="str">
        <f ca="1">IF(OR(INDEX($I$2:$I$1001,MATCH(ROWS($H$2:H137),$H$2:$H$1001,0),1)&gt;=100000,INDEX($O$1005:$Q$1005,1,MATCH(COLUMNS($O$1006:P1006),$O$1006:$Q$1006,0))&gt;=100000), " ",IF(INDEX($O$2:$Q$1001,MATCH(ROWS($H$2:H137),$H$2:$H$1001,0),MATCH(COLUMNS($O$1006:P1006),$O$1006:$Q$1006,0)), HYPERLINK("#",""), HYPERLINK(CONCATENATE("#metadata!", ADDRESS(INDEX($J$2:$J$1001,MATCH(ROWS($H$2:H137),$H$2:$H$1001,0),0), INDEX($O$1004:$Q$1004,1,MATCH(COLUMNS($O$1006:P1006),$O$1006:$Q$1006,0)))),"Fix")))</f>
        <v xml:space="preserve"> </v>
      </c>
      <c r="D137" s="3" t="str">
        <f ca="1">IF(OR(INDEX($I$2:$I$1001,MATCH(ROWS($H$2:H137),$H$2:$H$1001,0),1)&gt;=100000,INDEX($O$1005:$Q$1005,1,MATCH(COLUMNS($O$1006:Q1006),$O$1006:$Q$1006,0))&gt;=100000), " ",IF(INDEX($O$2:$Q$1001,MATCH(ROWS($H$2:H137),$H$2:$H$1001,0),MATCH(COLUMNS($O$1006:Q1006),$O$1006:$Q$1006,0)), HYPERLINK("#",""), HYPERLINK(CONCATENATE("#metadata!", ADDRESS(INDEX($J$2:$J$1001,MATCH(ROWS($H$2:H137),$H$2:$H$1001,0),0), INDEX($O$1004:$Q$1004,1,MATCH(COLUMNS($O$1006:Q1006),$O$1006:$Q$1006,0)))),"Fix")))</f>
        <v xml:space="preserve"> </v>
      </c>
      <c r="H137">
        <v>136</v>
      </c>
      <c r="I137">
        <v>100137</v>
      </c>
      <c r="J137">
        <v>137</v>
      </c>
      <c r="K137" t="b">
        <f t="shared" si="2"/>
        <v>1</v>
      </c>
      <c r="L137" t="b">
        <f>COUNTBLANK(metadata!B137:D137)=COLUMNS(metadata!B137:D137)</f>
        <v>1</v>
      </c>
      <c r="M137" t="str">
        <v/>
      </c>
      <c r="O137" t="b">
        <f ca="1"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P137" t="b">
        <f>AND(IF(metadata!C137="",FALSE,TRUE),EXACT(metadata!C137,"mouse gut metagenome"))</f>
        <v>0</v>
      </c>
      <c r="Q137" t="b">
        <f>AND(IF(metadata!D137="",FALSE,TRUE),EXACT(metadata!D137,"410661"))</f>
        <v>0</v>
      </c>
    </row>
    <row r="138" spans="1:17" x14ac:dyDescent="0.2">
      <c r="A138" s="4" t="str">
        <f ca="1">IF(B138=" "," ",HYPERLINK(CONCATENATE("#metadata!",ADDRESS(INDEX($J$2:$J$1001,MATCH(ROWS($H$2:H138),$H$2:$H$1001,0),0),1)),INDEX($M$2:$M$1001,MATCH(ROWS($H$2:H138),$H$2:$H$1001,0),0)))</f>
        <v xml:space="preserve"> </v>
      </c>
      <c r="B138" s="3" t="str">
        <f ca="1">IF(OR(INDEX($I$2:$I$1001,MATCH(ROWS($H$2:H138),$H$2:$H$1001,0),1)&gt;=100000,INDEX($O$1005:$Q$1005,1,MATCH(COLUMNS($O$1006:O1006),$O$1006:$Q$1006,0))&gt;=100000), " ",IF(INDEX($O$2:$Q$1001,MATCH(ROWS($H$2:H138),$H$2:$H$1001,0),MATCH(COLUMNS($O$1006:O1006),$O$1006:$Q$1006,0)), HYPERLINK("#",""), HYPERLINK(CONCATENATE("#metadata!", ADDRESS(INDEX($J$2:$J$1001,MATCH(ROWS($H$2:H138),$H$2:$H$1001,0),0), INDEX($O$1004:$Q$1004,1,MATCH(COLUMNS($O$1006:O1006),$O$1006:$Q$1006,0)))),"Fix")))</f>
        <v xml:space="preserve"> </v>
      </c>
      <c r="C138" s="3" t="str">
        <f ca="1">IF(OR(INDEX($I$2:$I$1001,MATCH(ROWS($H$2:H138),$H$2:$H$1001,0),1)&gt;=100000,INDEX($O$1005:$Q$1005,1,MATCH(COLUMNS($O$1006:P1006),$O$1006:$Q$1006,0))&gt;=100000), " ",IF(INDEX($O$2:$Q$1001,MATCH(ROWS($H$2:H138),$H$2:$H$1001,0),MATCH(COLUMNS($O$1006:P1006),$O$1006:$Q$1006,0)), HYPERLINK("#",""), HYPERLINK(CONCATENATE("#metadata!", ADDRESS(INDEX($J$2:$J$1001,MATCH(ROWS($H$2:H138),$H$2:$H$1001,0),0), INDEX($O$1004:$Q$1004,1,MATCH(COLUMNS($O$1006:P1006),$O$1006:$Q$1006,0)))),"Fix")))</f>
        <v xml:space="preserve"> </v>
      </c>
      <c r="D138" s="3" t="str">
        <f ca="1">IF(OR(INDEX($I$2:$I$1001,MATCH(ROWS($H$2:H138),$H$2:$H$1001,0),1)&gt;=100000,INDEX($O$1005:$Q$1005,1,MATCH(COLUMNS($O$1006:Q1006),$O$1006:$Q$1006,0))&gt;=100000), " ",IF(INDEX($O$2:$Q$1001,MATCH(ROWS($H$2:H138),$H$2:$H$1001,0),MATCH(COLUMNS($O$1006:Q1006),$O$1006:$Q$1006,0)), HYPERLINK("#",""), HYPERLINK(CONCATENATE("#metadata!", ADDRESS(INDEX($J$2:$J$1001,MATCH(ROWS($H$2:H138),$H$2:$H$1001,0),0), INDEX($O$1004:$Q$1004,1,MATCH(COLUMNS($O$1006:Q1006),$O$1006:$Q$1006,0)))),"Fix")))</f>
        <v xml:space="preserve"> </v>
      </c>
      <c r="H138">
        <v>137</v>
      </c>
      <c r="I138">
        <v>100138</v>
      </c>
      <c r="J138">
        <v>138</v>
      </c>
      <c r="K138" t="b">
        <f t="shared" si="2"/>
        <v>1</v>
      </c>
      <c r="L138" t="b">
        <f>COUNTBLANK(metadata!B138:D138)=COLUMNS(metadata!B138:D138)</f>
        <v>1</v>
      </c>
      <c r="M138" t="str">
        <v/>
      </c>
      <c r="O138" t="b">
        <f ca="1"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P138" t="b">
        <f>AND(IF(metadata!C138="",FALSE,TRUE),EXACT(metadata!C138,"mouse gut metagenome"))</f>
        <v>0</v>
      </c>
      <c r="Q138" t="b">
        <f>AND(IF(metadata!D138="",FALSE,TRUE),EXACT(metadata!D138,"410661"))</f>
        <v>0</v>
      </c>
    </row>
    <row r="139" spans="1:17" x14ac:dyDescent="0.2">
      <c r="A139" s="4" t="str">
        <f ca="1">IF(B139=" "," ",HYPERLINK(CONCATENATE("#metadata!",ADDRESS(INDEX($J$2:$J$1001,MATCH(ROWS($H$2:H139),$H$2:$H$1001,0),0),1)),INDEX($M$2:$M$1001,MATCH(ROWS($H$2:H139),$H$2:$H$1001,0),0)))</f>
        <v xml:space="preserve"> </v>
      </c>
      <c r="B139" s="3" t="str">
        <f ca="1">IF(OR(INDEX($I$2:$I$1001,MATCH(ROWS($H$2:H139),$H$2:$H$1001,0),1)&gt;=100000,INDEX($O$1005:$Q$1005,1,MATCH(COLUMNS($O$1006:O1006),$O$1006:$Q$1006,0))&gt;=100000), " ",IF(INDEX($O$2:$Q$1001,MATCH(ROWS($H$2:H139),$H$2:$H$1001,0),MATCH(COLUMNS($O$1006:O1006),$O$1006:$Q$1006,0)), HYPERLINK("#",""), HYPERLINK(CONCATENATE("#metadata!", ADDRESS(INDEX($J$2:$J$1001,MATCH(ROWS($H$2:H139),$H$2:$H$1001,0),0), INDEX($O$1004:$Q$1004,1,MATCH(COLUMNS($O$1006:O1006),$O$1006:$Q$1006,0)))),"Fix")))</f>
        <v xml:space="preserve"> </v>
      </c>
      <c r="C139" s="3" t="str">
        <f ca="1">IF(OR(INDEX($I$2:$I$1001,MATCH(ROWS($H$2:H139),$H$2:$H$1001,0),1)&gt;=100000,INDEX($O$1005:$Q$1005,1,MATCH(COLUMNS($O$1006:P1006),$O$1006:$Q$1006,0))&gt;=100000), " ",IF(INDEX($O$2:$Q$1001,MATCH(ROWS($H$2:H139),$H$2:$H$1001,0),MATCH(COLUMNS($O$1006:P1006),$O$1006:$Q$1006,0)), HYPERLINK("#",""), HYPERLINK(CONCATENATE("#metadata!", ADDRESS(INDEX($J$2:$J$1001,MATCH(ROWS($H$2:H139),$H$2:$H$1001,0),0), INDEX($O$1004:$Q$1004,1,MATCH(COLUMNS($O$1006:P1006),$O$1006:$Q$1006,0)))),"Fix")))</f>
        <v xml:space="preserve"> </v>
      </c>
      <c r="D139" s="3" t="str">
        <f ca="1">IF(OR(INDEX($I$2:$I$1001,MATCH(ROWS($H$2:H139),$H$2:$H$1001,0),1)&gt;=100000,INDEX($O$1005:$Q$1005,1,MATCH(COLUMNS($O$1006:Q1006),$O$1006:$Q$1006,0))&gt;=100000), " ",IF(INDEX($O$2:$Q$1001,MATCH(ROWS($H$2:H139),$H$2:$H$1001,0),MATCH(COLUMNS($O$1006:Q1006),$O$1006:$Q$1006,0)), HYPERLINK("#",""), HYPERLINK(CONCATENATE("#metadata!", ADDRESS(INDEX($J$2:$J$1001,MATCH(ROWS($H$2:H139),$H$2:$H$1001,0),0), INDEX($O$1004:$Q$1004,1,MATCH(COLUMNS($O$1006:Q1006),$O$1006:$Q$1006,0)))),"Fix")))</f>
        <v xml:space="preserve"> </v>
      </c>
      <c r="H139">
        <v>138</v>
      </c>
      <c r="I139">
        <v>100139</v>
      </c>
      <c r="J139">
        <v>139</v>
      </c>
      <c r="K139" t="b">
        <f t="shared" si="2"/>
        <v>1</v>
      </c>
      <c r="L139" t="b">
        <f>COUNTBLANK(metadata!B139:D139)=COLUMNS(metadata!B139:D139)</f>
        <v>1</v>
      </c>
      <c r="M139" t="str">
        <v/>
      </c>
      <c r="O139" t="b">
        <f ca="1"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P139" t="b">
        <f>AND(IF(metadata!C139="",FALSE,TRUE),EXACT(metadata!C139,"mouse gut metagenome"))</f>
        <v>0</v>
      </c>
      <c r="Q139" t="b">
        <f>AND(IF(metadata!D139="",FALSE,TRUE),EXACT(metadata!D139,"410661"))</f>
        <v>0</v>
      </c>
    </row>
    <row r="140" spans="1:17" x14ac:dyDescent="0.2">
      <c r="A140" s="4" t="str">
        <f ca="1">IF(B140=" "," ",HYPERLINK(CONCATENATE("#metadata!",ADDRESS(INDEX($J$2:$J$1001,MATCH(ROWS($H$2:H140),$H$2:$H$1001,0),0),1)),INDEX($M$2:$M$1001,MATCH(ROWS($H$2:H140),$H$2:$H$1001,0),0)))</f>
        <v xml:space="preserve"> </v>
      </c>
      <c r="B140" s="3" t="str">
        <f ca="1">IF(OR(INDEX($I$2:$I$1001,MATCH(ROWS($H$2:H140),$H$2:$H$1001,0),1)&gt;=100000,INDEX($O$1005:$Q$1005,1,MATCH(COLUMNS($O$1006:O1006),$O$1006:$Q$1006,0))&gt;=100000), " ",IF(INDEX($O$2:$Q$1001,MATCH(ROWS($H$2:H140),$H$2:$H$1001,0),MATCH(COLUMNS($O$1006:O1006),$O$1006:$Q$1006,0)), HYPERLINK("#",""), HYPERLINK(CONCATENATE("#metadata!", ADDRESS(INDEX($J$2:$J$1001,MATCH(ROWS($H$2:H140),$H$2:$H$1001,0),0), INDEX($O$1004:$Q$1004,1,MATCH(COLUMNS($O$1006:O1006),$O$1006:$Q$1006,0)))),"Fix")))</f>
        <v xml:space="preserve"> </v>
      </c>
      <c r="C140" s="3" t="str">
        <f ca="1">IF(OR(INDEX($I$2:$I$1001,MATCH(ROWS($H$2:H140),$H$2:$H$1001,0),1)&gt;=100000,INDEX($O$1005:$Q$1005,1,MATCH(COLUMNS($O$1006:P1006),$O$1006:$Q$1006,0))&gt;=100000), " ",IF(INDEX($O$2:$Q$1001,MATCH(ROWS($H$2:H140),$H$2:$H$1001,0),MATCH(COLUMNS($O$1006:P1006),$O$1006:$Q$1006,0)), HYPERLINK("#",""), HYPERLINK(CONCATENATE("#metadata!", ADDRESS(INDEX($J$2:$J$1001,MATCH(ROWS($H$2:H140),$H$2:$H$1001,0),0), INDEX($O$1004:$Q$1004,1,MATCH(COLUMNS($O$1006:P1006),$O$1006:$Q$1006,0)))),"Fix")))</f>
        <v xml:space="preserve"> </v>
      </c>
      <c r="D140" s="3" t="str">
        <f ca="1">IF(OR(INDEX($I$2:$I$1001,MATCH(ROWS($H$2:H140),$H$2:$H$1001,0),1)&gt;=100000,INDEX($O$1005:$Q$1005,1,MATCH(COLUMNS($O$1006:Q1006),$O$1006:$Q$1006,0))&gt;=100000), " ",IF(INDEX($O$2:$Q$1001,MATCH(ROWS($H$2:H140),$H$2:$H$1001,0),MATCH(COLUMNS($O$1006:Q1006),$O$1006:$Q$1006,0)), HYPERLINK("#",""), HYPERLINK(CONCATENATE("#metadata!", ADDRESS(INDEX($J$2:$J$1001,MATCH(ROWS($H$2:H140),$H$2:$H$1001,0),0), INDEX($O$1004:$Q$1004,1,MATCH(COLUMNS($O$1006:Q1006),$O$1006:$Q$1006,0)))),"Fix")))</f>
        <v xml:space="preserve"> </v>
      </c>
      <c r="H140">
        <v>139</v>
      </c>
      <c r="I140">
        <v>100140</v>
      </c>
      <c r="J140">
        <v>140</v>
      </c>
      <c r="K140" t="b">
        <f t="shared" si="2"/>
        <v>1</v>
      </c>
      <c r="L140" t="b">
        <f>COUNTBLANK(metadata!B140:D140)=COLUMNS(metadata!B140:D140)</f>
        <v>1</v>
      </c>
      <c r="M140" t="str">
        <v/>
      </c>
      <c r="O140" t="b">
        <f ca="1"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P140" t="b">
        <f>AND(IF(metadata!C140="",FALSE,TRUE),EXACT(metadata!C140,"mouse gut metagenome"))</f>
        <v>0</v>
      </c>
      <c r="Q140" t="b">
        <f>AND(IF(metadata!D140="",FALSE,TRUE),EXACT(metadata!D140,"410661"))</f>
        <v>0</v>
      </c>
    </row>
    <row r="141" spans="1:17" x14ac:dyDescent="0.2">
      <c r="A141" s="4" t="str">
        <f ca="1">IF(B141=" "," ",HYPERLINK(CONCATENATE("#metadata!",ADDRESS(INDEX($J$2:$J$1001,MATCH(ROWS($H$2:H141),$H$2:$H$1001,0),0),1)),INDEX($M$2:$M$1001,MATCH(ROWS($H$2:H141),$H$2:$H$1001,0),0)))</f>
        <v xml:space="preserve"> </v>
      </c>
      <c r="B141" s="3" t="str">
        <f ca="1">IF(OR(INDEX($I$2:$I$1001,MATCH(ROWS($H$2:H141),$H$2:$H$1001,0),1)&gt;=100000,INDEX($O$1005:$Q$1005,1,MATCH(COLUMNS($O$1006:O1006),$O$1006:$Q$1006,0))&gt;=100000), " ",IF(INDEX($O$2:$Q$1001,MATCH(ROWS($H$2:H141),$H$2:$H$1001,0),MATCH(COLUMNS($O$1006:O1006),$O$1006:$Q$1006,0)), HYPERLINK("#",""), HYPERLINK(CONCATENATE("#metadata!", ADDRESS(INDEX($J$2:$J$1001,MATCH(ROWS($H$2:H141),$H$2:$H$1001,0),0), INDEX($O$1004:$Q$1004,1,MATCH(COLUMNS($O$1006:O1006),$O$1006:$Q$1006,0)))),"Fix")))</f>
        <v xml:space="preserve"> </v>
      </c>
      <c r="C141" s="3" t="str">
        <f ca="1">IF(OR(INDEX($I$2:$I$1001,MATCH(ROWS($H$2:H141),$H$2:$H$1001,0),1)&gt;=100000,INDEX($O$1005:$Q$1005,1,MATCH(COLUMNS($O$1006:P1006),$O$1006:$Q$1006,0))&gt;=100000), " ",IF(INDEX($O$2:$Q$1001,MATCH(ROWS($H$2:H141),$H$2:$H$1001,0),MATCH(COLUMNS($O$1006:P1006),$O$1006:$Q$1006,0)), HYPERLINK("#",""), HYPERLINK(CONCATENATE("#metadata!", ADDRESS(INDEX($J$2:$J$1001,MATCH(ROWS($H$2:H141),$H$2:$H$1001,0),0), INDEX($O$1004:$Q$1004,1,MATCH(COLUMNS($O$1006:P1006),$O$1006:$Q$1006,0)))),"Fix")))</f>
        <v xml:space="preserve"> </v>
      </c>
      <c r="D141" s="3" t="str">
        <f ca="1">IF(OR(INDEX($I$2:$I$1001,MATCH(ROWS($H$2:H141),$H$2:$H$1001,0),1)&gt;=100000,INDEX($O$1005:$Q$1005,1,MATCH(COLUMNS($O$1006:Q1006),$O$1006:$Q$1006,0))&gt;=100000), " ",IF(INDEX($O$2:$Q$1001,MATCH(ROWS($H$2:H141),$H$2:$H$1001,0),MATCH(COLUMNS($O$1006:Q1006),$O$1006:$Q$1006,0)), HYPERLINK("#",""), HYPERLINK(CONCATENATE("#metadata!", ADDRESS(INDEX($J$2:$J$1001,MATCH(ROWS($H$2:H141),$H$2:$H$1001,0),0), INDEX($O$1004:$Q$1004,1,MATCH(COLUMNS($O$1006:Q1006),$O$1006:$Q$1006,0)))),"Fix")))</f>
        <v xml:space="preserve"> </v>
      </c>
      <c r="H141">
        <v>140</v>
      </c>
      <c r="I141">
        <v>100141</v>
      </c>
      <c r="J141">
        <v>141</v>
      </c>
      <c r="K141" t="b">
        <f t="shared" si="2"/>
        <v>1</v>
      </c>
      <c r="L141" t="b">
        <f>COUNTBLANK(metadata!B141:D141)=COLUMNS(metadata!B141:D141)</f>
        <v>1</v>
      </c>
      <c r="M141" t="str">
        <v/>
      </c>
      <c r="O141" t="b">
        <f ca="1"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P141" t="b">
        <f>AND(IF(metadata!C141="",FALSE,TRUE),EXACT(metadata!C141,"mouse gut metagenome"))</f>
        <v>0</v>
      </c>
      <c r="Q141" t="b">
        <f>AND(IF(metadata!D141="",FALSE,TRUE),EXACT(metadata!D141,"410661"))</f>
        <v>0</v>
      </c>
    </row>
    <row r="142" spans="1:17" x14ac:dyDescent="0.2">
      <c r="A142" s="4" t="str">
        <f ca="1">IF(B142=" "," ",HYPERLINK(CONCATENATE("#metadata!",ADDRESS(INDEX($J$2:$J$1001,MATCH(ROWS($H$2:H142),$H$2:$H$1001,0),0),1)),INDEX($M$2:$M$1001,MATCH(ROWS($H$2:H142),$H$2:$H$1001,0),0)))</f>
        <v xml:space="preserve"> </v>
      </c>
      <c r="B142" s="3" t="str">
        <f ca="1">IF(OR(INDEX($I$2:$I$1001,MATCH(ROWS($H$2:H142),$H$2:$H$1001,0),1)&gt;=100000,INDEX($O$1005:$Q$1005,1,MATCH(COLUMNS($O$1006:O1006),$O$1006:$Q$1006,0))&gt;=100000), " ",IF(INDEX($O$2:$Q$1001,MATCH(ROWS($H$2:H142),$H$2:$H$1001,0),MATCH(COLUMNS($O$1006:O1006),$O$1006:$Q$1006,0)), HYPERLINK("#",""), HYPERLINK(CONCATENATE("#metadata!", ADDRESS(INDEX($J$2:$J$1001,MATCH(ROWS($H$2:H142),$H$2:$H$1001,0),0), INDEX($O$1004:$Q$1004,1,MATCH(COLUMNS($O$1006:O1006),$O$1006:$Q$1006,0)))),"Fix")))</f>
        <v xml:space="preserve"> </v>
      </c>
      <c r="C142" s="3" t="str">
        <f ca="1">IF(OR(INDEX($I$2:$I$1001,MATCH(ROWS($H$2:H142),$H$2:$H$1001,0),1)&gt;=100000,INDEX($O$1005:$Q$1005,1,MATCH(COLUMNS($O$1006:P1006),$O$1006:$Q$1006,0))&gt;=100000), " ",IF(INDEX($O$2:$Q$1001,MATCH(ROWS($H$2:H142),$H$2:$H$1001,0),MATCH(COLUMNS($O$1006:P1006),$O$1006:$Q$1006,0)), HYPERLINK("#",""), HYPERLINK(CONCATENATE("#metadata!", ADDRESS(INDEX($J$2:$J$1001,MATCH(ROWS($H$2:H142),$H$2:$H$1001,0),0), INDEX($O$1004:$Q$1004,1,MATCH(COLUMNS($O$1006:P1006),$O$1006:$Q$1006,0)))),"Fix")))</f>
        <v xml:space="preserve"> </v>
      </c>
      <c r="D142" s="3" t="str">
        <f ca="1">IF(OR(INDEX($I$2:$I$1001,MATCH(ROWS($H$2:H142),$H$2:$H$1001,0),1)&gt;=100000,INDEX($O$1005:$Q$1005,1,MATCH(COLUMNS($O$1006:Q1006),$O$1006:$Q$1006,0))&gt;=100000), " ",IF(INDEX($O$2:$Q$1001,MATCH(ROWS($H$2:H142),$H$2:$H$1001,0),MATCH(COLUMNS($O$1006:Q1006),$O$1006:$Q$1006,0)), HYPERLINK("#",""), HYPERLINK(CONCATENATE("#metadata!", ADDRESS(INDEX($J$2:$J$1001,MATCH(ROWS($H$2:H142),$H$2:$H$1001,0),0), INDEX($O$1004:$Q$1004,1,MATCH(COLUMNS($O$1006:Q1006),$O$1006:$Q$1006,0)))),"Fix")))</f>
        <v xml:space="preserve"> </v>
      </c>
      <c r="H142">
        <v>141</v>
      </c>
      <c r="I142">
        <v>100142</v>
      </c>
      <c r="J142">
        <v>142</v>
      </c>
      <c r="K142" t="b">
        <f t="shared" si="2"/>
        <v>1</v>
      </c>
      <c r="L142" t="b">
        <f>COUNTBLANK(metadata!B142:D142)=COLUMNS(metadata!B142:D142)</f>
        <v>1</v>
      </c>
      <c r="M142" t="str">
        <v/>
      </c>
      <c r="O142" t="b">
        <f ca="1"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P142" t="b">
        <f>AND(IF(metadata!C142="",FALSE,TRUE),EXACT(metadata!C142,"mouse gut metagenome"))</f>
        <v>0</v>
      </c>
      <c r="Q142" t="b">
        <f>AND(IF(metadata!D142="",FALSE,TRUE),EXACT(metadata!D142,"410661"))</f>
        <v>0</v>
      </c>
    </row>
    <row r="143" spans="1:17" x14ac:dyDescent="0.2">
      <c r="A143" s="4" t="str">
        <f ca="1">IF(B143=" "," ",HYPERLINK(CONCATENATE("#metadata!",ADDRESS(INDEX($J$2:$J$1001,MATCH(ROWS($H$2:H143),$H$2:$H$1001,0),0),1)),INDEX($M$2:$M$1001,MATCH(ROWS($H$2:H143),$H$2:$H$1001,0),0)))</f>
        <v xml:space="preserve"> </v>
      </c>
      <c r="B143" s="3" t="str">
        <f ca="1">IF(OR(INDEX($I$2:$I$1001,MATCH(ROWS($H$2:H143),$H$2:$H$1001,0),1)&gt;=100000,INDEX($O$1005:$Q$1005,1,MATCH(COLUMNS($O$1006:O1006),$O$1006:$Q$1006,0))&gt;=100000), " ",IF(INDEX($O$2:$Q$1001,MATCH(ROWS($H$2:H143),$H$2:$H$1001,0),MATCH(COLUMNS($O$1006:O1006),$O$1006:$Q$1006,0)), HYPERLINK("#",""), HYPERLINK(CONCATENATE("#metadata!", ADDRESS(INDEX($J$2:$J$1001,MATCH(ROWS($H$2:H143),$H$2:$H$1001,0),0), INDEX($O$1004:$Q$1004,1,MATCH(COLUMNS($O$1006:O1006),$O$1006:$Q$1006,0)))),"Fix")))</f>
        <v xml:space="preserve"> </v>
      </c>
      <c r="C143" s="3" t="str">
        <f ca="1">IF(OR(INDEX($I$2:$I$1001,MATCH(ROWS($H$2:H143),$H$2:$H$1001,0),1)&gt;=100000,INDEX($O$1005:$Q$1005,1,MATCH(COLUMNS($O$1006:P1006),$O$1006:$Q$1006,0))&gt;=100000), " ",IF(INDEX($O$2:$Q$1001,MATCH(ROWS($H$2:H143),$H$2:$H$1001,0),MATCH(COLUMNS($O$1006:P1006),$O$1006:$Q$1006,0)), HYPERLINK("#",""), HYPERLINK(CONCATENATE("#metadata!", ADDRESS(INDEX($J$2:$J$1001,MATCH(ROWS($H$2:H143),$H$2:$H$1001,0),0), INDEX($O$1004:$Q$1004,1,MATCH(COLUMNS($O$1006:P1006),$O$1006:$Q$1006,0)))),"Fix")))</f>
        <v xml:space="preserve"> </v>
      </c>
      <c r="D143" s="3" t="str">
        <f ca="1">IF(OR(INDEX($I$2:$I$1001,MATCH(ROWS($H$2:H143),$H$2:$H$1001,0),1)&gt;=100000,INDEX($O$1005:$Q$1005,1,MATCH(COLUMNS($O$1006:Q1006),$O$1006:$Q$1006,0))&gt;=100000), " ",IF(INDEX($O$2:$Q$1001,MATCH(ROWS($H$2:H143),$H$2:$H$1001,0),MATCH(COLUMNS($O$1006:Q1006),$O$1006:$Q$1006,0)), HYPERLINK("#",""), HYPERLINK(CONCATENATE("#metadata!", ADDRESS(INDEX($J$2:$J$1001,MATCH(ROWS($H$2:H143),$H$2:$H$1001,0),0), INDEX($O$1004:$Q$1004,1,MATCH(COLUMNS($O$1006:Q1006),$O$1006:$Q$1006,0)))),"Fix")))</f>
        <v xml:space="preserve"> </v>
      </c>
      <c r="H143">
        <v>142</v>
      </c>
      <c r="I143">
        <v>100143</v>
      </c>
      <c r="J143">
        <v>143</v>
      </c>
      <c r="K143" t="b">
        <f t="shared" si="2"/>
        <v>1</v>
      </c>
      <c r="L143" t="b">
        <f>COUNTBLANK(metadata!B143:D143)=COLUMNS(metadata!B143:D143)</f>
        <v>1</v>
      </c>
      <c r="M143" t="str">
        <v/>
      </c>
      <c r="O143" t="b">
        <f ca="1"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P143" t="b">
        <f>AND(IF(metadata!C143="",FALSE,TRUE),EXACT(metadata!C143,"mouse gut metagenome"))</f>
        <v>0</v>
      </c>
      <c r="Q143" t="b">
        <f>AND(IF(metadata!D143="",FALSE,TRUE),EXACT(metadata!D143,"410661"))</f>
        <v>0</v>
      </c>
    </row>
    <row r="144" spans="1:17" x14ac:dyDescent="0.2">
      <c r="A144" s="4" t="str">
        <f ca="1">IF(B144=" "," ",HYPERLINK(CONCATENATE("#metadata!",ADDRESS(INDEX($J$2:$J$1001,MATCH(ROWS($H$2:H144),$H$2:$H$1001,0),0),1)),INDEX($M$2:$M$1001,MATCH(ROWS($H$2:H144),$H$2:$H$1001,0),0)))</f>
        <v xml:space="preserve"> </v>
      </c>
      <c r="B144" s="3" t="str">
        <f ca="1">IF(OR(INDEX($I$2:$I$1001,MATCH(ROWS($H$2:H144),$H$2:$H$1001,0),1)&gt;=100000,INDEX($O$1005:$Q$1005,1,MATCH(COLUMNS($O$1006:O1006),$O$1006:$Q$1006,0))&gt;=100000), " ",IF(INDEX($O$2:$Q$1001,MATCH(ROWS($H$2:H144),$H$2:$H$1001,0),MATCH(COLUMNS($O$1006:O1006),$O$1006:$Q$1006,0)), HYPERLINK("#",""), HYPERLINK(CONCATENATE("#metadata!", ADDRESS(INDEX($J$2:$J$1001,MATCH(ROWS($H$2:H144),$H$2:$H$1001,0),0), INDEX($O$1004:$Q$1004,1,MATCH(COLUMNS($O$1006:O1006),$O$1006:$Q$1006,0)))),"Fix")))</f>
        <v xml:space="preserve"> </v>
      </c>
      <c r="C144" s="3" t="str">
        <f ca="1">IF(OR(INDEX($I$2:$I$1001,MATCH(ROWS($H$2:H144),$H$2:$H$1001,0),1)&gt;=100000,INDEX($O$1005:$Q$1005,1,MATCH(COLUMNS($O$1006:P1006),$O$1006:$Q$1006,0))&gt;=100000), " ",IF(INDEX($O$2:$Q$1001,MATCH(ROWS($H$2:H144),$H$2:$H$1001,0),MATCH(COLUMNS($O$1006:P1006),$O$1006:$Q$1006,0)), HYPERLINK("#",""), HYPERLINK(CONCATENATE("#metadata!", ADDRESS(INDEX($J$2:$J$1001,MATCH(ROWS($H$2:H144),$H$2:$H$1001,0),0), INDEX($O$1004:$Q$1004,1,MATCH(COLUMNS($O$1006:P1006),$O$1006:$Q$1006,0)))),"Fix")))</f>
        <v xml:space="preserve"> </v>
      </c>
      <c r="D144" s="3" t="str">
        <f ca="1">IF(OR(INDEX($I$2:$I$1001,MATCH(ROWS($H$2:H144),$H$2:$H$1001,0),1)&gt;=100000,INDEX($O$1005:$Q$1005,1,MATCH(COLUMNS($O$1006:Q1006),$O$1006:$Q$1006,0))&gt;=100000), " ",IF(INDEX($O$2:$Q$1001,MATCH(ROWS($H$2:H144),$H$2:$H$1001,0),MATCH(COLUMNS($O$1006:Q1006),$O$1006:$Q$1006,0)), HYPERLINK("#",""), HYPERLINK(CONCATENATE("#metadata!", ADDRESS(INDEX($J$2:$J$1001,MATCH(ROWS($H$2:H144),$H$2:$H$1001,0),0), INDEX($O$1004:$Q$1004,1,MATCH(COLUMNS($O$1006:Q1006),$O$1006:$Q$1006,0)))),"Fix")))</f>
        <v xml:space="preserve"> </v>
      </c>
      <c r="H144">
        <v>143</v>
      </c>
      <c r="I144">
        <v>100144</v>
      </c>
      <c r="J144">
        <v>144</v>
      </c>
      <c r="K144" t="b">
        <f t="shared" si="2"/>
        <v>1</v>
      </c>
      <c r="L144" t="b">
        <f>COUNTBLANK(metadata!B144:D144)=COLUMNS(metadata!B144:D144)</f>
        <v>1</v>
      </c>
      <c r="M144" t="str">
        <v/>
      </c>
      <c r="O144" t="b">
        <f ca="1"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P144" t="b">
        <f>AND(IF(metadata!C144="",FALSE,TRUE),EXACT(metadata!C144,"mouse gut metagenome"))</f>
        <v>0</v>
      </c>
      <c r="Q144" t="b">
        <f>AND(IF(metadata!D144="",FALSE,TRUE),EXACT(metadata!D144,"410661"))</f>
        <v>0</v>
      </c>
    </row>
    <row r="145" spans="1:17" x14ac:dyDescent="0.2">
      <c r="A145" s="4" t="str">
        <f ca="1">IF(B145=" "," ",HYPERLINK(CONCATENATE("#metadata!",ADDRESS(INDEX($J$2:$J$1001,MATCH(ROWS($H$2:H145),$H$2:$H$1001,0),0),1)),INDEX($M$2:$M$1001,MATCH(ROWS($H$2:H145),$H$2:$H$1001,0),0)))</f>
        <v xml:space="preserve"> </v>
      </c>
      <c r="B145" s="3" t="str">
        <f ca="1">IF(OR(INDEX($I$2:$I$1001,MATCH(ROWS($H$2:H145),$H$2:$H$1001,0),1)&gt;=100000,INDEX($O$1005:$Q$1005,1,MATCH(COLUMNS($O$1006:O1006),$O$1006:$Q$1006,0))&gt;=100000), " ",IF(INDEX($O$2:$Q$1001,MATCH(ROWS($H$2:H145),$H$2:$H$1001,0),MATCH(COLUMNS($O$1006:O1006),$O$1006:$Q$1006,0)), HYPERLINK("#",""), HYPERLINK(CONCATENATE("#metadata!", ADDRESS(INDEX($J$2:$J$1001,MATCH(ROWS($H$2:H145),$H$2:$H$1001,0),0), INDEX($O$1004:$Q$1004,1,MATCH(COLUMNS($O$1006:O1006),$O$1006:$Q$1006,0)))),"Fix")))</f>
        <v xml:space="preserve"> </v>
      </c>
      <c r="C145" s="3" t="str">
        <f ca="1">IF(OR(INDEX($I$2:$I$1001,MATCH(ROWS($H$2:H145),$H$2:$H$1001,0),1)&gt;=100000,INDEX($O$1005:$Q$1005,1,MATCH(COLUMNS($O$1006:P1006),$O$1006:$Q$1006,0))&gt;=100000), " ",IF(INDEX($O$2:$Q$1001,MATCH(ROWS($H$2:H145),$H$2:$H$1001,0),MATCH(COLUMNS($O$1006:P1006),$O$1006:$Q$1006,0)), HYPERLINK("#",""), HYPERLINK(CONCATENATE("#metadata!", ADDRESS(INDEX($J$2:$J$1001,MATCH(ROWS($H$2:H145),$H$2:$H$1001,0),0), INDEX($O$1004:$Q$1004,1,MATCH(COLUMNS($O$1006:P1006),$O$1006:$Q$1006,0)))),"Fix")))</f>
        <v xml:space="preserve"> </v>
      </c>
      <c r="D145" s="3" t="str">
        <f ca="1">IF(OR(INDEX($I$2:$I$1001,MATCH(ROWS($H$2:H145),$H$2:$H$1001,0),1)&gt;=100000,INDEX($O$1005:$Q$1005,1,MATCH(COLUMNS($O$1006:Q1006),$O$1006:$Q$1006,0))&gt;=100000), " ",IF(INDEX($O$2:$Q$1001,MATCH(ROWS($H$2:H145),$H$2:$H$1001,0),MATCH(COLUMNS($O$1006:Q1006),$O$1006:$Q$1006,0)), HYPERLINK("#",""), HYPERLINK(CONCATENATE("#metadata!", ADDRESS(INDEX($J$2:$J$1001,MATCH(ROWS($H$2:H145),$H$2:$H$1001,0),0), INDEX($O$1004:$Q$1004,1,MATCH(COLUMNS($O$1006:Q1006),$O$1006:$Q$1006,0)))),"Fix")))</f>
        <v xml:space="preserve"> </v>
      </c>
      <c r="H145">
        <v>144</v>
      </c>
      <c r="I145">
        <v>100145</v>
      </c>
      <c r="J145">
        <v>145</v>
      </c>
      <c r="K145" t="b">
        <f t="shared" si="2"/>
        <v>1</v>
      </c>
      <c r="L145" t="b">
        <f>COUNTBLANK(metadata!B145:D145)=COLUMNS(metadata!B145:D145)</f>
        <v>1</v>
      </c>
      <c r="M145" t="str">
        <v/>
      </c>
      <c r="O145" t="b">
        <f ca="1"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P145" t="b">
        <f>AND(IF(metadata!C145="",FALSE,TRUE),EXACT(metadata!C145,"mouse gut metagenome"))</f>
        <v>0</v>
      </c>
      <c r="Q145" t="b">
        <f>AND(IF(metadata!D145="",FALSE,TRUE),EXACT(metadata!D145,"410661"))</f>
        <v>0</v>
      </c>
    </row>
    <row r="146" spans="1:17" x14ac:dyDescent="0.2">
      <c r="A146" s="4" t="str">
        <f ca="1">IF(B146=" "," ",HYPERLINK(CONCATENATE("#metadata!",ADDRESS(INDEX($J$2:$J$1001,MATCH(ROWS($H$2:H146),$H$2:$H$1001,0),0),1)),INDEX($M$2:$M$1001,MATCH(ROWS($H$2:H146),$H$2:$H$1001,0),0)))</f>
        <v xml:space="preserve"> </v>
      </c>
      <c r="B146" s="3" t="str">
        <f ca="1">IF(OR(INDEX($I$2:$I$1001,MATCH(ROWS($H$2:H146),$H$2:$H$1001,0),1)&gt;=100000,INDEX($O$1005:$Q$1005,1,MATCH(COLUMNS($O$1006:O1006),$O$1006:$Q$1006,0))&gt;=100000), " ",IF(INDEX($O$2:$Q$1001,MATCH(ROWS($H$2:H146),$H$2:$H$1001,0),MATCH(COLUMNS($O$1006:O1006),$O$1006:$Q$1006,0)), HYPERLINK("#",""), HYPERLINK(CONCATENATE("#metadata!", ADDRESS(INDEX($J$2:$J$1001,MATCH(ROWS($H$2:H146),$H$2:$H$1001,0),0), INDEX($O$1004:$Q$1004,1,MATCH(COLUMNS($O$1006:O1006),$O$1006:$Q$1006,0)))),"Fix")))</f>
        <v xml:space="preserve"> </v>
      </c>
      <c r="C146" s="3" t="str">
        <f ca="1">IF(OR(INDEX($I$2:$I$1001,MATCH(ROWS($H$2:H146),$H$2:$H$1001,0),1)&gt;=100000,INDEX($O$1005:$Q$1005,1,MATCH(COLUMNS($O$1006:P1006),$O$1006:$Q$1006,0))&gt;=100000), " ",IF(INDEX($O$2:$Q$1001,MATCH(ROWS($H$2:H146),$H$2:$H$1001,0),MATCH(COLUMNS($O$1006:P1006),$O$1006:$Q$1006,0)), HYPERLINK("#",""), HYPERLINK(CONCATENATE("#metadata!", ADDRESS(INDEX($J$2:$J$1001,MATCH(ROWS($H$2:H146),$H$2:$H$1001,0),0), INDEX($O$1004:$Q$1004,1,MATCH(COLUMNS($O$1006:P1006),$O$1006:$Q$1006,0)))),"Fix")))</f>
        <v xml:space="preserve"> </v>
      </c>
      <c r="D146" s="3" t="str">
        <f ca="1">IF(OR(INDEX($I$2:$I$1001,MATCH(ROWS($H$2:H146),$H$2:$H$1001,0),1)&gt;=100000,INDEX($O$1005:$Q$1005,1,MATCH(COLUMNS($O$1006:Q1006),$O$1006:$Q$1006,0))&gt;=100000), " ",IF(INDEX($O$2:$Q$1001,MATCH(ROWS($H$2:H146),$H$2:$H$1001,0),MATCH(COLUMNS($O$1006:Q1006),$O$1006:$Q$1006,0)), HYPERLINK("#",""), HYPERLINK(CONCATENATE("#metadata!", ADDRESS(INDEX($J$2:$J$1001,MATCH(ROWS($H$2:H146),$H$2:$H$1001,0),0), INDEX($O$1004:$Q$1004,1,MATCH(COLUMNS($O$1006:Q1006),$O$1006:$Q$1006,0)))),"Fix")))</f>
        <v xml:space="preserve"> </v>
      </c>
      <c r="H146">
        <v>145</v>
      </c>
      <c r="I146">
        <v>100146</v>
      </c>
      <c r="J146">
        <v>146</v>
      </c>
      <c r="K146" t="b">
        <f t="shared" si="2"/>
        <v>1</v>
      </c>
      <c r="L146" t="b">
        <f>COUNTBLANK(metadata!B146:D146)=COLUMNS(metadata!B146:D146)</f>
        <v>1</v>
      </c>
      <c r="M146" t="str">
        <v/>
      </c>
      <c r="O146" t="b">
        <f ca="1"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P146" t="b">
        <f>AND(IF(metadata!C146="",FALSE,TRUE),EXACT(metadata!C146,"mouse gut metagenome"))</f>
        <v>0</v>
      </c>
      <c r="Q146" t="b">
        <f>AND(IF(metadata!D146="",FALSE,TRUE),EXACT(metadata!D146,"410661"))</f>
        <v>0</v>
      </c>
    </row>
    <row r="147" spans="1:17" x14ac:dyDescent="0.2">
      <c r="A147" s="4" t="str">
        <f ca="1">IF(B147=" "," ",HYPERLINK(CONCATENATE("#metadata!",ADDRESS(INDEX($J$2:$J$1001,MATCH(ROWS($H$2:H147),$H$2:$H$1001,0),0),1)),INDEX($M$2:$M$1001,MATCH(ROWS($H$2:H147),$H$2:$H$1001,0),0)))</f>
        <v xml:space="preserve"> </v>
      </c>
      <c r="B147" s="3" t="str">
        <f ca="1">IF(OR(INDEX($I$2:$I$1001,MATCH(ROWS($H$2:H147),$H$2:$H$1001,0),1)&gt;=100000,INDEX($O$1005:$Q$1005,1,MATCH(COLUMNS($O$1006:O1006),$O$1006:$Q$1006,0))&gt;=100000), " ",IF(INDEX($O$2:$Q$1001,MATCH(ROWS($H$2:H147),$H$2:$H$1001,0),MATCH(COLUMNS($O$1006:O1006),$O$1006:$Q$1006,0)), HYPERLINK("#",""), HYPERLINK(CONCATENATE("#metadata!", ADDRESS(INDEX($J$2:$J$1001,MATCH(ROWS($H$2:H147),$H$2:$H$1001,0),0), INDEX($O$1004:$Q$1004,1,MATCH(COLUMNS($O$1006:O1006),$O$1006:$Q$1006,0)))),"Fix")))</f>
        <v xml:space="preserve"> </v>
      </c>
      <c r="C147" s="3" t="str">
        <f ca="1">IF(OR(INDEX($I$2:$I$1001,MATCH(ROWS($H$2:H147),$H$2:$H$1001,0),1)&gt;=100000,INDEX($O$1005:$Q$1005,1,MATCH(COLUMNS($O$1006:P1006),$O$1006:$Q$1006,0))&gt;=100000), " ",IF(INDEX($O$2:$Q$1001,MATCH(ROWS($H$2:H147),$H$2:$H$1001,0),MATCH(COLUMNS($O$1006:P1006),$O$1006:$Q$1006,0)), HYPERLINK("#",""), HYPERLINK(CONCATENATE("#metadata!", ADDRESS(INDEX($J$2:$J$1001,MATCH(ROWS($H$2:H147),$H$2:$H$1001,0),0), INDEX($O$1004:$Q$1004,1,MATCH(COLUMNS($O$1006:P1006),$O$1006:$Q$1006,0)))),"Fix")))</f>
        <v xml:space="preserve"> </v>
      </c>
      <c r="D147" s="3" t="str">
        <f ca="1">IF(OR(INDEX($I$2:$I$1001,MATCH(ROWS($H$2:H147),$H$2:$H$1001,0),1)&gt;=100000,INDEX($O$1005:$Q$1005,1,MATCH(COLUMNS($O$1006:Q1006),$O$1006:$Q$1006,0))&gt;=100000), " ",IF(INDEX($O$2:$Q$1001,MATCH(ROWS($H$2:H147),$H$2:$H$1001,0),MATCH(COLUMNS($O$1006:Q1006),$O$1006:$Q$1006,0)), HYPERLINK("#",""), HYPERLINK(CONCATENATE("#metadata!", ADDRESS(INDEX($J$2:$J$1001,MATCH(ROWS($H$2:H147),$H$2:$H$1001,0),0), INDEX($O$1004:$Q$1004,1,MATCH(COLUMNS($O$1006:Q1006),$O$1006:$Q$1006,0)))),"Fix")))</f>
        <v xml:space="preserve"> </v>
      </c>
      <c r="H147">
        <v>146</v>
      </c>
      <c r="I147">
        <v>100147</v>
      </c>
      <c r="J147">
        <v>147</v>
      </c>
      <c r="K147" t="b">
        <f t="shared" si="2"/>
        <v>1</v>
      </c>
      <c r="L147" t="b">
        <f>COUNTBLANK(metadata!B147:D147)=COLUMNS(metadata!B147:D147)</f>
        <v>1</v>
      </c>
      <c r="M147" t="str">
        <v/>
      </c>
      <c r="O147" t="b">
        <f ca="1"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P147" t="b">
        <f>AND(IF(metadata!C147="",FALSE,TRUE),EXACT(metadata!C147,"mouse gut metagenome"))</f>
        <v>0</v>
      </c>
      <c r="Q147" t="b">
        <f>AND(IF(metadata!D147="",FALSE,TRUE),EXACT(metadata!D147,"410661"))</f>
        <v>0</v>
      </c>
    </row>
    <row r="148" spans="1:17" x14ac:dyDescent="0.2">
      <c r="A148" s="4" t="str">
        <f ca="1">IF(B148=" "," ",HYPERLINK(CONCATENATE("#metadata!",ADDRESS(INDEX($J$2:$J$1001,MATCH(ROWS($H$2:H148),$H$2:$H$1001,0),0),1)),INDEX($M$2:$M$1001,MATCH(ROWS($H$2:H148),$H$2:$H$1001,0),0)))</f>
        <v xml:space="preserve"> </v>
      </c>
      <c r="B148" s="3" t="str">
        <f ca="1">IF(OR(INDEX($I$2:$I$1001,MATCH(ROWS($H$2:H148),$H$2:$H$1001,0),1)&gt;=100000,INDEX($O$1005:$Q$1005,1,MATCH(COLUMNS($O$1006:O1006),$O$1006:$Q$1006,0))&gt;=100000), " ",IF(INDEX($O$2:$Q$1001,MATCH(ROWS($H$2:H148),$H$2:$H$1001,0),MATCH(COLUMNS($O$1006:O1006),$O$1006:$Q$1006,0)), HYPERLINK("#",""), HYPERLINK(CONCATENATE("#metadata!", ADDRESS(INDEX($J$2:$J$1001,MATCH(ROWS($H$2:H148),$H$2:$H$1001,0),0), INDEX($O$1004:$Q$1004,1,MATCH(COLUMNS($O$1006:O1006),$O$1006:$Q$1006,0)))),"Fix")))</f>
        <v xml:space="preserve"> </v>
      </c>
      <c r="C148" s="3" t="str">
        <f ca="1">IF(OR(INDEX($I$2:$I$1001,MATCH(ROWS($H$2:H148),$H$2:$H$1001,0),1)&gt;=100000,INDEX($O$1005:$Q$1005,1,MATCH(COLUMNS($O$1006:P1006),$O$1006:$Q$1006,0))&gt;=100000), " ",IF(INDEX($O$2:$Q$1001,MATCH(ROWS($H$2:H148),$H$2:$H$1001,0),MATCH(COLUMNS($O$1006:P1006),$O$1006:$Q$1006,0)), HYPERLINK("#",""), HYPERLINK(CONCATENATE("#metadata!", ADDRESS(INDEX($J$2:$J$1001,MATCH(ROWS($H$2:H148),$H$2:$H$1001,0),0), INDEX($O$1004:$Q$1004,1,MATCH(COLUMNS($O$1006:P1006),$O$1006:$Q$1006,0)))),"Fix")))</f>
        <v xml:space="preserve"> </v>
      </c>
      <c r="D148" s="3" t="str">
        <f ca="1">IF(OR(INDEX($I$2:$I$1001,MATCH(ROWS($H$2:H148),$H$2:$H$1001,0),1)&gt;=100000,INDEX($O$1005:$Q$1005,1,MATCH(COLUMNS($O$1006:Q1006),$O$1006:$Q$1006,0))&gt;=100000), " ",IF(INDEX($O$2:$Q$1001,MATCH(ROWS($H$2:H148),$H$2:$H$1001,0),MATCH(COLUMNS($O$1006:Q1006),$O$1006:$Q$1006,0)), HYPERLINK("#",""), HYPERLINK(CONCATENATE("#metadata!", ADDRESS(INDEX($J$2:$J$1001,MATCH(ROWS($H$2:H148),$H$2:$H$1001,0),0), INDEX($O$1004:$Q$1004,1,MATCH(COLUMNS($O$1006:Q1006),$O$1006:$Q$1006,0)))),"Fix")))</f>
        <v xml:space="preserve"> </v>
      </c>
      <c r="H148">
        <v>147</v>
      </c>
      <c r="I148">
        <v>100148</v>
      </c>
      <c r="J148">
        <v>148</v>
      </c>
      <c r="K148" t="b">
        <f t="shared" si="2"/>
        <v>1</v>
      </c>
      <c r="L148" t="b">
        <f>COUNTBLANK(metadata!B148:D148)=COLUMNS(metadata!B148:D148)</f>
        <v>1</v>
      </c>
      <c r="M148" t="str">
        <v/>
      </c>
      <c r="O148" t="b">
        <f ca="1"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P148" t="b">
        <f>AND(IF(metadata!C148="",FALSE,TRUE),EXACT(metadata!C148,"mouse gut metagenome"))</f>
        <v>0</v>
      </c>
      <c r="Q148" t="b">
        <f>AND(IF(metadata!D148="",FALSE,TRUE),EXACT(metadata!D148,"410661"))</f>
        <v>0</v>
      </c>
    </row>
    <row r="149" spans="1:17" x14ac:dyDescent="0.2">
      <c r="A149" s="4" t="str">
        <f ca="1">IF(B149=" "," ",HYPERLINK(CONCATENATE("#metadata!",ADDRESS(INDEX($J$2:$J$1001,MATCH(ROWS($H$2:H149),$H$2:$H$1001,0),0),1)),INDEX($M$2:$M$1001,MATCH(ROWS($H$2:H149),$H$2:$H$1001,0),0)))</f>
        <v xml:space="preserve"> </v>
      </c>
      <c r="B149" s="3" t="str">
        <f ca="1">IF(OR(INDEX($I$2:$I$1001,MATCH(ROWS($H$2:H149),$H$2:$H$1001,0),1)&gt;=100000,INDEX($O$1005:$Q$1005,1,MATCH(COLUMNS($O$1006:O1006),$O$1006:$Q$1006,0))&gt;=100000), " ",IF(INDEX($O$2:$Q$1001,MATCH(ROWS($H$2:H149),$H$2:$H$1001,0),MATCH(COLUMNS($O$1006:O1006),$O$1006:$Q$1006,0)), HYPERLINK("#",""), HYPERLINK(CONCATENATE("#metadata!", ADDRESS(INDEX($J$2:$J$1001,MATCH(ROWS($H$2:H149),$H$2:$H$1001,0),0), INDEX($O$1004:$Q$1004,1,MATCH(COLUMNS($O$1006:O1006),$O$1006:$Q$1006,0)))),"Fix")))</f>
        <v xml:space="preserve"> </v>
      </c>
      <c r="C149" s="3" t="str">
        <f ca="1">IF(OR(INDEX($I$2:$I$1001,MATCH(ROWS($H$2:H149),$H$2:$H$1001,0),1)&gt;=100000,INDEX($O$1005:$Q$1005,1,MATCH(COLUMNS($O$1006:P1006),$O$1006:$Q$1006,0))&gt;=100000), " ",IF(INDEX($O$2:$Q$1001,MATCH(ROWS($H$2:H149),$H$2:$H$1001,0),MATCH(COLUMNS($O$1006:P1006),$O$1006:$Q$1006,0)), HYPERLINK("#",""), HYPERLINK(CONCATENATE("#metadata!", ADDRESS(INDEX($J$2:$J$1001,MATCH(ROWS($H$2:H149),$H$2:$H$1001,0),0), INDEX($O$1004:$Q$1004,1,MATCH(COLUMNS($O$1006:P1006),$O$1006:$Q$1006,0)))),"Fix")))</f>
        <v xml:space="preserve"> </v>
      </c>
      <c r="D149" s="3" t="str">
        <f ca="1">IF(OR(INDEX($I$2:$I$1001,MATCH(ROWS($H$2:H149),$H$2:$H$1001,0),1)&gt;=100000,INDEX($O$1005:$Q$1005,1,MATCH(COLUMNS($O$1006:Q1006),$O$1006:$Q$1006,0))&gt;=100000), " ",IF(INDEX($O$2:$Q$1001,MATCH(ROWS($H$2:H149),$H$2:$H$1001,0),MATCH(COLUMNS($O$1006:Q1006),$O$1006:$Q$1006,0)), HYPERLINK("#",""), HYPERLINK(CONCATENATE("#metadata!", ADDRESS(INDEX($J$2:$J$1001,MATCH(ROWS($H$2:H149),$H$2:$H$1001,0),0), INDEX($O$1004:$Q$1004,1,MATCH(COLUMNS($O$1006:Q1006),$O$1006:$Q$1006,0)))),"Fix")))</f>
        <v xml:space="preserve"> </v>
      </c>
      <c r="H149">
        <v>148</v>
      </c>
      <c r="I149">
        <v>100149</v>
      </c>
      <c r="J149">
        <v>149</v>
      </c>
      <c r="K149" t="b">
        <f t="shared" si="2"/>
        <v>1</v>
      </c>
      <c r="L149" t="b">
        <f>COUNTBLANK(metadata!B149:D149)=COLUMNS(metadata!B149:D149)</f>
        <v>1</v>
      </c>
      <c r="M149" t="str">
        <v/>
      </c>
      <c r="O149" t="b">
        <f ca="1"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P149" t="b">
        <f>AND(IF(metadata!C149="",FALSE,TRUE),EXACT(metadata!C149,"mouse gut metagenome"))</f>
        <v>0</v>
      </c>
      <c r="Q149" t="b">
        <f>AND(IF(metadata!D149="",FALSE,TRUE),EXACT(metadata!D149,"410661"))</f>
        <v>0</v>
      </c>
    </row>
    <row r="150" spans="1:17" x14ac:dyDescent="0.2">
      <c r="A150" s="4" t="str">
        <f ca="1">IF(B150=" "," ",HYPERLINK(CONCATENATE("#metadata!",ADDRESS(INDEX($J$2:$J$1001,MATCH(ROWS($H$2:H150),$H$2:$H$1001,0),0),1)),INDEX($M$2:$M$1001,MATCH(ROWS($H$2:H150),$H$2:$H$1001,0),0)))</f>
        <v xml:space="preserve"> </v>
      </c>
      <c r="B150" s="3" t="str">
        <f ca="1">IF(OR(INDEX($I$2:$I$1001,MATCH(ROWS($H$2:H150),$H$2:$H$1001,0),1)&gt;=100000,INDEX($O$1005:$Q$1005,1,MATCH(COLUMNS($O$1006:O1006),$O$1006:$Q$1006,0))&gt;=100000), " ",IF(INDEX($O$2:$Q$1001,MATCH(ROWS($H$2:H150),$H$2:$H$1001,0),MATCH(COLUMNS($O$1006:O1006),$O$1006:$Q$1006,0)), HYPERLINK("#",""), HYPERLINK(CONCATENATE("#metadata!", ADDRESS(INDEX($J$2:$J$1001,MATCH(ROWS($H$2:H150),$H$2:$H$1001,0),0), INDEX($O$1004:$Q$1004,1,MATCH(COLUMNS($O$1006:O1006),$O$1006:$Q$1006,0)))),"Fix")))</f>
        <v xml:space="preserve"> </v>
      </c>
      <c r="C150" s="3" t="str">
        <f ca="1">IF(OR(INDEX($I$2:$I$1001,MATCH(ROWS($H$2:H150),$H$2:$H$1001,0),1)&gt;=100000,INDEX($O$1005:$Q$1005,1,MATCH(COLUMNS($O$1006:P1006),$O$1006:$Q$1006,0))&gt;=100000), " ",IF(INDEX($O$2:$Q$1001,MATCH(ROWS($H$2:H150),$H$2:$H$1001,0),MATCH(COLUMNS($O$1006:P1006),$O$1006:$Q$1006,0)), HYPERLINK("#",""), HYPERLINK(CONCATENATE("#metadata!", ADDRESS(INDEX($J$2:$J$1001,MATCH(ROWS($H$2:H150),$H$2:$H$1001,0),0), INDEX($O$1004:$Q$1004,1,MATCH(COLUMNS($O$1006:P1006),$O$1006:$Q$1006,0)))),"Fix")))</f>
        <v xml:space="preserve"> </v>
      </c>
      <c r="D150" s="3" t="str">
        <f ca="1">IF(OR(INDEX($I$2:$I$1001,MATCH(ROWS($H$2:H150),$H$2:$H$1001,0),1)&gt;=100000,INDEX($O$1005:$Q$1005,1,MATCH(COLUMNS($O$1006:Q1006),$O$1006:$Q$1006,0))&gt;=100000), " ",IF(INDEX($O$2:$Q$1001,MATCH(ROWS($H$2:H150),$H$2:$H$1001,0),MATCH(COLUMNS($O$1006:Q1006),$O$1006:$Q$1006,0)), HYPERLINK("#",""), HYPERLINK(CONCATENATE("#metadata!", ADDRESS(INDEX($J$2:$J$1001,MATCH(ROWS($H$2:H150),$H$2:$H$1001,0),0), INDEX($O$1004:$Q$1004,1,MATCH(COLUMNS($O$1006:Q1006),$O$1006:$Q$1006,0)))),"Fix")))</f>
        <v xml:space="preserve"> </v>
      </c>
      <c r="H150">
        <v>149</v>
      </c>
      <c r="I150">
        <v>100150</v>
      </c>
      <c r="J150">
        <v>150</v>
      </c>
      <c r="K150" t="b">
        <f t="shared" si="2"/>
        <v>1</v>
      </c>
      <c r="L150" t="b">
        <f>COUNTBLANK(metadata!B150:D150)=COLUMNS(metadata!B150:D150)</f>
        <v>1</v>
      </c>
      <c r="M150" t="str">
        <v/>
      </c>
      <c r="O150" t="b">
        <f ca="1"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P150" t="b">
        <f>AND(IF(metadata!C150="",FALSE,TRUE),EXACT(metadata!C150,"mouse gut metagenome"))</f>
        <v>0</v>
      </c>
      <c r="Q150" t="b">
        <f>AND(IF(metadata!D150="",FALSE,TRUE),EXACT(metadata!D150,"410661"))</f>
        <v>0</v>
      </c>
    </row>
    <row r="151" spans="1:17" x14ac:dyDescent="0.2">
      <c r="A151" s="4" t="str">
        <f ca="1">IF(B151=" "," ",HYPERLINK(CONCATENATE("#metadata!",ADDRESS(INDEX($J$2:$J$1001,MATCH(ROWS($H$2:H151),$H$2:$H$1001,0),0),1)),INDEX($M$2:$M$1001,MATCH(ROWS($H$2:H151),$H$2:$H$1001,0),0)))</f>
        <v xml:space="preserve"> </v>
      </c>
      <c r="B151" s="3" t="str">
        <f ca="1">IF(OR(INDEX($I$2:$I$1001,MATCH(ROWS($H$2:H151),$H$2:$H$1001,0),1)&gt;=100000,INDEX($O$1005:$Q$1005,1,MATCH(COLUMNS($O$1006:O1006),$O$1006:$Q$1006,0))&gt;=100000), " ",IF(INDEX($O$2:$Q$1001,MATCH(ROWS($H$2:H151),$H$2:$H$1001,0),MATCH(COLUMNS($O$1006:O1006),$O$1006:$Q$1006,0)), HYPERLINK("#",""), HYPERLINK(CONCATENATE("#metadata!", ADDRESS(INDEX($J$2:$J$1001,MATCH(ROWS($H$2:H151),$H$2:$H$1001,0),0), INDEX($O$1004:$Q$1004,1,MATCH(COLUMNS($O$1006:O1006),$O$1006:$Q$1006,0)))),"Fix")))</f>
        <v xml:space="preserve"> </v>
      </c>
      <c r="C151" s="3" t="str">
        <f ca="1">IF(OR(INDEX($I$2:$I$1001,MATCH(ROWS($H$2:H151),$H$2:$H$1001,0),1)&gt;=100000,INDEX($O$1005:$Q$1005,1,MATCH(COLUMNS($O$1006:P1006),$O$1006:$Q$1006,0))&gt;=100000), " ",IF(INDEX($O$2:$Q$1001,MATCH(ROWS($H$2:H151),$H$2:$H$1001,0),MATCH(COLUMNS($O$1006:P1006),$O$1006:$Q$1006,0)), HYPERLINK("#",""), HYPERLINK(CONCATENATE("#metadata!", ADDRESS(INDEX($J$2:$J$1001,MATCH(ROWS($H$2:H151),$H$2:$H$1001,0),0), INDEX($O$1004:$Q$1004,1,MATCH(COLUMNS($O$1006:P1006),$O$1006:$Q$1006,0)))),"Fix")))</f>
        <v xml:space="preserve"> </v>
      </c>
      <c r="D151" s="3" t="str">
        <f ca="1">IF(OR(INDEX($I$2:$I$1001,MATCH(ROWS($H$2:H151),$H$2:$H$1001,0),1)&gt;=100000,INDEX($O$1005:$Q$1005,1,MATCH(COLUMNS($O$1006:Q1006),$O$1006:$Q$1006,0))&gt;=100000), " ",IF(INDEX($O$2:$Q$1001,MATCH(ROWS($H$2:H151),$H$2:$H$1001,0),MATCH(COLUMNS($O$1006:Q1006),$O$1006:$Q$1006,0)), HYPERLINK("#",""), HYPERLINK(CONCATENATE("#metadata!", ADDRESS(INDEX($J$2:$J$1001,MATCH(ROWS($H$2:H151),$H$2:$H$1001,0),0), INDEX($O$1004:$Q$1004,1,MATCH(COLUMNS($O$1006:Q1006),$O$1006:$Q$1006,0)))),"Fix")))</f>
        <v xml:space="preserve"> </v>
      </c>
      <c r="H151">
        <v>150</v>
      </c>
      <c r="I151">
        <v>100151</v>
      </c>
      <c r="J151">
        <v>151</v>
      </c>
      <c r="K151" t="b">
        <f t="shared" si="2"/>
        <v>1</v>
      </c>
      <c r="L151" t="b">
        <f>COUNTBLANK(metadata!B151:D151)=COLUMNS(metadata!B151:D151)</f>
        <v>1</v>
      </c>
      <c r="M151" t="str">
        <v/>
      </c>
      <c r="O151" t="b">
        <f ca="1"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P151" t="b">
        <f>AND(IF(metadata!C151="",FALSE,TRUE),EXACT(metadata!C151,"mouse gut metagenome"))</f>
        <v>0</v>
      </c>
      <c r="Q151" t="b">
        <f>AND(IF(metadata!D151="",FALSE,TRUE),EXACT(metadata!D151,"410661"))</f>
        <v>0</v>
      </c>
    </row>
    <row r="152" spans="1:17" x14ac:dyDescent="0.2">
      <c r="A152" s="4" t="str">
        <f ca="1">IF(B152=" "," ",HYPERLINK(CONCATENATE("#metadata!",ADDRESS(INDEX($J$2:$J$1001,MATCH(ROWS($H$2:H152),$H$2:$H$1001,0),0),1)),INDEX($M$2:$M$1001,MATCH(ROWS($H$2:H152),$H$2:$H$1001,0),0)))</f>
        <v xml:space="preserve"> </v>
      </c>
      <c r="B152" s="3" t="str">
        <f ca="1">IF(OR(INDEX($I$2:$I$1001,MATCH(ROWS($H$2:H152),$H$2:$H$1001,0),1)&gt;=100000,INDEX($O$1005:$Q$1005,1,MATCH(COLUMNS($O$1006:O1006),$O$1006:$Q$1006,0))&gt;=100000), " ",IF(INDEX($O$2:$Q$1001,MATCH(ROWS($H$2:H152),$H$2:$H$1001,0),MATCH(COLUMNS($O$1006:O1006),$O$1006:$Q$1006,0)), HYPERLINK("#",""), HYPERLINK(CONCATENATE("#metadata!", ADDRESS(INDEX($J$2:$J$1001,MATCH(ROWS($H$2:H152),$H$2:$H$1001,0),0), INDEX($O$1004:$Q$1004,1,MATCH(COLUMNS($O$1006:O1006),$O$1006:$Q$1006,0)))),"Fix")))</f>
        <v xml:space="preserve"> </v>
      </c>
      <c r="C152" s="3" t="str">
        <f ca="1">IF(OR(INDEX($I$2:$I$1001,MATCH(ROWS($H$2:H152),$H$2:$H$1001,0),1)&gt;=100000,INDEX($O$1005:$Q$1005,1,MATCH(COLUMNS($O$1006:P1006),$O$1006:$Q$1006,0))&gt;=100000), " ",IF(INDEX($O$2:$Q$1001,MATCH(ROWS($H$2:H152),$H$2:$H$1001,0),MATCH(COLUMNS($O$1006:P1006),$O$1006:$Q$1006,0)), HYPERLINK("#",""), HYPERLINK(CONCATENATE("#metadata!", ADDRESS(INDEX($J$2:$J$1001,MATCH(ROWS($H$2:H152),$H$2:$H$1001,0),0), INDEX($O$1004:$Q$1004,1,MATCH(COLUMNS($O$1006:P1006),$O$1006:$Q$1006,0)))),"Fix")))</f>
        <v xml:space="preserve"> </v>
      </c>
      <c r="D152" s="3" t="str">
        <f ca="1">IF(OR(INDEX($I$2:$I$1001,MATCH(ROWS($H$2:H152),$H$2:$H$1001,0),1)&gt;=100000,INDEX($O$1005:$Q$1005,1,MATCH(COLUMNS($O$1006:Q1006),$O$1006:$Q$1006,0))&gt;=100000), " ",IF(INDEX($O$2:$Q$1001,MATCH(ROWS($H$2:H152),$H$2:$H$1001,0),MATCH(COLUMNS($O$1006:Q1006),$O$1006:$Q$1006,0)), HYPERLINK("#",""), HYPERLINK(CONCATENATE("#metadata!", ADDRESS(INDEX($J$2:$J$1001,MATCH(ROWS($H$2:H152),$H$2:$H$1001,0),0), INDEX($O$1004:$Q$1004,1,MATCH(COLUMNS($O$1006:Q1006),$O$1006:$Q$1006,0)))),"Fix")))</f>
        <v xml:space="preserve"> </v>
      </c>
      <c r="H152">
        <v>151</v>
      </c>
      <c r="I152">
        <v>100152</v>
      </c>
      <c r="J152">
        <v>152</v>
      </c>
      <c r="K152" t="b">
        <f t="shared" si="2"/>
        <v>1</v>
      </c>
      <c r="L152" t="b">
        <f>COUNTBLANK(metadata!B152:D152)=COLUMNS(metadata!B152:D152)</f>
        <v>1</v>
      </c>
      <c r="M152" t="str">
        <v/>
      </c>
      <c r="O152" t="b">
        <f ca="1"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P152" t="b">
        <f>AND(IF(metadata!C152="",FALSE,TRUE),EXACT(metadata!C152,"mouse gut metagenome"))</f>
        <v>0</v>
      </c>
      <c r="Q152" t="b">
        <f>AND(IF(metadata!D152="",FALSE,TRUE),EXACT(metadata!D152,"410661"))</f>
        <v>0</v>
      </c>
    </row>
    <row r="153" spans="1:17" x14ac:dyDescent="0.2">
      <c r="A153" s="4" t="str">
        <f ca="1">IF(B153=" "," ",HYPERLINK(CONCATENATE("#metadata!",ADDRESS(INDEX($J$2:$J$1001,MATCH(ROWS($H$2:H153),$H$2:$H$1001,0),0),1)),INDEX($M$2:$M$1001,MATCH(ROWS($H$2:H153),$H$2:$H$1001,0),0)))</f>
        <v xml:space="preserve"> </v>
      </c>
      <c r="B153" s="3" t="str">
        <f ca="1">IF(OR(INDEX($I$2:$I$1001,MATCH(ROWS($H$2:H153),$H$2:$H$1001,0),1)&gt;=100000,INDEX($O$1005:$Q$1005,1,MATCH(COLUMNS($O$1006:O1006),$O$1006:$Q$1006,0))&gt;=100000), " ",IF(INDEX($O$2:$Q$1001,MATCH(ROWS($H$2:H153),$H$2:$H$1001,0),MATCH(COLUMNS($O$1006:O1006),$O$1006:$Q$1006,0)), HYPERLINK("#",""), HYPERLINK(CONCATENATE("#metadata!", ADDRESS(INDEX($J$2:$J$1001,MATCH(ROWS($H$2:H153),$H$2:$H$1001,0),0), INDEX($O$1004:$Q$1004,1,MATCH(COLUMNS($O$1006:O1006),$O$1006:$Q$1006,0)))),"Fix")))</f>
        <v xml:space="preserve"> </v>
      </c>
      <c r="C153" s="3" t="str">
        <f ca="1">IF(OR(INDEX($I$2:$I$1001,MATCH(ROWS($H$2:H153),$H$2:$H$1001,0),1)&gt;=100000,INDEX($O$1005:$Q$1005,1,MATCH(COLUMNS($O$1006:P1006),$O$1006:$Q$1006,0))&gt;=100000), " ",IF(INDEX($O$2:$Q$1001,MATCH(ROWS($H$2:H153),$H$2:$H$1001,0),MATCH(COLUMNS($O$1006:P1006),$O$1006:$Q$1006,0)), HYPERLINK("#",""), HYPERLINK(CONCATENATE("#metadata!", ADDRESS(INDEX($J$2:$J$1001,MATCH(ROWS($H$2:H153),$H$2:$H$1001,0),0), INDEX($O$1004:$Q$1004,1,MATCH(COLUMNS($O$1006:P1006),$O$1006:$Q$1006,0)))),"Fix")))</f>
        <v xml:space="preserve"> </v>
      </c>
      <c r="D153" s="3" t="str">
        <f ca="1">IF(OR(INDEX($I$2:$I$1001,MATCH(ROWS($H$2:H153),$H$2:$H$1001,0),1)&gt;=100000,INDEX($O$1005:$Q$1005,1,MATCH(COLUMNS($O$1006:Q1006),$O$1006:$Q$1006,0))&gt;=100000), " ",IF(INDEX($O$2:$Q$1001,MATCH(ROWS($H$2:H153),$H$2:$H$1001,0),MATCH(COLUMNS($O$1006:Q1006),$O$1006:$Q$1006,0)), HYPERLINK("#",""), HYPERLINK(CONCATENATE("#metadata!", ADDRESS(INDEX($J$2:$J$1001,MATCH(ROWS($H$2:H153),$H$2:$H$1001,0),0), INDEX($O$1004:$Q$1004,1,MATCH(COLUMNS($O$1006:Q1006),$O$1006:$Q$1006,0)))),"Fix")))</f>
        <v xml:space="preserve"> </v>
      </c>
      <c r="H153">
        <v>152</v>
      </c>
      <c r="I153">
        <v>100153</v>
      </c>
      <c r="J153">
        <v>153</v>
      </c>
      <c r="K153" t="b">
        <f t="shared" si="2"/>
        <v>1</v>
      </c>
      <c r="L153" t="b">
        <f>COUNTBLANK(metadata!B153:D153)=COLUMNS(metadata!B153:D153)</f>
        <v>1</v>
      </c>
      <c r="M153" t="str">
        <v/>
      </c>
      <c r="O153" t="b">
        <f ca="1"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P153" t="b">
        <f>AND(IF(metadata!C153="",FALSE,TRUE),EXACT(metadata!C153,"mouse gut metagenome"))</f>
        <v>0</v>
      </c>
      <c r="Q153" t="b">
        <f>AND(IF(metadata!D153="",FALSE,TRUE),EXACT(metadata!D153,"410661"))</f>
        <v>0</v>
      </c>
    </row>
    <row r="154" spans="1:17" x14ac:dyDescent="0.2">
      <c r="A154" s="4" t="str">
        <f ca="1">IF(B154=" "," ",HYPERLINK(CONCATENATE("#metadata!",ADDRESS(INDEX($J$2:$J$1001,MATCH(ROWS($H$2:H154),$H$2:$H$1001,0),0),1)),INDEX($M$2:$M$1001,MATCH(ROWS($H$2:H154),$H$2:$H$1001,0),0)))</f>
        <v xml:space="preserve"> </v>
      </c>
      <c r="B154" s="3" t="str">
        <f ca="1">IF(OR(INDEX($I$2:$I$1001,MATCH(ROWS($H$2:H154),$H$2:$H$1001,0),1)&gt;=100000,INDEX($O$1005:$Q$1005,1,MATCH(COLUMNS($O$1006:O1006),$O$1006:$Q$1006,0))&gt;=100000), " ",IF(INDEX($O$2:$Q$1001,MATCH(ROWS($H$2:H154),$H$2:$H$1001,0),MATCH(COLUMNS($O$1006:O1006),$O$1006:$Q$1006,0)), HYPERLINK("#",""), HYPERLINK(CONCATENATE("#metadata!", ADDRESS(INDEX($J$2:$J$1001,MATCH(ROWS($H$2:H154),$H$2:$H$1001,0),0), INDEX($O$1004:$Q$1004,1,MATCH(COLUMNS($O$1006:O1006),$O$1006:$Q$1006,0)))),"Fix")))</f>
        <v xml:space="preserve"> </v>
      </c>
      <c r="C154" s="3" t="str">
        <f ca="1">IF(OR(INDEX($I$2:$I$1001,MATCH(ROWS($H$2:H154),$H$2:$H$1001,0),1)&gt;=100000,INDEX($O$1005:$Q$1005,1,MATCH(COLUMNS($O$1006:P1006),$O$1006:$Q$1006,0))&gt;=100000), " ",IF(INDEX($O$2:$Q$1001,MATCH(ROWS($H$2:H154),$H$2:$H$1001,0),MATCH(COLUMNS($O$1006:P1006),$O$1006:$Q$1006,0)), HYPERLINK("#",""), HYPERLINK(CONCATENATE("#metadata!", ADDRESS(INDEX($J$2:$J$1001,MATCH(ROWS($H$2:H154),$H$2:$H$1001,0),0), INDEX($O$1004:$Q$1004,1,MATCH(COLUMNS($O$1006:P1006),$O$1006:$Q$1006,0)))),"Fix")))</f>
        <v xml:space="preserve"> </v>
      </c>
      <c r="D154" s="3" t="str">
        <f ca="1">IF(OR(INDEX($I$2:$I$1001,MATCH(ROWS($H$2:H154),$H$2:$H$1001,0),1)&gt;=100000,INDEX($O$1005:$Q$1005,1,MATCH(COLUMNS($O$1006:Q1006),$O$1006:$Q$1006,0))&gt;=100000), " ",IF(INDEX($O$2:$Q$1001,MATCH(ROWS($H$2:H154),$H$2:$H$1001,0),MATCH(COLUMNS($O$1006:Q1006),$O$1006:$Q$1006,0)), HYPERLINK("#",""), HYPERLINK(CONCATENATE("#metadata!", ADDRESS(INDEX($J$2:$J$1001,MATCH(ROWS($H$2:H154),$H$2:$H$1001,0),0), INDEX($O$1004:$Q$1004,1,MATCH(COLUMNS($O$1006:Q1006),$O$1006:$Q$1006,0)))),"Fix")))</f>
        <v xml:space="preserve"> </v>
      </c>
      <c r="H154">
        <v>153</v>
      </c>
      <c r="I154">
        <v>100154</v>
      </c>
      <c r="J154">
        <v>154</v>
      </c>
      <c r="K154" t="b">
        <f t="shared" si="2"/>
        <v>1</v>
      </c>
      <c r="L154" t="b">
        <f>COUNTBLANK(metadata!B154:D154)=COLUMNS(metadata!B154:D154)</f>
        <v>1</v>
      </c>
      <c r="M154" t="str">
        <v/>
      </c>
      <c r="O154" t="b">
        <f ca="1"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P154" t="b">
        <f>AND(IF(metadata!C154="",FALSE,TRUE),EXACT(metadata!C154,"mouse gut metagenome"))</f>
        <v>0</v>
      </c>
      <c r="Q154" t="b">
        <f>AND(IF(metadata!D154="",FALSE,TRUE),EXACT(metadata!D154,"410661"))</f>
        <v>0</v>
      </c>
    </row>
    <row r="155" spans="1:17" x14ac:dyDescent="0.2">
      <c r="A155" s="4" t="str">
        <f ca="1">IF(B155=" "," ",HYPERLINK(CONCATENATE("#metadata!",ADDRESS(INDEX($J$2:$J$1001,MATCH(ROWS($H$2:H155),$H$2:$H$1001,0),0),1)),INDEX($M$2:$M$1001,MATCH(ROWS($H$2:H155),$H$2:$H$1001,0),0)))</f>
        <v xml:space="preserve"> </v>
      </c>
      <c r="B155" s="3" t="str">
        <f ca="1">IF(OR(INDEX($I$2:$I$1001,MATCH(ROWS($H$2:H155),$H$2:$H$1001,0),1)&gt;=100000,INDEX($O$1005:$Q$1005,1,MATCH(COLUMNS($O$1006:O1006),$O$1006:$Q$1006,0))&gt;=100000), " ",IF(INDEX($O$2:$Q$1001,MATCH(ROWS($H$2:H155),$H$2:$H$1001,0),MATCH(COLUMNS($O$1006:O1006),$O$1006:$Q$1006,0)), HYPERLINK("#",""), HYPERLINK(CONCATENATE("#metadata!", ADDRESS(INDEX($J$2:$J$1001,MATCH(ROWS($H$2:H155),$H$2:$H$1001,0),0), INDEX($O$1004:$Q$1004,1,MATCH(COLUMNS($O$1006:O1006),$O$1006:$Q$1006,0)))),"Fix")))</f>
        <v xml:space="preserve"> </v>
      </c>
      <c r="C155" s="3" t="str">
        <f ca="1">IF(OR(INDEX($I$2:$I$1001,MATCH(ROWS($H$2:H155),$H$2:$H$1001,0),1)&gt;=100000,INDEX($O$1005:$Q$1005,1,MATCH(COLUMNS($O$1006:P1006),$O$1006:$Q$1006,0))&gt;=100000), " ",IF(INDEX($O$2:$Q$1001,MATCH(ROWS($H$2:H155),$H$2:$H$1001,0),MATCH(COLUMNS($O$1006:P1006),$O$1006:$Q$1006,0)), HYPERLINK("#",""), HYPERLINK(CONCATENATE("#metadata!", ADDRESS(INDEX($J$2:$J$1001,MATCH(ROWS($H$2:H155),$H$2:$H$1001,0),0), INDEX($O$1004:$Q$1004,1,MATCH(COLUMNS($O$1006:P1006),$O$1006:$Q$1006,0)))),"Fix")))</f>
        <v xml:space="preserve"> </v>
      </c>
      <c r="D155" s="3" t="str">
        <f ca="1">IF(OR(INDEX($I$2:$I$1001,MATCH(ROWS($H$2:H155),$H$2:$H$1001,0),1)&gt;=100000,INDEX($O$1005:$Q$1005,1,MATCH(COLUMNS($O$1006:Q1006),$O$1006:$Q$1006,0))&gt;=100000), " ",IF(INDEX($O$2:$Q$1001,MATCH(ROWS($H$2:H155),$H$2:$H$1001,0),MATCH(COLUMNS($O$1006:Q1006),$O$1006:$Q$1006,0)), HYPERLINK("#",""), HYPERLINK(CONCATENATE("#metadata!", ADDRESS(INDEX($J$2:$J$1001,MATCH(ROWS($H$2:H155),$H$2:$H$1001,0),0), INDEX($O$1004:$Q$1004,1,MATCH(COLUMNS($O$1006:Q1006),$O$1006:$Q$1006,0)))),"Fix")))</f>
        <v xml:space="preserve"> </v>
      </c>
      <c r="H155">
        <v>154</v>
      </c>
      <c r="I155">
        <v>100155</v>
      </c>
      <c r="J155">
        <v>155</v>
      </c>
      <c r="K155" t="b">
        <f t="shared" si="2"/>
        <v>1</v>
      </c>
      <c r="L155" t="b">
        <f>COUNTBLANK(metadata!B155:D155)=COLUMNS(metadata!B155:D155)</f>
        <v>1</v>
      </c>
      <c r="M155" t="str">
        <v/>
      </c>
      <c r="O155" t="b">
        <f ca="1"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P155" t="b">
        <f>AND(IF(metadata!C155="",FALSE,TRUE),EXACT(metadata!C155,"mouse gut metagenome"))</f>
        <v>0</v>
      </c>
      <c r="Q155" t="b">
        <f>AND(IF(metadata!D155="",FALSE,TRUE),EXACT(metadata!D155,"410661"))</f>
        <v>0</v>
      </c>
    </row>
    <row r="156" spans="1:17" x14ac:dyDescent="0.2">
      <c r="A156" s="4" t="str">
        <f ca="1">IF(B156=" "," ",HYPERLINK(CONCATENATE("#metadata!",ADDRESS(INDEX($J$2:$J$1001,MATCH(ROWS($H$2:H156),$H$2:$H$1001,0),0),1)),INDEX($M$2:$M$1001,MATCH(ROWS($H$2:H156),$H$2:$H$1001,0),0)))</f>
        <v xml:space="preserve"> </v>
      </c>
      <c r="B156" s="3" t="str">
        <f ca="1">IF(OR(INDEX($I$2:$I$1001,MATCH(ROWS($H$2:H156),$H$2:$H$1001,0),1)&gt;=100000,INDEX($O$1005:$Q$1005,1,MATCH(COLUMNS($O$1006:O1006),$O$1006:$Q$1006,0))&gt;=100000), " ",IF(INDEX($O$2:$Q$1001,MATCH(ROWS($H$2:H156),$H$2:$H$1001,0),MATCH(COLUMNS($O$1006:O1006),$O$1006:$Q$1006,0)), HYPERLINK("#",""), HYPERLINK(CONCATENATE("#metadata!", ADDRESS(INDEX($J$2:$J$1001,MATCH(ROWS($H$2:H156),$H$2:$H$1001,0),0), INDEX($O$1004:$Q$1004,1,MATCH(COLUMNS($O$1006:O1006),$O$1006:$Q$1006,0)))),"Fix")))</f>
        <v xml:space="preserve"> </v>
      </c>
      <c r="C156" s="3" t="str">
        <f ca="1">IF(OR(INDEX($I$2:$I$1001,MATCH(ROWS($H$2:H156),$H$2:$H$1001,0),1)&gt;=100000,INDEX($O$1005:$Q$1005,1,MATCH(COLUMNS($O$1006:P1006),$O$1006:$Q$1006,0))&gt;=100000), " ",IF(INDEX($O$2:$Q$1001,MATCH(ROWS($H$2:H156),$H$2:$H$1001,0),MATCH(COLUMNS($O$1006:P1006),$O$1006:$Q$1006,0)), HYPERLINK("#",""), HYPERLINK(CONCATENATE("#metadata!", ADDRESS(INDEX($J$2:$J$1001,MATCH(ROWS($H$2:H156),$H$2:$H$1001,0),0), INDEX($O$1004:$Q$1004,1,MATCH(COLUMNS($O$1006:P1006),$O$1006:$Q$1006,0)))),"Fix")))</f>
        <v xml:space="preserve"> </v>
      </c>
      <c r="D156" s="3" t="str">
        <f ca="1">IF(OR(INDEX($I$2:$I$1001,MATCH(ROWS($H$2:H156),$H$2:$H$1001,0),1)&gt;=100000,INDEX($O$1005:$Q$1005,1,MATCH(COLUMNS($O$1006:Q1006),$O$1006:$Q$1006,0))&gt;=100000), " ",IF(INDEX($O$2:$Q$1001,MATCH(ROWS($H$2:H156),$H$2:$H$1001,0),MATCH(COLUMNS($O$1006:Q1006),$O$1006:$Q$1006,0)), HYPERLINK("#",""), HYPERLINK(CONCATENATE("#metadata!", ADDRESS(INDEX($J$2:$J$1001,MATCH(ROWS($H$2:H156),$H$2:$H$1001,0),0), INDEX($O$1004:$Q$1004,1,MATCH(COLUMNS($O$1006:Q1006),$O$1006:$Q$1006,0)))),"Fix")))</f>
        <v xml:space="preserve"> </v>
      </c>
      <c r="H156">
        <v>155</v>
      </c>
      <c r="I156">
        <v>100156</v>
      </c>
      <c r="J156">
        <v>156</v>
      </c>
      <c r="K156" t="b">
        <f t="shared" si="2"/>
        <v>1</v>
      </c>
      <c r="L156" t="b">
        <f>COUNTBLANK(metadata!B156:D156)=COLUMNS(metadata!B156:D156)</f>
        <v>1</v>
      </c>
      <c r="M156" t="str">
        <v/>
      </c>
      <c r="O156" t="b">
        <f ca="1"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P156" t="b">
        <f>AND(IF(metadata!C156="",FALSE,TRUE),EXACT(metadata!C156,"mouse gut metagenome"))</f>
        <v>0</v>
      </c>
      <c r="Q156" t="b">
        <f>AND(IF(metadata!D156="",FALSE,TRUE),EXACT(metadata!D156,"410661"))</f>
        <v>0</v>
      </c>
    </row>
    <row r="157" spans="1:17" x14ac:dyDescent="0.2">
      <c r="A157" s="4" t="str">
        <f ca="1">IF(B157=" "," ",HYPERLINK(CONCATENATE("#metadata!",ADDRESS(INDEX($J$2:$J$1001,MATCH(ROWS($H$2:H157),$H$2:$H$1001,0),0),1)),INDEX($M$2:$M$1001,MATCH(ROWS($H$2:H157),$H$2:$H$1001,0),0)))</f>
        <v xml:space="preserve"> </v>
      </c>
      <c r="B157" s="3" t="str">
        <f ca="1">IF(OR(INDEX($I$2:$I$1001,MATCH(ROWS($H$2:H157),$H$2:$H$1001,0),1)&gt;=100000,INDEX($O$1005:$Q$1005,1,MATCH(COLUMNS($O$1006:O1006),$O$1006:$Q$1006,0))&gt;=100000), " ",IF(INDEX($O$2:$Q$1001,MATCH(ROWS($H$2:H157),$H$2:$H$1001,0),MATCH(COLUMNS($O$1006:O1006),$O$1006:$Q$1006,0)), HYPERLINK("#",""), HYPERLINK(CONCATENATE("#metadata!", ADDRESS(INDEX($J$2:$J$1001,MATCH(ROWS($H$2:H157),$H$2:$H$1001,0),0), INDEX($O$1004:$Q$1004,1,MATCH(COLUMNS($O$1006:O1006),$O$1006:$Q$1006,0)))),"Fix")))</f>
        <v xml:space="preserve"> </v>
      </c>
      <c r="C157" s="3" t="str">
        <f ca="1">IF(OR(INDEX($I$2:$I$1001,MATCH(ROWS($H$2:H157),$H$2:$H$1001,0),1)&gt;=100000,INDEX($O$1005:$Q$1005,1,MATCH(COLUMNS($O$1006:P1006),$O$1006:$Q$1006,0))&gt;=100000), " ",IF(INDEX($O$2:$Q$1001,MATCH(ROWS($H$2:H157),$H$2:$H$1001,0),MATCH(COLUMNS($O$1006:P1006),$O$1006:$Q$1006,0)), HYPERLINK("#",""), HYPERLINK(CONCATENATE("#metadata!", ADDRESS(INDEX($J$2:$J$1001,MATCH(ROWS($H$2:H157),$H$2:$H$1001,0),0), INDEX($O$1004:$Q$1004,1,MATCH(COLUMNS($O$1006:P1006),$O$1006:$Q$1006,0)))),"Fix")))</f>
        <v xml:space="preserve"> </v>
      </c>
      <c r="D157" s="3" t="str">
        <f ca="1">IF(OR(INDEX($I$2:$I$1001,MATCH(ROWS($H$2:H157),$H$2:$H$1001,0),1)&gt;=100000,INDEX($O$1005:$Q$1005,1,MATCH(COLUMNS($O$1006:Q1006),$O$1006:$Q$1006,0))&gt;=100000), " ",IF(INDEX($O$2:$Q$1001,MATCH(ROWS($H$2:H157),$H$2:$H$1001,0),MATCH(COLUMNS($O$1006:Q1006),$O$1006:$Q$1006,0)), HYPERLINK("#",""), HYPERLINK(CONCATENATE("#metadata!", ADDRESS(INDEX($J$2:$J$1001,MATCH(ROWS($H$2:H157),$H$2:$H$1001,0),0), INDEX($O$1004:$Q$1004,1,MATCH(COLUMNS($O$1006:Q1006),$O$1006:$Q$1006,0)))),"Fix")))</f>
        <v xml:space="preserve"> </v>
      </c>
      <c r="H157">
        <v>156</v>
      </c>
      <c r="I157">
        <v>100157</v>
      </c>
      <c r="J157">
        <v>157</v>
      </c>
      <c r="K157" t="b">
        <f t="shared" si="2"/>
        <v>1</v>
      </c>
      <c r="L157" t="b">
        <f>COUNTBLANK(metadata!B157:D157)=COLUMNS(metadata!B157:D157)</f>
        <v>1</v>
      </c>
      <c r="M157" t="str">
        <v/>
      </c>
      <c r="O157" t="b">
        <f ca="1"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P157" t="b">
        <f>AND(IF(metadata!C157="",FALSE,TRUE),EXACT(metadata!C157,"mouse gut metagenome"))</f>
        <v>0</v>
      </c>
      <c r="Q157" t="b">
        <f>AND(IF(metadata!D157="",FALSE,TRUE),EXACT(metadata!D157,"410661"))</f>
        <v>0</v>
      </c>
    </row>
    <row r="158" spans="1:17" x14ac:dyDescent="0.2">
      <c r="A158" s="4" t="str">
        <f ca="1">IF(B158=" "," ",HYPERLINK(CONCATENATE("#metadata!",ADDRESS(INDEX($J$2:$J$1001,MATCH(ROWS($H$2:H158),$H$2:$H$1001,0),0),1)),INDEX($M$2:$M$1001,MATCH(ROWS($H$2:H158),$H$2:$H$1001,0),0)))</f>
        <v xml:space="preserve"> </v>
      </c>
      <c r="B158" s="3" t="str">
        <f ca="1">IF(OR(INDEX($I$2:$I$1001,MATCH(ROWS($H$2:H158),$H$2:$H$1001,0),1)&gt;=100000,INDEX($O$1005:$Q$1005,1,MATCH(COLUMNS($O$1006:O1006),$O$1006:$Q$1006,0))&gt;=100000), " ",IF(INDEX($O$2:$Q$1001,MATCH(ROWS($H$2:H158),$H$2:$H$1001,0),MATCH(COLUMNS($O$1006:O1006),$O$1006:$Q$1006,0)), HYPERLINK("#",""), HYPERLINK(CONCATENATE("#metadata!", ADDRESS(INDEX($J$2:$J$1001,MATCH(ROWS($H$2:H158),$H$2:$H$1001,0),0), INDEX($O$1004:$Q$1004,1,MATCH(COLUMNS($O$1006:O1006),$O$1006:$Q$1006,0)))),"Fix")))</f>
        <v xml:space="preserve"> </v>
      </c>
      <c r="C158" s="3" t="str">
        <f ca="1">IF(OR(INDEX($I$2:$I$1001,MATCH(ROWS($H$2:H158),$H$2:$H$1001,0),1)&gt;=100000,INDEX($O$1005:$Q$1005,1,MATCH(COLUMNS($O$1006:P1006),$O$1006:$Q$1006,0))&gt;=100000), " ",IF(INDEX($O$2:$Q$1001,MATCH(ROWS($H$2:H158),$H$2:$H$1001,0),MATCH(COLUMNS($O$1006:P1006),$O$1006:$Q$1006,0)), HYPERLINK("#",""), HYPERLINK(CONCATENATE("#metadata!", ADDRESS(INDEX($J$2:$J$1001,MATCH(ROWS($H$2:H158),$H$2:$H$1001,0),0), INDEX($O$1004:$Q$1004,1,MATCH(COLUMNS($O$1006:P1006),$O$1006:$Q$1006,0)))),"Fix")))</f>
        <v xml:space="preserve"> </v>
      </c>
      <c r="D158" s="3" t="str">
        <f ca="1">IF(OR(INDEX($I$2:$I$1001,MATCH(ROWS($H$2:H158),$H$2:$H$1001,0),1)&gt;=100000,INDEX($O$1005:$Q$1005,1,MATCH(COLUMNS($O$1006:Q1006),$O$1006:$Q$1006,0))&gt;=100000), " ",IF(INDEX($O$2:$Q$1001,MATCH(ROWS($H$2:H158),$H$2:$H$1001,0),MATCH(COLUMNS($O$1006:Q1006),$O$1006:$Q$1006,0)), HYPERLINK("#",""), HYPERLINK(CONCATENATE("#metadata!", ADDRESS(INDEX($J$2:$J$1001,MATCH(ROWS($H$2:H158),$H$2:$H$1001,0),0), INDEX($O$1004:$Q$1004,1,MATCH(COLUMNS($O$1006:Q1006),$O$1006:$Q$1006,0)))),"Fix")))</f>
        <v xml:space="preserve"> </v>
      </c>
      <c r="H158">
        <v>157</v>
      </c>
      <c r="I158">
        <v>100158</v>
      </c>
      <c r="J158">
        <v>158</v>
      </c>
      <c r="K158" t="b">
        <f t="shared" si="2"/>
        <v>1</v>
      </c>
      <c r="L158" t="b">
        <f>COUNTBLANK(metadata!B158:D158)=COLUMNS(metadata!B158:D158)</f>
        <v>1</v>
      </c>
      <c r="M158" t="str">
        <v/>
      </c>
      <c r="O158" t="b">
        <f ca="1"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P158" t="b">
        <f>AND(IF(metadata!C158="",FALSE,TRUE),EXACT(metadata!C158,"mouse gut metagenome"))</f>
        <v>0</v>
      </c>
      <c r="Q158" t="b">
        <f>AND(IF(metadata!D158="",FALSE,TRUE),EXACT(metadata!D158,"410661"))</f>
        <v>0</v>
      </c>
    </row>
    <row r="159" spans="1:17" x14ac:dyDescent="0.2">
      <c r="A159" s="4" t="str">
        <f ca="1">IF(B159=" "," ",HYPERLINK(CONCATENATE("#metadata!",ADDRESS(INDEX($J$2:$J$1001,MATCH(ROWS($H$2:H159),$H$2:$H$1001,0),0),1)),INDEX($M$2:$M$1001,MATCH(ROWS($H$2:H159),$H$2:$H$1001,0),0)))</f>
        <v xml:space="preserve"> </v>
      </c>
      <c r="B159" s="3" t="str">
        <f ca="1">IF(OR(INDEX($I$2:$I$1001,MATCH(ROWS($H$2:H159),$H$2:$H$1001,0),1)&gt;=100000,INDEX($O$1005:$Q$1005,1,MATCH(COLUMNS($O$1006:O1006),$O$1006:$Q$1006,0))&gt;=100000), " ",IF(INDEX($O$2:$Q$1001,MATCH(ROWS($H$2:H159),$H$2:$H$1001,0),MATCH(COLUMNS($O$1006:O1006),$O$1006:$Q$1006,0)), HYPERLINK("#",""), HYPERLINK(CONCATENATE("#metadata!", ADDRESS(INDEX($J$2:$J$1001,MATCH(ROWS($H$2:H159),$H$2:$H$1001,0),0), INDEX($O$1004:$Q$1004,1,MATCH(COLUMNS($O$1006:O1006),$O$1006:$Q$1006,0)))),"Fix")))</f>
        <v xml:space="preserve"> </v>
      </c>
      <c r="C159" s="3" t="str">
        <f ca="1">IF(OR(INDEX($I$2:$I$1001,MATCH(ROWS($H$2:H159),$H$2:$H$1001,0),1)&gt;=100000,INDEX($O$1005:$Q$1005,1,MATCH(COLUMNS($O$1006:P1006),$O$1006:$Q$1006,0))&gt;=100000), " ",IF(INDEX($O$2:$Q$1001,MATCH(ROWS($H$2:H159),$H$2:$H$1001,0),MATCH(COLUMNS($O$1006:P1006),$O$1006:$Q$1006,0)), HYPERLINK("#",""), HYPERLINK(CONCATENATE("#metadata!", ADDRESS(INDEX($J$2:$J$1001,MATCH(ROWS($H$2:H159),$H$2:$H$1001,0),0), INDEX($O$1004:$Q$1004,1,MATCH(COLUMNS($O$1006:P1006),$O$1006:$Q$1006,0)))),"Fix")))</f>
        <v xml:space="preserve"> </v>
      </c>
      <c r="D159" s="3" t="str">
        <f ca="1">IF(OR(INDEX($I$2:$I$1001,MATCH(ROWS($H$2:H159),$H$2:$H$1001,0),1)&gt;=100000,INDEX($O$1005:$Q$1005,1,MATCH(COLUMNS($O$1006:Q1006),$O$1006:$Q$1006,0))&gt;=100000), " ",IF(INDEX($O$2:$Q$1001,MATCH(ROWS($H$2:H159),$H$2:$H$1001,0),MATCH(COLUMNS($O$1006:Q1006),$O$1006:$Q$1006,0)), HYPERLINK("#",""), HYPERLINK(CONCATENATE("#metadata!", ADDRESS(INDEX($J$2:$J$1001,MATCH(ROWS($H$2:H159),$H$2:$H$1001,0),0), INDEX($O$1004:$Q$1004,1,MATCH(COLUMNS($O$1006:Q1006),$O$1006:$Q$1006,0)))),"Fix")))</f>
        <v xml:space="preserve"> </v>
      </c>
      <c r="H159">
        <v>158</v>
      </c>
      <c r="I159">
        <v>100159</v>
      </c>
      <c r="J159">
        <v>159</v>
      </c>
      <c r="K159" t="b">
        <f t="shared" si="2"/>
        <v>1</v>
      </c>
      <c r="L159" t="b">
        <f>COUNTBLANK(metadata!B159:D159)=COLUMNS(metadata!B159:D159)</f>
        <v>1</v>
      </c>
      <c r="M159" t="str">
        <v/>
      </c>
      <c r="O159" t="b">
        <f ca="1"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P159" t="b">
        <f>AND(IF(metadata!C159="",FALSE,TRUE),EXACT(metadata!C159,"mouse gut metagenome"))</f>
        <v>0</v>
      </c>
      <c r="Q159" t="b">
        <f>AND(IF(metadata!D159="",FALSE,TRUE),EXACT(metadata!D159,"410661"))</f>
        <v>0</v>
      </c>
    </row>
    <row r="160" spans="1:17" x14ac:dyDescent="0.2">
      <c r="A160" s="4" t="str">
        <f ca="1">IF(B160=" "," ",HYPERLINK(CONCATENATE("#metadata!",ADDRESS(INDEX($J$2:$J$1001,MATCH(ROWS($H$2:H160),$H$2:$H$1001,0),0),1)),INDEX($M$2:$M$1001,MATCH(ROWS($H$2:H160),$H$2:$H$1001,0),0)))</f>
        <v xml:space="preserve"> </v>
      </c>
      <c r="B160" s="3" t="str">
        <f ca="1">IF(OR(INDEX($I$2:$I$1001,MATCH(ROWS($H$2:H160),$H$2:$H$1001,0),1)&gt;=100000,INDEX($O$1005:$Q$1005,1,MATCH(COLUMNS($O$1006:O1006),$O$1006:$Q$1006,0))&gt;=100000), " ",IF(INDEX($O$2:$Q$1001,MATCH(ROWS($H$2:H160),$H$2:$H$1001,0),MATCH(COLUMNS($O$1006:O1006),$O$1006:$Q$1006,0)), HYPERLINK("#",""), HYPERLINK(CONCATENATE("#metadata!", ADDRESS(INDEX($J$2:$J$1001,MATCH(ROWS($H$2:H160),$H$2:$H$1001,0),0), INDEX($O$1004:$Q$1004,1,MATCH(COLUMNS($O$1006:O1006),$O$1006:$Q$1006,0)))),"Fix")))</f>
        <v xml:space="preserve"> </v>
      </c>
      <c r="C160" s="3" t="str">
        <f ca="1">IF(OR(INDEX($I$2:$I$1001,MATCH(ROWS($H$2:H160),$H$2:$H$1001,0),1)&gt;=100000,INDEX($O$1005:$Q$1005,1,MATCH(COLUMNS($O$1006:P1006),$O$1006:$Q$1006,0))&gt;=100000), " ",IF(INDEX($O$2:$Q$1001,MATCH(ROWS($H$2:H160),$H$2:$H$1001,0),MATCH(COLUMNS($O$1006:P1006),$O$1006:$Q$1006,0)), HYPERLINK("#",""), HYPERLINK(CONCATENATE("#metadata!", ADDRESS(INDEX($J$2:$J$1001,MATCH(ROWS($H$2:H160),$H$2:$H$1001,0),0), INDEX($O$1004:$Q$1004,1,MATCH(COLUMNS($O$1006:P1006),$O$1006:$Q$1006,0)))),"Fix")))</f>
        <v xml:space="preserve"> </v>
      </c>
      <c r="D160" s="3" t="str">
        <f ca="1">IF(OR(INDEX($I$2:$I$1001,MATCH(ROWS($H$2:H160),$H$2:$H$1001,0),1)&gt;=100000,INDEX($O$1005:$Q$1005,1,MATCH(COLUMNS($O$1006:Q1006),$O$1006:$Q$1006,0))&gt;=100000), " ",IF(INDEX($O$2:$Q$1001,MATCH(ROWS($H$2:H160),$H$2:$H$1001,0),MATCH(COLUMNS($O$1006:Q1006),$O$1006:$Q$1006,0)), HYPERLINK("#",""), HYPERLINK(CONCATENATE("#metadata!", ADDRESS(INDEX($J$2:$J$1001,MATCH(ROWS($H$2:H160),$H$2:$H$1001,0),0), INDEX($O$1004:$Q$1004,1,MATCH(COLUMNS($O$1006:Q1006),$O$1006:$Q$1006,0)))),"Fix")))</f>
        <v xml:space="preserve"> </v>
      </c>
      <c r="H160">
        <v>159</v>
      </c>
      <c r="I160">
        <v>100160</v>
      </c>
      <c r="J160">
        <v>160</v>
      </c>
      <c r="K160" t="b">
        <f t="shared" si="2"/>
        <v>1</v>
      </c>
      <c r="L160" t="b">
        <f>COUNTBLANK(metadata!B160:D160)=COLUMNS(metadata!B160:D160)</f>
        <v>1</v>
      </c>
      <c r="M160" t="str">
        <v/>
      </c>
      <c r="O160" t="b">
        <f ca="1"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P160" t="b">
        <f>AND(IF(metadata!C160="",FALSE,TRUE),EXACT(metadata!C160,"mouse gut metagenome"))</f>
        <v>0</v>
      </c>
      <c r="Q160" t="b">
        <f>AND(IF(metadata!D160="",FALSE,TRUE),EXACT(metadata!D160,"410661"))</f>
        <v>0</v>
      </c>
    </row>
    <row r="161" spans="1:17" x14ac:dyDescent="0.2">
      <c r="A161" s="4" t="str">
        <f ca="1">IF(B161=" "," ",HYPERLINK(CONCATENATE("#metadata!",ADDRESS(INDEX($J$2:$J$1001,MATCH(ROWS($H$2:H161),$H$2:$H$1001,0),0),1)),INDEX($M$2:$M$1001,MATCH(ROWS($H$2:H161),$H$2:$H$1001,0),0)))</f>
        <v xml:space="preserve"> </v>
      </c>
      <c r="B161" s="3" t="str">
        <f ca="1">IF(OR(INDEX($I$2:$I$1001,MATCH(ROWS($H$2:H161),$H$2:$H$1001,0),1)&gt;=100000,INDEX($O$1005:$Q$1005,1,MATCH(COLUMNS($O$1006:O1006),$O$1006:$Q$1006,0))&gt;=100000), " ",IF(INDEX($O$2:$Q$1001,MATCH(ROWS($H$2:H161),$H$2:$H$1001,0),MATCH(COLUMNS($O$1006:O1006),$O$1006:$Q$1006,0)), HYPERLINK("#",""), HYPERLINK(CONCATENATE("#metadata!", ADDRESS(INDEX($J$2:$J$1001,MATCH(ROWS($H$2:H161),$H$2:$H$1001,0),0), INDEX($O$1004:$Q$1004,1,MATCH(COLUMNS($O$1006:O1006),$O$1006:$Q$1006,0)))),"Fix")))</f>
        <v xml:space="preserve"> </v>
      </c>
      <c r="C161" s="3" t="str">
        <f ca="1">IF(OR(INDEX($I$2:$I$1001,MATCH(ROWS($H$2:H161),$H$2:$H$1001,0),1)&gt;=100000,INDEX($O$1005:$Q$1005,1,MATCH(COLUMNS($O$1006:P1006),$O$1006:$Q$1006,0))&gt;=100000), " ",IF(INDEX($O$2:$Q$1001,MATCH(ROWS($H$2:H161),$H$2:$H$1001,0),MATCH(COLUMNS($O$1006:P1006),$O$1006:$Q$1006,0)), HYPERLINK("#",""), HYPERLINK(CONCATENATE("#metadata!", ADDRESS(INDEX($J$2:$J$1001,MATCH(ROWS($H$2:H161),$H$2:$H$1001,0),0), INDEX($O$1004:$Q$1004,1,MATCH(COLUMNS($O$1006:P1006),$O$1006:$Q$1006,0)))),"Fix")))</f>
        <v xml:space="preserve"> </v>
      </c>
      <c r="D161" s="3" t="str">
        <f ca="1">IF(OR(INDEX($I$2:$I$1001,MATCH(ROWS($H$2:H161),$H$2:$H$1001,0),1)&gt;=100000,INDEX($O$1005:$Q$1005,1,MATCH(COLUMNS($O$1006:Q1006),$O$1006:$Q$1006,0))&gt;=100000), " ",IF(INDEX($O$2:$Q$1001,MATCH(ROWS($H$2:H161),$H$2:$H$1001,0),MATCH(COLUMNS($O$1006:Q1006),$O$1006:$Q$1006,0)), HYPERLINK("#",""), HYPERLINK(CONCATENATE("#metadata!", ADDRESS(INDEX($J$2:$J$1001,MATCH(ROWS($H$2:H161),$H$2:$H$1001,0),0), INDEX($O$1004:$Q$1004,1,MATCH(COLUMNS($O$1006:Q1006),$O$1006:$Q$1006,0)))),"Fix")))</f>
        <v xml:space="preserve"> </v>
      </c>
      <c r="H161">
        <v>160</v>
      </c>
      <c r="I161">
        <v>100161</v>
      </c>
      <c r="J161">
        <v>161</v>
      </c>
      <c r="K161" t="b">
        <f t="shared" si="2"/>
        <v>1</v>
      </c>
      <c r="L161" t="b">
        <f>COUNTBLANK(metadata!B161:D161)=COLUMNS(metadata!B161:D161)</f>
        <v>1</v>
      </c>
      <c r="M161" t="str">
        <v/>
      </c>
      <c r="O161" t="b">
        <f ca="1"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P161" t="b">
        <f>AND(IF(metadata!C161="",FALSE,TRUE),EXACT(metadata!C161,"mouse gut metagenome"))</f>
        <v>0</v>
      </c>
      <c r="Q161" t="b">
        <f>AND(IF(metadata!D161="",FALSE,TRUE),EXACT(metadata!D161,"410661"))</f>
        <v>0</v>
      </c>
    </row>
    <row r="162" spans="1:17" x14ac:dyDescent="0.2">
      <c r="A162" s="4" t="str">
        <f ca="1">IF(B162=" "," ",HYPERLINK(CONCATENATE("#metadata!",ADDRESS(INDEX($J$2:$J$1001,MATCH(ROWS($H$2:H162),$H$2:$H$1001,0),0),1)),INDEX($M$2:$M$1001,MATCH(ROWS($H$2:H162),$H$2:$H$1001,0),0)))</f>
        <v xml:space="preserve"> </v>
      </c>
      <c r="B162" s="3" t="str">
        <f ca="1">IF(OR(INDEX($I$2:$I$1001,MATCH(ROWS($H$2:H162),$H$2:$H$1001,0),1)&gt;=100000,INDEX($O$1005:$Q$1005,1,MATCH(COLUMNS($O$1006:O1006),$O$1006:$Q$1006,0))&gt;=100000), " ",IF(INDEX($O$2:$Q$1001,MATCH(ROWS($H$2:H162),$H$2:$H$1001,0),MATCH(COLUMNS($O$1006:O1006),$O$1006:$Q$1006,0)), HYPERLINK("#",""), HYPERLINK(CONCATENATE("#metadata!", ADDRESS(INDEX($J$2:$J$1001,MATCH(ROWS($H$2:H162),$H$2:$H$1001,0),0), INDEX($O$1004:$Q$1004,1,MATCH(COLUMNS($O$1006:O1006),$O$1006:$Q$1006,0)))),"Fix")))</f>
        <v xml:space="preserve"> </v>
      </c>
      <c r="C162" s="3" t="str">
        <f ca="1">IF(OR(INDEX($I$2:$I$1001,MATCH(ROWS($H$2:H162),$H$2:$H$1001,0),1)&gt;=100000,INDEX($O$1005:$Q$1005,1,MATCH(COLUMNS($O$1006:P1006),$O$1006:$Q$1006,0))&gt;=100000), " ",IF(INDEX($O$2:$Q$1001,MATCH(ROWS($H$2:H162),$H$2:$H$1001,0),MATCH(COLUMNS($O$1006:P1006),$O$1006:$Q$1006,0)), HYPERLINK("#",""), HYPERLINK(CONCATENATE("#metadata!", ADDRESS(INDEX($J$2:$J$1001,MATCH(ROWS($H$2:H162),$H$2:$H$1001,0),0), INDEX($O$1004:$Q$1004,1,MATCH(COLUMNS($O$1006:P1006),$O$1006:$Q$1006,0)))),"Fix")))</f>
        <v xml:space="preserve"> </v>
      </c>
      <c r="D162" s="3" t="str">
        <f ca="1">IF(OR(INDEX($I$2:$I$1001,MATCH(ROWS($H$2:H162),$H$2:$H$1001,0),1)&gt;=100000,INDEX($O$1005:$Q$1005,1,MATCH(COLUMNS($O$1006:Q1006),$O$1006:$Q$1006,0))&gt;=100000), " ",IF(INDEX($O$2:$Q$1001,MATCH(ROWS($H$2:H162),$H$2:$H$1001,0),MATCH(COLUMNS($O$1006:Q1006),$O$1006:$Q$1006,0)), HYPERLINK("#",""), HYPERLINK(CONCATENATE("#metadata!", ADDRESS(INDEX($J$2:$J$1001,MATCH(ROWS($H$2:H162),$H$2:$H$1001,0),0), INDEX($O$1004:$Q$1004,1,MATCH(COLUMNS($O$1006:Q1006),$O$1006:$Q$1006,0)))),"Fix")))</f>
        <v xml:space="preserve"> </v>
      </c>
      <c r="H162">
        <v>161</v>
      </c>
      <c r="I162">
        <v>100162</v>
      </c>
      <c r="J162">
        <v>162</v>
      </c>
      <c r="K162" t="b">
        <f t="shared" si="2"/>
        <v>1</v>
      </c>
      <c r="L162" t="b">
        <f>COUNTBLANK(metadata!B162:D162)=COLUMNS(metadata!B162:D162)</f>
        <v>1</v>
      </c>
      <c r="M162" t="str">
        <v/>
      </c>
      <c r="O162" t="b">
        <f ca="1"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P162" t="b">
        <f>AND(IF(metadata!C162="",FALSE,TRUE),EXACT(metadata!C162,"mouse gut metagenome"))</f>
        <v>0</v>
      </c>
      <c r="Q162" t="b">
        <f>AND(IF(metadata!D162="",FALSE,TRUE),EXACT(metadata!D162,"410661"))</f>
        <v>0</v>
      </c>
    </row>
    <row r="163" spans="1:17" x14ac:dyDescent="0.2">
      <c r="A163" s="4" t="str">
        <f ca="1">IF(B163=" "," ",HYPERLINK(CONCATENATE("#metadata!",ADDRESS(INDEX($J$2:$J$1001,MATCH(ROWS($H$2:H163),$H$2:$H$1001,0),0),1)),INDEX($M$2:$M$1001,MATCH(ROWS($H$2:H163),$H$2:$H$1001,0),0)))</f>
        <v xml:space="preserve"> </v>
      </c>
      <c r="B163" s="3" t="str">
        <f ca="1">IF(OR(INDEX($I$2:$I$1001,MATCH(ROWS($H$2:H163),$H$2:$H$1001,0),1)&gt;=100000,INDEX($O$1005:$Q$1005,1,MATCH(COLUMNS($O$1006:O1006),$O$1006:$Q$1006,0))&gt;=100000), " ",IF(INDEX($O$2:$Q$1001,MATCH(ROWS($H$2:H163),$H$2:$H$1001,0),MATCH(COLUMNS($O$1006:O1006),$O$1006:$Q$1006,0)), HYPERLINK("#",""), HYPERLINK(CONCATENATE("#metadata!", ADDRESS(INDEX($J$2:$J$1001,MATCH(ROWS($H$2:H163),$H$2:$H$1001,0),0), INDEX($O$1004:$Q$1004,1,MATCH(COLUMNS($O$1006:O1006),$O$1006:$Q$1006,0)))),"Fix")))</f>
        <v xml:space="preserve"> </v>
      </c>
      <c r="C163" s="3" t="str">
        <f ca="1">IF(OR(INDEX($I$2:$I$1001,MATCH(ROWS($H$2:H163),$H$2:$H$1001,0),1)&gt;=100000,INDEX($O$1005:$Q$1005,1,MATCH(COLUMNS($O$1006:P1006),$O$1006:$Q$1006,0))&gt;=100000), " ",IF(INDEX($O$2:$Q$1001,MATCH(ROWS($H$2:H163),$H$2:$H$1001,0),MATCH(COLUMNS($O$1006:P1006),$O$1006:$Q$1006,0)), HYPERLINK("#",""), HYPERLINK(CONCATENATE("#metadata!", ADDRESS(INDEX($J$2:$J$1001,MATCH(ROWS($H$2:H163),$H$2:$H$1001,0),0), INDEX($O$1004:$Q$1004,1,MATCH(COLUMNS($O$1006:P1006),$O$1006:$Q$1006,0)))),"Fix")))</f>
        <v xml:space="preserve"> </v>
      </c>
      <c r="D163" s="3" t="str">
        <f ca="1">IF(OR(INDEX($I$2:$I$1001,MATCH(ROWS($H$2:H163),$H$2:$H$1001,0),1)&gt;=100000,INDEX($O$1005:$Q$1005,1,MATCH(COLUMNS($O$1006:Q1006),$O$1006:$Q$1006,0))&gt;=100000), " ",IF(INDEX($O$2:$Q$1001,MATCH(ROWS($H$2:H163),$H$2:$H$1001,0),MATCH(COLUMNS($O$1006:Q1006),$O$1006:$Q$1006,0)), HYPERLINK("#",""), HYPERLINK(CONCATENATE("#metadata!", ADDRESS(INDEX($J$2:$J$1001,MATCH(ROWS($H$2:H163),$H$2:$H$1001,0),0), INDEX($O$1004:$Q$1004,1,MATCH(COLUMNS($O$1006:Q1006),$O$1006:$Q$1006,0)))),"Fix")))</f>
        <v xml:space="preserve"> </v>
      </c>
      <c r="H163">
        <v>162</v>
      </c>
      <c r="I163">
        <v>100163</v>
      </c>
      <c r="J163">
        <v>163</v>
      </c>
      <c r="K163" t="b">
        <f t="shared" si="2"/>
        <v>1</v>
      </c>
      <c r="L163" t="b">
        <f>COUNTBLANK(metadata!B163:D163)=COLUMNS(metadata!B163:D163)</f>
        <v>1</v>
      </c>
      <c r="M163" t="str">
        <v/>
      </c>
      <c r="O163" t="b">
        <f ca="1"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P163" t="b">
        <f>AND(IF(metadata!C163="",FALSE,TRUE),EXACT(metadata!C163,"mouse gut metagenome"))</f>
        <v>0</v>
      </c>
      <c r="Q163" t="b">
        <f>AND(IF(metadata!D163="",FALSE,TRUE),EXACT(metadata!D163,"410661"))</f>
        <v>0</v>
      </c>
    </row>
    <row r="164" spans="1:17" x14ac:dyDescent="0.2">
      <c r="A164" s="4" t="str">
        <f ca="1">IF(B164=" "," ",HYPERLINK(CONCATENATE("#metadata!",ADDRESS(INDEX($J$2:$J$1001,MATCH(ROWS($H$2:H164),$H$2:$H$1001,0),0),1)),INDEX($M$2:$M$1001,MATCH(ROWS($H$2:H164),$H$2:$H$1001,0),0)))</f>
        <v xml:space="preserve"> </v>
      </c>
      <c r="B164" s="3" t="str">
        <f ca="1">IF(OR(INDEX($I$2:$I$1001,MATCH(ROWS($H$2:H164),$H$2:$H$1001,0),1)&gt;=100000,INDEX($O$1005:$Q$1005,1,MATCH(COLUMNS($O$1006:O1006),$O$1006:$Q$1006,0))&gt;=100000), " ",IF(INDEX($O$2:$Q$1001,MATCH(ROWS($H$2:H164),$H$2:$H$1001,0),MATCH(COLUMNS($O$1006:O1006),$O$1006:$Q$1006,0)), HYPERLINK("#",""), HYPERLINK(CONCATENATE("#metadata!", ADDRESS(INDEX($J$2:$J$1001,MATCH(ROWS($H$2:H164),$H$2:$H$1001,0),0), INDEX($O$1004:$Q$1004,1,MATCH(COLUMNS($O$1006:O1006),$O$1006:$Q$1006,0)))),"Fix")))</f>
        <v xml:space="preserve"> </v>
      </c>
      <c r="C164" s="3" t="str">
        <f ca="1">IF(OR(INDEX($I$2:$I$1001,MATCH(ROWS($H$2:H164),$H$2:$H$1001,0),1)&gt;=100000,INDEX($O$1005:$Q$1005,1,MATCH(COLUMNS($O$1006:P1006),$O$1006:$Q$1006,0))&gt;=100000), " ",IF(INDEX($O$2:$Q$1001,MATCH(ROWS($H$2:H164),$H$2:$H$1001,0),MATCH(COLUMNS($O$1006:P1006),$O$1006:$Q$1006,0)), HYPERLINK("#",""), HYPERLINK(CONCATENATE("#metadata!", ADDRESS(INDEX($J$2:$J$1001,MATCH(ROWS($H$2:H164),$H$2:$H$1001,0),0), INDEX($O$1004:$Q$1004,1,MATCH(COLUMNS($O$1006:P1006),$O$1006:$Q$1006,0)))),"Fix")))</f>
        <v xml:space="preserve"> </v>
      </c>
      <c r="D164" s="3" t="str">
        <f ca="1">IF(OR(INDEX($I$2:$I$1001,MATCH(ROWS($H$2:H164),$H$2:$H$1001,0),1)&gt;=100000,INDEX($O$1005:$Q$1005,1,MATCH(COLUMNS($O$1006:Q1006),$O$1006:$Q$1006,0))&gt;=100000), " ",IF(INDEX($O$2:$Q$1001,MATCH(ROWS($H$2:H164),$H$2:$H$1001,0),MATCH(COLUMNS($O$1006:Q1006),$O$1006:$Q$1006,0)), HYPERLINK("#",""), HYPERLINK(CONCATENATE("#metadata!", ADDRESS(INDEX($J$2:$J$1001,MATCH(ROWS($H$2:H164),$H$2:$H$1001,0),0), INDEX($O$1004:$Q$1004,1,MATCH(COLUMNS($O$1006:Q1006),$O$1006:$Q$1006,0)))),"Fix")))</f>
        <v xml:space="preserve"> </v>
      </c>
      <c r="H164">
        <v>163</v>
      </c>
      <c r="I164">
        <v>100164</v>
      </c>
      <c r="J164">
        <v>164</v>
      </c>
      <c r="K164" t="b">
        <f t="shared" si="2"/>
        <v>1</v>
      </c>
      <c r="L164" t="b">
        <f>COUNTBLANK(metadata!B164:D164)=COLUMNS(metadata!B164:D164)</f>
        <v>1</v>
      </c>
      <c r="M164" t="str">
        <v/>
      </c>
      <c r="O164" t="b">
        <f ca="1"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P164" t="b">
        <f>AND(IF(metadata!C164="",FALSE,TRUE),EXACT(metadata!C164,"mouse gut metagenome"))</f>
        <v>0</v>
      </c>
      <c r="Q164" t="b">
        <f>AND(IF(metadata!D164="",FALSE,TRUE),EXACT(metadata!D164,"410661"))</f>
        <v>0</v>
      </c>
    </row>
    <row r="165" spans="1:17" x14ac:dyDescent="0.2">
      <c r="A165" s="4" t="str">
        <f ca="1">IF(B165=" "," ",HYPERLINK(CONCATENATE("#metadata!",ADDRESS(INDEX($J$2:$J$1001,MATCH(ROWS($H$2:H165),$H$2:$H$1001,0),0),1)),INDEX($M$2:$M$1001,MATCH(ROWS($H$2:H165),$H$2:$H$1001,0),0)))</f>
        <v xml:space="preserve"> </v>
      </c>
      <c r="B165" s="3" t="str">
        <f ca="1">IF(OR(INDEX($I$2:$I$1001,MATCH(ROWS($H$2:H165),$H$2:$H$1001,0),1)&gt;=100000,INDEX($O$1005:$Q$1005,1,MATCH(COLUMNS($O$1006:O1006),$O$1006:$Q$1006,0))&gt;=100000), " ",IF(INDEX($O$2:$Q$1001,MATCH(ROWS($H$2:H165),$H$2:$H$1001,0),MATCH(COLUMNS($O$1006:O1006),$O$1006:$Q$1006,0)), HYPERLINK("#",""), HYPERLINK(CONCATENATE("#metadata!", ADDRESS(INDEX($J$2:$J$1001,MATCH(ROWS($H$2:H165),$H$2:$H$1001,0),0), INDEX($O$1004:$Q$1004,1,MATCH(COLUMNS($O$1006:O1006),$O$1006:$Q$1006,0)))),"Fix")))</f>
        <v xml:space="preserve"> </v>
      </c>
      <c r="C165" s="3" t="str">
        <f ca="1">IF(OR(INDEX($I$2:$I$1001,MATCH(ROWS($H$2:H165),$H$2:$H$1001,0),1)&gt;=100000,INDEX($O$1005:$Q$1005,1,MATCH(COLUMNS($O$1006:P1006),$O$1006:$Q$1006,0))&gt;=100000), " ",IF(INDEX($O$2:$Q$1001,MATCH(ROWS($H$2:H165),$H$2:$H$1001,0),MATCH(COLUMNS($O$1006:P1006),$O$1006:$Q$1006,0)), HYPERLINK("#",""), HYPERLINK(CONCATENATE("#metadata!", ADDRESS(INDEX($J$2:$J$1001,MATCH(ROWS($H$2:H165),$H$2:$H$1001,0),0), INDEX($O$1004:$Q$1004,1,MATCH(COLUMNS($O$1006:P1006),$O$1006:$Q$1006,0)))),"Fix")))</f>
        <v xml:space="preserve"> </v>
      </c>
      <c r="D165" s="3" t="str">
        <f ca="1">IF(OR(INDEX($I$2:$I$1001,MATCH(ROWS($H$2:H165),$H$2:$H$1001,0),1)&gt;=100000,INDEX($O$1005:$Q$1005,1,MATCH(COLUMNS($O$1006:Q1006),$O$1006:$Q$1006,0))&gt;=100000), " ",IF(INDEX($O$2:$Q$1001,MATCH(ROWS($H$2:H165),$H$2:$H$1001,0),MATCH(COLUMNS($O$1006:Q1006),$O$1006:$Q$1006,0)), HYPERLINK("#",""), HYPERLINK(CONCATENATE("#metadata!", ADDRESS(INDEX($J$2:$J$1001,MATCH(ROWS($H$2:H165),$H$2:$H$1001,0),0), INDEX($O$1004:$Q$1004,1,MATCH(COLUMNS($O$1006:Q1006),$O$1006:$Q$1006,0)))),"Fix")))</f>
        <v xml:space="preserve"> </v>
      </c>
      <c r="H165">
        <v>164</v>
      </c>
      <c r="I165">
        <v>100165</v>
      </c>
      <c r="J165">
        <v>165</v>
      </c>
      <c r="K165" t="b">
        <f t="shared" si="2"/>
        <v>1</v>
      </c>
      <c r="L165" t="b">
        <f>COUNTBLANK(metadata!B165:D165)=COLUMNS(metadata!B165:D165)</f>
        <v>1</v>
      </c>
      <c r="M165" t="str">
        <v/>
      </c>
      <c r="O165" t="b">
        <f ca="1"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P165" t="b">
        <f>AND(IF(metadata!C165="",FALSE,TRUE),EXACT(metadata!C165,"mouse gut metagenome"))</f>
        <v>0</v>
      </c>
      <c r="Q165" t="b">
        <f>AND(IF(metadata!D165="",FALSE,TRUE),EXACT(metadata!D165,"410661"))</f>
        <v>0</v>
      </c>
    </row>
    <row r="166" spans="1:17" x14ac:dyDescent="0.2">
      <c r="A166" s="4" t="str">
        <f ca="1">IF(B166=" "," ",HYPERLINK(CONCATENATE("#metadata!",ADDRESS(INDEX($J$2:$J$1001,MATCH(ROWS($H$2:H166),$H$2:$H$1001,0),0),1)),INDEX($M$2:$M$1001,MATCH(ROWS($H$2:H166),$H$2:$H$1001,0),0)))</f>
        <v xml:space="preserve"> </v>
      </c>
      <c r="B166" s="3" t="str">
        <f ca="1">IF(OR(INDEX($I$2:$I$1001,MATCH(ROWS($H$2:H166),$H$2:$H$1001,0),1)&gt;=100000,INDEX($O$1005:$Q$1005,1,MATCH(COLUMNS($O$1006:O1006),$O$1006:$Q$1006,0))&gt;=100000), " ",IF(INDEX($O$2:$Q$1001,MATCH(ROWS($H$2:H166),$H$2:$H$1001,0),MATCH(COLUMNS($O$1006:O1006),$O$1006:$Q$1006,0)), HYPERLINK("#",""), HYPERLINK(CONCATENATE("#metadata!", ADDRESS(INDEX($J$2:$J$1001,MATCH(ROWS($H$2:H166),$H$2:$H$1001,0),0), INDEX($O$1004:$Q$1004,1,MATCH(COLUMNS($O$1006:O1006),$O$1006:$Q$1006,0)))),"Fix")))</f>
        <v xml:space="preserve"> </v>
      </c>
      <c r="C166" s="3" t="str">
        <f ca="1">IF(OR(INDEX($I$2:$I$1001,MATCH(ROWS($H$2:H166),$H$2:$H$1001,0),1)&gt;=100000,INDEX($O$1005:$Q$1005,1,MATCH(COLUMNS($O$1006:P1006),$O$1006:$Q$1006,0))&gt;=100000), " ",IF(INDEX($O$2:$Q$1001,MATCH(ROWS($H$2:H166),$H$2:$H$1001,0),MATCH(COLUMNS($O$1006:P1006),$O$1006:$Q$1006,0)), HYPERLINK("#",""), HYPERLINK(CONCATENATE("#metadata!", ADDRESS(INDEX($J$2:$J$1001,MATCH(ROWS($H$2:H166),$H$2:$H$1001,0),0), INDEX($O$1004:$Q$1004,1,MATCH(COLUMNS($O$1006:P1006),$O$1006:$Q$1006,0)))),"Fix")))</f>
        <v xml:space="preserve"> </v>
      </c>
      <c r="D166" s="3" t="str">
        <f ca="1">IF(OR(INDEX($I$2:$I$1001,MATCH(ROWS($H$2:H166),$H$2:$H$1001,0),1)&gt;=100000,INDEX($O$1005:$Q$1005,1,MATCH(COLUMNS($O$1006:Q1006),$O$1006:$Q$1006,0))&gt;=100000), " ",IF(INDEX($O$2:$Q$1001,MATCH(ROWS($H$2:H166),$H$2:$H$1001,0),MATCH(COLUMNS($O$1006:Q1006),$O$1006:$Q$1006,0)), HYPERLINK("#",""), HYPERLINK(CONCATENATE("#metadata!", ADDRESS(INDEX($J$2:$J$1001,MATCH(ROWS($H$2:H166),$H$2:$H$1001,0),0), INDEX($O$1004:$Q$1004,1,MATCH(COLUMNS($O$1006:Q1006),$O$1006:$Q$1006,0)))),"Fix")))</f>
        <v xml:space="preserve"> </v>
      </c>
      <c r="H166">
        <v>165</v>
      </c>
      <c r="I166">
        <v>100166</v>
      </c>
      <c r="J166">
        <v>166</v>
      </c>
      <c r="K166" t="b">
        <f t="shared" si="2"/>
        <v>1</v>
      </c>
      <c r="L166" t="b">
        <f>COUNTBLANK(metadata!B166:D166)=COLUMNS(metadata!B166:D166)</f>
        <v>1</v>
      </c>
      <c r="M166" t="str">
        <v/>
      </c>
      <c r="O166" t="b">
        <f ca="1"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P166" t="b">
        <f>AND(IF(metadata!C166="",FALSE,TRUE),EXACT(metadata!C166,"mouse gut metagenome"))</f>
        <v>0</v>
      </c>
      <c r="Q166" t="b">
        <f>AND(IF(metadata!D166="",FALSE,TRUE),EXACT(metadata!D166,"410661"))</f>
        <v>0</v>
      </c>
    </row>
    <row r="167" spans="1:17" x14ac:dyDescent="0.2">
      <c r="A167" s="4" t="str">
        <f ca="1">IF(B167=" "," ",HYPERLINK(CONCATENATE("#metadata!",ADDRESS(INDEX($J$2:$J$1001,MATCH(ROWS($H$2:H167),$H$2:$H$1001,0),0),1)),INDEX($M$2:$M$1001,MATCH(ROWS($H$2:H167),$H$2:$H$1001,0),0)))</f>
        <v xml:space="preserve"> </v>
      </c>
      <c r="B167" s="3" t="str">
        <f ca="1">IF(OR(INDEX($I$2:$I$1001,MATCH(ROWS($H$2:H167),$H$2:$H$1001,0),1)&gt;=100000,INDEX($O$1005:$Q$1005,1,MATCH(COLUMNS($O$1006:O1006),$O$1006:$Q$1006,0))&gt;=100000), " ",IF(INDEX($O$2:$Q$1001,MATCH(ROWS($H$2:H167),$H$2:$H$1001,0),MATCH(COLUMNS($O$1006:O1006),$O$1006:$Q$1006,0)), HYPERLINK("#",""), HYPERLINK(CONCATENATE("#metadata!", ADDRESS(INDEX($J$2:$J$1001,MATCH(ROWS($H$2:H167),$H$2:$H$1001,0),0), INDEX($O$1004:$Q$1004,1,MATCH(COLUMNS($O$1006:O1006),$O$1006:$Q$1006,0)))),"Fix")))</f>
        <v xml:space="preserve"> </v>
      </c>
      <c r="C167" s="3" t="str">
        <f ca="1">IF(OR(INDEX($I$2:$I$1001,MATCH(ROWS($H$2:H167),$H$2:$H$1001,0),1)&gt;=100000,INDEX($O$1005:$Q$1005,1,MATCH(COLUMNS($O$1006:P1006),$O$1006:$Q$1006,0))&gt;=100000), " ",IF(INDEX($O$2:$Q$1001,MATCH(ROWS($H$2:H167),$H$2:$H$1001,0),MATCH(COLUMNS($O$1006:P1006),$O$1006:$Q$1006,0)), HYPERLINK("#",""), HYPERLINK(CONCATENATE("#metadata!", ADDRESS(INDEX($J$2:$J$1001,MATCH(ROWS($H$2:H167),$H$2:$H$1001,0),0), INDEX($O$1004:$Q$1004,1,MATCH(COLUMNS($O$1006:P1006),$O$1006:$Q$1006,0)))),"Fix")))</f>
        <v xml:space="preserve"> </v>
      </c>
      <c r="D167" s="3" t="str">
        <f ca="1">IF(OR(INDEX($I$2:$I$1001,MATCH(ROWS($H$2:H167),$H$2:$H$1001,0),1)&gt;=100000,INDEX($O$1005:$Q$1005,1,MATCH(COLUMNS($O$1006:Q1006),$O$1006:$Q$1006,0))&gt;=100000), " ",IF(INDEX($O$2:$Q$1001,MATCH(ROWS($H$2:H167),$H$2:$H$1001,0),MATCH(COLUMNS($O$1006:Q1006),$O$1006:$Q$1006,0)), HYPERLINK("#",""), HYPERLINK(CONCATENATE("#metadata!", ADDRESS(INDEX($J$2:$J$1001,MATCH(ROWS($H$2:H167),$H$2:$H$1001,0),0), INDEX($O$1004:$Q$1004,1,MATCH(COLUMNS($O$1006:Q1006),$O$1006:$Q$1006,0)))),"Fix")))</f>
        <v xml:space="preserve"> </v>
      </c>
      <c r="H167">
        <v>166</v>
      </c>
      <c r="I167">
        <v>100167</v>
      </c>
      <c r="J167">
        <v>167</v>
      </c>
      <c r="K167" t="b">
        <f t="shared" si="2"/>
        <v>1</v>
      </c>
      <c r="L167" t="b">
        <f>COUNTBLANK(metadata!B167:D167)=COLUMNS(metadata!B167:D167)</f>
        <v>1</v>
      </c>
      <c r="M167" t="str">
        <v/>
      </c>
      <c r="O167" t="b">
        <f ca="1"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P167" t="b">
        <f>AND(IF(metadata!C167="",FALSE,TRUE),EXACT(metadata!C167,"mouse gut metagenome"))</f>
        <v>0</v>
      </c>
      <c r="Q167" t="b">
        <f>AND(IF(metadata!D167="",FALSE,TRUE),EXACT(metadata!D167,"410661"))</f>
        <v>0</v>
      </c>
    </row>
    <row r="168" spans="1:17" x14ac:dyDescent="0.2">
      <c r="A168" s="4" t="str">
        <f ca="1">IF(B168=" "," ",HYPERLINK(CONCATENATE("#metadata!",ADDRESS(INDEX($J$2:$J$1001,MATCH(ROWS($H$2:H168),$H$2:$H$1001,0),0),1)),INDEX($M$2:$M$1001,MATCH(ROWS($H$2:H168),$H$2:$H$1001,0),0)))</f>
        <v xml:space="preserve"> </v>
      </c>
      <c r="B168" s="3" t="str">
        <f ca="1">IF(OR(INDEX($I$2:$I$1001,MATCH(ROWS($H$2:H168),$H$2:$H$1001,0),1)&gt;=100000,INDEX($O$1005:$Q$1005,1,MATCH(COLUMNS($O$1006:O1006),$O$1006:$Q$1006,0))&gt;=100000), " ",IF(INDEX($O$2:$Q$1001,MATCH(ROWS($H$2:H168),$H$2:$H$1001,0),MATCH(COLUMNS($O$1006:O1006),$O$1006:$Q$1006,0)), HYPERLINK("#",""), HYPERLINK(CONCATENATE("#metadata!", ADDRESS(INDEX($J$2:$J$1001,MATCH(ROWS($H$2:H168),$H$2:$H$1001,0),0), INDEX($O$1004:$Q$1004,1,MATCH(COLUMNS($O$1006:O1006),$O$1006:$Q$1006,0)))),"Fix")))</f>
        <v xml:space="preserve"> </v>
      </c>
      <c r="C168" s="3" t="str">
        <f ca="1">IF(OR(INDEX($I$2:$I$1001,MATCH(ROWS($H$2:H168),$H$2:$H$1001,0),1)&gt;=100000,INDEX($O$1005:$Q$1005,1,MATCH(COLUMNS($O$1006:P1006),$O$1006:$Q$1006,0))&gt;=100000), " ",IF(INDEX($O$2:$Q$1001,MATCH(ROWS($H$2:H168),$H$2:$H$1001,0),MATCH(COLUMNS($O$1006:P1006),$O$1006:$Q$1006,0)), HYPERLINK("#",""), HYPERLINK(CONCATENATE("#metadata!", ADDRESS(INDEX($J$2:$J$1001,MATCH(ROWS($H$2:H168),$H$2:$H$1001,0),0), INDEX($O$1004:$Q$1004,1,MATCH(COLUMNS($O$1006:P1006),$O$1006:$Q$1006,0)))),"Fix")))</f>
        <v xml:space="preserve"> </v>
      </c>
      <c r="D168" s="3" t="str">
        <f ca="1">IF(OR(INDEX($I$2:$I$1001,MATCH(ROWS($H$2:H168),$H$2:$H$1001,0),1)&gt;=100000,INDEX($O$1005:$Q$1005,1,MATCH(COLUMNS($O$1006:Q1006),$O$1006:$Q$1006,0))&gt;=100000), " ",IF(INDEX($O$2:$Q$1001,MATCH(ROWS($H$2:H168),$H$2:$H$1001,0),MATCH(COLUMNS($O$1006:Q1006),$O$1006:$Q$1006,0)), HYPERLINK("#",""), HYPERLINK(CONCATENATE("#metadata!", ADDRESS(INDEX($J$2:$J$1001,MATCH(ROWS($H$2:H168),$H$2:$H$1001,0),0), INDEX($O$1004:$Q$1004,1,MATCH(COLUMNS($O$1006:Q1006),$O$1006:$Q$1006,0)))),"Fix")))</f>
        <v xml:space="preserve"> </v>
      </c>
      <c r="H168">
        <v>167</v>
      </c>
      <c r="I168">
        <v>100168</v>
      </c>
      <c r="J168">
        <v>168</v>
      </c>
      <c r="K168" t="b">
        <f t="shared" si="2"/>
        <v>1</v>
      </c>
      <c r="L168" t="b">
        <f>COUNTBLANK(metadata!B168:D168)=COLUMNS(metadata!B168:D168)</f>
        <v>1</v>
      </c>
      <c r="M168" t="str">
        <v/>
      </c>
      <c r="O168" t="b">
        <f ca="1"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P168" t="b">
        <f>AND(IF(metadata!C168="",FALSE,TRUE),EXACT(metadata!C168,"mouse gut metagenome"))</f>
        <v>0</v>
      </c>
      <c r="Q168" t="b">
        <f>AND(IF(metadata!D168="",FALSE,TRUE),EXACT(metadata!D168,"410661"))</f>
        <v>0</v>
      </c>
    </row>
    <row r="169" spans="1:17" x14ac:dyDescent="0.2">
      <c r="A169" s="4" t="str">
        <f ca="1">IF(B169=" "," ",HYPERLINK(CONCATENATE("#metadata!",ADDRESS(INDEX($J$2:$J$1001,MATCH(ROWS($H$2:H169),$H$2:$H$1001,0),0),1)),INDEX($M$2:$M$1001,MATCH(ROWS($H$2:H169),$H$2:$H$1001,0),0)))</f>
        <v xml:space="preserve"> </v>
      </c>
      <c r="B169" s="3" t="str">
        <f ca="1">IF(OR(INDEX($I$2:$I$1001,MATCH(ROWS($H$2:H169),$H$2:$H$1001,0),1)&gt;=100000,INDEX($O$1005:$Q$1005,1,MATCH(COLUMNS($O$1006:O1006),$O$1006:$Q$1006,0))&gt;=100000), " ",IF(INDEX($O$2:$Q$1001,MATCH(ROWS($H$2:H169),$H$2:$H$1001,0),MATCH(COLUMNS($O$1006:O1006),$O$1006:$Q$1006,0)), HYPERLINK("#",""), HYPERLINK(CONCATENATE("#metadata!", ADDRESS(INDEX($J$2:$J$1001,MATCH(ROWS($H$2:H169),$H$2:$H$1001,0),0), INDEX($O$1004:$Q$1004,1,MATCH(COLUMNS($O$1006:O1006),$O$1006:$Q$1006,0)))),"Fix")))</f>
        <v xml:space="preserve"> </v>
      </c>
      <c r="C169" s="3" t="str">
        <f ca="1">IF(OR(INDEX($I$2:$I$1001,MATCH(ROWS($H$2:H169),$H$2:$H$1001,0),1)&gt;=100000,INDEX($O$1005:$Q$1005,1,MATCH(COLUMNS($O$1006:P1006),$O$1006:$Q$1006,0))&gt;=100000), " ",IF(INDEX($O$2:$Q$1001,MATCH(ROWS($H$2:H169),$H$2:$H$1001,0),MATCH(COLUMNS($O$1006:P1006),$O$1006:$Q$1006,0)), HYPERLINK("#",""), HYPERLINK(CONCATENATE("#metadata!", ADDRESS(INDEX($J$2:$J$1001,MATCH(ROWS($H$2:H169),$H$2:$H$1001,0),0), INDEX($O$1004:$Q$1004,1,MATCH(COLUMNS($O$1006:P1006),$O$1006:$Q$1006,0)))),"Fix")))</f>
        <v xml:space="preserve"> </v>
      </c>
      <c r="D169" s="3" t="str">
        <f ca="1">IF(OR(INDEX($I$2:$I$1001,MATCH(ROWS($H$2:H169),$H$2:$H$1001,0),1)&gt;=100000,INDEX($O$1005:$Q$1005,1,MATCH(COLUMNS($O$1006:Q1006),$O$1006:$Q$1006,0))&gt;=100000), " ",IF(INDEX($O$2:$Q$1001,MATCH(ROWS($H$2:H169),$H$2:$H$1001,0),MATCH(COLUMNS($O$1006:Q1006),$O$1006:$Q$1006,0)), HYPERLINK("#",""), HYPERLINK(CONCATENATE("#metadata!", ADDRESS(INDEX($J$2:$J$1001,MATCH(ROWS($H$2:H169),$H$2:$H$1001,0),0), INDEX($O$1004:$Q$1004,1,MATCH(COLUMNS($O$1006:Q1006),$O$1006:$Q$1006,0)))),"Fix")))</f>
        <v xml:space="preserve"> </v>
      </c>
      <c r="H169">
        <v>168</v>
      </c>
      <c r="I169">
        <v>100169</v>
      </c>
      <c r="J169">
        <v>169</v>
      </c>
      <c r="K169" t="b">
        <f t="shared" si="2"/>
        <v>1</v>
      </c>
      <c r="L169" t="b">
        <f>COUNTBLANK(metadata!B169:D169)=COLUMNS(metadata!B169:D169)</f>
        <v>1</v>
      </c>
      <c r="M169" t="str">
        <v/>
      </c>
      <c r="O169" t="b">
        <f ca="1"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P169" t="b">
        <f>AND(IF(metadata!C169="",FALSE,TRUE),EXACT(metadata!C169,"mouse gut metagenome"))</f>
        <v>0</v>
      </c>
      <c r="Q169" t="b">
        <f>AND(IF(metadata!D169="",FALSE,TRUE),EXACT(metadata!D169,"410661"))</f>
        <v>0</v>
      </c>
    </row>
    <row r="170" spans="1:17" x14ac:dyDescent="0.2">
      <c r="A170" s="4" t="str">
        <f ca="1">IF(B170=" "," ",HYPERLINK(CONCATENATE("#metadata!",ADDRESS(INDEX($J$2:$J$1001,MATCH(ROWS($H$2:H170),$H$2:$H$1001,0),0),1)),INDEX($M$2:$M$1001,MATCH(ROWS($H$2:H170),$H$2:$H$1001,0),0)))</f>
        <v xml:space="preserve"> </v>
      </c>
      <c r="B170" s="3" t="str">
        <f ca="1">IF(OR(INDEX($I$2:$I$1001,MATCH(ROWS($H$2:H170),$H$2:$H$1001,0),1)&gt;=100000,INDEX($O$1005:$Q$1005,1,MATCH(COLUMNS($O$1006:O1006),$O$1006:$Q$1006,0))&gt;=100000), " ",IF(INDEX($O$2:$Q$1001,MATCH(ROWS($H$2:H170),$H$2:$H$1001,0),MATCH(COLUMNS($O$1006:O1006),$O$1006:$Q$1006,0)), HYPERLINK("#",""), HYPERLINK(CONCATENATE("#metadata!", ADDRESS(INDEX($J$2:$J$1001,MATCH(ROWS($H$2:H170),$H$2:$H$1001,0),0), INDEX($O$1004:$Q$1004,1,MATCH(COLUMNS($O$1006:O1006),$O$1006:$Q$1006,0)))),"Fix")))</f>
        <v xml:space="preserve"> </v>
      </c>
      <c r="C170" s="3" t="str">
        <f ca="1">IF(OR(INDEX($I$2:$I$1001,MATCH(ROWS($H$2:H170),$H$2:$H$1001,0),1)&gt;=100000,INDEX($O$1005:$Q$1005,1,MATCH(COLUMNS($O$1006:P1006),$O$1006:$Q$1006,0))&gt;=100000), " ",IF(INDEX($O$2:$Q$1001,MATCH(ROWS($H$2:H170),$H$2:$H$1001,0),MATCH(COLUMNS($O$1006:P1006),$O$1006:$Q$1006,0)), HYPERLINK("#",""), HYPERLINK(CONCATENATE("#metadata!", ADDRESS(INDEX($J$2:$J$1001,MATCH(ROWS($H$2:H170),$H$2:$H$1001,0),0), INDEX($O$1004:$Q$1004,1,MATCH(COLUMNS($O$1006:P1006),$O$1006:$Q$1006,0)))),"Fix")))</f>
        <v xml:space="preserve"> </v>
      </c>
      <c r="D170" s="3" t="str">
        <f ca="1">IF(OR(INDEX($I$2:$I$1001,MATCH(ROWS($H$2:H170),$H$2:$H$1001,0),1)&gt;=100000,INDEX($O$1005:$Q$1005,1,MATCH(COLUMNS($O$1006:Q1006),$O$1006:$Q$1006,0))&gt;=100000), " ",IF(INDEX($O$2:$Q$1001,MATCH(ROWS($H$2:H170),$H$2:$H$1001,0),MATCH(COLUMNS($O$1006:Q1006),$O$1006:$Q$1006,0)), HYPERLINK("#",""), HYPERLINK(CONCATENATE("#metadata!", ADDRESS(INDEX($J$2:$J$1001,MATCH(ROWS($H$2:H170),$H$2:$H$1001,0),0), INDEX($O$1004:$Q$1004,1,MATCH(COLUMNS($O$1006:Q1006),$O$1006:$Q$1006,0)))),"Fix")))</f>
        <v xml:space="preserve"> </v>
      </c>
      <c r="H170">
        <v>169</v>
      </c>
      <c r="I170">
        <v>100170</v>
      </c>
      <c r="J170">
        <v>170</v>
      </c>
      <c r="K170" t="b">
        <f t="shared" si="2"/>
        <v>1</v>
      </c>
      <c r="L170" t="b">
        <f>COUNTBLANK(metadata!B170:D170)=COLUMNS(metadata!B170:D170)</f>
        <v>1</v>
      </c>
      <c r="M170" t="str">
        <v/>
      </c>
      <c r="O170" t="b">
        <f ca="1"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P170" t="b">
        <f>AND(IF(metadata!C170="",FALSE,TRUE),EXACT(metadata!C170,"mouse gut metagenome"))</f>
        <v>0</v>
      </c>
      <c r="Q170" t="b">
        <f>AND(IF(metadata!D170="",FALSE,TRUE),EXACT(metadata!D170,"410661"))</f>
        <v>0</v>
      </c>
    </row>
    <row r="171" spans="1:17" x14ac:dyDescent="0.2">
      <c r="A171" s="4" t="str">
        <f ca="1">IF(B171=" "," ",HYPERLINK(CONCATENATE("#metadata!",ADDRESS(INDEX($J$2:$J$1001,MATCH(ROWS($H$2:H171),$H$2:$H$1001,0),0),1)),INDEX($M$2:$M$1001,MATCH(ROWS($H$2:H171),$H$2:$H$1001,0),0)))</f>
        <v xml:space="preserve"> </v>
      </c>
      <c r="B171" s="3" t="str">
        <f ca="1">IF(OR(INDEX($I$2:$I$1001,MATCH(ROWS($H$2:H171),$H$2:$H$1001,0),1)&gt;=100000,INDEX($O$1005:$Q$1005,1,MATCH(COLUMNS($O$1006:O1006),$O$1006:$Q$1006,0))&gt;=100000), " ",IF(INDEX($O$2:$Q$1001,MATCH(ROWS($H$2:H171),$H$2:$H$1001,0),MATCH(COLUMNS($O$1006:O1006),$O$1006:$Q$1006,0)), HYPERLINK("#",""), HYPERLINK(CONCATENATE("#metadata!", ADDRESS(INDEX($J$2:$J$1001,MATCH(ROWS($H$2:H171),$H$2:$H$1001,0),0), INDEX($O$1004:$Q$1004,1,MATCH(COLUMNS($O$1006:O1006),$O$1006:$Q$1006,0)))),"Fix")))</f>
        <v xml:space="preserve"> </v>
      </c>
      <c r="C171" s="3" t="str">
        <f ca="1">IF(OR(INDEX($I$2:$I$1001,MATCH(ROWS($H$2:H171),$H$2:$H$1001,0),1)&gt;=100000,INDEX($O$1005:$Q$1005,1,MATCH(COLUMNS($O$1006:P1006),$O$1006:$Q$1006,0))&gt;=100000), " ",IF(INDEX($O$2:$Q$1001,MATCH(ROWS($H$2:H171),$H$2:$H$1001,0),MATCH(COLUMNS($O$1006:P1006),$O$1006:$Q$1006,0)), HYPERLINK("#",""), HYPERLINK(CONCATENATE("#metadata!", ADDRESS(INDEX($J$2:$J$1001,MATCH(ROWS($H$2:H171),$H$2:$H$1001,0),0), INDEX($O$1004:$Q$1004,1,MATCH(COLUMNS($O$1006:P1006),$O$1006:$Q$1006,0)))),"Fix")))</f>
        <v xml:space="preserve"> </v>
      </c>
      <c r="D171" s="3" t="str">
        <f ca="1">IF(OR(INDEX($I$2:$I$1001,MATCH(ROWS($H$2:H171),$H$2:$H$1001,0),1)&gt;=100000,INDEX($O$1005:$Q$1005,1,MATCH(COLUMNS($O$1006:Q1006),$O$1006:$Q$1006,0))&gt;=100000), " ",IF(INDEX($O$2:$Q$1001,MATCH(ROWS($H$2:H171),$H$2:$H$1001,0),MATCH(COLUMNS($O$1006:Q1006),$O$1006:$Q$1006,0)), HYPERLINK("#",""), HYPERLINK(CONCATENATE("#metadata!", ADDRESS(INDEX($J$2:$J$1001,MATCH(ROWS($H$2:H171),$H$2:$H$1001,0),0), INDEX($O$1004:$Q$1004,1,MATCH(COLUMNS($O$1006:Q1006),$O$1006:$Q$1006,0)))),"Fix")))</f>
        <v xml:space="preserve"> </v>
      </c>
      <c r="H171">
        <v>170</v>
      </c>
      <c r="I171">
        <v>100171</v>
      </c>
      <c r="J171">
        <v>171</v>
      </c>
      <c r="K171" t="b">
        <f t="shared" si="2"/>
        <v>1</v>
      </c>
      <c r="L171" t="b">
        <f>COUNTBLANK(metadata!B171:D171)=COLUMNS(metadata!B171:D171)</f>
        <v>1</v>
      </c>
      <c r="M171" t="str">
        <v/>
      </c>
      <c r="O171" t="b">
        <f ca="1"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P171" t="b">
        <f>AND(IF(metadata!C171="",FALSE,TRUE),EXACT(metadata!C171,"mouse gut metagenome"))</f>
        <v>0</v>
      </c>
      <c r="Q171" t="b">
        <f>AND(IF(metadata!D171="",FALSE,TRUE),EXACT(metadata!D171,"410661"))</f>
        <v>0</v>
      </c>
    </row>
    <row r="172" spans="1:17" x14ac:dyDescent="0.2">
      <c r="A172" s="4" t="str">
        <f ca="1">IF(B172=" "," ",HYPERLINK(CONCATENATE("#metadata!",ADDRESS(INDEX($J$2:$J$1001,MATCH(ROWS($H$2:H172),$H$2:$H$1001,0),0),1)),INDEX($M$2:$M$1001,MATCH(ROWS($H$2:H172),$H$2:$H$1001,0),0)))</f>
        <v xml:space="preserve"> </v>
      </c>
      <c r="B172" s="3" t="str">
        <f ca="1">IF(OR(INDEX($I$2:$I$1001,MATCH(ROWS($H$2:H172),$H$2:$H$1001,0),1)&gt;=100000,INDEX($O$1005:$Q$1005,1,MATCH(COLUMNS($O$1006:O1006),$O$1006:$Q$1006,0))&gt;=100000), " ",IF(INDEX($O$2:$Q$1001,MATCH(ROWS($H$2:H172),$H$2:$H$1001,0),MATCH(COLUMNS($O$1006:O1006),$O$1006:$Q$1006,0)), HYPERLINK("#",""), HYPERLINK(CONCATENATE("#metadata!", ADDRESS(INDEX($J$2:$J$1001,MATCH(ROWS($H$2:H172),$H$2:$H$1001,0),0), INDEX($O$1004:$Q$1004,1,MATCH(COLUMNS($O$1006:O1006),$O$1006:$Q$1006,0)))),"Fix")))</f>
        <v xml:space="preserve"> </v>
      </c>
      <c r="C172" s="3" t="str">
        <f ca="1">IF(OR(INDEX($I$2:$I$1001,MATCH(ROWS($H$2:H172),$H$2:$H$1001,0),1)&gt;=100000,INDEX($O$1005:$Q$1005,1,MATCH(COLUMNS($O$1006:P1006),$O$1006:$Q$1006,0))&gt;=100000), " ",IF(INDEX($O$2:$Q$1001,MATCH(ROWS($H$2:H172),$H$2:$H$1001,0),MATCH(COLUMNS($O$1006:P1006),$O$1006:$Q$1006,0)), HYPERLINK("#",""), HYPERLINK(CONCATENATE("#metadata!", ADDRESS(INDEX($J$2:$J$1001,MATCH(ROWS($H$2:H172),$H$2:$H$1001,0),0), INDEX($O$1004:$Q$1004,1,MATCH(COLUMNS($O$1006:P1006),$O$1006:$Q$1006,0)))),"Fix")))</f>
        <v xml:space="preserve"> </v>
      </c>
      <c r="D172" s="3" t="str">
        <f ca="1">IF(OR(INDEX($I$2:$I$1001,MATCH(ROWS($H$2:H172),$H$2:$H$1001,0),1)&gt;=100000,INDEX($O$1005:$Q$1005,1,MATCH(COLUMNS($O$1006:Q1006),$O$1006:$Q$1006,0))&gt;=100000), " ",IF(INDEX($O$2:$Q$1001,MATCH(ROWS($H$2:H172),$H$2:$H$1001,0),MATCH(COLUMNS($O$1006:Q1006),$O$1006:$Q$1006,0)), HYPERLINK("#",""), HYPERLINK(CONCATENATE("#metadata!", ADDRESS(INDEX($J$2:$J$1001,MATCH(ROWS($H$2:H172),$H$2:$H$1001,0),0), INDEX($O$1004:$Q$1004,1,MATCH(COLUMNS($O$1006:Q1006),$O$1006:$Q$1006,0)))),"Fix")))</f>
        <v xml:space="preserve"> </v>
      </c>
      <c r="H172">
        <v>171</v>
      </c>
      <c r="I172">
        <v>100172</v>
      </c>
      <c r="J172">
        <v>172</v>
      </c>
      <c r="K172" t="b">
        <f t="shared" si="2"/>
        <v>1</v>
      </c>
      <c r="L172" t="b">
        <f>COUNTBLANK(metadata!B172:D172)=COLUMNS(metadata!B172:D172)</f>
        <v>1</v>
      </c>
      <c r="M172" t="str">
        <v/>
      </c>
      <c r="O172" t="b">
        <f ca="1"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P172" t="b">
        <f>AND(IF(metadata!C172="",FALSE,TRUE),EXACT(metadata!C172,"mouse gut metagenome"))</f>
        <v>0</v>
      </c>
      <c r="Q172" t="b">
        <f>AND(IF(metadata!D172="",FALSE,TRUE),EXACT(metadata!D172,"410661"))</f>
        <v>0</v>
      </c>
    </row>
    <row r="173" spans="1:17" x14ac:dyDescent="0.2">
      <c r="A173" s="4" t="str">
        <f ca="1">IF(B173=" "," ",HYPERLINK(CONCATENATE("#metadata!",ADDRESS(INDEX($J$2:$J$1001,MATCH(ROWS($H$2:H173),$H$2:$H$1001,0),0),1)),INDEX($M$2:$M$1001,MATCH(ROWS($H$2:H173),$H$2:$H$1001,0),0)))</f>
        <v xml:space="preserve"> </v>
      </c>
      <c r="B173" s="3" t="str">
        <f ca="1">IF(OR(INDEX($I$2:$I$1001,MATCH(ROWS($H$2:H173),$H$2:$H$1001,0),1)&gt;=100000,INDEX($O$1005:$Q$1005,1,MATCH(COLUMNS($O$1006:O1006),$O$1006:$Q$1006,0))&gt;=100000), " ",IF(INDEX($O$2:$Q$1001,MATCH(ROWS($H$2:H173),$H$2:$H$1001,0),MATCH(COLUMNS($O$1006:O1006),$O$1006:$Q$1006,0)), HYPERLINK("#",""), HYPERLINK(CONCATENATE("#metadata!", ADDRESS(INDEX($J$2:$J$1001,MATCH(ROWS($H$2:H173),$H$2:$H$1001,0),0), INDEX($O$1004:$Q$1004,1,MATCH(COLUMNS($O$1006:O1006),$O$1006:$Q$1006,0)))),"Fix")))</f>
        <v xml:space="preserve"> </v>
      </c>
      <c r="C173" s="3" t="str">
        <f ca="1">IF(OR(INDEX($I$2:$I$1001,MATCH(ROWS($H$2:H173),$H$2:$H$1001,0),1)&gt;=100000,INDEX($O$1005:$Q$1005,1,MATCH(COLUMNS($O$1006:P1006),$O$1006:$Q$1006,0))&gt;=100000), " ",IF(INDEX($O$2:$Q$1001,MATCH(ROWS($H$2:H173),$H$2:$H$1001,0),MATCH(COLUMNS($O$1006:P1006),$O$1006:$Q$1006,0)), HYPERLINK("#",""), HYPERLINK(CONCATENATE("#metadata!", ADDRESS(INDEX($J$2:$J$1001,MATCH(ROWS($H$2:H173),$H$2:$H$1001,0),0), INDEX($O$1004:$Q$1004,1,MATCH(COLUMNS($O$1006:P1006),$O$1006:$Q$1006,0)))),"Fix")))</f>
        <v xml:space="preserve"> </v>
      </c>
      <c r="D173" s="3" t="str">
        <f ca="1">IF(OR(INDEX($I$2:$I$1001,MATCH(ROWS($H$2:H173),$H$2:$H$1001,0),1)&gt;=100000,INDEX($O$1005:$Q$1005,1,MATCH(COLUMNS($O$1006:Q1006),$O$1006:$Q$1006,0))&gt;=100000), " ",IF(INDEX($O$2:$Q$1001,MATCH(ROWS($H$2:H173),$H$2:$H$1001,0),MATCH(COLUMNS($O$1006:Q1006),$O$1006:$Q$1006,0)), HYPERLINK("#",""), HYPERLINK(CONCATENATE("#metadata!", ADDRESS(INDEX($J$2:$J$1001,MATCH(ROWS($H$2:H173),$H$2:$H$1001,0),0), INDEX($O$1004:$Q$1004,1,MATCH(COLUMNS($O$1006:Q1006),$O$1006:$Q$1006,0)))),"Fix")))</f>
        <v xml:space="preserve"> </v>
      </c>
      <c r="H173">
        <v>172</v>
      </c>
      <c r="I173">
        <v>100173</v>
      </c>
      <c r="J173">
        <v>173</v>
      </c>
      <c r="K173" t="b">
        <f t="shared" si="2"/>
        <v>1</v>
      </c>
      <c r="L173" t="b">
        <f>COUNTBLANK(metadata!B173:D173)=COLUMNS(metadata!B173:D173)</f>
        <v>1</v>
      </c>
      <c r="M173" t="str">
        <v/>
      </c>
      <c r="O173" t="b">
        <f ca="1"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P173" t="b">
        <f>AND(IF(metadata!C173="",FALSE,TRUE),EXACT(metadata!C173,"mouse gut metagenome"))</f>
        <v>0</v>
      </c>
      <c r="Q173" t="b">
        <f>AND(IF(metadata!D173="",FALSE,TRUE),EXACT(metadata!D173,"410661"))</f>
        <v>0</v>
      </c>
    </row>
    <row r="174" spans="1:17" x14ac:dyDescent="0.2">
      <c r="A174" s="4" t="str">
        <f ca="1">IF(B174=" "," ",HYPERLINK(CONCATENATE("#metadata!",ADDRESS(INDEX($J$2:$J$1001,MATCH(ROWS($H$2:H174),$H$2:$H$1001,0),0),1)),INDEX($M$2:$M$1001,MATCH(ROWS($H$2:H174),$H$2:$H$1001,0),0)))</f>
        <v xml:space="preserve"> </v>
      </c>
      <c r="B174" s="3" t="str">
        <f ca="1">IF(OR(INDEX($I$2:$I$1001,MATCH(ROWS($H$2:H174),$H$2:$H$1001,0),1)&gt;=100000,INDEX($O$1005:$Q$1005,1,MATCH(COLUMNS($O$1006:O1006),$O$1006:$Q$1006,0))&gt;=100000), " ",IF(INDEX($O$2:$Q$1001,MATCH(ROWS($H$2:H174),$H$2:$H$1001,0),MATCH(COLUMNS($O$1006:O1006),$O$1006:$Q$1006,0)), HYPERLINK("#",""), HYPERLINK(CONCATENATE("#metadata!", ADDRESS(INDEX($J$2:$J$1001,MATCH(ROWS($H$2:H174),$H$2:$H$1001,0),0), INDEX($O$1004:$Q$1004,1,MATCH(COLUMNS($O$1006:O1006),$O$1006:$Q$1006,0)))),"Fix")))</f>
        <v xml:space="preserve"> </v>
      </c>
      <c r="C174" s="3" t="str">
        <f ca="1">IF(OR(INDEX($I$2:$I$1001,MATCH(ROWS($H$2:H174),$H$2:$H$1001,0),1)&gt;=100000,INDEX($O$1005:$Q$1005,1,MATCH(COLUMNS($O$1006:P1006),$O$1006:$Q$1006,0))&gt;=100000), " ",IF(INDEX($O$2:$Q$1001,MATCH(ROWS($H$2:H174),$H$2:$H$1001,0),MATCH(COLUMNS($O$1006:P1006),$O$1006:$Q$1006,0)), HYPERLINK("#",""), HYPERLINK(CONCATENATE("#metadata!", ADDRESS(INDEX($J$2:$J$1001,MATCH(ROWS($H$2:H174),$H$2:$H$1001,0),0), INDEX($O$1004:$Q$1004,1,MATCH(COLUMNS($O$1006:P1006),$O$1006:$Q$1006,0)))),"Fix")))</f>
        <v xml:space="preserve"> </v>
      </c>
      <c r="D174" s="3" t="str">
        <f ca="1">IF(OR(INDEX($I$2:$I$1001,MATCH(ROWS($H$2:H174),$H$2:$H$1001,0),1)&gt;=100000,INDEX($O$1005:$Q$1005,1,MATCH(COLUMNS($O$1006:Q1006),$O$1006:$Q$1006,0))&gt;=100000), " ",IF(INDEX($O$2:$Q$1001,MATCH(ROWS($H$2:H174),$H$2:$H$1001,0),MATCH(COLUMNS($O$1006:Q1006),$O$1006:$Q$1006,0)), HYPERLINK("#",""), HYPERLINK(CONCATENATE("#metadata!", ADDRESS(INDEX($J$2:$J$1001,MATCH(ROWS($H$2:H174),$H$2:$H$1001,0),0), INDEX($O$1004:$Q$1004,1,MATCH(COLUMNS($O$1006:Q1006),$O$1006:$Q$1006,0)))),"Fix")))</f>
        <v xml:space="preserve"> </v>
      </c>
      <c r="H174">
        <v>173</v>
      </c>
      <c r="I174">
        <v>100174</v>
      </c>
      <c r="J174">
        <v>174</v>
      </c>
      <c r="K174" t="b">
        <f t="shared" si="2"/>
        <v>1</v>
      </c>
      <c r="L174" t="b">
        <f>COUNTBLANK(metadata!B174:D174)=COLUMNS(metadata!B174:D174)</f>
        <v>1</v>
      </c>
      <c r="M174" t="str">
        <v/>
      </c>
      <c r="O174" t="b">
        <f ca="1"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P174" t="b">
        <f>AND(IF(metadata!C174="",FALSE,TRUE),EXACT(metadata!C174,"mouse gut metagenome"))</f>
        <v>0</v>
      </c>
      <c r="Q174" t="b">
        <f>AND(IF(metadata!D174="",FALSE,TRUE),EXACT(metadata!D174,"410661"))</f>
        <v>0</v>
      </c>
    </row>
    <row r="175" spans="1:17" x14ac:dyDescent="0.2">
      <c r="A175" s="4" t="str">
        <f ca="1">IF(B175=" "," ",HYPERLINK(CONCATENATE("#metadata!",ADDRESS(INDEX($J$2:$J$1001,MATCH(ROWS($H$2:H175),$H$2:$H$1001,0),0),1)),INDEX($M$2:$M$1001,MATCH(ROWS($H$2:H175),$H$2:$H$1001,0),0)))</f>
        <v xml:space="preserve"> </v>
      </c>
      <c r="B175" s="3" t="str">
        <f ca="1">IF(OR(INDEX($I$2:$I$1001,MATCH(ROWS($H$2:H175),$H$2:$H$1001,0),1)&gt;=100000,INDEX($O$1005:$Q$1005,1,MATCH(COLUMNS($O$1006:O1006),$O$1006:$Q$1006,0))&gt;=100000), " ",IF(INDEX($O$2:$Q$1001,MATCH(ROWS($H$2:H175),$H$2:$H$1001,0),MATCH(COLUMNS($O$1006:O1006),$O$1006:$Q$1006,0)), HYPERLINK("#",""), HYPERLINK(CONCATENATE("#metadata!", ADDRESS(INDEX($J$2:$J$1001,MATCH(ROWS($H$2:H175),$H$2:$H$1001,0),0), INDEX($O$1004:$Q$1004,1,MATCH(COLUMNS($O$1006:O1006),$O$1006:$Q$1006,0)))),"Fix")))</f>
        <v xml:space="preserve"> </v>
      </c>
      <c r="C175" s="3" t="str">
        <f ca="1">IF(OR(INDEX($I$2:$I$1001,MATCH(ROWS($H$2:H175),$H$2:$H$1001,0),1)&gt;=100000,INDEX($O$1005:$Q$1005,1,MATCH(COLUMNS($O$1006:P1006),$O$1006:$Q$1006,0))&gt;=100000), " ",IF(INDEX($O$2:$Q$1001,MATCH(ROWS($H$2:H175),$H$2:$H$1001,0),MATCH(COLUMNS($O$1006:P1006),$O$1006:$Q$1006,0)), HYPERLINK("#",""), HYPERLINK(CONCATENATE("#metadata!", ADDRESS(INDEX($J$2:$J$1001,MATCH(ROWS($H$2:H175),$H$2:$H$1001,0),0), INDEX($O$1004:$Q$1004,1,MATCH(COLUMNS($O$1006:P1006),$O$1006:$Q$1006,0)))),"Fix")))</f>
        <v xml:space="preserve"> </v>
      </c>
      <c r="D175" s="3" t="str">
        <f ca="1">IF(OR(INDEX($I$2:$I$1001,MATCH(ROWS($H$2:H175),$H$2:$H$1001,0),1)&gt;=100000,INDEX($O$1005:$Q$1005,1,MATCH(COLUMNS($O$1006:Q1006),$O$1006:$Q$1006,0))&gt;=100000), " ",IF(INDEX($O$2:$Q$1001,MATCH(ROWS($H$2:H175),$H$2:$H$1001,0),MATCH(COLUMNS($O$1006:Q1006),$O$1006:$Q$1006,0)), HYPERLINK("#",""), HYPERLINK(CONCATENATE("#metadata!", ADDRESS(INDEX($J$2:$J$1001,MATCH(ROWS($H$2:H175),$H$2:$H$1001,0),0), INDEX($O$1004:$Q$1004,1,MATCH(COLUMNS($O$1006:Q1006),$O$1006:$Q$1006,0)))),"Fix")))</f>
        <v xml:space="preserve"> </v>
      </c>
      <c r="H175">
        <v>174</v>
      </c>
      <c r="I175">
        <v>100175</v>
      </c>
      <c r="J175">
        <v>175</v>
      </c>
      <c r="K175" t="b">
        <f t="shared" si="2"/>
        <v>1</v>
      </c>
      <c r="L175" t="b">
        <f>COUNTBLANK(metadata!B175:D175)=COLUMNS(metadata!B175:D175)</f>
        <v>1</v>
      </c>
      <c r="M175" t="str">
        <v/>
      </c>
      <c r="O175" t="b">
        <f ca="1"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P175" t="b">
        <f>AND(IF(metadata!C175="",FALSE,TRUE),EXACT(metadata!C175,"mouse gut metagenome"))</f>
        <v>0</v>
      </c>
      <c r="Q175" t="b">
        <f>AND(IF(metadata!D175="",FALSE,TRUE),EXACT(metadata!D175,"410661"))</f>
        <v>0</v>
      </c>
    </row>
    <row r="176" spans="1:17" x14ac:dyDescent="0.2">
      <c r="A176" s="4" t="str">
        <f ca="1">IF(B176=" "," ",HYPERLINK(CONCATENATE("#metadata!",ADDRESS(INDEX($J$2:$J$1001,MATCH(ROWS($H$2:H176),$H$2:$H$1001,0),0),1)),INDEX($M$2:$M$1001,MATCH(ROWS($H$2:H176),$H$2:$H$1001,0),0)))</f>
        <v xml:space="preserve"> </v>
      </c>
      <c r="B176" s="3" t="str">
        <f ca="1">IF(OR(INDEX($I$2:$I$1001,MATCH(ROWS($H$2:H176),$H$2:$H$1001,0),1)&gt;=100000,INDEX($O$1005:$Q$1005,1,MATCH(COLUMNS($O$1006:O1006),$O$1006:$Q$1006,0))&gt;=100000), " ",IF(INDEX($O$2:$Q$1001,MATCH(ROWS($H$2:H176),$H$2:$H$1001,0),MATCH(COLUMNS($O$1006:O1006),$O$1006:$Q$1006,0)), HYPERLINK("#",""), HYPERLINK(CONCATENATE("#metadata!", ADDRESS(INDEX($J$2:$J$1001,MATCH(ROWS($H$2:H176),$H$2:$H$1001,0),0), INDEX($O$1004:$Q$1004,1,MATCH(COLUMNS($O$1006:O1006),$O$1006:$Q$1006,0)))),"Fix")))</f>
        <v xml:space="preserve"> </v>
      </c>
      <c r="C176" s="3" t="str">
        <f ca="1">IF(OR(INDEX($I$2:$I$1001,MATCH(ROWS($H$2:H176),$H$2:$H$1001,0),1)&gt;=100000,INDEX($O$1005:$Q$1005,1,MATCH(COLUMNS($O$1006:P1006),$O$1006:$Q$1006,0))&gt;=100000), " ",IF(INDEX($O$2:$Q$1001,MATCH(ROWS($H$2:H176),$H$2:$H$1001,0),MATCH(COLUMNS($O$1006:P1006),$O$1006:$Q$1006,0)), HYPERLINK("#",""), HYPERLINK(CONCATENATE("#metadata!", ADDRESS(INDEX($J$2:$J$1001,MATCH(ROWS($H$2:H176),$H$2:$H$1001,0),0), INDEX($O$1004:$Q$1004,1,MATCH(COLUMNS($O$1006:P1006),$O$1006:$Q$1006,0)))),"Fix")))</f>
        <v xml:space="preserve"> </v>
      </c>
      <c r="D176" s="3" t="str">
        <f ca="1">IF(OR(INDEX($I$2:$I$1001,MATCH(ROWS($H$2:H176),$H$2:$H$1001,0),1)&gt;=100000,INDEX($O$1005:$Q$1005,1,MATCH(COLUMNS($O$1006:Q1006),$O$1006:$Q$1006,0))&gt;=100000), " ",IF(INDEX($O$2:$Q$1001,MATCH(ROWS($H$2:H176),$H$2:$H$1001,0),MATCH(COLUMNS($O$1006:Q1006),$O$1006:$Q$1006,0)), HYPERLINK("#",""), HYPERLINK(CONCATENATE("#metadata!", ADDRESS(INDEX($J$2:$J$1001,MATCH(ROWS($H$2:H176),$H$2:$H$1001,0),0), INDEX($O$1004:$Q$1004,1,MATCH(COLUMNS($O$1006:Q1006),$O$1006:$Q$1006,0)))),"Fix")))</f>
        <v xml:space="preserve"> </v>
      </c>
      <c r="H176">
        <v>175</v>
      </c>
      <c r="I176">
        <v>100176</v>
      </c>
      <c r="J176">
        <v>176</v>
      </c>
      <c r="K176" t="b">
        <f t="shared" si="2"/>
        <v>1</v>
      </c>
      <c r="L176" t="b">
        <f>COUNTBLANK(metadata!B176:D176)=COLUMNS(metadata!B176:D176)</f>
        <v>1</v>
      </c>
      <c r="M176" t="str">
        <v/>
      </c>
      <c r="O176" t="b">
        <f ca="1"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P176" t="b">
        <f>AND(IF(metadata!C176="",FALSE,TRUE),EXACT(metadata!C176,"mouse gut metagenome"))</f>
        <v>0</v>
      </c>
      <c r="Q176" t="b">
        <f>AND(IF(metadata!D176="",FALSE,TRUE),EXACT(metadata!D176,"410661"))</f>
        <v>0</v>
      </c>
    </row>
    <row r="177" spans="1:17" x14ac:dyDescent="0.2">
      <c r="A177" s="4" t="str">
        <f ca="1">IF(B177=" "," ",HYPERLINK(CONCATENATE("#metadata!",ADDRESS(INDEX($J$2:$J$1001,MATCH(ROWS($H$2:H177),$H$2:$H$1001,0),0),1)),INDEX($M$2:$M$1001,MATCH(ROWS($H$2:H177),$H$2:$H$1001,0),0)))</f>
        <v xml:space="preserve"> </v>
      </c>
      <c r="B177" s="3" t="str">
        <f ca="1">IF(OR(INDEX($I$2:$I$1001,MATCH(ROWS($H$2:H177),$H$2:$H$1001,0),1)&gt;=100000,INDEX($O$1005:$Q$1005,1,MATCH(COLUMNS($O$1006:O1006),$O$1006:$Q$1006,0))&gt;=100000), " ",IF(INDEX($O$2:$Q$1001,MATCH(ROWS($H$2:H177),$H$2:$H$1001,0),MATCH(COLUMNS($O$1006:O1006),$O$1006:$Q$1006,0)), HYPERLINK("#",""), HYPERLINK(CONCATENATE("#metadata!", ADDRESS(INDEX($J$2:$J$1001,MATCH(ROWS($H$2:H177),$H$2:$H$1001,0),0), INDEX($O$1004:$Q$1004,1,MATCH(COLUMNS($O$1006:O1006),$O$1006:$Q$1006,0)))),"Fix")))</f>
        <v xml:space="preserve"> </v>
      </c>
      <c r="C177" s="3" t="str">
        <f ca="1">IF(OR(INDEX($I$2:$I$1001,MATCH(ROWS($H$2:H177),$H$2:$H$1001,0),1)&gt;=100000,INDEX($O$1005:$Q$1005,1,MATCH(COLUMNS($O$1006:P1006),$O$1006:$Q$1006,0))&gt;=100000), " ",IF(INDEX($O$2:$Q$1001,MATCH(ROWS($H$2:H177),$H$2:$H$1001,0),MATCH(COLUMNS($O$1006:P1006),$O$1006:$Q$1006,0)), HYPERLINK("#",""), HYPERLINK(CONCATENATE("#metadata!", ADDRESS(INDEX($J$2:$J$1001,MATCH(ROWS($H$2:H177),$H$2:$H$1001,0),0), INDEX($O$1004:$Q$1004,1,MATCH(COLUMNS($O$1006:P1006),$O$1006:$Q$1006,0)))),"Fix")))</f>
        <v xml:space="preserve"> </v>
      </c>
      <c r="D177" s="3" t="str">
        <f ca="1">IF(OR(INDEX($I$2:$I$1001,MATCH(ROWS($H$2:H177),$H$2:$H$1001,0),1)&gt;=100000,INDEX($O$1005:$Q$1005,1,MATCH(COLUMNS($O$1006:Q1006),$O$1006:$Q$1006,0))&gt;=100000), " ",IF(INDEX($O$2:$Q$1001,MATCH(ROWS($H$2:H177),$H$2:$H$1001,0),MATCH(COLUMNS($O$1006:Q1006),$O$1006:$Q$1006,0)), HYPERLINK("#",""), HYPERLINK(CONCATENATE("#metadata!", ADDRESS(INDEX($J$2:$J$1001,MATCH(ROWS($H$2:H177),$H$2:$H$1001,0),0), INDEX($O$1004:$Q$1004,1,MATCH(COLUMNS($O$1006:Q1006),$O$1006:$Q$1006,0)))),"Fix")))</f>
        <v xml:space="preserve"> </v>
      </c>
      <c r="H177">
        <v>176</v>
      </c>
      <c r="I177">
        <v>100177</v>
      </c>
      <c r="J177">
        <v>177</v>
      </c>
      <c r="K177" t="b">
        <f t="shared" si="2"/>
        <v>1</v>
      </c>
      <c r="L177" t="b">
        <f>COUNTBLANK(metadata!B177:D177)=COLUMNS(metadata!B177:D177)</f>
        <v>1</v>
      </c>
      <c r="M177" t="str">
        <v/>
      </c>
      <c r="O177" t="b">
        <f ca="1"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P177" t="b">
        <f>AND(IF(metadata!C177="",FALSE,TRUE),EXACT(metadata!C177,"mouse gut metagenome"))</f>
        <v>0</v>
      </c>
      <c r="Q177" t="b">
        <f>AND(IF(metadata!D177="",FALSE,TRUE),EXACT(metadata!D177,"410661"))</f>
        <v>0</v>
      </c>
    </row>
    <row r="178" spans="1:17" x14ac:dyDescent="0.2">
      <c r="A178" s="4" t="str">
        <f ca="1">IF(B178=" "," ",HYPERLINK(CONCATENATE("#metadata!",ADDRESS(INDEX($J$2:$J$1001,MATCH(ROWS($H$2:H178),$H$2:$H$1001,0),0),1)),INDEX($M$2:$M$1001,MATCH(ROWS($H$2:H178),$H$2:$H$1001,0),0)))</f>
        <v xml:space="preserve"> </v>
      </c>
      <c r="B178" s="3" t="str">
        <f ca="1">IF(OR(INDEX($I$2:$I$1001,MATCH(ROWS($H$2:H178),$H$2:$H$1001,0),1)&gt;=100000,INDEX($O$1005:$Q$1005,1,MATCH(COLUMNS($O$1006:O1006),$O$1006:$Q$1006,0))&gt;=100000), " ",IF(INDEX($O$2:$Q$1001,MATCH(ROWS($H$2:H178),$H$2:$H$1001,0),MATCH(COLUMNS($O$1006:O1006),$O$1006:$Q$1006,0)), HYPERLINK("#",""), HYPERLINK(CONCATENATE("#metadata!", ADDRESS(INDEX($J$2:$J$1001,MATCH(ROWS($H$2:H178),$H$2:$H$1001,0),0), INDEX($O$1004:$Q$1004,1,MATCH(COLUMNS($O$1006:O1006),$O$1006:$Q$1006,0)))),"Fix")))</f>
        <v xml:space="preserve"> </v>
      </c>
      <c r="C178" s="3" t="str">
        <f ca="1">IF(OR(INDEX($I$2:$I$1001,MATCH(ROWS($H$2:H178),$H$2:$H$1001,0),1)&gt;=100000,INDEX($O$1005:$Q$1005,1,MATCH(COLUMNS($O$1006:P1006),$O$1006:$Q$1006,0))&gt;=100000), " ",IF(INDEX($O$2:$Q$1001,MATCH(ROWS($H$2:H178),$H$2:$H$1001,0),MATCH(COLUMNS($O$1006:P1006),$O$1006:$Q$1006,0)), HYPERLINK("#",""), HYPERLINK(CONCATENATE("#metadata!", ADDRESS(INDEX($J$2:$J$1001,MATCH(ROWS($H$2:H178),$H$2:$H$1001,0),0), INDEX($O$1004:$Q$1004,1,MATCH(COLUMNS($O$1006:P1006),$O$1006:$Q$1006,0)))),"Fix")))</f>
        <v xml:space="preserve"> </v>
      </c>
      <c r="D178" s="3" t="str">
        <f ca="1">IF(OR(INDEX($I$2:$I$1001,MATCH(ROWS($H$2:H178),$H$2:$H$1001,0),1)&gt;=100000,INDEX($O$1005:$Q$1005,1,MATCH(COLUMNS($O$1006:Q1006),$O$1006:$Q$1006,0))&gt;=100000), " ",IF(INDEX($O$2:$Q$1001,MATCH(ROWS($H$2:H178),$H$2:$H$1001,0),MATCH(COLUMNS($O$1006:Q1006),$O$1006:$Q$1006,0)), HYPERLINK("#",""), HYPERLINK(CONCATENATE("#metadata!", ADDRESS(INDEX($J$2:$J$1001,MATCH(ROWS($H$2:H178),$H$2:$H$1001,0),0), INDEX($O$1004:$Q$1004,1,MATCH(COLUMNS($O$1006:Q1006),$O$1006:$Q$1006,0)))),"Fix")))</f>
        <v xml:space="preserve"> </v>
      </c>
      <c r="H178">
        <v>177</v>
      </c>
      <c r="I178">
        <v>100178</v>
      </c>
      <c r="J178">
        <v>178</v>
      </c>
      <c r="K178" t="b">
        <f t="shared" si="2"/>
        <v>1</v>
      </c>
      <c r="L178" t="b">
        <f>COUNTBLANK(metadata!B178:D178)=COLUMNS(metadata!B178:D178)</f>
        <v>1</v>
      </c>
      <c r="M178" t="str">
        <v/>
      </c>
      <c r="O178" t="b">
        <f ca="1"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P178" t="b">
        <f>AND(IF(metadata!C178="",FALSE,TRUE),EXACT(metadata!C178,"mouse gut metagenome"))</f>
        <v>0</v>
      </c>
      <c r="Q178" t="b">
        <f>AND(IF(metadata!D178="",FALSE,TRUE),EXACT(metadata!D178,"410661"))</f>
        <v>0</v>
      </c>
    </row>
    <row r="179" spans="1:17" x14ac:dyDescent="0.2">
      <c r="A179" s="4" t="str">
        <f ca="1">IF(B179=" "," ",HYPERLINK(CONCATENATE("#metadata!",ADDRESS(INDEX($J$2:$J$1001,MATCH(ROWS($H$2:H179),$H$2:$H$1001,0),0),1)),INDEX($M$2:$M$1001,MATCH(ROWS($H$2:H179),$H$2:$H$1001,0),0)))</f>
        <v xml:space="preserve"> </v>
      </c>
      <c r="B179" s="3" t="str">
        <f ca="1">IF(OR(INDEX($I$2:$I$1001,MATCH(ROWS($H$2:H179),$H$2:$H$1001,0),1)&gt;=100000,INDEX($O$1005:$Q$1005,1,MATCH(COLUMNS($O$1006:O1006),$O$1006:$Q$1006,0))&gt;=100000), " ",IF(INDEX($O$2:$Q$1001,MATCH(ROWS($H$2:H179),$H$2:$H$1001,0),MATCH(COLUMNS($O$1006:O1006),$O$1006:$Q$1006,0)), HYPERLINK("#",""), HYPERLINK(CONCATENATE("#metadata!", ADDRESS(INDEX($J$2:$J$1001,MATCH(ROWS($H$2:H179),$H$2:$H$1001,0),0), INDEX($O$1004:$Q$1004,1,MATCH(COLUMNS($O$1006:O1006),$O$1006:$Q$1006,0)))),"Fix")))</f>
        <v xml:space="preserve"> </v>
      </c>
      <c r="C179" s="3" t="str">
        <f ca="1">IF(OR(INDEX($I$2:$I$1001,MATCH(ROWS($H$2:H179),$H$2:$H$1001,0),1)&gt;=100000,INDEX($O$1005:$Q$1005,1,MATCH(COLUMNS($O$1006:P1006),$O$1006:$Q$1006,0))&gt;=100000), " ",IF(INDEX($O$2:$Q$1001,MATCH(ROWS($H$2:H179),$H$2:$H$1001,0),MATCH(COLUMNS($O$1006:P1006),$O$1006:$Q$1006,0)), HYPERLINK("#",""), HYPERLINK(CONCATENATE("#metadata!", ADDRESS(INDEX($J$2:$J$1001,MATCH(ROWS($H$2:H179),$H$2:$H$1001,0),0), INDEX($O$1004:$Q$1004,1,MATCH(COLUMNS($O$1006:P1006),$O$1006:$Q$1006,0)))),"Fix")))</f>
        <v xml:space="preserve"> </v>
      </c>
      <c r="D179" s="3" t="str">
        <f ca="1">IF(OR(INDEX($I$2:$I$1001,MATCH(ROWS($H$2:H179),$H$2:$H$1001,0),1)&gt;=100000,INDEX($O$1005:$Q$1005,1,MATCH(COLUMNS($O$1006:Q1006),$O$1006:$Q$1006,0))&gt;=100000), " ",IF(INDEX($O$2:$Q$1001,MATCH(ROWS($H$2:H179),$H$2:$H$1001,0),MATCH(COLUMNS($O$1006:Q1006),$O$1006:$Q$1006,0)), HYPERLINK("#",""), HYPERLINK(CONCATENATE("#metadata!", ADDRESS(INDEX($J$2:$J$1001,MATCH(ROWS($H$2:H179),$H$2:$H$1001,0),0), INDEX($O$1004:$Q$1004,1,MATCH(COLUMNS($O$1006:Q1006),$O$1006:$Q$1006,0)))),"Fix")))</f>
        <v xml:space="preserve"> </v>
      </c>
      <c r="H179">
        <v>178</v>
      </c>
      <c r="I179">
        <v>100179</v>
      </c>
      <c r="J179">
        <v>179</v>
      </c>
      <c r="K179" t="b">
        <f t="shared" si="2"/>
        <v>1</v>
      </c>
      <c r="L179" t="b">
        <f>COUNTBLANK(metadata!B179:D179)=COLUMNS(metadata!B179:D179)</f>
        <v>1</v>
      </c>
      <c r="M179" t="str">
        <v/>
      </c>
      <c r="O179" t="b">
        <f ca="1"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P179" t="b">
        <f>AND(IF(metadata!C179="",FALSE,TRUE),EXACT(metadata!C179,"mouse gut metagenome"))</f>
        <v>0</v>
      </c>
      <c r="Q179" t="b">
        <f>AND(IF(metadata!D179="",FALSE,TRUE),EXACT(metadata!D179,"410661"))</f>
        <v>0</v>
      </c>
    </row>
    <row r="180" spans="1:17" x14ac:dyDescent="0.2">
      <c r="A180" s="4" t="str">
        <f ca="1">IF(B180=" "," ",HYPERLINK(CONCATENATE("#metadata!",ADDRESS(INDEX($J$2:$J$1001,MATCH(ROWS($H$2:H180),$H$2:$H$1001,0),0),1)),INDEX($M$2:$M$1001,MATCH(ROWS($H$2:H180),$H$2:$H$1001,0),0)))</f>
        <v xml:space="preserve"> </v>
      </c>
      <c r="B180" s="3" t="str">
        <f ca="1">IF(OR(INDEX($I$2:$I$1001,MATCH(ROWS($H$2:H180),$H$2:$H$1001,0),1)&gt;=100000,INDEX($O$1005:$Q$1005,1,MATCH(COLUMNS($O$1006:O1006),$O$1006:$Q$1006,0))&gt;=100000), " ",IF(INDEX($O$2:$Q$1001,MATCH(ROWS($H$2:H180),$H$2:$H$1001,0),MATCH(COLUMNS($O$1006:O1006),$O$1006:$Q$1006,0)), HYPERLINK("#",""), HYPERLINK(CONCATENATE("#metadata!", ADDRESS(INDEX($J$2:$J$1001,MATCH(ROWS($H$2:H180),$H$2:$H$1001,0),0), INDEX($O$1004:$Q$1004,1,MATCH(COLUMNS($O$1006:O1006),$O$1006:$Q$1006,0)))),"Fix")))</f>
        <v xml:space="preserve"> </v>
      </c>
      <c r="C180" s="3" t="str">
        <f ca="1">IF(OR(INDEX($I$2:$I$1001,MATCH(ROWS($H$2:H180),$H$2:$H$1001,0),1)&gt;=100000,INDEX($O$1005:$Q$1005,1,MATCH(COLUMNS($O$1006:P1006),$O$1006:$Q$1006,0))&gt;=100000), " ",IF(INDEX($O$2:$Q$1001,MATCH(ROWS($H$2:H180),$H$2:$H$1001,0),MATCH(COLUMNS($O$1006:P1006),$O$1006:$Q$1006,0)), HYPERLINK("#",""), HYPERLINK(CONCATENATE("#metadata!", ADDRESS(INDEX($J$2:$J$1001,MATCH(ROWS($H$2:H180),$H$2:$H$1001,0),0), INDEX($O$1004:$Q$1004,1,MATCH(COLUMNS($O$1006:P1006),$O$1006:$Q$1006,0)))),"Fix")))</f>
        <v xml:space="preserve"> </v>
      </c>
      <c r="D180" s="3" t="str">
        <f ca="1">IF(OR(INDEX($I$2:$I$1001,MATCH(ROWS($H$2:H180),$H$2:$H$1001,0),1)&gt;=100000,INDEX($O$1005:$Q$1005,1,MATCH(COLUMNS($O$1006:Q1006),$O$1006:$Q$1006,0))&gt;=100000), " ",IF(INDEX($O$2:$Q$1001,MATCH(ROWS($H$2:H180),$H$2:$H$1001,0),MATCH(COLUMNS($O$1006:Q1006),$O$1006:$Q$1006,0)), HYPERLINK("#",""), HYPERLINK(CONCATENATE("#metadata!", ADDRESS(INDEX($J$2:$J$1001,MATCH(ROWS($H$2:H180),$H$2:$H$1001,0),0), INDEX($O$1004:$Q$1004,1,MATCH(COLUMNS($O$1006:Q1006),$O$1006:$Q$1006,0)))),"Fix")))</f>
        <v xml:space="preserve"> </v>
      </c>
      <c r="H180">
        <v>179</v>
      </c>
      <c r="I180">
        <v>100180</v>
      </c>
      <c r="J180">
        <v>180</v>
      </c>
      <c r="K180" t="b">
        <f t="shared" si="2"/>
        <v>1</v>
      </c>
      <c r="L180" t="b">
        <f>COUNTBLANK(metadata!B180:D180)=COLUMNS(metadata!B180:D180)</f>
        <v>1</v>
      </c>
      <c r="M180" t="str">
        <v/>
      </c>
      <c r="O180" t="b">
        <f ca="1"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P180" t="b">
        <f>AND(IF(metadata!C180="",FALSE,TRUE),EXACT(metadata!C180,"mouse gut metagenome"))</f>
        <v>0</v>
      </c>
      <c r="Q180" t="b">
        <f>AND(IF(metadata!D180="",FALSE,TRUE),EXACT(metadata!D180,"410661"))</f>
        <v>0</v>
      </c>
    </row>
    <row r="181" spans="1:17" x14ac:dyDescent="0.2">
      <c r="A181" s="4" t="str">
        <f ca="1">IF(B181=" "," ",HYPERLINK(CONCATENATE("#metadata!",ADDRESS(INDEX($J$2:$J$1001,MATCH(ROWS($H$2:H181),$H$2:$H$1001,0),0),1)),INDEX($M$2:$M$1001,MATCH(ROWS($H$2:H181),$H$2:$H$1001,0),0)))</f>
        <v xml:space="preserve"> </v>
      </c>
      <c r="B181" s="3" t="str">
        <f ca="1">IF(OR(INDEX($I$2:$I$1001,MATCH(ROWS($H$2:H181),$H$2:$H$1001,0),1)&gt;=100000,INDEX($O$1005:$Q$1005,1,MATCH(COLUMNS($O$1006:O1006),$O$1006:$Q$1006,0))&gt;=100000), " ",IF(INDEX($O$2:$Q$1001,MATCH(ROWS($H$2:H181),$H$2:$H$1001,0),MATCH(COLUMNS($O$1006:O1006),$O$1006:$Q$1006,0)), HYPERLINK("#",""), HYPERLINK(CONCATENATE("#metadata!", ADDRESS(INDEX($J$2:$J$1001,MATCH(ROWS($H$2:H181),$H$2:$H$1001,0),0), INDEX($O$1004:$Q$1004,1,MATCH(COLUMNS($O$1006:O1006),$O$1006:$Q$1006,0)))),"Fix")))</f>
        <v xml:space="preserve"> </v>
      </c>
      <c r="C181" s="3" t="str">
        <f ca="1">IF(OR(INDEX($I$2:$I$1001,MATCH(ROWS($H$2:H181),$H$2:$H$1001,0),1)&gt;=100000,INDEX($O$1005:$Q$1005,1,MATCH(COLUMNS($O$1006:P1006),$O$1006:$Q$1006,0))&gt;=100000), " ",IF(INDEX($O$2:$Q$1001,MATCH(ROWS($H$2:H181),$H$2:$H$1001,0),MATCH(COLUMNS($O$1006:P1006),$O$1006:$Q$1006,0)), HYPERLINK("#",""), HYPERLINK(CONCATENATE("#metadata!", ADDRESS(INDEX($J$2:$J$1001,MATCH(ROWS($H$2:H181),$H$2:$H$1001,0),0), INDEX($O$1004:$Q$1004,1,MATCH(COLUMNS($O$1006:P1006),$O$1006:$Q$1006,0)))),"Fix")))</f>
        <v xml:space="preserve"> </v>
      </c>
      <c r="D181" s="3" t="str">
        <f ca="1">IF(OR(INDEX($I$2:$I$1001,MATCH(ROWS($H$2:H181),$H$2:$H$1001,0),1)&gt;=100000,INDEX($O$1005:$Q$1005,1,MATCH(COLUMNS($O$1006:Q1006),$O$1006:$Q$1006,0))&gt;=100000), " ",IF(INDEX($O$2:$Q$1001,MATCH(ROWS($H$2:H181),$H$2:$H$1001,0),MATCH(COLUMNS($O$1006:Q1006),$O$1006:$Q$1006,0)), HYPERLINK("#",""), HYPERLINK(CONCATENATE("#metadata!", ADDRESS(INDEX($J$2:$J$1001,MATCH(ROWS($H$2:H181),$H$2:$H$1001,0),0), INDEX($O$1004:$Q$1004,1,MATCH(COLUMNS($O$1006:Q1006),$O$1006:$Q$1006,0)))),"Fix")))</f>
        <v xml:space="preserve"> </v>
      </c>
      <c r="H181">
        <v>180</v>
      </c>
      <c r="I181">
        <v>100181</v>
      </c>
      <c r="J181">
        <v>181</v>
      </c>
      <c r="K181" t="b">
        <f t="shared" si="2"/>
        <v>1</v>
      </c>
      <c r="L181" t="b">
        <f>COUNTBLANK(metadata!B181:D181)=COLUMNS(metadata!B181:D181)</f>
        <v>1</v>
      </c>
      <c r="M181" t="str">
        <v/>
      </c>
      <c r="O181" t="b">
        <f ca="1"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P181" t="b">
        <f>AND(IF(metadata!C181="",FALSE,TRUE),EXACT(metadata!C181,"mouse gut metagenome"))</f>
        <v>0</v>
      </c>
      <c r="Q181" t="b">
        <f>AND(IF(metadata!D181="",FALSE,TRUE),EXACT(metadata!D181,"410661"))</f>
        <v>0</v>
      </c>
    </row>
    <row r="182" spans="1:17" x14ac:dyDescent="0.2">
      <c r="A182" s="4" t="str">
        <f ca="1">IF(B182=" "," ",HYPERLINK(CONCATENATE("#metadata!",ADDRESS(INDEX($J$2:$J$1001,MATCH(ROWS($H$2:H182),$H$2:$H$1001,0),0),1)),INDEX($M$2:$M$1001,MATCH(ROWS($H$2:H182),$H$2:$H$1001,0),0)))</f>
        <v xml:space="preserve"> </v>
      </c>
      <c r="B182" s="3" t="str">
        <f ca="1">IF(OR(INDEX($I$2:$I$1001,MATCH(ROWS($H$2:H182),$H$2:$H$1001,0),1)&gt;=100000,INDEX($O$1005:$Q$1005,1,MATCH(COLUMNS($O$1006:O1006),$O$1006:$Q$1006,0))&gt;=100000), " ",IF(INDEX($O$2:$Q$1001,MATCH(ROWS($H$2:H182),$H$2:$H$1001,0),MATCH(COLUMNS($O$1006:O1006),$O$1006:$Q$1006,0)), HYPERLINK("#",""), HYPERLINK(CONCATENATE("#metadata!", ADDRESS(INDEX($J$2:$J$1001,MATCH(ROWS($H$2:H182),$H$2:$H$1001,0),0), INDEX($O$1004:$Q$1004,1,MATCH(COLUMNS($O$1006:O1006),$O$1006:$Q$1006,0)))),"Fix")))</f>
        <v xml:space="preserve"> </v>
      </c>
      <c r="C182" s="3" t="str">
        <f ca="1">IF(OR(INDEX($I$2:$I$1001,MATCH(ROWS($H$2:H182),$H$2:$H$1001,0),1)&gt;=100000,INDEX($O$1005:$Q$1005,1,MATCH(COLUMNS($O$1006:P1006),$O$1006:$Q$1006,0))&gt;=100000), " ",IF(INDEX($O$2:$Q$1001,MATCH(ROWS($H$2:H182),$H$2:$H$1001,0),MATCH(COLUMNS($O$1006:P1006),$O$1006:$Q$1006,0)), HYPERLINK("#",""), HYPERLINK(CONCATENATE("#metadata!", ADDRESS(INDEX($J$2:$J$1001,MATCH(ROWS($H$2:H182),$H$2:$H$1001,0),0), INDEX($O$1004:$Q$1004,1,MATCH(COLUMNS($O$1006:P1006),$O$1006:$Q$1006,0)))),"Fix")))</f>
        <v xml:space="preserve"> </v>
      </c>
      <c r="D182" s="3" t="str">
        <f ca="1">IF(OR(INDEX($I$2:$I$1001,MATCH(ROWS($H$2:H182),$H$2:$H$1001,0),1)&gt;=100000,INDEX($O$1005:$Q$1005,1,MATCH(COLUMNS($O$1006:Q1006),$O$1006:$Q$1006,0))&gt;=100000), " ",IF(INDEX($O$2:$Q$1001,MATCH(ROWS($H$2:H182),$H$2:$H$1001,0),MATCH(COLUMNS($O$1006:Q1006),$O$1006:$Q$1006,0)), HYPERLINK("#",""), HYPERLINK(CONCATENATE("#metadata!", ADDRESS(INDEX($J$2:$J$1001,MATCH(ROWS($H$2:H182),$H$2:$H$1001,0),0), INDEX($O$1004:$Q$1004,1,MATCH(COLUMNS($O$1006:Q1006),$O$1006:$Q$1006,0)))),"Fix")))</f>
        <v xml:space="preserve"> </v>
      </c>
      <c r="H182">
        <v>181</v>
      </c>
      <c r="I182">
        <v>100182</v>
      </c>
      <c r="J182">
        <v>182</v>
      </c>
      <c r="K182" t="b">
        <f t="shared" si="2"/>
        <v>1</v>
      </c>
      <c r="L182" t="b">
        <f>COUNTBLANK(metadata!B182:D182)=COLUMNS(metadata!B182:D182)</f>
        <v>1</v>
      </c>
      <c r="M182" t="str">
        <v/>
      </c>
      <c r="O182" t="b">
        <f ca="1"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P182" t="b">
        <f>AND(IF(metadata!C182="",FALSE,TRUE),EXACT(metadata!C182,"mouse gut metagenome"))</f>
        <v>0</v>
      </c>
      <c r="Q182" t="b">
        <f>AND(IF(metadata!D182="",FALSE,TRUE),EXACT(metadata!D182,"410661"))</f>
        <v>0</v>
      </c>
    </row>
    <row r="183" spans="1:17" x14ac:dyDescent="0.2">
      <c r="A183" s="4" t="str">
        <f ca="1">IF(B183=" "," ",HYPERLINK(CONCATENATE("#metadata!",ADDRESS(INDEX($J$2:$J$1001,MATCH(ROWS($H$2:H183),$H$2:$H$1001,0),0),1)),INDEX($M$2:$M$1001,MATCH(ROWS($H$2:H183),$H$2:$H$1001,0),0)))</f>
        <v xml:space="preserve"> </v>
      </c>
      <c r="B183" s="3" t="str">
        <f ca="1">IF(OR(INDEX($I$2:$I$1001,MATCH(ROWS($H$2:H183),$H$2:$H$1001,0),1)&gt;=100000,INDEX($O$1005:$Q$1005,1,MATCH(COLUMNS($O$1006:O1006),$O$1006:$Q$1006,0))&gt;=100000), " ",IF(INDEX($O$2:$Q$1001,MATCH(ROWS($H$2:H183),$H$2:$H$1001,0),MATCH(COLUMNS($O$1006:O1006),$O$1006:$Q$1006,0)), HYPERLINK("#",""), HYPERLINK(CONCATENATE("#metadata!", ADDRESS(INDEX($J$2:$J$1001,MATCH(ROWS($H$2:H183),$H$2:$H$1001,0),0), INDEX($O$1004:$Q$1004,1,MATCH(COLUMNS($O$1006:O1006),$O$1006:$Q$1006,0)))),"Fix")))</f>
        <v xml:space="preserve"> </v>
      </c>
      <c r="C183" s="3" t="str">
        <f ca="1">IF(OR(INDEX($I$2:$I$1001,MATCH(ROWS($H$2:H183),$H$2:$H$1001,0),1)&gt;=100000,INDEX($O$1005:$Q$1005,1,MATCH(COLUMNS($O$1006:P1006),$O$1006:$Q$1006,0))&gt;=100000), " ",IF(INDEX($O$2:$Q$1001,MATCH(ROWS($H$2:H183),$H$2:$H$1001,0),MATCH(COLUMNS($O$1006:P1006),$O$1006:$Q$1006,0)), HYPERLINK("#",""), HYPERLINK(CONCATENATE("#metadata!", ADDRESS(INDEX($J$2:$J$1001,MATCH(ROWS($H$2:H183),$H$2:$H$1001,0),0), INDEX($O$1004:$Q$1004,1,MATCH(COLUMNS($O$1006:P1006),$O$1006:$Q$1006,0)))),"Fix")))</f>
        <v xml:space="preserve"> </v>
      </c>
      <c r="D183" s="3" t="str">
        <f ca="1">IF(OR(INDEX($I$2:$I$1001,MATCH(ROWS($H$2:H183),$H$2:$H$1001,0),1)&gt;=100000,INDEX($O$1005:$Q$1005,1,MATCH(COLUMNS($O$1006:Q1006),$O$1006:$Q$1006,0))&gt;=100000), " ",IF(INDEX($O$2:$Q$1001,MATCH(ROWS($H$2:H183),$H$2:$H$1001,0),MATCH(COLUMNS($O$1006:Q1006),$O$1006:$Q$1006,0)), HYPERLINK("#",""), HYPERLINK(CONCATENATE("#metadata!", ADDRESS(INDEX($J$2:$J$1001,MATCH(ROWS($H$2:H183),$H$2:$H$1001,0),0), INDEX($O$1004:$Q$1004,1,MATCH(COLUMNS($O$1006:Q1006),$O$1006:$Q$1006,0)))),"Fix")))</f>
        <v xml:space="preserve"> </v>
      </c>
      <c r="H183">
        <v>182</v>
      </c>
      <c r="I183">
        <v>100183</v>
      </c>
      <c r="J183">
        <v>183</v>
      </c>
      <c r="K183" t="b">
        <f t="shared" si="2"/>
        <v>1</v>
      </c>
      <c r="L183" t="b">
        <f>COUNTBLANK(metadata!B183:D183)=COLUMNS(metadata!B183:D183)</f>
        <v>1</v>
      </c>
      <c r="M183" t="str">
        <v/>
      </c>
      <c r="O183" t="b">
        <f ca="1"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P183" t="b">
        <f>AND(IF(metadata!C183="",FALSE,TRUE),EXACT(metadata!C183,"mouse gut metagenome"))</f>
        <v>0</v>
      </c>
      <c r="Q183" t="b">
        <f>AND(IF(metadata!D183="",FALSE,TRUE),EXACT(metadata!D183,"410661"))</f>
        <v>0</v>
      </c>
    </row>
    <row r="184" spans="1:17" x14ac:dyDescent="0.2">
      <c r="A184" s="4" t="str">
        <f ca="1">IF(B184=" "," ",HYPERLINK(CONCATENATE("#metadata!",ADDRESS(INDEX($J$2:$J$1001,MATCH(ROWS($H$2:H184),$H$2:$H$1001,0),0),1)),INDEX($M$2:$M$1001,MATCH(ROWS($H$2:H184),$H$2:$H$1001,0),0)))</f>
        <v xml:space="preserve"> </v>
      </c>
      <c r="B184" s="3" t="str">
        <f ca="1">IF(OR(INDEX($I$2:$I$1001,MATCH(ROWS($H$2:H184),$H$2:$H$1001,0),1)&gt;=100000,INDEX($O$1005:$Q$1005,1,MATCH(COLUMNS($O$1006:O1006),$O$1006:$Q$1006,0))&gt;=100000), " ",IF(INDEX($O$2:$Q$1001,MATCH(ROWS($H$2:H184),$H$2:$H$1001,0),MATCH(COLUMNS($O$1006:O1006),$O$1006:$Q$1006,0)), HYPERLINK("#",""), HYPERLINK(CONCATENATE("#metadata!", ADDRESS(INDEX($J$2:$J$1001,MATCH(ROWS($H$2:H184),$H$2:$H$1001,0),0), INDEX($O$1004:$Q$1004,1,MATCH(COLUMNS($O$1006:O1006),$O$1006:$Q$1006,0)))),"Fix")))</f>
        <v xml:space="preserve"> </v>
      </c>
      <c r="C184" s="3" t="str">
        <f ca="1">IF(OR(INDEX($I$2:$I$1001,MATCH(ROWS($H$2:H184),$H$2:$H$1001,0),1)&gt;=100000,INDEX($O$1005:$Q$1005,1,MATCH(COLUMNS($O$1006:P1006),$O$1006:$Q$1006,0))&gt;=100000), " ",IF(INDEX($O$2:$Q$1001,MATCH(ROWS($H$2:H184),$H$2:$H$1001,0),MATCH(COLUMNS($O$1006:P1006),$O$1006:$Q$1006,0)), HYPERLINK("#",""), HYPERLINK(CONCATENATE("#metadata!", ADDRESS(INDEX($J$2:$J$1001,MATCH(ROWS($H$2:H184),$H$2:$H$1001,0),0), INDEX($O$1004:$Q$1004,1,MATCH(COLUMNS($O$1006:P1006),$O$1006:$Q$1006,0)))),"Fix")))</f>
        <v xml:space="preserve"> </v>
      </c>
      <c r="D184" s="3" t="str">
        <f ca="1">IF(OR(INDEX($I$2:$I$1001,MATCH(ROWS($H$2:H184),$H$2:$H$1001,0),1)&gt;=100000,INDEX($O$1005:$Q$1005,1,MATCH(COLUMNS($O$1006:Q1006),$O$1006:$Q$1006,0))&gt;=100000), " ",IF(INDEX($O$2:$Q$1001,MATCH(ROWS($H$2:H184),$H$2:$H$1001,0),MATCH(COLUMNS($O$1006:Q1006),$O$1006:$Q$1006,0)), HYPERLINK("#",""), HYPERLINK(CONCATENATE("#metadata!", ADDRESS(INDEX($J$2:$J$1001,MATCH(ROWS($H$2:H184),$H$2:$H$1001,0),0), INDEX($O$1004:$Q$1004,1,MATCH(COLUMNS($O$1006:Q1006),$O$1006:$Q$1006,0)))),"Fix")))</f>
        <v xml:space="preserve"> </v>
      </c>
      <c r="H184">
        <v>183</v>
      </c>
      <c r="I184">
        <v>100184</v>
      </c>
      <c r="J184">
        <v>184</v>
      </c>
      <c r="K184" t="b">
        <f t="shared" si="2"/>
        <v>1</v>
      </c>
      <c r="L184" t="b">
        <f>COUNTBLANK(metadata!B184:D184)=COLUMNS(metadata!B184:D184)</f>
        <v>1</v>
      </c>
      <c r="M184" t="str">
        <v/>
      </c>
      <c r="O184" t="b">
        <f ca="1"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P184" t="b">
        <f>AND(IF(metadata!C184="",FALSE,TRUE),EXACT(metadata!C184,"mouse gut metagenome"))</f>
        <v>0</v>
      </c>
      <c r="Q184" t="b">
        <f>AND(IF(metadata!D184="",FALSE,TRUE),EXACT(metadata!D184,"410661"))</f>
        <v>0</v>
      </c>
    </row>
    <row r="185" spans="1:17" x14ac:dyDescent="0.2">
      <c r="A185" s="4" t="str">
        <f ca="1">IF(B185=" "," ",HYPERLINK(CONCATENATE("#metadata!",ADDRESS(INDEX($J$2:$J$1001,MATCH(ROWS($H$2:H185),$H$2:$H$1001,0),0),1)),INDEX($M$2:$M$1001,MATCH(ROWS($H$2:H185),$H$2:$H$1001,0),0)))</f>
        <v xml:space="preserve"> </v>
      </c>
      <c r="B185" s="3" t="str">
        <f ca="1">IF(OR(INDEX($I$2:$I$1001,MATCH(ROWS($H$2:H185),$H$2:$H$1001,0),1)&gt;=100000,INDEX($O$1005:$Q$1005,1,MATCH(COLUMNS($O$1006:O1006),$O$1006:$Q$1006,0))&gt;=100000), " ",IF(INDEX($O$2:$Q$1001,MATCH(ROWS($H$2:H185),$H$2:$H$1001,0),MATCH(COLUMNS($O$1006:O1006),$O$1006:$Q$1006,0)), HYPERLINK("#",""), HYPERLINK(CONCATENATE("#metadata!", ADDRESS(INDEX($J$2:$J$1001,MATCH(ROWS($H$2:H185),$H$2:$H$1001,0),0), INDEX($O$1004:$Q$1004,1,MATCH(COLUMNS($O$1006:O1006),$O$1006:$Q$1006,0)))),"Fix")))</f>
        <v xml:space="preserve"> </v>
      </c>
      <c r="C185" s="3" t="str">
        <f ca="1">IF(OR(INDEX($I$2:$I$1001,MATCH(ROWS($H$2:H185),$H$2:$H$1001,0),1)&gt;=100000,INDEX($O$1005:$Q$1005,1,MATCH(COLUMNS($O$1006:P1006),$O$1006:$Q$1006,0))&gt;=100000), " ",IF(INDEX($O$2:$Q$1001,MATCH(ROWS($H$2:H185),$H$2:$H$1001,0),MATCH(COLUMNS($O$1006:P1006),$O$1006:$Q$1006,0)), HYPERLINK("#",""), HYPERLINK(CONCATENATE("#metadata!", ADDRESS(INDEX($J$2:$J$1001,MATCH(ROWS($H$2:H185),$H$2:$H$1001,0),0), INDEX($O$1004:$Q$1004,1,MATCH(COLUMNS($O$1006:P1006),$O$1006:$Q$1006,0)))),"Fix")))</f>
        <v xml:space="preserve"> </v>
      </c>
      <c r="D185" s="3" t="str">
        <f ca="1">IF(OR(INDEX($I$2:$I$1001,MATCH(ROWS($H$2:H185),$H$2:$H$1001,0),1)&gt;=100000,INDEX($O$1005:$Q$1005,1,MATCH(COLUMNS($O$1006:Q1006),$O$1006:$Q$1006,0))&gt;=100000), " ",IF(INDEX($O$2:$Q$1001,MATCH(ROWS($H$2:H185),$H$2:$H$1001,0),MATCH(COLUMNS($O$1006:Q1006),$O$1006:$Q$1006,0)), HYPERLINK("#",""), HYPERLINK(CONCATENATE("#metadata!", ADDRESS(INDEX($J$2:$J$1001,MATCH(ROWS($H$2:H185),$H$2:$H$1001,0),0), INDEX($O$1004:$Q$1004,1,MATCH(COLUMNS($O$1006:Q1006),$O$1006:$Q$1006,0)))),"Fix")))</f>
        <v xml:space="preserve"> </v>
      </c>
      <c r="H185">
        <v>184</v>
      </c>
      <c r="I185">
        <v>100185</v>
      </c>
      <c r="J185">
        <v>185</v>
      </c>
      <c r="K185" t="b">
        <f t="shared" si="2"/>
        <v>1</v>
      </c>
      <c r="L185" t="b">
        <f>COUNTBLANK(metadata!B185:D185)=COLUMNS(metadata!B185:D185)</f>
        <v>1</v>
      </c>
      <c r="M185" t="str">
        <v/>
      </c>
      <c r="O185" t="b">
        <f ca="1"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P185" t="b">
        <f>AND(IF(metadata!C185="",FALSE,TRUE),EXACT(metadata!C185,"mouse gut metagenome"))</f>
        <v>0</v>
      </c>
      <c r="Q185" t="b">
        <f>AND(IF(metadata!D185="",FALSE,TRUE),EXACT(metadata!D185,"410661"))</f>
        <v>0</v>
      </c>
    </row>
    <row r="186" spans="1:17" x14ac:dyDescent="0.2">
      <c r="A186" s="4" t="str">
        <f ca="1">IF(B186=" "," ",HYPERLINK(CONCATENATE("#metadata!",ADDRESS(INDEX($J$2:$J$1001,MATCH(ROWS($H$2:H186),$H$2:$H$1001,0),0),1)),INDEX($M$2:$M$1001,MATCH(ROWS($H$2:H186),$H$2:$H$1001,0),0)))</f>
        <v xml:space="preserve"> </v>
      </c>
      <c r="B186" s="3" t="str">
        <f ca="1">IF(OR(INDEX($I$2:$I$1001,MATCH(ROWS($H$2:H186),$H$2:$H$1001,0),1)&gt;=100000,INDEX($O$1005:$Q$1005,1,MATCH(COLUMNS($O$1006:O1006),$O$1006:$Q$1006,0))&gt;=100000), " ",IF(INDEX($O$2:$Q$1001,MATCH(ROWS($H$2:H186),$H$2:$H$1001,0),MATCH(COLUMNS($O$1006:O1006),$O$1006:$Q$1006,0)), HYPERLINK("#",""), HYPERLINK(CONCATENATE("#metadata!", ADDRESS(INDEX($J$2:$J$1001,MATCH(ROWS($H$2:H186),$H$2:$H$1001,0),0), INDEX($O$1004:$Q$1004,1,MATCH(COLUMNS($O$1006:O1006),$O$1006:$Q$1006,0)))),"Fix")))</f>
        <v xml:space="preserve"> </v>
      </c>
      <c r="C186" s="3" t="str">
        <f ca="1">IF(OR(INDEX($I$2:$I$1001,MATCH(ROWS($H$2:H186),$H$2:$H$1001,0),1)&gt;=100000,INDEX($O$1005:$Q$1005,1,MATCH(COLUMNS($O$1006:P1006),$O$1006:$Q$1006,0))&gt;=100000), " ",IF(INDEX($O$2:$Q$1001,MATCH(ROWS($H$2:H186),$H$2:$H$1001,0),MATCH(COLUMNS($O$1006:P1006),$O$1006:$Q$1006,0)), HYPERLINK("#",""), HYPERLINK(CONCATENATE("#metadata!", ADDRESS(INDEX($J$2:$J$1001,MATCH(ROWS($H$2:H186),$H$2:$H$1001,0),0), INDEX($O$1004:$Q$1004,1,MATCH(COLUMNS($O$1006:P1006),$O$1006:$Q$1006,0)))),"Fix")))</f>
        <v xml:space="preserve"> </v>
      </c>
      <c r="D186" s="3" t="str">
        <f ca="1">IF(OR(INDEX($I$2:$I$1001,MATCH(ROWS($H$2:H186),$H$2:$H$1001,0),1)&gt;=100000,INDEX($O$1005:$Q$1005,1,MATCH(COLUMNS($O$1006:Q1006),$O$1006:$Q$1006,0))&gt;=100000), " ",IF(INDEX($O$2:$Q$1001,MATCH(ROWS($H$2:H186),$H$2:$H$1001,0),MATCH(COLUMNS($O$1006:Q1006),$O$1006:$Q$1006,0)), HYPERLINK("#",""), HYPERLINK(CONCATENATE("#metadata!", ADDRESS(INDEX($J$2:$J$1001,MATCH(ROWS($H$2:H186),$H$2:$H$1001,0),0), INDEX($O$1004:$Q$1004,1,MATCH(COLUMNS($O$1006:Q1006),$O$1006:$Q$1006,0)))),"Fix")))</f>
        <v xml:space="preserve"> </v>
      </c>
      <c r="H186">
        <v>185</v>
      </c>
      <c r="I186">
        <v>100186</v>
      </c>
      <c r="J186">
        <v>186</v>
      </c>
      <c r="K186" t="b">
        <f t="shared" si="2"/>
        <v>1</v>
      </c>
      <c r="L186" t="b">
        <f>COUNTBLANK(metadata!B186:D186)=COLUMNS(metadata!B186:D186)</f>
        <v>1</v>
      </c>
      <c r="M186" t="str">
        <v/>
      </c>
      <c r="O186" t="b">
        <f ca="1"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P186" t="b">
        <f>AND(IF(metadata!C186="",FALSE,TRUE),EXACT(metadata!C186,"mouse gut metagenome"))</f>
        <v>0</v>
      </c>
      <c r="Q186" t="b">
        <f>AND(IF(metadata!D186="",FALSE,TRUE),EXACT(metadata!D186,"410661"))</f>
        <v>0</v>
      </c>
    </row>
    <row r="187" spans="1:17" x14ac:dyDescent="0.2">
      <c r="A187" s="4" t="str">
        <f ca="1">IF(B187=" "," ",HYPERLINK(CONCATENATE("#metadata!",ADDRESS(INDEX($J$2:$J$1001,MATCH(ROWS($H$2:H187),$H$2:$H$1001,0),0),1)),INDEX($M$2:$M$1001,MATCH(ROWS($H$2:H187),$H$2:$H$1001,0),0)))</f>
        <v xml:space="preserve"> </v>
      </c>
      <c r="B187" s="3" t="str">
        <f ca="1">IF(OR(INDEX($I$2:$I$1001,MATCH(ROWS($H$2:H187),$H$2:$H$1001,0),1)&gt;=100000,INDEX($O$1005:$Q$1005,1,MATCH(COLUMNS($O$1006:O1006),$O$1006:$Q$1006,0))&gt;=100000), " ",IF(INDEX($O$2:$Q$1001,MATCH(ROWS($H$2:H187),$H$2:$H$1001,0),MATCH(COLUMNS($O$1006:O1006),$O$1006:$Q$1006,0)), HYPERLINK("#",""), HYPERLINK(CONCATENATE("#metadata!", ADDRESS(INDEX($J$2:$J$1001,MATCH(ROWS($H$2:H187),$H$2:$H$1001,0),0), INDEX($O$1004:$Q$1004,1,MATCH(COLUMNS($O$1006:O1006),$O$1006:$Q$1006,0)))),"Fix")))</f>
        <v xml:space="preserve"> </v>
      </c>
      <c r="C187" s="3" t="str">
        <f ca="1">IF(OR(INDEX($I$2:$I$1001,MATCH(ROWS($H$2:H187),$H$2:$H$1001,0),1)&gt;=100000,INDEX($O$1005:$Q$1005,1,MATCH(COLUMNS($O$1006:P1006),$O$1006:$Q$1006,0))&gt;=100000), " ",IF(INDEX($O$2:$Q$1001,MATCH(ROWS($H$2:H187),$H$2:$H$1001,0),MATCH(COLUMNS($O$1006:P1006),$O$1006:$Q$1006,0)), HYPERLINK("#",""), HYPERLINK(CONCATENATE("#metadata!", ADDRESS(INDEX($J$2:$J$1001,MATCH(ROWS($H$2:H187),$H$2:$H$1001,0),0), INDEX($O$1004:$Q$1004,1,MATCH(COLUMNS($O$1006:P1006),$O$1006:$Q$1006,0)))),"Fix")))</f>
        <v xml:space="preserve"> </v>
      </c>
      <c r="D187" s="3" t="str">
        <f ca="1">IF(OR(INDEX($I$2:$I$1001,MATCH(ROWS($H$2:H187),$H$2:$H$1001,0),1)&gt;=100000,INDEX($O$1005:$Q$1005,1,MATCH(COLUMNS($O$1006:Q1006),$O$1006:$Q$1006,0))&gt;=100000), " ",IF(INDEX($O$2:$Q$1001,MATCH(ROWS($H$2:H187),$H$2:$H$1001,0),MATCH(COLUMNS($O$1006:Q1006),$O$1006:$Q$1006,0)), HYPERLINK("#",""), HYPERLINK(CONCATENATE("#metadata!", ADDRESS(INDEX($J$2:$J$1001,MATCH(ROWS($H$2:H187),$H$2:$H$1001,0),0), INDEX($O$1004:$Q$1004,1,MATCH(COLUMNS($O$1006:Q1006),$O$1006:$Q$1006,0)))),"Fix")))</f>
        <v xml:space="preserve"> </v>
      </c>
      <c r="H187">
        <v>186</v>
      </c>
      <c r="I187">
        <v>100187</v>
      </c>
      <c r="J187">
        <v>187</v>
      </c>
      <c r="K187" t="b">
        <f t="shared" si="2"/>
        <v>1</v>
      </c>
      <c r="L187" t="b">
        <f>COUNTBLANK(metadata!B187:D187)=COLUMNS(metadata!B187:D187)</f>
        <v>1</v>
      </c>
      <c r="M187" t="str">
        <v/>
      </c>
      <c r="O187" t="b">
        <f ca="1"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P187" t="b">
        <f>AND(IF(metadata!C187="",FALSE,TRUE),EXACT(metadata!C187,"mouse gut metagenome"))</f>
        <v>0</v>
      </c>
      <c r="Q187" t="b">
        <f>AND(IF(metadata!D187="",FALSE,TRUE),EXACT(metadata!D187,"410661"))</f>
        <v>0</v>
      </c>
    </row>
    <row r="188" spans="1:17" x14ac:dyDescent="0.2">
      <c r="A188" s="4" t="str">
        <f ca="1">IF(B188=" "," ",HYPERLINK(CONCATENATE("#metadata!",ADDRESS(INDEX($J$2:$J$1001,MATCH(ROWS($H$2:H188),$H$2:$H$1001,0),0),1)),INDEX($M$2:$M$1001,MATCH(ROWS($H$2:H188),$H$2:$H$1001,0),0)))</f>
        <v xml:space="preserve"> </v>
      </c>
      <c r="B188" s="3" t="str">
        <f ca="1">IF(OR(INDEX($I$2:$I$1001,MATCH(ROWS($H$2:H188),$H$2:$H$1001,0),1)&gt;=100000,INDEX($O$1005:$Q$1005,1,MATCH(COLUMNS($O$1006:O1006),$O$1006:$Q$1006,0))&gt;=100000), " ",IF(INDEX($O$2:$Q$1001,MATCH(ROWS($H$2:H188),$H$2:$H$1001,0),MATCH(COLUMNS($O$1006:O1006),$O$1006:$Q$1006,0)), HYPERLINK("#",""), HYPERLINK(CONCATENATE("#metadata!", ADDRESS(INDEX($J$2:$J$1001,MATCH(ROWS($H$2:H188),$H$2:$H$1001,0),0), INDEX($O$1004:$Q$1004,1,MATCH(COLUMNS($O$1006:O1006),$O$1006:$Q$1006,0)))),"Fix")))</f>
        <v xml:space="preserve"> </v>
      </c>
      <c r="C188" s="3" t="str">
        <f ca="1">IF(OR(INDEX($I$2:$I$1001,MATCH(ROWS($H$2:H188),$H$2:$H$1001,0),1)&gt;=100000,INDEX($O$1005:$Q$1005,1,MATCH(COLUMNS($O$1006:P1006),$O$1006:$Q$1006,0))&gt;=100000), " ",IF(INDEX($O$2:$Q$1001,MATCH(ROWS($H$2:H188),$H$2:$H$1001,0),MATCH(COLUMNS($O$1006:P1006),$O$1006:$Q$1006,0)), HYPERLINK("#",""), HYPERLINK(CONCATENATE("#metadata!", ADDRESS(INDEX($J$2:$J$1001,MATCH(ROWS($H$2:H188),$H$2:$H$1001,0),0), INDEX($O$1004:$Q$1004,1,MATCH(COLUMNS($O$1006:P1006),$O$1006:$Q$1006,0)))),"Fix")))</f>
        <v xml:space="preserve"> </v>
      </c>
      <c r="D188" s="3" t="str">
        <f ca="1">IF(OR(INDEX($I$2:$I$1001,MATCH(ROWS($H$2:H188),$H$2:$H$1001,0),1)&gt;=100000,INDEX($O$1005:$Q$1005,1,MATCH(COLUMNS($O$1006:Q1006),$O$1006:$Q$1006,0))&gt;=100000), " ",IF(INDEX($O$2:$Q$1001,MATCH(ROWS($H$2:H188),$H$2:$H$1001,0),MATCH(COLUMNS($O$1006:Q1006),$O$1006:$Q$1006,0)), HYPERLINK("#",""), HYPERLINK(CONCATENATE("#metadata!", ADDRESS(INDEX($J$2:$J$1001,MATCH(ROWS($H$2:H188),$H$2:$H$1001,0),0), INDEX($O$1004:$Q$1004,1,MATCH(COLUMNS($O$1006:Q1006),$O$1006:$Q$1006,0)))),"Fix")))</f>
        <v xml:space="preserve"> </v>
      </c>
      <c r="H188">
        <v>187</v>
      </c>
      <c r="I188">
        <v>100188</v>
      </c>
      <c r="J188">
        <v>188</v>
      </c>
      <c r="K188" t="b">
        <f t="shared" si="2"/>
        <v>1</v>
      </c>
      <c r="L188" t="b">
        <f>COUNTBLANK(metadata!B188:D188)=COLUMNS(metadata!B188:D188)</f>
        <v>1</v>
      </c>
      <c r="M188" t="str">
        <v/>
      </c>
      <c r="O188" t="b">
        <f ca="1"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P188" t="b">
        <f>AND(IF(metadata!C188="",FALSE,TRUE),EXACT(metadata!C188,"mouse gut metagenome"))</f>
        <v>0</v>
      </c>
      <c r="Q188" t="b">
        <f>AND(IF(metadata!D188="",FALSE,TRUE),EXACT(metadata!D188,"410661"))</f>
        <v>0</v>
      </c>
    </row>
    <row r="189" spans="1:17" x14ac:dyDescent="0.2">
      <c r="A189" s="4" t="str">
        <f ca="1">IF(B189=" "," ",HYPERLINK(CONCATENATE("#metadata!",ADDRESS(INDEX($J$2:$J$1001,MATCH(ROWS($H$2:H189),$H$2:$H$1001,0),0),1)),INDEX($M$2:$M$1001,MATCH(ROWS($H$2:H189),$H$2:$H$1001,0),0)))</f>
        <v xml:space="preserve"> </v>
      </c>
      <c r="B189" s="3" t="str">
        <f ca="1">IF(OR(INDEX($I$2:$I$1001,MATCH(ROWS($H$2:H189),$H$2:$H$1001,0),1)&gt;=100000,INDEX($O$1005:$Q$1005,1,MATCH(COLUMNS($O$1006:O1006),$O$1006:$Q$1006,0))&gt;=100000), " ",IF(INDEX($O$2:$Q$1001,MATCH(ROWS($H$2:H189),$H$2:$H$1001,0),MATCH(COLUMNS($O$1006:O1006),$O$1006:$Q$1006,0)), HYPERLINK("#",""), HYPERLINK(CONCATENATE("#metadata!", ADDRESS(INDEX($J$2:$J$1001,MATCH(ROWS($H$2:H189),$H$2:$H$1001,0),0), INDEX($O$1004:$Q$1004,1,MATCH(COLUMNS($O$1006:O1006),$O$1006:$Q$1006,0)))),"Fix")))</f>
        <v xml:space="preserve"> </v>
      </c>
      <c r="C189" s="3" t="str">
        <f ca="1">IF(OR(INDEX($I$2:$I$1001,MATCH(ROWS($H$2:H189),$H$2:$H$1001,0),1)&gt;=100000,INDEX($O$1005:$Q$1005,1,MATCH(COLUMNS($O$1006:P1006),$O$1006:$Q$1006,0))&gt;=100000), " ",IF(INDEX($O$2:$Q$1001,MATCH(ROWS($H$2:H189),$H$2:$H$1001,0),MATCH(COLUMNS($O$1006:P1006),$O$1006:$Q$1006,0)), HYPERLINK("#",""), HYPERLINK(CONCATENATE("#metadata!", ADDRESS(INDEX($J$2:$J$1001,MATCH(ROWS($H$2:H189),$H$2:$H$1001,0),0), INDEX($O$1004:$Q$1004,1,MATCH(COLUMNS($O$1006:P1006),$O$1006:$Q$1006,0)))),"Fix")))</f>
        <v xml:space="preserve"> </v>
      </c>
      <c r="D189" s="3" t="str">
        <f ca="1">IF(OR(INDEX($I$2:$I$1001,MATCH(ROWS($H$2:H189),$H$2:$H$1001,0),1)&gt;=100000,INDEX($O$1005:$Q$1005,1,MATCH(COLUMNS($O$1006:Q1006),$O$1006:$Q$1006,0))&gt;=100000), " ",IF(INDEX($O$2:$Q$1001,MATCH(ROWS($H$2:H189),$H$2:$H$1001,0),MATCH(COLUMNS($O$1006:Q1006),$O$1006:$Q$1006,0)), HYPERLINK("#",""), HYPERLINK(CONCATENATE("#metadata!", ADDRESS(INDEX($J$2:$J$1001,MATCH(ROWS($H$2:H189),$H$2:$H$1001,0),0), INDEX($O$1004:$Q$1004,1,MATCH(COLUMNS($O$1006:Q1006),$O$1006:$Q$1006,0)))),"Fix")))</f>
        <v xml:space="preserve"> </v>
      </c>
      <c r="H189">
        <v>188</v>
      </c>
      <c r="I189">
        <v>100189</v>
      </c>
      <c r="J189">
        <v>189</v>
      </c>
      <c r="K189" t="b">
        <f t="shared" si="2"/>
        <v>1</v>
      </c>
      <c r="L189" t="b">
        <f>COUNTBLANK(metadata!B189:D189)=COLUMNS(metadata!B189:D189)</f>
        <v>1</v>
      </c>
      <c r="M189" t="str">
        <v/>
      </c>
      <c r="O189" t="b">
        <f ca="1"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P189" t="b">
        <f>AND(IF(metadata!C189="",FALSE,TRUE),EXACT(metadata!C189,"mouse gut metagenome"))</f>
        <v>0</v>
      </c>
      <c r="Q189" t="b">
        <f>AND(IF(metadata!D189="",FALSE,TRUE),EXACT(metadata!D189,"410661"))</f>
        <v>0</v>
      </c>
    </row>
    <row r="190" spans="1:17" x14ac:dyDescent="0.2">
      <c r="A190" s="4" t="str">
        <f ca="1">IF(B190=" "," ",HYPERLINK(CONCATENATE("#metadata!",ADDRESS(INDEX($J$2:$J$1001,MATCH(ROWS($H$2:H190),$H$2:$H$1001,0),0),1)),INDEX($M$2:$M$1001,MATCH(ROWS($H$2:H190),$H$2:$H$1001,0),0)))</f>
        <v xml:space="preserve"> </v>
      </c>
      <c r="B190" s="3" t="str">
        <f ca="1">IF(OR(INDEX($I$2:$I$1001,MATCH(ROWS($H$2:H190),$H$2:$H$1001,0),1)&gt;=100000,INDEX($O$1005:$Q$1005,1,MATCH(COLUMNS($O$1006:O1006),$O$1006:$Q$1006,0))&gt;=100000), " ",IF(INDEX($O$2:$Q$1001,MATCH(ROWS($H$2:H190),$H$2:$H$1001,0),MATCH(COLUMNS($O$1006:O1006),$O$1006:$Q$1006,0)), HYPERLINK("#",""), HYPERLINK(CONCATENATE("#metadata!", ADDRESS(INDEX($J$2:$J$1001,MATCH(ROWS($H$2:H190),$H$2:$H$1001,0),0), INDEX($O$1004:$Q$1004,1,MATCH(COLUMNS($O$1006:O1006),$O$1006:$Q$1006,0)))),"Fix")))</f>
        <v xml:space="preserve"> </v>
      </c>
      <c r="C190" s="3" t="str">
        <f ca="1">IF(OR(INDEX($I$2:$I$1001,MATCH(ROWS($H$2:H190),$H$2:$H$1001,0),1)&gt;=100000,INDEX($O$1005:$Q$1005,1,MATCH(COLUMNS($O$1006:P1006),$O$1006:$Q$1006,0))&gt;=100000), " ",IF(INDEX($O$2:$Q$1001,MATCH(ROWS($H$2:H190),$H$2:$H$1001,0),MATCH(COLUMNS($O$1006:P1006),$O$1006:$Q$1006,0)), HYPERLINK("#",""), HYPERLINK(CONCATENATE("#metadata!", ADDRESS(INDEX($J$2:$J$1001,MATCH(ROWS($H$2:H190),$H$2:$H$1001,0),0), INDEX($O$1004:$Q$1004,1,MATCH(COLUMNS($O$1006:P1006),$O$1006:$Q$1006,0)))),"Fix")))</f>
        <v xml:space="preserve"> </v>
      </c>
      <c r="D190" s="3" t="str">
        <f ca="1">IF(OR(INDEX($I$2:$I$1001,MATCH(ROWS($H$2:H190),$H$2:$H$1001,0),1)&gt;=100000,INDEX($O$1005:$Q$1005,1,MATCH(COLUMNS($O$1006:Q1006),$O$1006:$Q$1006,0))&gt;=100000), " ",IF(INDEX($O$2:$Q$1001,MATCH(ROWS($H$2:H190),$H$2:$H$1001,0),MATCH(COLUMNS($O$1006:Q1006),$O$1006:$Q$1006,0)), HYPERLINK("#",""), HYPERLINK(CONCATENATE("#metadata!", ADDRESS(INDEX($J$2:$J$1001,MATCH(ROWS($H$2:H190),$H$2:$H$1001,0),0), INDEX($O$1004:$Q$1004,1,MATCH(COLUMNS($O$1006:Q1006),$O$1006:$Q$1006,0)))),"Fix")))</f>
        <v xml:space="preserve"> </v>
      </c>
      <c r="H190">
        <v>189</v>
      </c>
      <c r="I190">
        <v>100190</v>
      </c>
      <c r="J190">
        <v>190</v>
      </c>
      <c r="K190" t="b">
        <f t="shared" si="2"/>
        <v>1</v>
      </c>
      <c r="L190" t="b">
        <f>COUNTBLANK(metadata!B190:D190)=COLUMNS(metadata!B190:D190)</f>
        <v>1</v>
      </c>
      <c r="M190" t="str">
        <v/>
      </c>
      <c r="O190" t="b">
        <f ca="1"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P190" t="b">
        <f>AND(IF(metadata!C190="",FALSE,TRUE),EXACT(metadata!C190,"mouse gut metagenome"))</f>
        <v>0</v>
      </c>
      <c r="Q190" t="b">
        <f>AND(IF(metadata!D190="",FALSE,TRUE),EXACT(metadata!D190,"410661"))</f>
        <v>0</v>
      </c>
    </row>
    <row r="191" spans="1:17" x14ac:dyDescent="0.2">
      <c r="A191" s="4" t="str">
        <f ca="1">IF(B191=" "," ",HYPERLINK(CONCATENATE("#metadata!",ADDRESS(INDEX($J$2:$J$1001,MATCH(ROWS($H$2:H191),$H$2:$H$1001,0),0),1)),INDEX($M$2:$M$1001,MATCH(ROWS($H$2:H191),$H$2:$H$1001,0),0)))</f>
        <v xml:space="preserve"> </v>
      </c>
      <c r="B191" s="3" t="str">
        <f ca="1">IF(OR(INDEX($I$2:$I$1001,MATCH(ROWS($H$2:H191),$H$2:$H$1001,0),1)&gt;=100000,INDEX($O$1005:$Q$1005,1,MATCH(COLUMNS($O$1006:O1006),$O$1006:$Q$1006,0))&gt;=100000), " ",IF(INDEX($O$2:$Q$1001,MATCH(ROWS($H$2:H191),$H$2:$H$1001,0),MATCH(COLUMNS($O$1006:O1006),$O$1006:$Q$1006,0)), HYPERLINK("#",""), HYPERLINK(CONCATENATE("#metadata!", ADDRESS(INDEX($J$2:$J$1001,MATCH(ROWS($H$2:H191),$H$2:$H$1001,0),0), INDEX($O$1004:$Q$1004,1,MATCH(COLUMNS($O$1006:O1006),$O$1006:$Q$1006,0)))),"Fix")))</f>
        <v xml:space="preserve"> </v>
      </c>
      <c r="C191" s="3" t="str">
        <f ca="1">IF(OR(INDEX($I$2:$I$1001,MATCH(ROWS($H$2:H191),$H$2:$H$1001,0),1)&gt;=100000,INDEX($O$1005:$Q$1005,1,MATCH(COLUMNS($O$1006:P1006),$O$1006:$Q$1006,0))&gt;=100000), " ",IF(INDEX($O$2:$Q$1001,MATCH(ROWS($H$2:H191),$H$2:$H$1001,0),MATCH(COLUMNS($O$1006:P1006),$O$1006:$Q$1006,0)), HYPERLINK("#",""), HYPERLINK(CONCATENATE("#metadata!", ADDRESS(INDEX($J$2:$J$1001,MATCH(ROWS($H$2:H191),$H$2:$H$1001,0),0), INDEX($O$1004:$Q$1004,1,MATCH(COLUMNS($O$1006:P1006),$O$1006:$Q$1006,0)))),"Fix")))</f>
        <v xml:space="preserve"> </v>
      </c>
      <c r="D191" s="3" t="str">
        <f ca="1">IF(OR(INDEX($I$2:$I$1001,MATCH(ROWS($H$2:H191),$H$2:$H$1001,0),1)&gt;=100000,INDEX($O$1005:$Q$1005,1,MATCH(COLUMNS($O$1006:Q1006),$O$1006:$Q$1006,0))&gt;=100000), " ",IF(INDEX($O$2:$Q$1001,MATCH(ROWS($H$2:H191),$H$2:$H$1001,0),MATCH(COLUMNS($O$1006:Q1006),$O$1006:$Q$1006,0)), HYPERLINK("#",""), HYPERLINK(CONCATENATE("#metadata!", ADDRESS(INDEX($J$2:$J$1001,MATCH(ROWS($H$2:H191),$H$2:$H$1001,0),0), INDEX($O$1004:$Q$1004,1,MATCH(COLUMNS($O$1006:Q1006),$O$1006:$Q$1006,0)))),"Fix")))</f>
        <v xml:space="preserve"> </v>
      </c>
      <c r="H191">
        <v>190</v>
      </c>
      <c r="I191">
        <v>100191</v>
      </c>
      <c r="J191">
        <v>191</v>
      </c>
      <c r="K191" t="b">
        <f t="shared" si="2"/>
        <v>1</v>
      </c>
      <c r="L191" t="b">
        <f>COUNTBLANK(metadata!B191:D191)=COLUMNS(metadata!B191:D191)</f>
        <v>1</v>
      </c>
      <c r="M191" t="str">
        <v/>
      </c>
      <c r="O191" t="b">
        <f ca="1"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P191" t="b">
        <f>AND(IF(metadata!C191="",FALSE,TRUE),EXACT(metadata!C191,"mouse gut metagenome"))</f>
        <v>0</v>
      </c>
      <c r="Q191" t="b">
        <f>AND(IF(metadata!D191="",FALSE,TRUE),EXACT(metadata!D191,"410661"))</f>
        <v>0</v>
      </c>
    </row>
    <row r="192" spans="1:17" x14ac:dyDescent="0.2">
      <c r="A192" s="4" t="str">
        <f ca="1">IF(B192=" "," ",HYPERLINK(CONCATENATE("#metadata!",ADDRESS(INDEX($J$2:$J$1001,MATCH(ROWS($H$2:H192),$H$2:$H$1001,0),0),1)),INDEX($M$2:$M$1001,MATCH(ROWS($H$2:H192),$H$2:$H$1001,0),0)))</f>
        <v xml:space="preserve"> </v>
      </c>
      <c r="B192" s="3" t="str">
        <f ca="1">IF(OR(INDEX($I$2:$I$1001,MATCH(ROWS($H$2:H192),$H$2:$H$1001,0),1)&gt;=100000,INDEX($O$1005:$Q$1005,1,MATCH(COLUMNS($O$1006:O1006),$O$1006:$Q$1006,0))&gt;=100000), " ",IF(INDEX($O$2:$Q$1001,MATCH(ROWS($H$2:H192),$H$2:$H$1001,0),MATCH(COLUMNS($O$1006:O1006),$O$1006:$Q$1006,0)), HYPERLINK("#",""), HYPERLINK(CONCATENATE("#metadata!", ADDRESS(INDEX($J$2:$J$1001,MATCH(ROWS($H$2:H192),$H$2:$H$1001,0),0), INDEX($O$1004:$Q$1004,1,MATCH(COLUMNS($O$1006:O1006),$O$1006:$Q$1006,0)))),"Fix")))</f>
        <v xml:space="preserve"> </v>
      </c>
      <c r="C192" s="3" t="str">
        <f ca="1">IF(OR(INDEX($I$2:$I$1001,MATCH(ROWS($H$2:H192),$H$2:$H$1001,0),1)&gt;=100000,INDEX($O$1005:$Q$1005,1,MATCH(COLUMNS($O$1006:P1006),$O$1006:$Q$1006,0))&gt;=100000), " ",IF(INDEX($O$2:$Q$1001,MATCH(ROWS($H$2:H192),$H$2:$H$1001,0),MATCH(COLUMNS($O$1006:P1006),$O$1006:$Q$1006,0)), HYPERLINK("#",""), HYPERLINK(CONCATENATE("#metadata!", ADDRESS(INDEX($J$2:$J$1001,MATCH(ROWS($H$2:H192),$H$2:$H$1001,0),0), INDEX($O$1004:$Q$1004,1,MATCH(COLUMNS($O$1006:P1006),$O$1006:$Q$1006,0)))),"Fix")))</f>
        <v xml:space="preserve"> </v>
      </c>
      <c r="D192" s="3" t="str">
        <f ca="1">IF(OR(INDEX($I$2:$I$1001,MATCH(ROWS($H$2:H192),$H$2:$H$1001,0),1)&gt;=100000,INDEX($O$1005:$Q$1005,1,MATCH(COLUMNS($O$1006:Q1006),$O$1006:$Q$1006,0))&gt;=100000), " ",IF(INDEX($O$2:$Q$1001,MATCH(ROWS($H$2:H192),$H$2:$H$1001,0),MATCH(COLUMNS($O$1006:Q1006),$O$1006:$Q$1006,0)), HYPERLINK("#",""), HYPERLINK(CONCATENATE("#metadata!", ADDRESS(INDEX($J$2:$J$1001,MATCH(ROWS($H$2:H192),$H$2:$H$1001,0),0), INDEX($O$1004:$Q$1004,1,MATCH(COLUMNS($O$1006:Q1006),$O$1006:$Q$1006,0)))),"Fix")))</f>
        <v xml:space="preserve"> </v>
      </c>
      <c r="H192">
        <v>191</v>
      </c>
      <c r="I192">
        <v>100192</v>
      </c>
      <c r="J192">
        <v>192</v>
      </c>
      <c r="K192" t="b">
        <f t="shared" si="2"/>
        <v>1</v>
      </c>
      <c r="L192" t="b">
        <f>COUNTBLANK(metadata!B192:D192)=COLUMNS(metadata!B192:D192)</f>
        <v>1</v>
      </c>
      <c r="M192" t="str">
        <v/>
      </c>
      <c r="O192" t="b">
        <f ca="1"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P192" t="b">
        <f>AND(IF(metadata!C192="",FALSE,TRUE),EXACT(metadata!C192,"mouse gut metagenome"))</f>
        <v>0</v>
      </c>
      <c r="Q192" t="b">
        <f>AND(IF(metadata!D192="",FALSE,TRUE),EXACT(metadata!D192,"410661"))</f>
        <v>0</v>
      </c>
    </row>
    <row r="193" spans="1:17" x14ac:dyDescent="0.2">
      <c r="A193" s="4" t="str">
        <f ca="1">IF(B193=" "," ",HYPERLINK(CONCATENATE("#metadata!",ADDRESS(INDEX($J$2:$J$1001,MATCH(ROWS($H$2:H193),$H$2:$H$1001,0),0),1)),INDEX($M$2:$M$1001,MATCH(ROWS($H$2:H193),$H$2:$H$1001,0),0)))</f>
        <v xml:space="preserve"> </v>
      </c>
      <c r="B193" s="3" t="str">
        <f ca="1">IF(OR(INDEX($I$2:$I$1001,MATCH(ROWS($H$2:H193),$H$2:$H$1001,0),1)&gt;=100000,INDEX($O$1005:$Q$1005,1,MATCH(COLUMNS($O$1006:O1006),$O$1006:$Q$1006,0))&gt;=100000), " ",IF(INDEX($O$2:$Q$1001,MATCH(ROWS($H$2:H193),$H$2:$H$1001,0),MATCH(COLUMNS($O$1006:O1006),$O$1006:$Q$1006,0)), HYPERLINK("#",""), HYPERLINK(CONCATENATE("#metadata!", ADDRESS(INDEX($J$2:$J$1001,MATCH(ROWS($H$2:H193),$H$2:$H$1001,0),0), INDEX($O$1004:$Q$1004,1,MATCH(COLUMNS($O$1006:O1006),$O$1006:$Q$1006,0)))),"Fix")))</f>
        <v xml:space="preserve"> </v>
      </c>
      <c r="C193" s="3" t="str">
        <f ca="1">IF(OR(INDEX($I$2:$I$1001,MATCH(ROWS($H$2:H193),$H$2:$H$1001,0),1)&gt;=100000,INDEX($O$1005:$Q$1005,1,MATCH(COLUMNS($O$1006:P1006),$O$1006:$Q$1006,0))&gt;=100000), " ",IF(INDEX($O$2:$Q$1001,MATCH(ROWS($H$2:H193),$H$2:$H$1001,0),MATCH(COLUMNS($O$1006:P1006),$O$1006:$Q$1006,0)), HYPERLINK("#",""), HYPERLINK(CONCATENATE("#metadata!", ADDRESS(INDEX($J$2:$J$1001,MATCH(ROWS($H$2:H193),$H$2:$H$1001,0),0), INDEX($O$1004:$Q$1004,1,MATCH(COLUMNS($O$1006:P1006),$O$1006:$Q$1006,0)))),"Fix")))</f>
        <v xml:space="preserve"> </v>
      </c>
      <c r="D193" s="3" t="str">
        <f ca="1">IF(OR(INDEX($I$2:$I$1001,MATCH(ROWS($H$2:H193),$H$2:$H$1001,0),1)&gt;=100000,INDEX($O$1005:$Q$1005,1,MATCH(COLUMNS($O$1006:Q1006),$O$1006:$Q$1006,0))&gt;=100000), " ",IF(INDEX($O$2:$Q$1001,MATCH(ROWS($H$2:H193),$H$2:$H$1001,0),MATCH(COLUMNS($O$1006:Q1006),$O$1006:$Q$1006,0)), HYPERLINK("#",""), HYPERLINK(CONCATENATE("#metadata!", ADDRESS(INDEX($J$2:$J$1001,MATCH(ROWS($H$2:H193),$H$2:$H$1001,0),0), INDEX($O$1004:$Q$1004,1,MATCH(COLUMNS($O$1006:Q1006),$O$1006:$Q$1006,0)))),"Fix")))</f>
        <v xml:space="preserve"> </v>
      </c>
      <c r="H193">
        <v>192</v>
      </c>
      <c r="I193">
        <v>100193</v>
      </c>
      <c r="J193">
        <v>193</v>
      </c>
      <c r="K193" t="b">
        <f t="shared" si="2"/>
        <v>1</v>
      </c>
      <c r="L193" t="b">
        <f>COUNTBLANK(metadata!B193:D193)=COLUMNS(metadata!B193:D193)</f>
        <v>1</v>
      </c>
      <c r="M193" t="str">
        <v/>
      </c>
      <c r="O193" t="b">
        <f ca="1"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P193" t="b">
        <f>AND(IF(metadata!C193="",FALSE,TRUE),EXACT(metadata!C193,"mouse gut metagenome"))</f>
        <v>0</v>
      </c>
      <c r="Q193" t="b">
        <f>AND(IF(metadata!D193="",FALSE,TRUE),EXACT(metadata!D193,"410661"))</f>
        <v>0</v>
      </c>
    </row>
    <row r="194" spans="1:17" x14ac:dyDescent="0.2">
      <c r="A194" s="4" t="str">
        <f ca="1">IF(B194=" "," ",HYPERLINK(CONCATENATE("#metadata!",ADDRESS(INDEX($J$2:$J$1001,MATCH(ROWS($H$2:H194),$H$2:$H$1001,0),0),1)),INDEX($M$2:$M$1001,MATCH(ROWS($H$2:H194),$H$2:$H$1001,0),0)))</f>
        <v xml:space="preserve"> </v>
      </c>
      <c r="B194" s="3" t="str">
        <f ca="1">IF(OR(INDEX($I$2:$I$1001,MATCH(ROWS($H$2:H194),$H$2:$H$1001,0),1)&gt;=100000,INDEX($O$1005:$Q$1005,1,MATCH(COLUMNS($O$1006:O1006),$O$1006:$Q$1006,0))&gt;=100000), " ",IF(INDEX($O$2:$Q$1001,MATCH(ROWS($H$2:H194),$H$2:$H$1001,0),MATCH(COLUMNS($O$1006:O1006),$O$1006:$Q$1006,0)), HYPERLINK("#",""), HYPERLINK(CONCATENATE("#metadata!", ADDRESS(INDEX($J$2:$J$1001,MATCH(ROWS($H$2:H194),$H$2:$H$1001,0),0), INDEX($O$1004:$Q$1004,1,MATCH(COLUMNS($O$1006:O1006),$O$1006:$Q$1006,0)))),"Fix")))</f>
        <v xml:space="preserve"> </v>
      </c>
      <c r="C194" s="3" t="str">
        <f ca="1">IF(OR(INDEX($I$2:$I$1001,MATCH(ROWS($H$2:H194),$H$2:$H$1001,0),1)&gt;=100000,INDEX($O$1005:$Q$1005,1,MATCH(COLUMNS($O$1006:P1006),$O$1006:$Q$1006,0))&gt;=100000), " ",IF(INDEX($O$2:$Q$1001,MATCH(ROWS($H$2:H194),$H$2:$H$1001,0),MATCH(COLUMNS($O$1006:P1006),$O$1006:$Q$1006,0)), HYPERLINK("#",""), HYPERLINK(CONCATENATE("#metadata!", ADDRESS(INDEX($J$2:$J$1001,MATCH(ROWS($H$2:H194),$H$2:$H$1001,0),0), INDEX($O$1004:$Q$1004,1,MATCH(COLUMNS($O$1006:P1006),$O$1006:$Q$1006,0)))),"Fix")))</f>
        <v xml:space="preserve"> </v>
      </c>
      <c r="D194" s="3" t="str">
        <f ca="1">IF(OR(INDEX($I$2:$I$1001,MATCH(ROWS($H$2:H194),$H$2:$H$1001,0),1)&gt;=100000,INDEX($O$1005:$Q$1005,1,MATCH(COLUMNS($O$1006:Q1006),$O$1006:$Q$1006,0))&gt;=100000), " ",IF(INDEX($O$2:$Q$1001,MATCH(ROWS($H$2:H194),$H$2:$H$1001,0),MATCH(COLUMNS($O$1006:Q1006),$O$1006:$Q$1006,0)), HYPERLINK("#",""), HYPERLINK(CONCATENATE("#metadata!", ADDRESS(INDEX($J$2:$J$1001,MATCH(ROWS($H$2:H194),$H$2:$H$1001,0),0), INDEX($O$1004:$Q$1004,1,MATCH(COLUMNS($O$1006:Q1006),$O$1006:$Q$1006,0)))),"Fix")))</f>
        <v xml:space="preserve"> </v>
      </c>
      <c r="H194">
        <v>193</v>
      </c>
      <c r="I194">
        <v>100194</v>
      </c>
      <c r="J194">
        <v>194</v>
      </c>
      <c r="K194" t="b">
        <f t="shared" ref="K194:K257" si="3">IF(L194,TRUE,AND(O194:Q194))</f>
        <v>1</v>
      </c>
      <c r="L194" t="b">
        <f>COUNTBLANK(metadata!B194:D194)=COLUMNS(metadata!B194:D194)</f>
        <v>1</v>
      </c>
      <c r="M194" t="str">
        <v/>
      </c>
      <c r="O194" t="b">
        <f ca="1"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P194" t="b">
        <f>AND(IF(metadata!C194="",FALSE,TRUE),EXACT(metadata!C194,"mouse gut metagenome"))</f>
        <v>0</v>
      </c>
      <c r="Q194" t="b">
        <f>AND(IF(metadata!D194="",FALSE,TRUE),EXACT(metadata!D194,"410661"))</f>
        <v>0</v>
      </c>
    </row>
    <row r="195" spans="1:17" x14ac:dyDescent="0.2">
      <c r="A195" s="4" t="str">
        <f ca="1">IF(B195=" "," ",HYPERLINK(CONCATENATE("#metadata!",ADDRESS(INDEX($J$2:$J$1001,MATCH(ROWS($H$2:H195),$H$2:$H$1001,0),0),1)),INDEX($M$2:$M$1001,MATCH(ROWS($H$2:H195),$H$2:$H$1001,0),0)))</f>
        <v xml:space="preserve"> </v>
      </c>
      <c r="B195" s="3" t="str">
        <f ca="1">IF(OR(INDEX($I$2:$I$1001,MATCH(ROWS($H$2:H195),$H$2:$H$1001,0),1)&gt;=100000,INDEX($O$1005:$Q$1005,1,MATCH(COLUMNS($O$1006:O1006),$O$1006:$Q$1006,0))&gt;=100000), " ",IF(INDEX($O$2:$Q$1001,MATCH(ROWS($H$2:H195),$H$2:$H$1001,0),MATCH(COLUMNS($O$1006:O1006),$O$1006:$Q$1006,0)), HYPERLINK("#",""), HYPERLINK(CONCATENATE("#metadata!", ADDRESS(INDEX($J$2:$J$1001,MATCH(ROWS($H$2:H195),$H$2:$H$1001,0),0), INDEX($O$1004:$Q$1004,1,MATCH(COLUMNS($O$1006:O1006),$O$1006:$Q$1006,0)))),"Fix")))</f>
        <v xml:space="preserve"> </v>
      </c>
      <c r="C195" s="3" t="str">
        <f ca="1">IF(OR(INDEX($I$2:$I$1001,MATCH(ROWS($H$2:H195),$H$2:$H$1001,0),1)&gt;=100000,INDEX($O$1005:$Q$1005,1,MATCH(COLUMNS($O$1006:P1006),$O$1006:$Q$1006,0))&gt;=100000), " ",IF(INDEX($O$2:$Q$1001,MATCH(ROWS($H$2:H195),$H$2:$H$1001,0),MATCH(COLUMNS($O$1006:P1006),$O$1006:$Q$1006,0)), HYPERLINK("#",""), HYPERLINK(CONCATENATE("#metadata!", ADDRESS(INDEX($J$2:$J$1001,MATCH(ROWS($H$2:H195),$H$2:$H$1001,0),0), INDEX($O$1004:$Q$1004,1,MATCH(COLUMNS($O$1006:P1006),$O$1006:$Q$1006,0)))),"Fix")))</f>
        <v xml:space="preserve"> </v>
      </c>
      <c r="D195" s="3" t="str">
        <f ca="1">IF(OR(INDEX($I$2:$I$1001,MATCH(ROWS($H$2:H195),$H$2:$H$1001,0),1)&gt;=100000,INDEX($O$1005:$Q$1005,1,MATCH(COLUMNS($O$1006:Q1006),$O$1006:$Q$1006,0))&gt;=100000), " ",IF(INDEX($O$2:$Q$1001,MATCH(ROWS($H$2:H195),$H$2:$H$1001,0),MATCH(COLUMNS($O$1006:Q1006),$O$1006:$Q$1006,0)), HYPERLINK("#",""), HYPERLINK(CONCATENATE("#metadata!", ADDRESS(INDEX($J$2:$J$1001,MATCH(ROWS($H$2:H195),$H$2:$H$1001,0),0), INDEX($O$1004:$Q$1004,1,MATCH(COLUMNS($O$1006:Q1006),$O$1006:$Q$1006,0)))),"Fix")))</f>
        <v xml:space="preserve"> </v>
      </c>
      <c r="H195">
        <v>194</v>
      </c>
      <c r="I195">
        <v>100195</v>
      </c>
      <c r="J195">
        <v>195</v>
      </c>
      <c r="K195" t="b">
        <f t="shared" si="3"/>
        <v>1</v>
      </c>
      <c r="L195" t="b">
        <f>COUNTBLANK(metadata!B195:D195)=COLUMNS(metadata!B195:D195)</f>
        <v>1</v>
      </c>
      <c r="M195" t="str">
        <v/>
      </c>
      <c r="O195" t="b">
        <f ca="1"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P195" t="b">
        <f>AND(IF(metadata!C195="",FALSE,TRUE),EXACT(metadata!C195,"mouse gut metagenome"))</f>
        <v>0</v>
      </c>
      <c r="Q195" t="b">
        <f>AND(IF(metadata!D195="",FALSE,TRUE),EXACT(metadata!D195,"410661"))</f>
        <v>0</v>
      </c>
    </row>
    <row r="196" spans="1:17" x14ac:dyDescent="0.2">
      <c r="A196" s="4" t="str">
        <f ca="1">IF(B196=" "," ",HYPERLINK(CONCATENATE("#metadata!",ADDRESS(INDEX($J$2:$J$1001,MATCH(ROWS($H$2:H196),$H$2:$H$1001,0),0),1)),INDEX($M$2:$M$1001,MATCH(ROWS($H$2:H196),$H$2:$H$1001,0),0)))</f>
        <v xml:space="preserve"> </v>
      </c>
      <c r="B196" s="3" t="str">
        <f ca="1">IF(OR(INDEX($I$2:$I$1001,MATCH(ROWS($H$2:H196),$H$2:$H$1001,0),1)&gt;=100000,INDEX($O$1005:$Q$1005,1,MATCH(COLUMNS($O$1006:O1006),$O$1006:$Q$1006,0))&gt;=100000), " ",IF(INDEX($O$2:$Q$1001,MATCH(ROWS($H$2:H196),$H$2:$H$1001,0),MATCH(COLUMNS($O$1006:O1006),$O$1006:$Q$1006,0)), HYPERLINK("#",""), HYPERLINK(CONCATENATE("#metadata!", ADDRESS(INDEX($J$2:$J$1001,MATCH(ROWS($H$2:H196),$H$2:$H$1001,0),0), INDEX($O$1004:$Q$1004,1,MATCH(COLUMNS($O$1006:O1006),$O$1006:$Q$1006,0)))),"Fix")))</f>
        <v xml:space="preserve"> </v>
      </c>
      <c r="C196" s="3" t="str">
        <f ca="1">IF(OR(INDEX($I$2:$I$1001,MATCH(ROWS($H$2:H196),$H$2:$H$1001,0),1)&gt;=100000,INDEX($O$1005:$Q$1005,1,MATCH(COLUMNS($O$1006:P1006),$O$1006:$Q$1006,0))&gt;=100000), " ",IF(INDEX($O$2:$Q$1001,MATCH(ROWS($H$2:H196),$H$2:$H$1001,0),MATCH(COLUMNS($O$1006:P1006),$O$1006:$Q$1006,0)), HYPERLINK("#",""), HYPERLINK(CONCATENATE("#metadata!", ADDRESS(INDEX($J$2:$J$1001,MATCH(ROWS($H$2:H196),$H$2:$H$1001,0),0), INDEX($O$1004:$Q$1004,1,MATCH(COLUMNS($O$1006:P1006),$O$1006:$Q$1006,0)))),"Fix")))</f>
        <v xml:space="preserve"> </v>
      </c>
      <c r="D196" s="3" t="str">
        <f ca="1">IF(OR(INDEX($I$2:$I$1001,MATCH(ROWS($H$2:H196),$H$2:$H$1001,0),1)&gt;=100000,INDEX($O$1005:$Q$1005,1,MATCH(COLUMNS($O$1006:Q1006),$O$1006:$Q$1006,0))&gt;=100000), " ",IF(INDEX($O$2:$Q$1001,MATCH(ROWS($H$2:H196),$H$2:$H$1001,0),MATCH(COLUMNS($O$1006:Q1006),$O$1006:$Q$1006,0)), HYPERLINK("#",""), HYPERLINK(CONCATENATE("#metadata!", ADDRESS(INDEX($J$2:$J$1001,MATCH(ROWS($H$2:H196),$H$2:$H$1001,0),0), INDEX($O$1004:$Q$1004,1,MATCH(COLUMNS($O$1006:Q1006),$O$1006:$Q$1006,0)))),"Fix")))</f>
        <v xml:space="preserve"> </v>
      </c>
      <c r="H196">
        <v>195</v>
      </c>
      <c r="I196">
        <v>100196</v>
      </c>
      <c r="J196">
        <v>196</v>
      </c>
      <c r="K196" t="b">
        <f t="shared" si="3"/>
        <v>1</v>
      </c>
      <c r="L196" t="b">
        <f>COUNTBLANK(metadata!B196:D196)=COLUMNS(metadata!B196:D196)</f>
        <v>1</v>
      </c>
      <c r="M196" t="str">
        <v/>
      </c>
      <c r="O196" t="b">
        <f ca="1"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P196" t="b">
        <f>AND(IF(metadata!C196="",FALSE,TRUE),EXACT(metadata!C196,"mouse gut metagenome"))</f>
        <v>0</v>
      </c>
      <c r="Q196" t="b">
        <f>AND(IF(metadata!D196="",FALSE,TRUE),EXACT(metadata!D196,"410661"))</f>
        <v>0</v>
      </c>
    </row>
    <row r="197" spans="1:17" x14ac:dyDescent="0.2">
      <c r="A197" s="4" t="str">
        <f ca="1">IF(B197=" "," ",HYPERLINK(CONCATENATE("#metadata!",ADDRESS(INDEX($J$2:$J$1001,MATCH(ROWS($H$2:H197),$H$2:$H$1001,0),0),1)),INDEX($M$2:$M$1001,MATCH(ROWS($H$2:H197),$H$2:$H$1001,0),0)))</f>
        <v xml:space="preserve"> </v>
      </c>
      <c r="B197" s="3" t="str">
        <f ca="1">IF(OR(INDEX($I$2:$I$1001,MATCH(ROWS($H$2:H197),$H$2:$H$1001,0),1)&gt;=100000,INDEX($O$1005:$Q$1005,1,MATCH(COLUMNS($O$1006:O1006),$O$1006:$Q$1006,0))&gt;=100000), " ",IF(INDEX($O$2:$Q$1001,MATCH(ROWS($H$2:H197),$H$2:$H$1001,0),MATCH(COLUMNS($O$1006:O1006),$O$1006:$Q$1006,0)), HYPERLINK("#",""), HYPERLINK(CONCATENATE("#metadata!", ADDRESS(INDEX($J$2:$J$1001,MATCH(ROWS($H$2:H197),$H$2:$H$1001,0),0), INDEX($O$1004:$Q$1004,1,MATCH(COLUMNS($O$1006:O1006),$O$1006:$Q$1006,0)))),"Fix")))</f>
        <v xml:space="preserve"> </v>
      </c>
      <c r="C197" s="3" t="str">
        <f ca="1">IF(OR(INDEX($I$2:$I$1001,MATCH(ROWS($H$2:H197),$H$2:$H$1001,0),1)&gt;=100000,INDEX($O$1005:$Q$1005,1,MATCH(COLUMNS($O$1006:P1006),$O$1006:$Q$1006,0))&gt;=100000), " ",IF(INDEX($O$2:$Q$1001,MATCH(ROWS($H$2:H197),$H$2:$H$1001,0),MATCH(COLUMNS($O$1006:P1006),$O$1006:$Q$1006,0)), HYPERLINK("#",""), HYPERLINK(CONCATENATE("#metadata!", ADDRESS(INDEX($J$2:$J$1001,MATCH(ROWS($H$2:H197),$H$2:$H$1001,0),0), INDEX($O$1004:$Q$1004,1,MATCH(COLUMNS($O$1006:P1006),$O$1006:$Q$1006,0)))),"Fix")))</f>
        <v xml:space="preserve"> </v>
      </c>
      <c r="D197" s="3" t="str">
        <f ca="1">IF(OR(INDEX($I$2:$I$1001,MATCH(ROWS($H$2:H197),$H$2:$H$1001,0),1)&gt;=100000,INDEX($O$1005:$Q$1005,1,MATCH(COLUMNS($O$1006:Q1006),$O$1006:$Q$1006,0))&gt;=100000), " ",IF(INDEX($O$2:$Q$1001,MATCH(ROWS($H$2:H197),$H$2:$H$1001,0),MATCH(COLUMNS($O$1006:Q1006),$O$1006:$Q$1006,0)), HYPERLINK("#",""), HYPERLINK(CONCATENATE("#metadata!", ADDRESS(INDEX($J$2:$J$1001,MATCH(ROWS($H$2:H197),$H$2:$H$1001,0),0), INDEX($O$1004:$Q$1004,1,MATCH(COLUMNS($O$1006:Q1006),$O$1006:$Q$1006,0)))),"Fix")))</f>
        <v xml:space="preserve"> </v>
      </c>
      <c r="H197">
        <v>196</v>
      </c>
      <c r="I197">
        <v>100197</v>
      </c>
      <c r="J197">
        <v>197</v>
      </c>
      <c r="K197" t="b">
        <f t="shared" si="3"/>
        <v>1</v>
      </c>
      <c r="L197" t="b">
        <f>COUNTBLANK(metadata!B197:D197)=COLUMNS(metadata!B197:D197)</f>
        <v>1</v>
      </c>
      <c r="M197" t="str">
        <v/>
      </c>
      <c r="O197" t="b">
        <f ca="1"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P197" t="b">
        <f>AND(IF(metadata!C197="",FALSE,TRUE),EXACT(metadata!C197,"mouse gut metagenome"))</f>
        <v>0</v>
      </c>
      <c r="Q197" t="b">
        <f>AND(IF(metadata!D197="",FALSE,TRUE),EXACT(metadata!D197,"410661"))</f>
        <v>0</v>
      </c>
    </row>
    <row r="198" spans="1:17" x14ac:dyDescent="0.2">
      <c r="A198" s="4" t="str">
        <f ca="1">IF(B198=" "," ",HYPERLINK(CONCATENATE("#metadata!",ADDRESS(INDEX($J$2:$J$1001,MATCH(ROWS($H$2:H198),$H$2:$H$1001,0),0),1)),INDEX($M$2:$M$1001,MATCH(ROWS($H$2:H198),$H$2:$H$1001,0),0)))</f>
        <v xml:space="preserve"> </v>
      </c>
      <c r="B198" s="3" t="str">
        <f ca="1">IF(OR(INDEX($I$2:$I$1001,MATCH(ROWS($H$2:H198),$H$2:$H$1001,0),1)&gt;=100000,INDEX($O$1005:$Q$1005,1,MATCH(COLUMNS($O$1006:O1006),$O$1006:$Q$1006,0))&gt;=100000), " ",IF(INDEX($O$2:$Q$1001,MATCH(ROWS($H$2:H198),$H$2:$H$1001,0),MATCH(COLUMNS($O$1006:O1006),$O$1006:$Q$1006,0)), HYPERLINK("#",""), HYPERLINK(CONCATENATE("#metadata!", ADDRESS(INDEX($J$2:$J$1001,MATCH(ROWS($H$2:H198),$H$2:$H$1001,0),0), INDEX($O$1004:$Q$1004,1,MATCH(COLUMNS($O$1006:O1006),$O$1006:$Q$1006,0)))),"Fix")))</f>
        <v xml:space="preserve"> </v>
      </c>
      <c r="C198" s="3" t="str">
        <f ca="1">IF(OR(INDEX($I$2:$I$1001,MATCH(ROWS($H$2:H198),$H$2:$H$1001,0),1)&gt;=100000,INDEX($O$1005:$Q$1005,1,MATCH(COLUMNS($O$1006:P1006),$O$1006:$Q$1006,0))&gt;=100000), " ",IF(INDEX($O$2:$Q$1001,MATCH(ROWS($H$2:H198),$H$2:$H$1001,0),MATCH(COLUMNS($O$1006:P1006),$O$1006:$Q$1006,0)), HYPERLINK("#",""), HYPERLINK(CONCATENATE("#metadata!", ADDRESS(INDEX($J$2:$J$1001,MATCH(ROWS($H$2:H198),$H$2:$H$1001,0),0), INDEX($O$1004:$Q$1004,1,MATCH(COLUMNS($O$1006:P1006),$O$1006:$Q$1006,0)))),"Fix")))</f>
        <v xml:space="preserve"> </v>
      </c>
      <c r="D198" s="3" t="str">
        <f ca="1">IF(OR(INDEX($I$2:$I$1001,MATCH(ROWS($H$2:H198),$H$2:$H$1001,0),1)&gt;=100000,INDEX($O$1005:$Q$1005,1,MATCH(COLUMNS($O$1006:Q1006),$O$1006:$Q$1006,0))&gt;=100000), " ",IF(INDEX($O$2:$Q$1001,MATCH(ROWS($H$2:H198),$H$2:$H$1001,0),MATCH(COLUMNS($O$1006:Q1006),$O$1006:$Q$1006,0)), HYPERLINK("#",""), HYPERLINK(CONCATENATE("#metadata!", ADDRESS(INDEX($J$2:$J$1001,MATCH(ROWS($H$2:H198),$H$2:$H$1001,0),0), INDEX($O$1004:$Q$1004,1,MATCH(COLUMNS($O$1006:Q1006),$O$1006:$Q$1006,0)))),"Fix")))</f>
        <v xml:space="preserve"> </v>
      </c>
      <c r="H198">
        <v>197</v>
      </c>
      <c r="I198">
        <v>100198</v>
      </c>
      <c r="J198">
        <v>198</v>
      </c>
      <c r="K198" t="b">
        <f t="shared" si="3"/>
        <v>1</v>
      </c>
      <c r="L198" t="b">
        <f>COUNTBLANK(metadata!B198:D198)=COLUMNS(metadata!B198:D198)</f>
        <v>1</v>
      </c>
      <c r="M198" t="str">
        <v/>
      </c>
      <c r="O198" t="b">
        <f ca="1"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P198" t="b">
        <f>AND(IF(metadata!C198="",FALSE,TRUE),EXACT(metadata!C198,"mouse gut metagenome"))</f>
        <v>0</v>
      </c>
      <c r="Q198" t="b">
        <f>AND(IF(metadata!D198="",FALSE,TRUE),EXACT(metadata!D198,"410661"))</f>
        <v>0</v>
      </c>
    </row>
    <row r="199" spans="1:17" x14ac:dyDescent="0.2">
      <c r="A199" s="4" t="str">
        <f ca="1">IF(B199=" "," ",HYPERLINK(CONCATENATE("#metadata!",ADDRESS(INDEX($J$2:$J$1001,MATCH(ROWS($H$2:H199),$H$2:$H$1001,0),0),1)),INDEX($M$2:$M$1001,MATCH(ROWS($H$2:H199),$H$2:$H$1001,0),0)))</f>
        <v xml:space="preserve"> </v>
      </c>
      <c r="B199" s="3" t="str">
        <f ca="1">IF(OR(INDEX($I$2:$I$1001,MATCH(ROWS($H$2:H199),$H$2:$H$1001,0),1)&gt;=100000,INDEX($O$1005:$Q$1005,1,MATCH(COLUMNS($O$1006:O1006),$O$1006:$Q$1006,0))&gt;=100000), " ",IF(INDEX($O$2:$Q$1001,MATCH(ROWS($H$2:H199),$H$2:$H$1001,0),MATCH(COLUMNS($O$1006:O1006),$O$1006:$Q$1006,0)), HYPERLINK("#",""), HYPERLINK(CONCATENATE("#metadata!", ADDRESS(INDEX($J$2:$J$1001,MATCH(ROWS($H$2:H199),$H$2:$H$1001,0),0), INDEX($O$1004:$Q$1004,1,MATCH(COLUMNS($O$1006:O1006),$O$1006:$Q$1006,0)))),"Fix")))</f>
        <v xml:space="preserve"> </v>
      </c>
      <c r="C199" s="3" t="str">
        <f ca="1">IF(OR(INDEX($I$2:$I$1001,MATCH(ROWS($H$2:H199),$H$2:$H$1001,0),1)&gt;=100000,INDEX($O$1005:$Q$1005,1,MATCH(COLUMNS($O$1006:P1006),$O$1006:$Q$1006,0))&gt;=100000), " ",IF(INDEX($O$2:$Q$1001,MATCH(ROWS($H$2:H199),$H$2:$H$1001,0),MATCH(COLUMNS($O$1006:P1006),$O$1006:$Q$1006,0)), HYPERLINK("#",""), HYPERLINK(CONCATENATE("#metadata!", ADDRESS(INDEX($J$2:$J$1001,MATCH(ROWS($H$2:H199),$H$2:$H$1001,0),0), INDEX($O$1004:$Q$1004,1,MATCH(COLUMNS($O$1006:P1006),$O$1006:$Q$1006,0)))),"Fix")))</f>
        <v xml:space="preserve"> </v>
      </c>
      <c r="D199" s="3" t="str">
        <f ca="1">IF(OR(INDEX($I$2:$I$1001,MATCH(ROWS($H$2:H199),$H$2:$H$1001,0),1)&gt;=100000,INDEX($O$1005:$Q$1005,1,MATCH(COLUMNS($O$1006:Q1006),$O$1006:$Q$1006,0))&gt;=100000), " ",IF(INDEX($O$2:$Q$1001,MATCH(ROWS($H$2:H199),$H$2:$H$1001,0),MATCH(COLUMNS($O$1006:Q1006),$O$1006:$Q$1006,0)), HYPERLINK("#",""), HYPERLINK(CONCATENATE("#metadata!", ADDRESS(INDEX($J$2:$J$1001,MATCH(ROWS($H$2:H199),$H$2:$H$1001,0),0), INDEX($O$1004:$Q$1004,1,MATCH(COLUMNS($O$1006:Q1006),$O$1006:$Q$1006,0)))),"Fix")))</f>
        <v xml:space="preserve"> </v>
      </c>
      <c r="H199">
        <v>198</v>
      </c>
      <c r="I199">
        <v>100199</v>
      </c>
      <c r="J199">
        <v>199</v>
      </c>
      <c r="K199" t="b">
        <f t="shared" si="3"/>
        <v>1</v>
      </c>
      <c r="L199" t="b">
        <f>COUNTBLANK(metadata!B199:D199)=COLUMNS(metadata!B199:D199)</f>
        <v>1</v>
      </c>
      <c r="M199" t="str">
        <v/>
      </c>
      <c r="O199" t="b">
        <f ca="1"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P199" t="b">
        <f>AND(IF(metadata!C199="",FALSE,TRUE),EXACT(metadata!C199,"mouse gut metagenome"))</f>
        <v>0</v>
      </c>
      <c r="Q199" t="b">
        <f>AND(IF(metadata!D199="",FALSE,TRUE),EXACT(metadata!D199,"410661"))</f>
        <v>0</v>
      </c>
    </row>
    <row r="200" spans="1:17" x14ac:dyDescent="0.2">
      <c r="A200" s="4" t="str">
        <f ca="1">IF(B200=" "," ",HYPERLINK(CONCATENATE("#metadata!",ADDRESS(INDEX($J$2:$J$1001,MATCH(ROWS($H$2:H200),$H$2:$H$1001,0),0),1)),INDEX($M$2:$M$1001,MATCH(ROWS($H$2:H200),$H$2:$H$1001,0),0)))</f>
        <v xml:space="preserve"> </v>
      </c>
      <c r="B200" s="3" t="str">
        <f ca="1">IF(OR(INDEX($I$2:$I$1001,MATCH(ROWS($H$2:H200),$H$2:$H$1001,0),1)&gt;=100000,INDEX($O$1005:$Q$1005,1,MATCH(COLUMNS($O$1006:O1006),$O$1006:$Q$1006,0))&gt;=100000), " ",IF(INDEX($O$2:$Q$1001,MATCH(ROWS($H$2:H200),$H$2:$H$1001,0),MATCH(COLUMNS($O$1006:O1006),$O$1006:$Q$1006,0)), HYPERLINK("#",""), HYPERLINK(CONCATENATE("#metadata!", ADDRESS(INDEX($J$2:$J$1001,MATCH(ROWS($H$2:H200),$H$2:$H$1001,0),0), INDEX($O$1004:$Q$1004,1,MATCH(COLUMNS($O$1006:O1006),$O$1006:$Q$1006,0)))),"Fix")))</f>
        <v xml:space="preserve"> </v>
      </c>
      <c r="C200" s="3" t="str">
        <f ca="1">IF(OR(INDEX($I$2:$I$1001,MATCH(ROWS($H$2:H200),$H$2:$H$1001,0),1)&gt;=100000,INDEX($O$1005:$Q$1005,1,MATCH(COLUMNS($O$1006:P1006),$O$1006:$Q$1006,0))&gt;=100000), " ",IF(INDEX($O$2:$Q$1001,MATCH(ROWS($H$2:H200),$H$2:$H$1001,0),MATCH(COLUMNS($O$1006:P1006),$O$1006:$Q$1006,0)), HYPERLINK("#",""), HYPERLINK(CONCATENATE("#metadata!", ADDRESS(INDEX($J$2:$J$1001,MATCH(ROWS($H$2:H200),$H$2:$H$1001,0),0), INDEX($O$1004:$Q$1004,1,MATCH(COLUMNS($O$1006:P1006),$O$1006:$Q$1006,0)))),"Fix")))</f>
        <v xml:space="preserve"> </v>
      </c>
      <c r="D200" s="3" t="str">
        <f ca="1">IF(OR(INDEX($I$2:$I$1001,MATCH(ROWS($H$2:H200),$H$2:$H$1001,0),1)&gt;=100000,INDEX($O$1005:$Q$1005,1,MATCH(COLUMNS($O$1006:Q1006),$O$1006:$Q$1006,0))&gt;=100000), " ",IF(INDEX($O$2:$Q$1001,MATCH(ROWS($H$2:H200),$H$2:$H$1001,0),MATCH(COLUMNS($O$1006:Q1006),$O$1006:$Q$1006,0)), HYPERLINK("#",""), HYPERLINK(CONCATENATE("#metadata!", ADDRESS(INDEX($J$2:$J$1001,MATCH(ROWS($H$2:H200),$H$2:$H$1001,0),0), INDEX($O$1004:$Q$1004,1,MATCH(COLUMNS($O$1006:Q1006),$O$1006:$Q$1006,0)))),"Fix")))</f>
        <v xml:space="preserve"> </v>
      </c>
      <c r="H200">
        <v>199</v>
      </c>
      <c r="I200">
        <v>100200</v>
      </c>
      <c r="J200">
        <v>200</v>
      </c>
      <c r="K200" t="b">
        <f t="shared" si="3"/>
        <v>1</v>
      </c>
      <c r="L200" t="b">
        <f>COUNTBLANK(metadata!B200:D200)=COLUMNS(metadata!B200:D200)</f>
        <v>1</v>
      </c>
      <c r="M200" t="str">
        <v/>
      </c>
      <c r="O200" t="b">
        <f ca="1"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P200" t="b">
        <f>AND(IF(metadata!C200="",FALSE,TRUE),EXACT(metadata!C200,"mouse gut metagenome"))</f>
        <v>0</v>
      </c>
      <c r="Q200" t="b">
        <f>AND(IF(metadata!D200="",FALSE,TRUE),EXACT(metadata!D200,"410661"))</f>
        <v>0</v>
      </c>
    </row>
    <row r="201" spans="1:17" x14ac:dyDescent="0.2">
      <c r="A201" s="4" t="str">
        <f ca="1">IF(B201=" "," ",HYPERLINK(CONCATENATE("#metadata!",ADDRESS(INDEX($J$2:$J$1001,MATCH(ROWS($H$2:H201),$H$2:$H$1001,0),0),1)),INDEX($M$2:$M$1001,MATCH(ROWS($H$2:H201),$H$2:$H$1001,0),0)))</f>
        <v xml:space="preserve"> </v>
      </c>
      <c r="B201" s="3" t="str">
        <f ca="1">IF(OR(INDEX($I$2:$I$1001,MATCH(ROWS($H$2:H201),$H$2:$H$1001,0),1)&gt;=100000,INDEX($O$1005:$Q$1005,1,MATCH(COLUMNS($O$1006:O1006),$O$1006:$Q$1006,0))&gt;=100000), " ",IF(INDEX($O$2:$Q$1001,MATCH(ROWS($H$2:H201),$H$2:$H$1001,0),MATCH(COLUMNS($O$1006:O1006),$O$1006:$Q$1006,0)), HYPERLINK("#",""), HYPERLINK(CONCATENATE("#metadata!", ADDRESS(INDEX($J$2:$J$1001,MATCH(ROWS($H$2:H201),$H$2:$H$1001,0),0), INDEX($O$1004:$Q$1004,1,MATCH(COLUMNS($O$1006:O1006),$O$1006:$Q$1006,0)))),"Fix")))</f>
        <v xml:space="preserve"> </v>
      </c>
      <c r="C201" s="3" t="str">
        <f ca="1">IF(OR(INDEX($I$2:$I$1001,MATCH(ROWS($H$2:H201),$H$2:$H$1001,0),1)&gt;=100000,INDEX($O$1005:$Q$1005,1,MATCH(COLUMNS($O$1006:P1006),$O$1006:$Q$1006,0))&gt;=100000), " ",IF(INDEX($O$2:$Q$1001,MATCH(ROWS($H$2:H201),$H$2:$H$1001,0),MATCH(COLUMNS($O$1006:P1006),$O$1006:$Q$1006,0)), HYPERLINK("#",""), HYPERLINK(CONCATENATE("#metadata!", ADDRESS(INDEX($J$2:$J$1001,MATCH(ROWS($H$2:H201),$H$2:$H$1001,0),0), INDEX($O$1004:$Q$1004,1,MATCH(COLUMNS($O$1006:P1006),$O$1006:$Q$1006,0)))),"Fix")))</f>
        <v xml:space="preserve"> </v>
      </c>
      <c r="D201" s="3" t="str">
        <f ca="1">IF(OR(INDEX($I$2:$I$1001,MATCH(ROWS($H$2:H201),$H$2:$H$1001,0),1)&gt;=100000,INDEX($O$1005:$Q$1005,1,MATCH(COLUMNS($O$1006:Q1006),$O$1006:$Q$1006,0))&gt;=100000), " ",IF(INDEX($O$2:$Q$1001,MATCH(ROWS($H$2:H201),$H$2:$H$1001,0),MATCH(COLUMNS($O$1006:Q1006),$O$1006:$Q$1006,0)), HYPERLINK("#",""), HYPERLINK(CONCATENATE("#metadata!", ADDRESS(INDEX($J$2:$J$1001,MATCH(ROWS($H$2:H201),$H$2:$H$1001,0),0), INDEX($O$1004:$Q$1004,1,MATCH(COLUMNS($O$1006:Q1006),$O$1006:$Q$1006,0)))),"Fix")))</f>
        <v xml:space="preserve"> </v>
      </c>
      <c r="H201">
        <v>200</v>
      </c>
      <c r="I201">
        <v>100201</v>
      </c>
      <c r="J201">
        <v>201</v>
      </c>
      <c r="K201" t="b">
        <f t="shared" si="3"/>
        <v>1</v>
      </c>
      <c r="L201" t="b">
        <f>COUNTBLANK(metadata!B201:D201)=COLUMNS(metadata!B201:D201)</f>
        <v>1</v>
      </c>
      <c r="M201" t="str">
        <v/>
      </c>
      <c r="O201" t="b">
        <f ca="1"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P201" t="b">
        <f>AND(IF(metadata!C201="",FALSE,TRUE),EXACT(metadata!C201,"mouse gut metagenome"))</f>
        <v>0</v>
      </c>
      <c r="Q201" t="b">
        <f>AND(IF(metadata!D201="",FALSE,TRUE),EXACT(metadata!D201,"410661"))</f>
        <v>0</v>
      </c>
    </row>
    <row r="202" spans="1:17" x14ac:dyDescent="0.2">
      <c r="A202" s="4" t="str">
        <f ca="1">IF(B202=" "," ",HYPERLINK(CONCATENATE("#metadata!",ADDRESS(INDEX($J$2:$J$1001,MATCH(ROWS($H$2:H202),$H$2:$H$1001,0),0),1)),INDEX($M$2:$M$1001,MATCH(ROWS($H$2:H202),$H$2:$H$1001,0),0)))</f>
        <v xml:space="preserve"> </v>
      </c>
      <c r="B202" s="3" t="str">
        <f ca="1">IF(OR(INDEX($I$2:$I$1001,MATCH(ROWS($H$2:H202),$H$2:$H$1001,0),1)&gt;=100000,INDEX($O$1005:$Q$1005,1,MATCH(COLUMNS($O$1006:O1006),$O$1006:$Q$1006,0))&gt;=100000), " ",IF(INDEX($O$2:$Q$1001,MATCH(ROWS($H$2:H202),$H$2:$H$1001,0),MATCH(COLUMNS($O$1006:O1006),$O$1006:$Q$1006,0)), HYPERLINK("#",""), HYPERLINK(CONCATENATE("#metadata!", ADDRESS(INDEX($J$2:$J$1001,MATCH(ROWS($H$2:H202),$H$2:$H$1001,0),0), INDEX($O$1004:$Q$1004,1,MATCH(COLUMNS($O$1006:O1006),$O$1006:$Q$1006,0)))),"Fix")))</f>
        <v xml:space="preserve"> </v>
      </c>
      <c r="C202" s="3" t="str">
        <f ca="1">IF(OR(INDEX($I$2:$I$1001,MATCH(ROWS($H$2:H202),$H$2:$H$1001,0),1)&gt;=100000,INDEX($O$1005:$Q$1005,1,MATCH(COLUMNS($O$1006:P1006),$O$1006:$Q$1006,0))&gt;=100000), " ",IF(INDEX($O$2:$Q$1001,MATCH(ROWS($H$2:H202),$H$2:$H$1001,0),MATCH(COLUMNS($O$1006:P1006),$O$1006:$Q$1006,0)), HYPERLINK("#",""), HYPERLINK(CONCATENATE("#metadata!", ADDRESS(INDEX($J$2:$J$1001,MATCH(ROWS($H$2:H202),$H$2:$H$1001,0),0), INDEX($O$1004:$Q$1004,1,MATCH(COLUMNS($O$1006:P1006),$O$1006:$Q$1006,0)))),"Fix")))</f>
        <v xml:space="preserve"> </v>
      </c>
      <c r="D202" s="3" t="str">
        <f ca="1">IF(OR(INDEX($I$2:$I$1001,MATCH(ROWS($H$2:H202),$H$2:$H$1001,0),1)&gt;=100000,INDEX($O$1005:$Q$1005,1,MATCH(COLUMNS($O$1006:Q1006),$O$1006:$Q$1006,0))&gt;=100000), " ",IF(INDEX($O$2:$Q$1001,MATCH(ROWS($H$2:H202),$H$2:$H$1001,0),MATCH(COLUMNS($O$1006:Q1006),$O$1006:$Q$1006,0)), HYPERLINK("#",""), HYPERLINK(CONCATENATE("#metadata!", ADDRESS(INDEX($J$2:$J$1001,MATCH(ROWS($H$2:H202),$H$2:$H$1001,0),0), INDEX($O$1004:$Q$1004,1,MATCH(COLUMNS($O$1006:Q1006),$O$1006:$Q$1006,0)))),"Fix")))</f>
        <v xml:space="preserve"> </v>
      </c>
      <c r="H202">
        <v>201</v>
      </c>
      <c r="I202">
        <v>100202</v>
      </c>
      <c r="J202">
        <v>202</v>
      </c>
      <c r="K202" t="b">
        <f t="shared" si="3"/>
        <v>1</v>
      </c>
      <c r="L202" t="b">
        <f>COUNTBLANK(metadata!B202:D202)=COLUMNS(metadata!B202:D202)</f>
        <v>1</v>
      </c>
      <c r="M202" t="str">
        <v/>
      </c>
      <c r="O202" t="b">
        <f ca="1"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P202" t="b">
        <f>AND(IF(metadata!C202="",FALSE,TRUE),EXACT(metadata!C202,"mouse gut metagenome"))</f>
        <v>0</v>
      </c>
      <c r="Q202" t="b">
        <f>AND(IF(metadata!D202="",FALSE,TRUE),EXACT(metadata!D202,"410661"))</f>
        <v>0</v>
      </c>
    </row>
    <row r="203" spans="1:17" x14ac:dyDescent="0.2">
      <c r="A203" s="4" t="str">
        <f ca="1">IF(B203=" "," ",HYPERLINK(CONCATENATE("#metadata!",ADDRESS(INDEX($J$2:$J$1001,MATCH(ROWS($H$2:H203),$H$2:$H$1001,0),0),1)),INDEX($M$2:$M$1001,MATCH(ROWS($H$2:H203),$H$2:$H$1001,0),0)))</f>
        <v xml:space="preserve"> </v>
      </c>
      <c r="B203" s="3" t="str">
        <f ca="1">IF(OR(INDEX($I$2:$I$1001,MATCH(ROWS($H$2:H203),$H$2:$H$1001,0),1)&gt;=100000,INDEX($O$1005:$Q$1005,1,MATCH(COLUMNS($O$1006:O1006),$O$1006:$Q$1006,0))&gt;=100000), " ",IF(INDEX($O$2:$Q$1001,MATCH(ROWS($H$2:H203),$H$2:$H$1001,0),MATCH(COLUMNS($O$1006:O1006),$O$1006:$Q$1006,0)), HYPERLINK("#",""), HYPERLINK(CONCATENATE("#metadata!", ADDRESS(INDEX($J$2:$J$1001,MATCH(ROWS($H$2:H203),$H$2:$H$1001,0),0), INDEX($O$1004:$Q$1004,1,MATCH(COLUMNS($O$1006:O1006),$O$1006:$Q$1006,0)))),"Fix")))</f>
        <v xml:space="preserve"> </v>
      </c>
      <c r="C203" s="3" t="str">
        <f ca="1">IF(OR(INDEX($I$2:$I$1001,MATCH(ROWS($H$2:H203),$H$2:$H$1001,0),1)&gt;=100000,INDEX($O$1005:$Q$1005,1,MATCH(COLUMNS($O$1006:P1006),$O$1006:$Q$1006,0))&gt;=100000), " ",IF(INDEX($O$2:$Q$1001,MATCH(ROWS($H$2:H203),$H$2:$H$1001,0),MATCH(COLUMNS($O$1006:P1006),$O$1006:$Q$1006,0)), HYPERLINK("#",""), HYPERLINK(CONCATENATE("#metadata!", ADDRESS(INDEX($J$2:$J$1001,MATCH(ROWS($H$2:H203),$H$2:$H$1001,0),0), INDEX($O$1004:$Q$1004,1,MATCH(COLUMNS($O$1006:P1006),$O$1006:$Q$1006,0)))),"Fix")))</f>
        <v xml:space="preserve"> </v>
      </c>
      <c r="D203" s="3" t="str">
        <f ca="1">IF(OR(INDEX($I$2:$I$1001,MATCH(ROWS($H$2:H203),$H$2:$H$1001,0),1)&gt;=100000,INDEX($O$1005:$Q$1005,1,MATCH(COLUMNS($O$1006:Q1006),$O$1006:$Q$1006,0))&gt;=100000), " ",IF(INDEX($O$2:$Q$1001,MATCH(ROWS($H$2:H203),$H$2:$H$1001,0),MATCH(COLUMNS($O$1006:Q1006),$O$1006:$Q$1006,0)), HYPERLINK("#",""), HYPERLINK(CONCATENATE("#metadata!", ADDRESS(INDEX($J$2:$J$1001,MATCH(ROWS($H$2:H203),$H$2:$H$1001,0),0), INDEX($O$1004:$Q$1004,1,MATCH(COLUMNS($O$1006:Q1006),$O$1006:$Q$1006,0)))),"Fix")))</f>
        <v xml:space="preserve"> </v>
      </c>
      <c r="H203">
        <v>202</v>
      </c>
      <c r="I203">
        <v>100203</v>
      </c>
      <c r="J203">
        <v>203</v>
      </c>
      <c r="K203" t="b">
        <f t="shared" si="3"/>
        <v>1</v>
      </c>
      <c r="L203" t="b">
        <f>COUNTBLANK(metadata!B203:D203)=COLUMNS(metadata!B203:D203)</f>
        <v>1</v>
      </c>
      <c r="M203" t="str">
        <v/>
      </c>
      <c r="O203" t="b">
        <f ca="1"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P203" t="b">
        <f>AND(IF(metadata!C203="",FALSE,TRUE),EXACT(metadata!C203,"mouse gut metagenome"))</f>
        <v>0</v>
      </c>
      <c r="Q203" t="b">
        <f>AND(IF(metadata!D203="",FALSE,TRUE),EXACT(metadata!D203,"410661"))</f>
        <v>0</v>
      </c>
    </row>
    <row r="204" spans="1:17" x14ac:dyDescent="0.2">
      <c r="A204" s="4" t="str">
        <f ca="1">IF(B204=" "," ",HYPERLINK(CONCATENATE("#metadata!",ADDRESS(INDEX($J$2:$J$1001,MATCH(ROWS($H$2:H204),$H$2:$H$1001,0),0),1)),INDEX($M$2:$M$1001,MATCH(ROWS($H$2:H204),$H$2:$H$1001,0),0)))</f>
        <v xml:space="preserve"> </v>
      </c>
      <c r="B204" s="3" t="str">
        <f ca="1">IF(OR(INDEX($I$2:$I$1001,MATCH(ROWS($H$2:H204),$H$2:$H$1001,0),1)&gt;=100000,INDEX($O$1005:$Q$1005,1,MATCH(COLUMNS($O$1006:O1006),$O$1006:$Q$1006,0))&gt;=100000), " ",IF(INDEX($O$2:$Q$1001,MATCH(ROWS($H$2:H204),$H$2:$H$1001,0),MATCH(COLUMNS($O$1006:O1006),$O$1006:$Q$1006,0)), HYPERLINK("#",""), HYPERLINK(CONCATENATE("#metadata!", ADDRESS(INDEX($J$2:$J$1001,MATCH(ROWS($H$2:H204),$H$2:$H$1001,0),0), INDEX($O$1004:$Q$1004,1,MATCH(COLUMNS($O$1006:O1006),$O$1006:$Q$1006,0)))),"Fix")))</f>
        <v xml:space="preserve"> </v>
      </c>
      <c r="C204" s="3" t="str">
        <f ca="1">IF(OR(INDEX($I$2:$I$1001,MATCH(ROWS($H$2:H204),$H$2:$H$1001,0),1)&gt;=100000,INDEX($O$1005:$Q$1005,1,MATCH(COLUMNS($O$1006:P1006),$O$1006:$Q$1006,0))&gt;=100000), " ",IF(INDEX($O$2:$Q$1001,MATCH(ROWS($H$2:H204),$H$2:$H$1001,0),MATCH(COLUMNS($O$1006:P1006),$O$1006:$Q$1006,0)), HYPERLINK("#",""), HYPERLINK(CONCATENATE("#metadata!", ADDRESS(INDEX($J$2:$J$1001,MATCH(ROWS($H$2:H204),$H$2:$H$1001,0),0), INDEX($O$1004:$Q$1004,1,MATCH(COLUMNS($O$1006:P1006),$O$1006:$Q$1006,0)))),"Fix")))</f>
        <v xml:space="preserve"> </v>
      </c>
      <c r="D204" s="3" t="str">
        <f ca="1">IF(OR(INDEX($I$2:$I$1001,MATCH(ROWS($H$2:H204),$H$2:$H$1001,0),1)&gt;=100000,INDEX($O$1005:$Q$1005,1,MATCH(COLUMNS($O$1006:Q1006),$O$1006:$Q$1006,0))&gt;=100000), " ",IF(INDEX($O$2:$Q$1001,MATCH(ROWS($H$2:H204),$H$2:$H$1001,0),MATCH(COLUMNS($O$1006:Q1006),$O$1006:$Q$1006,0)), HYPERLINK("#",""), HYPERLINK(CONCATENATE("#metadata!", ADDRESS(INDEX($J$2:$J$1001,MATCH(ROWS($H$2:H204),$H$2:$H$1001,0),0), INDEX($O$1004:$Q$1004,1,MATCH(COLUMNS($O$1006:Q1006),$O$1006:$Q$1006,0)))),"Fix")))</f>
        <v xml:space="preserve"> </v>
      </c>
      <c r="H204">
        <v>203</v>
      </c>
      <c r="I204">
        <v>100204</v>
      </c>
      <c r="J204">
        <v>204</v>
      </c>
      <c r="K204" t="b">
        <f t="shared" si="3"/>
        <v>1</v>
      </c>
      <c r="L204" t="b">
        <f>COUNTBLANK(metadata!B204:D204)=COLUMNS(metadata!B204:D204)</f>
        <v>1</v>
      </c>
      <c r="M204" t="str">
        <v/>
      </c>
      <c r="O204" t="b">
        <f ca="1"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P204" t="b">
        <f>AND(IF(metadata!C204="",FALSE,TRUE),EXACT(metadata!C204,"mouse gut metagenome"))</f>
        <v>0</v>
      </c>
      <c r="Q204" t="b">
        <f>AND(IF(metadata!D204="",FALSE,TRUE),EXACT(metadata!D204,"410661"))</f>
        <v>0</v>
      </c>
    </row>
    <row r="205" spans="1:17" x14ac:dyDescent="0.2">
      <c r="A205" s="4" t="str">
        <f ca="1">IF(B205=" "," ",HYPERLINK(CONCATENATE("#metadata!",ADDRESS(INDEX($J$2:$J$1001,MATCH(ROWS($H$2:H205),$H$2:$H$1001,0),0),1)),INDEX($M$2:$M$1001,MATCH(ROWS($H$2:H205),$H$2:$H$1001,0),0)))</f>
        <v xml:space="preserve"> </v>
      </c>
      <c r="B205" s="3" t="str">
        <f ca="1">IF(OR(INDEX($I$2:$I$1001,MATCH(ROWS($H$2:H205),$H$2:$H$1001,0),1)&gt;=100000,INDEX($O$1005:$Q$1005,1,MATCH(COLUMNS($O$1006:O1006),$O$1006:$Q$1006,0))&gt;=100000), " ",IF(INDEX($O$2:$Q$1001,MATCH(ROWS($H$2:H205),$H$2:$H$1001,0),MATCH(COLUMNS($O$1006:O1006),$O$1006:$Q$1006,0)), HYPERLINK("#",""), HYPERLINK(CONCATENATE("#metadata!", ADDRESS(INDEX($J$2:$J$1001,MATCH(ROWS($H$2:H205),$H$2:$H$1001,0),0), INDEX($O$1004:$Q$1004,1,MATCH(COLUMNS($O$1006:O1006),$O$1006:$Q$1006,0)))),"Fix")))</f>
        <v xml:space="preserve"> </v>
      </c>
      <c r="C205" s="3" t="str">
        <f ca="1">IF(OR(INDEX($I$2:$I$1001,MATCH(ROWS($H$2:H205),$H$2:$H$1001,0),1)&gt;=100000,INDEX($O$1005:$Q$1005,1,MATCH(COLUMNS($O$1006:P1006),$O$1006:$Q$1006,0))&gt;=100000), " ",IF(INDEX($O$2:$Q$1001,MATCH(ROWS($H$2:H205),$H$2:$H$1001,0),MATCH(COLUMNS($O$1006:P1006),$O$1006:$Q$1006,0)), HYPERLINK("#",""), HYPERLINK(CONCATENATE("#metadata!", ADDRESS(INDEX($J$2:$J$1001,MATCH(ROWS($H$2:H205),$H$2:$H$1001,0),0), INDEX($O$1004:$Q$1004,1,MATCH(COLUMNS($O$1006:P1006),$O$1006:$Q$1006,0)))),"Fix")))</f>
        <v xml:space="preserve"> </v>
      </c>
      <c r="D205" s="3" t="str">
        <f ca="1">IF(OR(INDEX($I$2:$I$1001,MATCH(ROWS($H$2:H205),$H$2:$H$1001,0),1)&gt;=100000,INDEX($O$1005:$Q$1005,1,MATCH(COLUMNS($O$1006:Q1006),$O$1006:$Q$1006,0))&gt;=100000), " ",IF(INDEX($O$2:$Q$1001,MATCH(ROWS($H$2:H205),$H$2:$H$1001,0),MATCH(COLUMNS($O$1006:Q1006),$O$1006:$Q$1006,0)), HYPERLINK("#",""), HYPERLINK(CONCATENATE("#metadata!", ADDRESS(INDEX($J$2:$J$1001,MATCH(ROWS($H$2:H205),$H$2:$H$1001,0),0), INDEX($O$1004:$Q$1004,1,MATCH(COLUMNS($O$1006:Q1006),$O$1006:$Q$1006,0)))),"Fix")))</f>
        <v xml:space="preserve"> </v>
      </c>
      <c r="H205">
        <v>204</v>
      </c>
      <c r="I205">
        <v>100205</v>
      </c>
      <c r="J205">
        <v>205</v>
      </c>
      <c r="K205" t="b">
        <f t="shared" si="3"/>
        <v>1</v>
      </c>
      <c r="L205" t="b">
        <f>COUNTBLANK(metadata!B205:D205)=COLUMNS(metadata!B205:D205)</f>
        <v>1</v>
      </c>
      <c r="M205" t="str">
        <v/>
      </c>
      <c r="O205" t="b">
        <f ca="1"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P205" t="b">
        <f>AND(IF(metadata!C205="",FALSE,TRUE),EXACT(metadata!C205,"mouse gut metagenome"))</f>
        <v>0</v>
      </c>
      <c r="Q205" t="b">
        <f>AND(IF(metadata!D205="",FALSE,TRUE),EXACT(metadata!D205,"410661"))</f>
        <v>0</v>
      </c>
    </row>
    <row r="206" spans="1:17" x14ac:dyDescent="0.2">
      <c r="A206" s="4" t="str">
        <f ca="1">IF(B206=" "," ",HYPERLINK(CONCATENATE("#metadata!",ADDRESS(INDEX($J$2:$J$1001,MATCH(ROWS($H$2:H206),$H$2:$H$1001,0),0),1)),INDEX($M$2:$M$1001,MATCH(ROWS($H$2:H206),$H$2:$H$1001,0),0)))</f>
        <v xml:space="preserve"> </v>
      </c>
      <c r="B206" s="3" t="str">
        <f ca="1">IF(OR(INDEX($I$2:$I$1001,MATCH(ROWS($H$2:H206),$H$2:$H$1001,0),1)&gt;=100000,INDEX($O$1005:$Q$1005,1,MATCH(COLUMNS($O$1006:O1006),$O$1006:$Q$1006,0))&gt;=100000), " ",IF(INDEX($O$2:$Q$1001,MATCH(ROWS($H$2:H206),$H$2:$H$1001,0),MATCH(COLUMNS($O$1006:O1006),$O$1006:$Q$1006,0)), HYPERLINK("#",""), HYPERLINK(CONCATENATE("#metadata!", ADDRESS(INDEX($J$2:$J$1001,MATCH(ROWS($H$2:H206),$H$2:$H$1001,0),0), INDEX($O$1004:$Q$1004,1,MATCH(COLUMNS($O$1006:O1006),$O$1006:$Q$1006,0)))),"Fix")))</f>
        <v xml:space="preserve"> </v>
      </c>
      <c r="C206" s="3" t="str">
        <f ca="1">IF(OR(INDEX($I$2:$I$1001,MATCH(ROWS($H$2:H206),$H$2:$H$1001,0),1)&gt;=100000,INDEX($O$1005:$Q$1005,1,MATCH(COLUMNS($O$1006:P1006),$O$1006:$Q$1006,0))&gt;=100000), " ",IF(INDEX($O$2:$Q$1001,MATCH(ROWS($H$2:H206),$H$2:$H$1001,0),MATCH(COLUMNS($O$1006:P1006),$O$1006:$Q$1006,0)), HYPERLINK("#",""), HYPERLINK(CONCATENATE("#metadata!", ADDRESS(INDEX($J$2:$J$1001,MATCH(ROWS($H$2:H206),$H$2:$H$1001,0),0), INDEX($O$1004:$Q$1004,1,MATCH(COLUMNS($O$1006:P1006),$O$1006:$Q$1006,0)))),"Fix")))</f>
        <v xml:space="preserve"> </v>
      </c>
      <c r="D206" s="3" t="str">
        <f ca="1">IF(OR(INDEX($I$2:$I$1001,MATCH(ROWS($H$2:H206),$H$2:$H$1001,0),1)&gt;=100000,INDEX($O$1005:$Q$1005,1,MATCH(COLUMNS($O$1006:Q1006),$O$1006:$Q$1006,0))&gt;=100000), " ",IF(INDEX($O$2:$Q$1001,MATCH(ROWS($H$2:H206),$H$2:$H$1001,0),MATCH(COLUMNS($O$1006:Q1006),$O$1006:$Q$1006,0)), HYPERLINK("#",""), HYPERLINK(CONCATENATE("#metadata!", ADDRESS(INDEX($J$2:$J$1001,MATCH(ROWS($H$2:H206),$H$2:$H$1001,0),0), INDEX($O$1004:$Q$1004,1,MATCH(COLUMNS($O$1006:Q1006),$O$1006:$Q$1006,0)))),"Fix")))</f>
        <v xml:space="preserve"> </v>
      </c>
      <c r="H206">
        <v>205</v>
      </c>
      <c r="I206">
        <v>100206</v>
      </c>
      <c r="J206">
        <v>206</v>
      </c>
      <c r="K206" t="b">
        <f t="shared" si="3"/>
        <v>1</v>
      </c>
      <c r="L206" t="b">
        <f>COUNTBLANK(metadata!B206:D206)=COLUMNS(metadata!B206:D206)</f>
        <v>1</v>
      </c>
      <c r="M206" t="str">
        <v/>
      </c>
      <c r="O206" t="b">
        <f ca="1"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P206" t="b">
        <f>AND(IF(metadata!C206="",FALSE,TRUE),EXACT(metadata!C206,"mouse gut metagenome"))</f>
        <v>0</v>
      </c>
      <c r="Q206" t="b">
        <f>AND(IF(metadata!D206="",FALSE,TRUE),EXACT(metadata!D206,"410661"))</f>
        <v>0</v>
      </c>
    </row>
    <row r="207" spans="1:17" x14ac:dyDescent="0.2">
      <c r="A207" s="4" t="str">
        <f ca="1">IF(B207=" "," ",HYPERLINK(CONCATENATE("#metadata!",ADDRESS(INDEX($J$2:$J$1001,MATCH(ROWS($H$2:H207),$H$2:$H$1001,0),0),1)),INDEX($M$2:$M$1001,MATCH(ROWS($H$2:H207),$H$2:$H$1001,0),0)))</f>
        <v xml:space="preserve"> </v>
      </c>
      <c r="B207" s="3" t="str">
        <f ca="1">IF(OR(INDEX($I$2:$I$1001,MATCH(ROWS($H$2:H207),$H$2:$H$1001,0),1)&gt;=100000,INDEX($O$1005:$Q$1005,1,MATCH(COLUMNS($O$1006:O1006),$O$1006:$Q$1006,0))&gt;=100000), " ",IF(INDEX($O$2:$Q$1001,MATCH(ROWS($H$2:H207),$H$2:$H$1001,0),MATCH(COLUMNS($O$1006:O1006),$O$1006:$Q$1006,0)), HYPERLINK("#",""), HYPERLINK(CONCATENATE("#metadata!", ADDRESS(INDEX($J$2:$J$1001,MATCH(ROWS($H$2:H207),$H$2:$H$1001,0),0), INDEX($O$1004:$Q$1004,1,MATCH(COLUMNS($O$1006:O1006),$O$1006:$Q$1006,0)))),"Fix")))</f>
        <v xml:space="preserve"> </v>
      </c>
      <c r="C207" s="3" t="str">
        <f ca="1">IF(OR(INDEX($I$2:$I$1001,MATCH(ROWS($H$2:H207),$H$2:$H$1001,0),1)&gt;=100000,INDEX($O$1005:$Q$1005,1,MATCH(COLUMNS($O$1006:P1006),$O$1006:$Q$1006,0))&gt;=100000), " ",IF(INDEX($O$2:$Q$1001,MATCH(ROWS($H$2:H207),$H$2:$H$1001,0),MATCH(COLUMNS($O$1006:P1006),$O$1006:$Q$1006,0)), HYPERLINK("#",""), HYPERLINK(CONCATENATE("#metadata!", ADDRESS(INDEX($J$2:$J$1001,MATCH(ROWS($H$2:H207),$H$2:$H$1001,0),0), INDEX($O$1004:$Q$1004,1,MATCH(COLUMNS($O$1006:P1006),$O$1006:$Q$1006,0)))),"Fix")))</f>
        <v xml:space="preserve"> </v>
      </c>
      <c r="D207" s="3" t="str">
        <f ca="1">IF(OR(INDEX($I$2:$I$1001,MATCH(ROWS($H$2:H207),$H$2:$H$1001,0),1)&gt;=100000,INDEX($O$1005:$Q$1005,1,MATCH(COLUMNS($O$1006:Q1006),$O$1006:$Q$1006,0))&gt;=100000), " ",IF(INDEX($O$2:$Q$1001,MATCH(ROWS($H$2:H207),$H$2:$H$1001,0),MATCH(COLUMNS($O$1006:Q1006),$O$1006:$Q$1006,0)), HYPERLINK("#",""), HYPERLINK(CONCATENATE("#metadata!", ADDRESS(INDEX($J$2:$J$1001,MATCH(ROWS($H$2:H207),$H$2:$H$1001,0),0), INDEX($O$1004:$Q$1004,1,MATCH(COLUMNS($O$1006:Q1006),$O$1006:$Q$1006,0)))),"Fix")))</f>
        <v xml:space="preserve"> </v>
      </c>
      <c r="H207">
        <v>206</v>
      </c>
      <c r="I207">
        <v>100207</v>
      </c>
      <c r="J207">
        <v>207</v>
      </c>
      <c r="K207" t="b">
        <f t="shared" si="3"/>
        <v>1</v>
      </c>
      <c r="L207" t="b">
        <f>COUNTBLANK(metadata!B207:D207)=COLUMNS(metadata!B207:D207)</f>
        <v>1</v>
      </c>
      <c r="M207" t="str">
        <v/>
      </c>
      <c r="O207" t="b">
        <f ca="1"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P207" t="b">
        <f>AND(IF(metadata!C207="",FALSE,TRUE),EXACT(metadata!C207,"mouse gut metagenome"))</f>
        <v>0</v>
      </c>
      <c r="Q207" t="b">
        <f>AND(IF(metadata!D207="",FALSE,TRUE),EXACT(metadata!D207,"410661"))</f>
        <v>0</v>
      </c>
    </row>
    <row r="208" spans="1:17" x14ac:dyDescent="0.2">
      <c r="A208" s="4" t="str">
        <f ca="1">IF(B208=" "," ",HYPERLINK(CONCATENATE("#metadata!",ADDRESS(INDEX($J$2:$J$1001,MATCH(ROWS($H$2:H208),$H$2:$H$1001,0),0),1)),INDEX($M$2:$M$1001,MATCH(ROWS($H$2:H208),$H$2:$H$1001,0),0)))</f>
        <v xml:space="preserve"> </v>
      </c>
      <c r="B208" s="3" t="str">
        <f ca="1">IF(OR(INDEX($I$2:$I$1001,MATCH(ROWS($H$2:H208),$H$2:$H$1001,0),1)&gt;=100000,INDEX($O$1005:$Q$1005,1,MATCH(COLUMNS($O$1006:O1006),$O$1006:$Q$1006,0))&gt;=100000), " ",IF(INDEX($O$2:$Q$1001,MATCH(ROWS($H$2:H208),$H$2:$H$1001,0),MATCH(COLUMNS($O$1006:O1006),$O$1006:$Q$1006,0)), HYPERLINK("#",""), HYPERLINK(CONCATENATE("#metadata!", ADDRESS(INDEX($J$2:$J$1001,MATCH(ROWS($H$2:H208),$H$2:$H$1001,0),0), INDEX($O$1004:$Q$1004,1,MATCH(COLUMNS($O$1006:O1006),$O$1006:$Q$1006,0)))),"Fix")))</f>
        <v xml:space="preserve"> </v>
      </c>
      <c r="C208" s="3" t="str">
        <f ca="1">IF(OR(INDEX($I$2:$I$1001,MATCH(ROWS($H$2:H208),$H$2:$H$1001,0),1)&gt;=100000,INDEX($O$1005:$Q$1005,1,MATCH(COLUMNS($O$1006:P1006),$O$1006:$Q$1006,0))&gt;=100000), " ",IF(INDEX($O$2:$Q$1001,MATCH(ROWS($H$2:H208),$H$2:$H$1001,0),MATCH(COLUMNS($O$1006:P1006),$O$1006:$Q$1006,0)), HYPERLINK("#",""), HYPERLINK(CONCATENATE("#metadata!", ADDRESS(INDEX($J$2:$J$1001,MATCH(ROWS($H$2:H208),$H$2:$H$1001,0),0), INDEX($O$1004:$Q$1004,1,MATCH(COLUMNS($O$1006:P1006),$O$1006:$Q$1006,0)))),"Fix")))</f>
        <v xml:space="preserve"> </v>
      </c>
      <c r="D208" s="3" t="str">
        <f ca="1">IF(OR(INDEX($I$2:$I$1001,MATCH(ROWS($H$2:H208),$H$2:$H$1001,0),1)&gt;=100000,INDEX($O$1005:$Q$1005,1,MATCH(COLUMNS($O$1006:Q1006),$O$1006:$Q$1006,0))&gt;=100000), " ",IF(INDEX($O$2:$Q$1001,MATCH(ROWS($H$2:H208),$H$2:$H$1001,0),MATCH(COLUMNS($O$1006:Q1006),$O$1006:$Q$1006,0)), HYPERLINK("#",""), HYPERLINK(CONCATENATE("#metadata!", ADDRESS(INDEX($J$2:$J$1001,MATCH(ROWS($H$2:H208),$H$2:$H$1001,0),0), INDEX($O$1004:$Q$1004,1,MATCH(COLUMNS($O$1006:Q1006),$O$1006:$Q$1006,0)))),"Fix")))</f>
        <v xml:space="preserve"> </v>
      </c>
      <c r="H208">
        <v>207</v>
      </c>
      <c r="I208">
        <v>100208</v>
      </c>
      <c r="J208">
        <v>208</v>
      </c>
      <c r="K208" t="b">
        <f t="shared" si="3"/>
        <v>1</v>
      </c>
      <c r="L208" t="b">
        <f>COUNTBLANK(metadata!B208:D208)=COLUMNS(metadata!B208:D208)</f>
        <v>1</v>
      </c>
      <c r="M208" t="str">
        <v/>
      </c>
      <c r="O208" t="b">
        <f ca="1"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P208" t="b">
        <f>AND(IF(metadata!C208="",FALSE,TRUE),EXACT(metadata!C208,"mouse gut metagenome"))</f>
        <v>0</v>
      </c>
      <c r="Q208" t="b">
        <f>AND(IF(metadata!D208="",FALSE,TRUE),EXACT(metadata!D208,"410661"))</f>
        <v>0</v>
      </c>
    </row>
    <row r="209" spans="1:17" x14ac:dyDescent="0.2">
      <c r="A209" s="4" t="str">
        <f ca="1">IF(B209=" "," ",HYPERLINK(CONCATENATE("#metadata!",ADDRESS(INDEX($J$2:$J$1001,MATCH(ROWS($H$2:H209),$H$2:$H$1001,0),0),1)),INDEX($M$2:$M$1001,MATCH(ROWS($H$2:H209),$H$2:$H$1001,0),0)))</f>
        <v xml:space="preserve"> </v>
      </c>
      <c r="B209" s="3" t="str">
        <f ca="1">IF(OR(INDEX($I$2:$I$1001,MATCH(ROWS($H$2:H209),$H$2:$H$1001,0),1)&gt;=100000,INDEX($O$1005:$Q$1005,1,MATCH(COLUMNS($O$1006:O1006),$O$1006:$Q$1006,0))&gt;=100000), " ",IF(INDEX($O$2:$Q$1001,MATCH(ROWS($H$2:H209),$H$2:$H$1001,0),MATCH(COLUMNS($O$1006:O1006),$O$1006:$Q$1006,0)), HYPERLINK("#",""), HYPERLINK(CONCATENATE("#metadata!", ADDRESS(INDEX($J$2:$J$1001,MATCH(ROWS($H$2:H209),$H$2:$H$1001,0),0), INDEX($O$1004:$Q$1004,1,MATCH(COLUMNS($O$1006:O1006),$O$1006:$Q$1006,0)))),"Fix")))</f>
        <v xml:space="preserve"> </v>
      </c>
      <c r="C209" s="3" t="str">
        <f ca="1">IF(OR(INDEX($I$2:$I$1001,MATCH(ROWS($H$2:H209),$H$2:$H$1001,0),1)&gt;=100000,INDEX($O$1005:$Q$1005,1,MATCH(COLUMNS($O$1006:P1006),$O$1006:$Q$1006,0))&gt;=100000), " ",IF(INDEX($O$2:$Q$1001,MATCH(ROWS($H$2:H209),$H$2:$H$1001,0),MATCH(COLUMNS($O$1006:P1006),$O$1006:$Q$1006,0)), HYPERLINK("#",""), HYPERLINK(CONCATENATE("#metadata!", ADDRESS(INDEX($J$2:$J$1001,MATCH(ROWS($H$2:H209),$H$2:$H$1001,0),0), INDEX($O$1004:$Q$1004,1,MATCH(COLUMNS($O$1006:P1006),$O$1006:$Q$1006,0)))),"Fix")))</f>
        <v xml:space="preserve"> </v>
      </c>
      <c r="D209" s="3" t="str">
        <f ca="1">IF(OR(INDEX($I$2:$I$1001,MATCH(ROWS($H$2:H209),$H$2:$H$1001,0),1)&gt;=100000,INDEX($O$1005:$Q$1005,1,MATCH(COLUMNS($O$1006:Q1006),$O$1006:$Q$1006,0))&gt;=100000), " ",IF(INDEX($O$2:$Q$1001,MATCH(ROWS($H$2:H209),$H$2:$H$1001,0),MATCH(COLUMNS($O$1006:Q1006),$O$1006:$Q$1006,0)), HYPERLINK("#",""), HYPERLINK(CONCATENATE("#metadata!", ADDRESS(INDEX($J$2:$J$1001,MATCH(ROWS($H$2:H209),$H$2:$H$1001,0),0), INDEX($O$1004:$Q$1004,1,MATCH(COLUMNS($O$1006:Q1006),$O$1006:$Q$1006,0)))),"Fix")))</f>
        <v xml:space="preserve"> </v>
      </c>
      <c r="H209">
        <v>208</v>
      </c>
      <c r="I209">
        <v>100209</v>
      </c>
      <c r="J209">
        <v>209</v>
      </c>
      <c r="K209" t="b">
        <f t="shared" si="3"/>
        <v>1</v>
      </c>
      <c r="L209" t="b">
        <f>COUNTBLANK(metadata!B209:D209)=COLUMNS(metadata!B209:D209)</f>
        <v>1</v>
      </c>
      <c r="M209" t="str">
        <v/>
      </c>
      <c r="O209" t="b">
        <f ca="1"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P209" t="b">
        <f>AND(IF(metadata!C209="",FALSE,TRUE),EXACT(metadata!C209,"mouse gut metagenome"))</f>
        <v>0</v>
      </c>
      <c r="Q209" t="b">
        <f>AND(IF(metadata!D209="",FALSE,TRUE),EXACT(metadata!D209,"410661"))</f>
        <v>0</v>
      </c>
    </row>
    <row r="210" spans="1:17" x14ac:dyDescent="0.2">
      <c r="A210" s="4" t="str">
        <f ca="1">IF(B210=" "," ",HYPERLINK(CONCATENATE("#metadata!",ADDRESS(INDEX($J$2:$J$1001,MATCH(ROWS($H$2:H210),$H$2:$H$1001,0),0),1)),INDEX($M$2:$M$1001,MATCH(ROWS($H$2:H210),$H$2:$H$1001,0),0)))</f>
        <v xml:space="preserve"> </v>
      </c>
      <c r="B210" s="3" t="str">
        <f ca="1">IF(OR(INDEX($I$2:$I$1001,MATCH(ROWS($H$2:H210),$H$2:$H$1001,0),1)&gt;=100000,INDEX($O$1005:$Q$1005,1,MATCH(COLUMNS($O$1006:O1006),$O$1006:$Q$1006,0))&gt;=100000), " ",IF(INDEX($O$2:$Q$1001,MATCH(ROWS($H$2:H210),$H$2:$H$1001,0),MATCH(COLUMNS($O$1006:O1006),$O$1006:$Q$1006,0)), HYPERLINK("#",""), HYPERLINK(CONCATENATE("#metadata!", ADDRESS(INDEX($J$2:$J$1001,MATCH(ROWS($H$2:H210),$H$2:$H$1001,0),0), INDEX($O$1004:$Q$1004,1,MATCH(COLUMNS($O$1006:O1006),$O$1006:$Q$1006,0)))),"Fix")))</f>
        <v xml:space="preserve"> </v>
      </c>
      <c r="C210" s="3" t="str">
        <f ca="1">IF(OR(INDEX($I$2:$I$1001,MATCH(ROWS($H$2:H210),$H$2:$H$1001,0),1)&gt;=100000,INDEX($O$1005:$Q$1005,1,MATCH(COLUMNS($O$1006:P1006),$O$1006:$Q$1006,0))&gt;=100000), " ",IF(INDEX($O$2:$Q$1001,MATCH(ROWS($H$2:H210),$H$2:$H$1001,0),MATCH(COLUMNS($O$1006:P1006),$O$1006:$Q$1006,0)), HYPERLINK("#",""), HYPERLINK(CONCATENATE("#metadata!", ADDRESS(INDEX($J$2:$J$1001,MATCH(ROWS($H$2:H210),$H$2:$H$1001,0),0), INDEX($O$1004:$Q$1004,1,MATCH(COLUMNS($O$1006:P1006),$O$1006:$Q$1006,0)))),"Fix")))</f>
        <v xml:space="preserve"> </v>
      </c>
      <c r="D210" s="3" t="str">
        <f ca="1">IF(OR(INDEX($I$2:$I$1001,MATCH(ROWS($H$2:H210),$H$2:$H$1001,0),1)&gt;=100000,INDEX($O$1005:$Q$1005,1,MATCH(COLUMNS($O$1006:Q1006),$O$1006:$Q$1006,0))&gt;=100000), " ",IF(INDEX($O$2:$Q$1001,MATCH(ROWS($H$2:H210),$H$2:$H$1001,0),MATCH(COLUMNS($O$1006:Q1006),$O$1006:$Q$1006,0)), HYPERLINK("#",""), HYPERLINK(CONCATENATE("#metadata!", ADDRESS(INDEX($J$2:$J$1001,MATCH(ROWS($H$2:H210),$H$2:$H$1001,0),0), INDEX($O$1004:$Q$1004,1,MATCH(COLUMNS($O$1006:Q1006),$O$1006:$Q$1006,0)))),"Fix")))</f>
        <v xml:space="preserve"> </v>
      </c>
      <c r="H210">
        <v>209</v>
      </c>
      <c r="I210">
        <v>100210</v>
      </c>
      <c r="J210">
        <v>210</v>
      </c>
      <c r="K210" t="b">
        <f t="shared" si="3"/>
        <v>1</v>
      </c>
      <c r="L210" t="b">
        <f>COUNTBLANK(metadata!B210:D210)=COLUMNS(metadata!B210:D210)</f>
        <v>1</v>
      </c>
      <c r="M210" t="str">
        <v/>
      </c>
      <c r="O210" t="b">
        <f ca="1"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P210" t="b">
        <f>AND(IF(metadata!C210="",FALSE,TRUE),EXACT(metadata!C210,"mouse gut metagenome"))</f>
        <v>0</v>
      </c>
      <c r="Q210" t="b">
        <f>AND(IF(metadata!D210="",FALSE,TRUE),EXACT(metadata!D210,"410661"))</f>
        <v>0</v>
      </c>
    </row>
    <row r="211" spans="1:17" x14ac:dyDescent="0.2">
      <c r="A211" s="4" t="str">
        <f ca="1">IF(B211=" "," ",HYPERLINK(CONCATENATE("#metadata!",ADDRESS(INDEX($J$2:$J$1001,MATCH(ROWS($H$2:H211),$H$2:$H$1001,0),0),1)),INDEX($M$2:$M$1001,MATCH(ROWS($H$2:H211),$H$2:$H$1001,0),0)))</f>
        <v xml:space="preserve"> </v>
      </c>
      <c r="B211" s="3" t="str">
        <f ca="1">IF(OR(INDEX($I$2:$I$1001,MATCH(ROWS($H$2:H211),$H$2:$H$1001,0),1)&gt;=100000,INDEX($O$1005:$Q$1005,1,MATCH(COLUMNS($O$1006:O1006),$O$1006:$Q$1006,0))&gt;=100000), " ",IF(INDEX($O$2:$Q$1001,MATCH(ROWS($H$2:H211),$H$2:$H$1001,0),MATCH(COLUMNS($O$1006:O1006),$O$1006:$Q$1006,0)), HYPERLINK("#",""), HYPERLINK(CONCATENATE("#metadata!", ADDRESS(INDEX($J$2:$J$1001,MATCH(ROWS($H$2:H211),$H$2:$H$1001,0),0), INDEX($O$1004:$Q$1004,1,MATCH(COLUMNS($O$1006:O1006),$O$1006:$Q$1006,0)))),"Fix")))</f>
        <v xml:space="preserve"> </v>
      </c>
      <c r="C211" s="3" t="str">
        <f ca="1">IF(OR(INDEX($I$2:$I$1001,MATCH(ROWS($H$2:H211),$H$2:$H$1001,0),1)&gt;=100000,INDEX($O$1005:$Q$1005,1,MATCH(COLUMNS($O$1006:P1006),$O$1006:$Q$1006,0))&gt;=100000), " ",IF(INDEX($O$2:$Q$1001,MATCH(ROWS($H$2:H211),$H$2:$H$1001,0),MATCH(COLUMNS($O$1006:P1006),$O$1006:$Q$1006,0)), HYPERLINK("#",""), HYPERLINK(CONCATENATE("#metadata!", ADDRESS(INDEX($J$2:$J$1001,MATCH(ROWS($H$2:H211),$H$2:$H$1001,0),0), INDEX($O$1004:$Q$1004,1,MATCH(COLUMNS($O$1006:P1006),$O$1006:$Q$1006,0)))),"Fix")))</f>
        <v xml:space="preserve"> </v>
      </c>
      <c r="D211" s="3" t="str">
        <f ca="1">IF(OR(INDEX($I$2:$I$1001,MATCH(ROWS($H$2:H211),$H$2:$H$1001,0),1)&gt;=100000,INDEX($O$1005:$Q$1005,1,MATCH(COLUMNS($O$1006:Q1006),$O$1006:$Q$1006,0))&gt;=100000), " ",IF(INDEX($O$2:$Q$1001,MATCH(ROWS($H$2:H211),$H$2:$H$1001,0),MATCH(COLUMNS($O$1006:Q1006),$O$1006:$Q$1006,0)), HYPERLINK("#",""), HYPERLINK(CONCATENATE("#metadata!", ADDRESS(INDEX($J$2:$J$1001,MATCH(ROWS($H$2:H211),$H$2:$H$1001,0),0), INDEX($O$1004:$Q$1004,1,MATCH(COLUMNS($O$1006:Q1006),$O$1006:$Q$1006,0)))),"Fix")))</f>
        <v xml:space="preserve"> </v>
      </c>
      <c r="H211">
        <v>210</v>
      </c>
      <c r="I211">
        <v>100211</v>
      </c>
      <c r="J211">
        <v>211</v>
      </c>
      <c r="K211" t="b">
        <f t="shared" si="3"/>
        <v>1</v>
      </c>
      <c r="L211" t="b">
        <f>COUNTBLANK(metadata!B211:D211)=COLUMNS(metadata!B211:D211)</f>
        <v>1</v>
      </c>
      <c r="M211" t="str">
        <v/>
      </c>
      <c r="O211" t="b">
        <f ca="1"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P211" t="b">
        <f>AND(IF(metadata!C211="",FALSE,TRUE),EXACT(metadata!C211,"mouse gut metagenome"))</f>
        <v>0</v>
      </c>
      <c r="Q211" t="b">
        <f>AND(IF(metadata!D211="",FALSE,TRUE),EXACT(metadata!D211,"410661"))</f>
        <v>0</v>
      </c>
    </row>
    <row r="212" spans="1:17" x14ac:dyDescent="0.2">
      <c r="A212" s="4" t="str">
        <f ca="1">IF(B212=" "," ",HYPERLINK(CONCATENATE("#metadata!",ADDRESS(INDEX($J$2:$J$1001,MATCH(ROWS($H$2:H212),$H$2:$H$1001,0),0),1)),INDEX($M$2:$M$1001,MATCH(ROWS($H$2:H212),$H$2:$H$1001,0),0)))</f>
        <v xml:space="preserve"> </v>
      </c>
      <c r="B212" s="3" t="str">
        <f ca="1">IF(OR(INDEX($I$2:$I$1001,MATCH(ROWS($H$2:H212),$H$2:$H$1001,0),1)&gt;=100000,INDEX($O$1005:$Q$1005,1,MATCH(COLUMNS($O$1006:O1006),$O$1006:$Q$1006,0))&gt;=100000), " ",IF(INDEX($O$2:$Q$1001,MATCH(ROWS($H$2:H212),$H$2:$H$1001,0),MATCH(COLUMNS($O$1006:O1006),$O$1006:$Q$1006,0)), HYPERLINK("#",""), HYPERLINK(CONCATENATE("#metadata!", ADDRESS(INDEX($J$2:$J$1001,MATCH(ROWS($H$2:H212),$H$2:$H$1001,0),0), INDEX($O$1004:$Q$1004,1,MATCH(COLUMNS($O$1006:O1006),$O$1006:$Q$1006,0)))),"Fix")))</f>
        <v xml:space="preserve"> </v>
      </c>
      <c r="C212" s="3" t="str">
        <f ca="1">IF(OR(INDEX($I$2:$I$1001,MATCH(ROWS($H$2:H212),$H$2:$H$1001,0),1)&gt;=100000,INDEX($O$1005:$Q$1005,1,MATCH(COLUMNS($O$1006:P1006),$O$1006:$Q$1006,0))&gt;=100000), " ",IF(INDEX($O$2:$Q$1001,MATCH(ROWS($H$2:H212),$H$2:$H$1001,0),MATCH(COLUMNS($O$1006:P1006),$O$1006:$Q$1006,0)), HYPERLINK("#",""), HYPERLINK(CONCATENATE("#metadata!", ADDRESS(INDEX($J$2:$J$1001,MATCH(ROWS($H$2:H212),$H$2:$H$1001,0),0), INDEX($O$1004:$Q$1004,1,MATCH(COLUMNS($O$1006:P1006),$O$1006:$Q$1006,0)))),"Fix")))</f>
        <v xml:space="preserve"> </v>
      </c>
      <c r="D212" s="3" t="str">
        <f ca="1">IF(OR(INDEX($I$2:$I$1001,MATCH(ROWS($H$2:H212),$H$2:$H$1001,0),1)&gt;=100000,INDEX($O$1005:$Q$1005,1,MATCH(COLUMNS($O$1006:Q1006),$O$1006:$Q$1006,0))&gt;=100000), " ",IF(INDEX($O$2:$Q$1001,MATCH(ROWS($H$2:H212),$H$2:$H$1001,0),MATCH(COLUMNS($O$1006:Q1006),$O$1006:$Q$1006,0)), HYPERLINK("#",""), HYPERLINK(CONCATENATE("#metadata!", ADDRESS(INDEX($J$2:$J$1001,MATCH(ROWS($H$2:H212),$H$2:$H$1001,0),0), INDEX($O$1004:$Q$1004,1,MATCH(COLUMNS($O$1006:Q1006),$O$1006:$Q$1006,0)))),"Fix")))</f>
        <v xml:space="preserve"> </v>
      </c>
      <c r="H212">
        <v>211</v>
      </c>
      <c r="I212">
        <v>100212</v>
      </c>
      <c r="J212">
        <v>212</v>
      </c>
      <c r="K212" t="b">
        <f t="shared" si="3"/>
        <v>1</v>
      </c>
      <c r="L212" t="b">
        <f>COUNTBLANK(metadata!B212:D212)=COLUMNS(metadata!B212:D212)</f>
        <v>1</v>
      </c>
      <c r="M212" t="str">
        <v/>
      </c>
      <c r="O212" t="b">
        <f ca="1"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P212" t="b">
        <f>AND(IF(metadata!C212="",FALSE,TRUE),EXACT(metadata!C212,"mouse gut metagenome"))</f>
        <v>0</v>
      </c>
      <c r="Q212" t="b">
        <f>AND(IF(metadata!D212="",FALSE,TRUE),EXACT(metadata!D212,"410661"))</f>
        <v>0</v>
      </c>
    </row>
    <row r="213" spans="1:17" x14ac:dyDescent="0.2">
      <c r="A213" s="4" t="str">
        <f ca="1">IF(B213=" "," ",HYPERLINK(CONCATENATE("#metadata!",ADDRESS(INDEX($J$2:$J$1001,MATCH(ROWS($H$2:H213),$H$2:$H$1001,0),0),1)),INDEX($M$2:$M$1001,MATCH(ROWS($H$2:H213),$H$2:$H$1001,0),0)))</f>
        <v xml:space="preserve"> </v>
      </c>
      <c r="B213" s="3" t="str">
        <f ca="1">IF(OR(INDEX($I$2:$I$1001,MATCH(ROWS($H$2:H213),$H$2:$H$1001,0),1)&gt;=100000,INDEX($O$1005:$Q$1005,1,MATCH(COLUMNS($O$1006:O1006),$O$1006:$Q$1006,0))&gt;=100000), " ",IF(INDEX($O$2:$Q$1001,MATCH(ROWS($H$2:H213),$H$2:$H$1001,0),MATCH(COLUMNS($O$1006:O1006),$O$1006:$Q$1006,0)), HYPERLINK("#",""), HYPERLINK(CONCATENATE("#metadata!", ADDRESS(INDEX($J$2:$J$1001,MATCH(ROWS($H$2:H213),$H$2:$H$1001,0),0), INDEX($O$1004:$Q$1004,1,MATCH(COLUMNS($O$1006:O1006),$O$1006:$Q$1006,0)))),"Fix")))</f>
        <v xml:space="preserve"> </v>
      </c>
      <c r="C213" s="3" t="str">
        <f ca="1">IF(OR(INDEX($I$2:$I$1001,MATCH(ROWS($H$2:H213),$H$2:$H$1001,0),1)&gt;=100000,INDEX($O$1005:$Q$1005,1,MATCH(COLUMNS($O$1006:P1006),$O$1006:$Q$1006,0))&gt;=100000), " ",IF(INDEX($O$2:$Q$1001,MATCH(ROWS($H$2:H213),$H$2:$H$1001,0),MATCH(COLUMNS($O$1006:P1006),$O$1006:$Q$1006,0)), HYPERLINK("#",""), HYPERLINK(CONCATENATE("#metadata!", ADDRESS(INDEX($J$2:$J$1001,MATCH(ROWS($H$2:H213),$H$2:$H$1001,0),0), INDEX($O$1004:$Q$1004,1,MATCH(COLUMNS($O$1006:P1006),$O$1006:$Q$1006,0)))),"Fix")))</f>
        <v xml:space="preserve"> </v>
      </c>
      <c r="D213" s="3" t="str">
        <f ca="1">IF(OR(INDEX($I$2:$I$1001,MATCH(ROWS($H$2:H213),$H$2:$H$1001,0),1)&gt;=100000,INDEX($O$1005:$Q$1005,1,MATCH(COLUMNS($O$1006:Q1006),$O$1006:$Q$1006,0))&gt;=100000), " ",IF(INDEX($O$2:$Q$1001,MATCH(ROWS($H$2:H213),$H$2:$H$1001,0),MATCH(COLUMNS($O$1006:Q1006),$O$1006:$Q$1006,0)), HYPERLINK("#",""), HYPERLINK(CONCATENATE("#metadata!", ADDRESS(INDEX($J$2:$J$1001,MATCH(ROWS($H$2:H213),$H$2:$H$1001,0),0), INDEX($O$1004:$Q$1004,1,MATCH(COLUMNS($O$1006:Q1006),$O$1006:$Q$1006,0)))),"Fix")))</f>
        <v xml:space="preserve"> </v>
      </c>
      <c r="H213">
        <v>212</v>
      </c>
      <c r="I213">
        <v>100213</v>
      </c>
      <c r="J213">
        <v>213</v>
      </c>
      <c r="K213" t="b">
        <f t="shared" si="3"/>
        <v>1</v>
      </c>
      <c r="L213" t="b">
        <f>COUNTBLANK(metadata!B213:D213)=COLUMNS(metadata!B213:D213)</f>
        <v>1</v>
      </c>
      <c r="M213" t="str">
        <v/>
      </c>
      <c r="O213" t="b">
        <f ca="1"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P213" t="b">
        <f>AND(IF(metadata!C213="",FALSE,TRUE),EXACT(metadata!C213,"mouse gut metagenome"))</f>
        <v>0</v>
      </c>
      <c r="Q213" t="b">
        <f>AND(IF(metadata!D213="",FALSE,TRUE),EXACT(metadata!D213,"410661"))</f>
        <v>0</v>
      </c>
    </row>
    <row r="214" spans="1:17" x14ac:dyDescent="0.2">
      <c r="A214" s="4" t="str">
        <f ca="1">IF(B214=" "," ",HYPERLINK(CONCATENATE("#metadata!",ADDRESS(INDEX($J$2:$J$1001,MATCH(ROWS($H$2:H214),$H$2:$H$1001,0),0),1)),INDEX($M$2:$M$1001,MATCH(ROWS($H$2:H214),$H$2:$H$1001,0),0)))</f>
        <v xml:space="preserve"> </v>
      </c>
      <c r="B214" s="3" t="str">
        <f ca="1">IF(OR(INDEX($I$2:$I$1001,MATCH(ROWS($H$2:H214),$H$2:$H$1001,0),1)&gt;=100000,INDEX($O$1005:$Q$1005,1,MATCH(COLUMNS($O$1006:O1006),$O$1006:$Q$1006,0))&gt;=100000), " ",IF(INDEX($O$2:$Q$1001,MATCH(ROWS($H$2:H214),$H$2:$H$1001,0),MATCH(COLUMNS($O$1006:O1006),$O$1006:$Q$1006,0)), HYPERLINK("#",""), HYPERLINK(CONCATENATE("#metadata!", ADDRESS(INDEX($J$2:$J$1001,MATCH(ROWS($H$2:H214),$H$2:$H$1001,0),0), INDEX($O$1004:$Q$1004,1,MATCH(COLUMNS($O$1006:O1006),$O$1006:$Q$1006,0)))),"Fix")))</f>
        <v xml:space="preserve"> </v>
      </c>
      <c r="C214" s="3" t="str">
        <f ca="1">IF(OR(INDEX($I$2:$I$1001,MATCH(ROWS($H$2:H214),$H$2:$H$1001,0),1)&gt;=100000,INDEX($O$1005:$Q$1005,1,MATCH(COLUMNS($O$1006:P1006),$O$1006:$Q$1006,0))&gt;=100000), " ",IF(INDEX($O$2:$Q$1001,MATCH(ROWS($H$2:H214),$H$2:$H$1001,0),MATCH(COLUMNS($O$1006:P1006),$O$1006:$Q$1006,0)), HYPERLINK("#",""), HYPERLINK(CONCATENATE("#metadata!", ADDRESS(INDEX($J$2:$J$1001,MATCH(ROWS($H$2:H214),$H$2:$H$1001,0),0), INDEX($O$1004:$Q$1004,1,MATCH(COLUMNS($O$1006:P1006),$O$1006:$Q$1006,0)))),"Fix")))</f>
        <v xml:space="preserve"> </v>
      </c>
      <c r="D214" s="3" t="str">
        <f ca="1">IF(OR(INDEX($I$2:$I$1001,MATCH(ROWS($H$2:H214),$H$2:$H$1001,0),1)&gt;=100000,INDEX($O$1005:$Q$1005,1,MATCH(COLUMNS($O$1006:Q1006),$O$1006:$Q$1006,0))&gt;=100000), " ",IF(INDEX($O$2:$Q$1001,MATCH(ROWS($H$2:H214),$H$2:$H$1001,0),MATCH(COLUMNS($O$1006:Q1006),$O$1006:$Q$1006,0)), HYPERLINK("#",""), HYPERLINK(CONCATENATE("#metadata!", ADDRESS(INDEX($J$2:$J$1001,MATCH(ROWS($H$2:H214),$H$2:$H$1001,0),0), INDEX($O$1004:$Q$1004,1,MATCH(COLUMNS($O$1006:Q1006),$O$1006:$Q$1006,0)))),"Fix")))</f>
        <v xml:space="preserve"> </v>
      </c>
      <c r="H214">
        <v>213</v>
      </c>
      <c r="I214">
        <v>100214</v>
      </c>
      <c r="J214">
        <v>214</v>
      </c>
      <c r="K214" t="b">
        <f t="shared" si="3"/>
        <v>1</v>
      </c>
      <c r="L214" t="b">
        <f>COUNTBLANK(metadata!B214:D214)=COLUMNS(metadata!B214:D214)</f>
        <v>1</v>
      </c>
      <c r="M214" t="str">
        <v/>
      </c>
      <c r="O214" t="b">
        <f ca="1"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P214" t="b">
        <f>AND(IF(metadata!C214="",FALSE,TRUE),EXACT(metadata!C214,"mouse gut metagenome"))</f>
        <v>0</v>
      </c>
      <c r="Q214" t="b">
        <f>AND(IF(metadata!D214="",FALSE,TRUE),EXACT(metadata!D214,"410661"))</f>
        <v>0</v>
      </c>
    </row>
    <row r="215" spans="1:17" x14ac:dyDescent="0.2">
      <c r="A215" s="4" t="str">
        <f ca="1">IF(B215=" "," ",HYPERLINK(CONCATENATE("#metadata!",ADDRESS(INDEX($J$2:$J$1001,MATCH(ROWS($H$2:H215),$H$2:$H$1001,0),0),1)),INDEX($M$2:$M$1001,MATCH(ROWS($H$2:H215),$H$2:$H$1001,0),0)))</f>
        <v xml:space="preserve"> </v>
      </c>
      <c r="B215" s="3" t="str">
        <f ca="1">IF(OR(INDEX($I$2:$I$1001,MATCH(ROWS($H$2:H215),$H$2:$H$1001,0),1)&gt;=100000,INDEX($O$1005:$Q$1005,1,MATCH(COLUMNS($O$1006:O1006),$O$1006:$Q$1006,0))&gt;=100000), " ",IF(INDEX($O$2:$Q$1001,MATCH(ROWS($H$2:H215),$H$2:$H$1001,0),MATCH(COLUMNS($O$1006:O1006),$O$1006:$Q$1006,0)), HYPERLINK("#",""), HYPERLINK(CONCATENATE("#metadata!", ADDRESS(INDEX($J$2:$J$1001,MATCH(ROWS($H$2:H215),$H$2:$H$1001,0),0), INDEX($O$1004:$Q$1004,1,MATCH(COLUMNS($O$1006:O1006),$O$1006:$Q$1006,0)))),"Fix")))</f>
        <v xml:space="preserve"> </v>
      </c>
      <c r="C215" s="3" t="str">
        <f ca="1">IF(OR(INDEX($I$2:$I$1001,MATCH(ROWS($H$2:H215),$H$2:$H$1001,0),1)&gt;=100000,INDEX($O$1005:$Q$1005,1,MATCH(COLUMNS($O$1006:P1006),$O$1006:$Q$1006,0))&gt;=100000), " ",IF(INDEX($O$2:$Q$1001,MATCH(ROWS($H$2:H215),$H$2:$H$1001,0),MATCH(COLUMNS($O$1006:P1006),$O$1006:$Q$1006,0)), HYPERLINK("#",""), HYPERLINK(CONCATENATE("#metadata!", ADDRESS(INDEX($J$2:$J$1001,MATCH(ROWS($H$2:H215),$H$2:$H$1001,0),0), INDEX($O$1004:$Q$1004,1,MATCH(COLUMNS($O$1006:P1006),$O$1006:$Q$1006,0)))),"Fix")))</f>
        <v xml:space="preserve"> </v>
      </c>
      <c r="D215" s="3" t="str">
        <f ca="1">IF(OR(INDEX($I$2:$I$1001,MATCH(ROWS($H$2:H215),$H$2:$H$1001,0),1)&gt;=100000,INDEX($O$1005:$Q$1005,1,MATCH(COLUMNS($O$1006:Q1006),$O$1006:$Q$1006,0))&gt;=100000), " ",IF(INDEX($O$2:$Q$1001,MATCH(ROWS($H$2:H215),$H$2:$H$1001,0),MATCH(COLUMNS($O$1006:Q1006),$O$1006:$Q$1006,0)), HYPERLINK("#",""), HYPERLINK(CONCATENATE("#metadata!", ADDRESS(INDEX($J$2:$J$1001,MATCH(ROWS($H$2:H215),$H$2:$H$1001,0),0), INDEX($O$1004:$Q$1004,1,MATCH(COLUMNS($O$1006:Q1006),$O$1006:$Q$1006,0)))),"Fix")))</f>
        <v xml:space="preserve"> </v>
      </c>
      <c r="H215">
        <v>214</v>
      </c>
      <c r="I215">
        <v>100215</v>
      </c>
      <c r="J215">
        <v>215</v>
      </c>
      <c r="K215" t="b">
        <f t="shared" si="3"/>
        <v>1</v>
      </c>
      <c r="L215" t="b">
        <f>COUNTBLANK(metadata!B215:D215)=COLUMNS(metadata!B215:D215)</f>
        <v>1</v>
      </c>
      <c r="M215" t="str">
        <v/>
      </c>
      <c r="O215" t="b">
        <f ca="1"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P215" t="b">
        <f>AND(IF(metadata!C215="",FALSE,TRUE),EXACT(metadata!C215,"mouse gut metagenome"))</f>
        <v>0</v>
      </c>
      <c r="Q215" t="b">
        <f>AND(IF(metadata!D215="",FALSE,TRUE),EXACT(metadata!D215,"410661"))</f>
        <v>0</v>
      </c>
    </row>
    <row r="216" spans="1:17" x14ac:dyDescent="0.2">
      <c r="A216" s="4" t="str">
        <f ca="1">IF(B216=" "," ",HYPERLINK(CONCATENATE("#metadata!",ADDRESS(INDEX($J$2:$J$1001,MATCH(ROWS($H$2:H216),$H$2:$H$1001,0),0),1)),INDEX($M$2:$M$1001,MATCH(ROWS($H$2:H216),$H$2:$H$1001,0),0)))</f>
        <v xml:space="preserve"> </v>
      </c>
      <c r="B216" s="3" t="str">
        <f ca="1">IF(OR(INDEX($I$2:$I$1001,MATCH(ROWS($H$2:H216),$H$2:$H$1001,0),1)&gt;=100000,INDEX($O$1005:$Q$1005,1,MATCH(COLUMNS($O$1006:O1006),$O$1006:$Q$1006,0))&gt;=100000), " ",IF(INDEX($O$2:$Q$1001,MATCH(ROWS($H$2:H216),$H$2:$H$1001,0),MATCH(COLUMNS($O$1006:O1006),$O$1006:$Q$1006,0)), HYPERLINK("#",""), HYPERLINK(CONCATENATE("#metadata!", ADDRESS(INDEX($J$2:$J$1001,MATCH(ROWS($H$2:H216),$H$2:$H$1001,0),0), INDEX($O$1004:$Q$1004,1,MATCH(COLUMNS($O$1006:O1006),$O$1006:$Q$1006,0)))),"Fix")))</f>
        <v xml:space="preserve"> </v>
      </c>
      <c r="C216" s="3" t="str">
        <f ca="1">IF(OR(INDEX($I$2:$I$1001,MATCH(ROWS($H$2:H216),$H$2:$H$1001,0),1)&gt;=100000,INDEX($O$1005:$Q$1005,1,MATCH(COLUMNS($O$1006:P1006),$O$1006:$Q$1006,0))&gt;=100000), " ",IF(INDEX($O$2:$Q$1001,MATCH(ROWS($H$2:H216),$H$2:$H$1001,0),MATCH(COLUMNS($O$1006:P1006),$O$1006:$Q$1006,0)), HYPERLINK("#",""), HYPERLINK(CONCATENATE("#metadata!", ADDRESS(INDEX($J$2:$J$1001,MATCH(ROWS($H$2:H216),$H$2:$H$1001,0),0), INDEX($O$1004:$Q$1004,1,MATCH(COLUMNS($O$1006:P1006),$O$1006:$Q$1006,0)))),"Fix")))</f>
        <v xml:space="preserve"> </v>
      </c>
      <c r="D216" s="3" t="str">
        <f ca="1">IF(OR(INDEX($I$2:$I$1001,MATCH(ROWS($H$2:H216),$H$2:$H$1001,0),1)&gt;=100000,INDEX($O$1005:$Q$1005,1,MATCH(COLUMNS($O$1006:Q1006),$O$1006:$Q$1006,0))&gt;=100000), " ",IF(INDEX($O$2:$Q$1001,MATCH(ROWS($H$2:H216),$H$2:$H$1001,0),MATCH(COLUMNS($O$1006:Q1006),$O$1006:$Q$1006,0)), HYPERLINK("#",""), HYPERLINK(CONCATENATE("#metadata!", ADDRESS(INDEX($J$2:$J$1001,MATCH(ROWS($H$2:H216),$H$2:$H$1001,0),0), INDEX($O$1004:$Q$1004,1,MATCH(COLUMNS($O$1006:Q1006),$O$1006:$Q$1006,0)))),"Fix")))</f>
        <v xml:space="preserve"> </v>
      </c>
      <c r="H216">
        <v>215</v>
      </c>
      <c r="I216">
        <v>100216</v>
      </c>
      <c r="J216">
        <v>216</v>
      </c>
      <c r="K216" t="b">
        <f t="shared" si="3"/>
        <v>1</v>
      </c>
      <c r="L216" t="b">
        <f>COUNTBLANK(metadata!B216:D216)=COLUMNS(metadata!B216:D216)</f>
        <v>1</v>
      </c>
      <c r="M216" t="str">
        <v/>
      </c>
      <c r="O216" t="b">
        <f ca="1"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P216" t="b">
        <f>AND(IF(metadata!C216="",FALSE,TRUE),EXACT(metadata!C216,"mouse gut metagenome"))</f>
        <v>0</v>
      </c>
      <c r="Q216" t="b">
        <f>AND(IF(metadata!D216="",FALSE,TRUE),EXACT(metadata!D216,"410661"))</f>
        <v>0</v>
      </c>
    </row>
    <row r="217" spans="1:17" x14ac:dyDescent="0.2">
      <c r="A217" s="4" t="str">
        <f ca="1">IF(B217=" "," ",HYPERLINK(CONCATENATE("#metadata!",ADDRESS(INDEX($J$2:$J$1001,MATCH(ROWS($H$2:H217),$H$2:$H$1001,0),0),1)),INDEX($M$2:$M$1001,MATCH(ROWS($H$2:H217),$H$2:$H$1001,0),0)))</f>
        <v xml:space="preserve"> </v>
      </c>
      <c r="B217" s="3" t="str">
        <f ca="1">IF(OR(INDEX($I$2:$I$1001,MATCH(ROWS($H$2:H217),$H$2:$H$1001,0),1)&gt;=100000,INDEX($O$1005:$Q$1005,1,MATCH(COLUMNS($O$1006:O1006),$O$1006:$Q$1006,0))&gt;=100000), " ",IF(INDEX($O$2:$Q$1001,MATCH(ROWS($H$2:H217),$H$2:$H$1001,0),MATCH(COLUMNS($O$1006:O1006),$O$1006:$Q$1006,0)), HYPERLINK("#",""), HYPERLINK(CONCATENATE("#metadata!", ADDRESS(INDEX($J$2:$J$1001,MATCH(ROWS($H$2:H217),$H$2:$H$1001,0),0), INDEX($O$1004:$Q$1004,1,MATCH(COLUMNS($O$1006:O1006),$O$1006:$Q$1006,0)))),"Fix")))</f>
        <v xml:space="preserve"> </v>
      </c>
      <c r="C217" s="3" t="str">
        <f ca="1">IF(OR(INDEX($I$2:$I$1001,MATCH(ROWS($H$2:H217),$H$2:$H$1001,0),1)&gt;=100000,INDEX($O$1005:$Q$1005,1,MATCH(COLUMNS($O$1006:P1006),$O$1006:$Q$1006,0))&gt;=100000), " ",IF(INDEX($O$2:$Q$1001,MATCH(ROWS($H$2:H217),$H$2:$H$1001,0),MATCH(COLUMNS($O$1006:P1006),$O$1006:$Q$1006,0)), HYPERLINK("#",""), HYPERLINK(CONCATENATE("#metadata!", ADDRESS(INDEX($J$2:$J$1001,MATCH(ROWS($H$2:H217),$H$2:$H$1001,0),0), INDEX($O$1004:$Q$1004,1,MATCH(COLUMNS($O$1006:P1006),$O$1006:$Q$1006,0)))),"Fix")))</f>
        <v xml:space="preserve"> </v>
      </c>
      <c r="D217" s="3" t="str">
        <f ca="1">IF(OR(INDEX($I$2:$I$1001,MATCH(ROWS($H$2:H217),$H$2:$H$1001,0),1)&gt;=100000,INDEX($O$1005:$Q$1005,1,MATCH(COLUMNS($O$1006:Q1006),$O$1006:$Q$1006,0))&gt;=100000), " ",IF(INDEX($O$2:$Q$1001,MATCH(ROWS($H$2:H217),$H$2:$H$1001,0),MATCH(COLUMNS($O$1006:Q1006),$O$1006:$Q$1006,0)), HYPERLINK("#",""), HYPERLINK(CONCATENATE("#metadata!", ADDRESS(INDEX($J$2:$J$1001,MATCH(ROWS($H$2:H217),$H$2:$H$1001,0),0), INDEX($O$1004:$Q$1004,1,MATCH(COLUMNS($O$1006:Q1006),$O$1006:$Q$1006,0)))),"Fix")))</f>
        <v xml:space="preserve"> </v>
      </c>
      <c r="H217">
        <v>216</v>
      </c>
      <c r="I217">
        <v>100217</v>
      </c>
      <c r="J217">
        <v>217</v>
      </c>
      <c r="K217" t="b">
        <f t="shared" si="3"/>
        <v>1</v>
      </c>
      <c r="L217" t="b">
        <f>COUNTBLANK(metadata!B217:D217)=COLUMNS(metadata!B217:D217)</f>
        <v>1</v>
      </c>
      <c r="M217" t="str">
        <v/>
      </c>
      <c r="O217" t="b">
        <f ca="1"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P217" t="b">
        <f>AND(IF(metadata!C217="",FALSE,TRUE),EXACT(metadata!C217,"mouse gut metagenome"))</f>
        <v>0</v>
      </c>
      <c r="Q217" t="b">
        <f>AND(IF(metadata!D217="",FALSE,TRUE),EXACT(metadata!D217,"410661"))</f>
        <v>0</v>
      </c>
    </row>
    <row r="218" spans="1:17" x14ac:dyDescent="0.2">
      <c r="A218" s="4" t="str">
        <f ca="1">IF(B218=" "," ",HYPERLINK(CONCATENATE("#metadata!",ADDRESS(INDEX($J$2:$J$1001,MATCH(ROWS($H$2:H218),$H$2:$H$1001,0),0),1)),INDEX($M$2:$M$1001,MATCH(ROWS($H$2:H218),$H$2:$H$1001,0),0)))</f>
        <v xml:space="preserve"> </v>
      </c>
      <c r="B218" s="3" t="str">
        <f ca="1">IF(OR(INDEX($I$2:$I$1001,MATCH(ROWS($H$2:H218),$H$2:$H$1001,0),1)&gt;=100000,INDEX($O$1005:$Q$1005,1,MATCH(COLUMNS($O$1006:O1006),$O$1006:$Q$1006,0))&gt;=100000), " ",IF(INDEX($O$2:$Q$1001,MATCH(ROWS($H$2:H218),$H$2:$H$1001,0),MATCH(COLUMNS($O$1006:O1006),$O$1006:$Q$1006,0)), HYPERLINK("#",""), HYPERLINK(CONCATENATE("#metadata!", ADDRESS(INDEX($J$2:$J$1001,MATCH(ROWS($H$2:H218),$H$2:$H$1001,0),0), INDEX($O$1004:$Q$1004,1,MATCH(COLUMNS($O$1006:O1006),$O$1006:$Q$1006,0)))),"Fix")))</f>
        <v xml:space="preserve"> </v>
      </c>
      <c r="C218" s="3" t="str">
        <f ca="1">IF(OR(INDEX($I$2:$I$1001,MATCH(ROWS($H$2:H218),$H$2:$H$1001,0),1)&gt;=100000,INDEX($O$1005:$Q$1005,1,MATCH(COLUMNS($O$1006:P1006),$O$1006:$Q$1006,0))&gt;=100000), " ",IF(INDEX($O$2:$Q$1001,MATCH(ROWS($H$2:H218),$H$2:$H$1001,0),MATCH(COLUMNS($O$1006:P1006),$O$1006:$Q$1006,0)), HYPERLINK("#",""), HYPERLINK(CONCATENATE("#metadata!", ADDRESS(INDEX($J$2:$J$1001,MATCH(ROWS($H$2:H218),$H$2:$H$1001,0),0), INDEX($O$1004:$Q$1004,1,MATCH(COLUMNS($O$1006:P1006),$O$1006:$Q$1006,0)))),"Fix")))</f>
        <v xml:space="preserve"> </v>
      </c>
      <c r="D218" s="3" t="str">
        <f ca="1">IF(OR(INDEX($I$2:$I$1001,MATCH(ROWS($H$2:H218),$H$2:$H$1001,0),1)&gt;=100000,INDEX($O$1005:$Q$1005,1,MATCH(COLUMNS($O$1006:Q1006),$O$1006:$Q$1006,0))&gt;=100000), " ",IF(INDEX($O$2:$Q$1001,MATCH(ROWS($H$2:H218),$H$2:$H$1001,0),MATCH(COLUMNS($O$1006:Q1006),$O$1006:$Q$1006,0)), HYPERLINK("#",""), HYPERLINK(CONCATENATE("#metadata!", ADDRESS(INDEX($J$2:$J$1001,MATCH(ROWS($H$2:H218),$H$2:$H$1001,0),0), INDEX($O$1004:$Q$1004,1,MATCH(COLUMNS($O$1006:Q1006),$O$1006:$Q$1006,0)))),"Fix")))</f>
        <v xml:space="preserve"> </v>
      </c>
      <c r="H218">
        <v>217</v>
      </c>
      <c r="I218">
        <v>100218</v>
      </c>
      <c r="J218">
        <v>218</v>
      </c>
      <c r="K218" t="b">
        <f t="shared" si="3"/>
        <v>1</v>
      </c>
      <c r="L218" t="b">
        <f>COUNTBLANK(metadata!B218:D218)=COLUMNS(metadata!B218:D218)</f>
        <v>1</v>
      </c>
      <c r="M218" t="str">
        <v/>
      </c>
      <c r="O218" t="b">
        <f ca="1"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P218" t="b">
        <f>AND(IF(metadata!C218="",FALSE,TRUE),EXACT(metadata!C218,"mouse gut metagenome"))</f>
        <v>0</v>
      </c>
      <c r="Q218" t="b">
        <f>AND(IF(metadata!D218="",FALSE,TRUE),EXACT(metadata!D218,"410661"))</f>
        <v>0</v>
      </c>
    </row>
    <row r="219" spans="1:17" x14ac:dyDescent="0.2">
      <c r="A219" s="4" t="str">
        <f ca="1">IF(B219=" "," ",HYPERLINK(CONCATENATE("#metadata!",ADDRESS(INDEX($J$2:$J$1001,MATCH(ROWS($H$2:H219),$H$2:$H$1001,0),0),1)),INDEX($M$2:$M$1001,MATCH(ROWS($H$2:H219),$H$2:$H$1001,0),0)))</f>
        <v xml:space="preserve"> </v>
      </c>
      <c r="B219" s="3" t="str">
        <f ca="1">IF(OR(INDEX($I$2:$I$1001,MATCH(ROWS($H$2:H219),$H$2:$H$1001,0),1)&gt;=100000,INDEX($O$1005:$Q$1005,1,MATCH(COLUMNS($O$1006:O1006),$O$1006:$Q$1006,0))&gt;=100000), " ",IF(INDEX($O$2:$Q$1001,MATCH(ROWS($H$2:H219),$H$2:$H$1001,0),MATCH(COLUMNS($O$1006:O1006),$O$1006:$Q$1006,0)), HYPERLINK("#",""), HYPERLINK(CONCATENATE("#metadata!", ADDRESS(INDEX($J$2:$J$1001,MATCH(ROWS($H$2:H219),$H$2:$H$1001,0),0), INDEX($O$1004:$Q$1004,1,MATCH(COLUMNS($O$1006:O1006),$O$1006:$Q$1006,0)))),"Fix")))</f>
        <v xml:space="preserve"> </v>
      </c>
      <c r="C219" s="3" t="str">
        <f ca="1">IF(OR(INDEX($I$2:$I$1001,MATCH(ROWS($H$2:H219),$H$2:$H$1001,0),1)&gt;=100000,INDEX($O$1005:$Q$1005,1,MATCH(COLUMNS($O$1006:P1006),$O$1006:$Q$1006,0))&gt;=100000), " ",IF(INDEX($O$2:$Q$1001,MATCH(ROWS($H$2:H219),$H$2:$H$1001,0),MATCH(COLUMNS($O$1006:P1006),$O$1006:$Q$1006,0)), HYPERLINK("#",""), HYPERLINK(CONCATENATE("#metadata!", ADDRESS(INDEX($J$2:$J$1001,MATCH(ROWS($H$2:H219),$H$2:$H$1001,0),0), INDEX($O$1004:$Q$1004,1,MATCH(COLUMNS($O$1006:P1006),$O$1006:$Q$1006,0)))),"Fix")))</f>
        <v xml:space="preserve"> </v>
      </c>
      <c r="D219" s="3" t="str">
        <f ca="1">IF(OR(INDEX($I$2:$I$1001,MATCH(ROWS($H$2:H219),$H$2:$H$1001,0),1)&gt;=100000,INDEX($O$1005:$Q$1005,1,MATCH(COLUMNS($O$1006:Q1006),$O$1006:$Q$1006,0))&gt;=100000), " ",IF(INDEX($O$2:$Q$1001,MATCH(ROWS($H$2:H219),$H$2:$H$1001,0),MATCH(COLUMNS($O$1006:Q1006),$O$1006:$Q$1006,0)), HYPERLINK("#",""), HYPERLINK(CONCATENATE("#metadata!", ADDRESS(INDEX($J$2:$J$1001,MATCH(ROWS($H$2:H219),$H$2:$H$1001,0),0), INDEX($O$1004:$Q$1004,1,MATCH(COLUMNS($O$1006:Q1006),$O$1006:$Q$1006,0)))),"Fix")))</f>
        <v xml:space="preserve"> </v>
      </c>
      <c r="H219">
        <v>218</v>
      </c>
      <c r="I219">
        <v>100219</v>
      </c>
      <c r="J219">
        <v>219</v>
      </c>
      <c r="K219" t="b">
        <f t="shared" si="3"/>
        <v>1</v>
      </c>
      <c r="L219" t="b">
        <f>COUNTBLANK(metadata!B219:D219)=COLUMNS(metadata!B219:D219)</f>
        <v>1</v>
      </c>
      <c r="M219" t="str">
        <v/>
      </c>
      <c r="O219" t="b">
        <f ca="1"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P219" t="b">
        <f>AND(IF(metadata!C219="",FALSE,TRUE),EXACT(metadata!C219,"mouse gut metagenome"))</f>
        <v>0</v>
      </c>
      <c r="Q219" t="b">
        <f>AND(IF(metadata!D219="",FALSE,TRUE),EXACT(metadata!D219,"410661"))</f>
        <v>0</v>
      </c>
    </row>
    <row r="220" spans="1:17" x14ac:dyDescent="0.2">
      <c r="A220" s="4" t="str">
        <f ca="1">IF(B220=" "," ",HYPERLINK(CONCATENATE("#metadata!",ADDRESS(INDEX($J$2:$J$1001,MATCH(ROWS($H$2:H220),$H$2:$H$1001,0),0),1)),INDEX($M$2:$M$1001,MATCH(ROWS($H$2:H220),$H$2:$H$1001,0),0)))</f>
        <v xml:space="preserve"> </v>
      </c>
      <c r="B220" s="3" t="str">
        <f ca="1">IF(OR(INDEX($I$2:$I$1001,MATCH(ROWS($H$2:H220),$H$2:$H$1001,0),1)&gt;=100000,INDEX($O$1005:$Q$1005,1,MATCH(COLUMNS($O$1006:O1006),$O$1006:$Q$1006,0))&gt;=100000), " ",IF(INDEX($O$2:$Q$1001,MATCH(ROWS($H$2:H220),$H$2:$H$1001,0),MATCH(COLUMNS($O$1006:O1006),$O$1006:$Q$1006,0)), HYPERLINK("#",""), HYPERLINK(CONCATENATE("#metadata!", ADDRESS(INDEX($J$2:$J$1001,MATCH(ROWS($H$2:H220),$H$2:$H$1001,0),0), INDEX($O$1004:$Q$1004,1,MATCH(COLUMNS($O$1006:O1006),$O$1006:$Q$1006,0)))),"Fix")))</f>
        <v xml:space="preserve"> </v>
      </c>
      <c r="C220" s="3" t="str">
        <f ca="1">IF(OR(INDEX($I$2:$I$1001,MATCH(ROWS($H$2:H220),$H$2:$H$1001,0),1)&gt;=100000,INDEX($O$1005:$Q$1005,1,MATCH(COLUMNS($O$1006:P1006),$O$1006:$Q$1006,0))&gt;=100000), " ",IF(INDEX($O$2:$Q$1001,MATCH(ROWS($H$2:H220),$H$2:$H$1001,0),MATCH(COLUMNS($O$1006:P1006),$O$1006:$Q$1006,0)), HYPERLINK("#",""), HYPERLINK(CONCATENATE("#metadata!", ADDRESS(INDEX($J$2:$J$1001,MATCH(ROWS($H$2:H220),$H$2:$H$1001,0),0), INDEX($O$1004:$Q$1004,1,MATCH(COLUMNS($O$1006:P1006),$O$1006:$Q$1006,0)))),"Fix")))</f>
        <v xml:space="preserve"> </v>
      </c>
      <c r="D220" s="3" t="str">
        <f ca="1">IF(OR(INDEX($I$2:$I$1001,MATCH(ROWS($H$2:H220),$H$2:$H$1001,0),1)&gt;=100000,INDEX($O$1005:$Q$1005,1,MATCH(COLUMNS($O$1006:Q1006),$O$1006:$Q$1006,0))&gt;=100000), " ",IF(INDEX($O$2:$Q$1001,MATCH(ROWS($H$2:H220),$H$2:$H$1001,0),MATCH(COLUMNS($O$1006:Q1006),$O$1006:$Q$1006,0)), HYPERLINK("#",""), HYPERLINK(CONCATENATE("#metadata!", ADDRESS(INDEX($J$2:$J$1001,MATCH(ROWS($H$2:H220),$H$2:$H$1001,0),0), INDEX($O$1004:$Q$1004,1,MATCH(COLUMNS($O$1006:Q1006),$O$1006:$Q$1006,0)))),"Fix")))</f>
        <v xml:space="preserve"> </v>
      </c>
      <c r="H220">
        <v>219</v>
      </c>
      <c r="I220">
        <v>100220</v>
      </c>
      <c r="J220">
        <v>220</v>
      </c>
      <c r="K220" t="b">
        <f t="shared" si="3"/>
        <v>1</v>
      </c>
      <c r="L220" t="b">
        <f>COUNTBLANK(metadata!B220:D220)=COLUMNS(metadata!B220:D220)</f>
        <v>1</v>
      </c>
      <c r="M220" t="str">
        <v/>
      </c>
      <c r="O220" t="b">
        <f ca="1"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P220" t="b">
        <f>AND(IF(metadata!C220="",FALSE,TRUE),EXACT(metadata!C220,"mouse gut metagenome"))</f>
        <v>0</v>
      </c>
      <c r="Q220" t="b">
        <f>AND(IF(metadata!D220="",FALSE,TRUE),EXACT(metadata!D220,"410661"))</f>
        <v>0</v>
      </c>
    </row>
    <row r="221" spans="1:17" x14ac:dyDescent="0.2">
      <c r="A221" s="4" t="str">
        <f ca="1">IF(B221=" "," ",HYPERLINK(CONCATENATE("#metadata!",ADDRESS(INDEX($J$2:$J$1001,MATCH(ROWS($H$2:H221),$H$2:$H$1001,0),0),1)),INDEX($M$2:$M$1001,MATCH(ROWS($H$2:H221),$H$2:$H$1001,0),0)))</f>
        <v xml:space="preserve"> </v>
      </c>
      <c r="B221" s="3" t="str">
        <f ca="1">IF(OR(INDEX($I$2:$I$1001,MATCH(ROWS($H$2:H221),$H$2:$H$1001,0),1)&gt;=100000,INDEX($O$1005:$Q$1005,1,MATCH(COLUMNS($O$1006:O1006),$O$1006:$Q$1006,0))&gt;=100000), " ",IF(INDEX($O$2:$Q$1001,MATCH(ROWS($H$2:H221),$H$2:$H$1001,0),MATCH(COLUMNS($O$1006:O1006),$O$1006:$Q$1006,0)), HYPERLINK("#",""), HYPERLINK(CONCATENATE("#metadata!", ADDRESS(INDEX($J$2:$J$1001,MATCH(ROWS($H$2:H221),$H$2:$H$1001,0),0), INDEX($O$1004:$Q$1004,1,MATCH(COLUMNS($O$1006:O1006),$O$1006:$Q$1006,0)))),"Fix")))</f>
        <v xml:space="preserve"> </v>
      </c>
      <c r="C221" s="3" t="str">
        <f ca="1">IF(OR(INDEX($I$2:$I$1001,MATCH(ROWS($H$2:H221),$H$2:$H$1001,0),1)&gt;=100000,INDEX($O$1005:$Q$1005,1,MATCH(COLUMNS($O$1006:P1006),$O$1006:$Q$1006,0))&gt;=100000), " ",IF(INDEX($O$2:$Q$1001,MATCH(ROWS($H$2:H221),$H$2:$H$1001,0),MATCH(COLUMNS($O$1006:P1006),$O$1006:$Q$1006,0)), HYPERLINK("#",""), HYPERLINK(CONCATENATE("#metadata!", ADDRESS(INDEX($J$2:$J$1001,MATCH(ROWS($H$2:H221),$H$2:$H$1001,0),0), INDEX($O$1004:$Q$1004,1,MATCH(COLUMNS($O$1006:P1006),$O$1006:$Q$1006,0)))),"Fix")))</f>
        <v xml:space="preserve"> </v>
      </c>
      <c r="D221" s="3" t="str">
        <f ca="1">IF(OR(INDEX($I$2:$I$1001,MATCH(ROWS($H$2:H221),$H$2:$H$1001,0),1)&gt;=100000,INDEX($O$1005:$Q$1005,1,MATCH(COLUMNS($O$1006:Q1006),$O$1006:$Q$1006,0))&gt;=100000), " ",IF(INDEX($O$2:$Q$1001,MATCH(ROWS($H$2:H221),$H$2:$H$1001,0),MATCH(COLUMNS($O$1006:Q1006),$O$1006:$Q$1006,0)), HYPERLINK("#",""), HYPERLINK(CONCATENATE("#metadata!", ADDRESS(INDEX($J$2:$J$1001,MATCH(ROWS($H$2:H221),$H$2:$H$1001,0),0), INDEX($O$1004:$Q$1004,1,MATCH(COLUMNS($O$1006:Q1006),$O$1006:$Q$1006,0)))),"Fix")))</f>
        <v xml:space="preserve"> </v>
      </c>
      <c r="H221">
        <v>220</v>
      </c>
      <c r="I221">
        <v>100221</v>
      </c>
      <c r="J221">
        <v>221</v>
      </c>
      <c r="K221" t="b">
        <f t="shared" si="3"/>
        <v>1</v>
      </c>
      <c r="L221" t="b">
        <f>COUNTBLANK(metadata!B221:D221)=COLUMNS(metadata!B221:D221)</f>
        <v>1</v>
      </c>
      <c r="M221" t="str">
        <v/>
      </c>
      <c r="O221" t="b">
        <f ca="1"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P221" t="b">
        <f>AND(IF(metadata!C221="",FALSE,TRUE),EXACT(metadata!C221,"mouse gut metagenome"))</f>
        <v>0</v>
      </c>
      <c r="Q221" t="b">
        <f>AND(IF(metadata!D221="",FALSE,TRUE),EXACT(metadata!D221,"410661"))</f>
        <v>0</v>
      </c>
    </row>
    <row r="222" spans="1:17" x14ac:dyDescent="0.2">
      <c r="A222" s="4" t="str">
        <f ca="1">IF(B222=" "," ",HYPERLINK(CONCATENATE("#metadata!",ADDRESS(INDEX($J$2:$J$1001,MATCH(ROWS($H$2:H222),$H$2:$H$1001,0),0),1)),INDEX($M$2:$M$1001,MATCH(ROWS($H$2:H222),$H$2:$H$1001,0),0)))</f>
        <v xml:space="preserve"> </v>
      </c>
      <c r="B222" s="3" t="str">
        <f ca="1">IF(OR(INDEX($I$2:$I$1001,MATCH(ROWS($H$2:H222),$H$2:$H$1001,0),1)&gt;=100000,INDEX($O$1005:$Q$1005,1,MATCH(COLUMNS($O$1006:O1006),$O$1006:$Q$1006,0))&gt;=100000), " ",IF(INDEX($O$2:$Q$1001,MATCH(ROWS($H$2:H222),$H$2:$H$1001,0),MATCH(COLUMNS($O$1006:O1006),$O$1006:$Q$1006,0)), HYPERLINK("#",""), HYPERLINK(CONCATENATE("#metadata!", ADDRESS(INDEX($J$2:$J$1001,MATCH(ROWS($H$2:H222),$H$2:$H$1001,0),0), INDEX($O$1004:$Q$1004,1,MATCH(COLUMNS($O$1006:O1006),$O$1006:$Q$1006,0)))),"Fix")))</f>
        <v xml:space="preserve"> </v>
      </c>
      <c r="C222" s="3" t="str">
        <f ca="1">IF(OR(INDEX($I$2:$I$1001,MATCH(ROWS($H$2:H222),$H$2:$H$1001,0),1)&gt;=100000,INDEX($O$1005:$Q$1005,1,MATCH(COLUMNS($O$1006:P1006),$O$1006:$Q$1006,0))&gt;=100000), " ",IF(INDEX($O$2:$Q$1001,MATCH(ROWS($H$2:H222),$H$2:$H$1001,0),MATCH(COLUMNS($O$1006:P1006),$O$1006:$Q$1006,0)), HYPERLINK("#",""), HYPERLINK(CONCATENATE("#metadata!", ADDRESS(INDEX($J$2:$J$1001,MATCH(ROWS($H$2:H222),$H$2:$H$1001,0),0), INDEX($O$1004:$Q$1004,1,MATCH(COLUMNS($O$1006:P1006),$O$1006:$Q$1006,0)))),"Fix")))</f>
        <v xml:space="preserve"> </v>
      </c>
      <c r="D222" s="3" t="str">
        <f ca="1">IF(OR(INDEX($I$2:$I$1001,MATCH(ROWS($H$2:H222),$H$2:$H$1001,0),1)&gt;=100000,INDEX($O$1005:$Q$1005,1,MATCH(COLUMNS($O$1006:Q1006),$O$1006:$Q$1006,0))&gt;=100000), " ",IF(INDEX($O$2:$Q$1001,MATCH(ROWS($H$2:H222),$H$2:$H$1001,0),MATCH(COLUMNS($O$1006:Q1006),$O$1006:$Q$1006,0)), HYPERLINK("#",""), HYPERLINK(CONCATENATE("#metadata!", ADDRESS(INDEX($J$2:$J$1001,MATCH(ROWS($H$2:H222),$H$2:$H$1001,0),0), INDEX($O$1004:$Q$1004,1,MATCH(COLUMNS($O$1006:Q1006),$O$1006:$Q$1006,0)))),"Fix")))</f>
        <v xml:space="preserve"> </v>
      </c>
      <c r="H222">
        <v>221</v>
      </c>
      <c r="I222">
        <v>100222</v>
      </c>
      <c r="J222">
        <v>222</v>
      </c>
      <c r="K222" t="b">
        <f t="shared" si="3"/>
        <v>1</v>
      </c>
      <c r="L222" t="b">
        <f>COUNTBLANK(metadata!B222:D222)=COLUMNS(metadata!B222:D222)</f>
        <v>1</v>
      </c>
      <c r="M222" t="str">
        <v/>
      </c>
      <c r="O222" t="b">
        <f ca="1"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P222" t="b">
        <f>AND(IF(metadata!C222="",FALSE,TRUE),EXACT(metadata!C222,"mouse gut metagenome"))</f>
        <v>0</v>
      </c>
      <c r="Q222" t="b">
        <f>AND(IF(metadata!D222="",FALSE,TRUE),EXACT(metadata!D222,"410661"))</f>
        <v>0</v>
      </c>
    </row>
    <row r="223" spans="1:17" x14ac:dyDescent="0.2">
      <c r="A223" s="4" t="str">
        <f ca="1">IF(B223=" "," ",HYPERLINK(CONCATENATE("#metadata!",ADDRESS(INDEX($J$2:$J$1001,MATCH(ROWS($H$2:H223),$H$2:$H$1001,0),0),1)),INDEX($M$2:$M$1001,MATCH(ROWS($H$2:H223),$H$2:$H$1001,0),0)))</f>
        <v xml:space="preserve"> </v>
      </c>
      <c r="B223" s="3" t="str">
        <f ca="1">IF(OR(INDEX($I$2:$I$1001,MATCH(ROWS($H$2:H223),$H$2:$H$1001,0),1)&gt;=100000,INDEX($O$1005:$Q$1005,1,MATCH(COLUMNS($O$1006:O1006),$O$1006:$Q$1006,0))&gt;=100000), " ",IF(INDEX($O$2:$Q$1001,MATCH(ROWS($H$2:H223),$H$2:$H$1001,0),MATCH(COLUMNS($O$1006:O1006),$O$1006:$Q$1006,0)), HYPERLINK("#",""), HYPERLINK(CONCATENATE("#metadata!", ADDRESS(INDEX($J$2:$J$1001,MATCH(ROWS($H$2:H223),$H$2:$H$1001,0),0), INDEX($O$1004:$Q$1004,1,MATCH(COLUMNS($O$1006:O1006),$O$1006:$Q$1006,0)))),"Fix")))</f>
        <v xml:space="preserve"> </v>
      </c>
      <c r="C223" s="3" t="str">
        <f ca="1">IF(OR(INDEX($I$2:$I$1001,MATCH(ROWS($H$2:H223),$H$2:$H$1001,0),1)&gt;=100000,INDEX($O$1005:$Q$1005,1,MATCH(COLUMNS($O$1006:P1006),$O$1006:$Q$1006,0))&gt;=100000), " ",IF(INDEX($O$2:$Q$1001,MATCH(ROWS($H$2:H223),$H$2:$H$1001,0),MATCH(COLUMNS($O$1006:P1006),$O$1006:$Q$1006,0)), HYPERLINK("#",""), HYPERLINK(CONCATENATE("#metadata!", ADDRESS(INDEX($J$2:$J$1001,MATCH(ROWS($H$2:H223),$H$2:$H$1001,0),0), INDEX($O$1004:$Q$1004,1,MATCH(COLUMNS($O$1006:P1006),$O$1006:$Q$1006,0)))),"Fix")))</f>
        <v xml:space="preserve"> </v>
      </c>
      <c r="D223" s="3" t="str">
        <f ca="1">IF(OR(INDEX($I$2:$I$1001,MATCH(ROWS($H$2:H223),$H$2:$H$1001,0),1)&gt;=100000,INDEX($O$1005:$Q$1005,1,MATCH(COLUMNS($O$1006:Q1006),$O$1006:$Q$1006,0))&gt;=100000), " ",IF(INDEX($O$2:$Q$1001,MATCH(ROWS($H$2:H223),$H$2:$H$1001,0),MATCH(COLUMNS($O$1006:Q1006),$O$1006:$Q$1006,0)), HYPERLINK("#",""), HYPERLINK(CONCATENATE("#metadata!", ADDRESS(INDEX($J$2:$J$1001,MATCH(ROWS($H$2:H223),$H$2:$H$1001,0),0), INDEX($O$1004:$Q$1004,1,MATCH(COLUMNS($O$1006:Q1006),$O$1006:$Q$1006,0)))),"Fix")))</f>
        <v xml:space="preserve"> </v>
      </c>
      <c r="H223">
        <v>222</v>
      </c>
      <c r="I223">
        <v>100223</v>
      </c>
      <c r="J223">
        <v>223</v>
      </c>
      <c r="K223" t="b">
        <f t="shared" si="3"/>
        <v>1</v>
      </c>
      <c r="L223" t="b">
        <f>COUNTBLANK(metadata!B223:D223)=COLUMNS(metadata!B223:D223)</f>
        <v>1</v>
      </c>
      <c r="M223" t="str">
        <v/>
      </c>
      <c r="O223" t="b">
        <f ca="1"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P223" t="b">
        <f>AND(IF(metadata!C223="",FALSE,TRUE),EXACT(metadata!C223,"mouse gut metagenome"))</f>
        <v>0</v>
      </c>
      <c r="Q223" t="b">
        <f>AND(IF(metadata!D223="",FALSE,TRUE),EXACT(metadata!D223,"410661"))</f>
        <v>0</v>
      </c>
    </row>
    <row r="224" spans="1:17" x14ac:dyDescent="0.2">
      <c r="A224" s="4" t="str">
        <f ca="1">IF(B224=" "," ",HYPERLINK(CONCATENATE("#metadata!",ADDRESS(INDEX($J$2:$J$1001,MATCH(ROWS($H$2:H224),$H$2:$H$1001,0),0),1)),INDEX($M$2:$M$1001,MATCH(ROWS($H$2:H224),$H$2:$H$1001,0),0)))</f>
        <v xml:space="preserve"> </v>
      </c>
      <c r="B224" s="3" t="str">
        <f ca="1">IF(OR(INDEX($I$2:$I$1001,MATCH(ROWS($H$2:H224),$H$2:$H$1001,0),1)&gt;=100000,INDEX($O$1005:$Q$1005,1,MATCH(COLUMNS($O$1006:O1006),$O$1006:$Q$1006,0))&gt;=100000), " ",IF(INDEX($O$2:$Q$1001,MATCH(ROWS($H$2:H224),$H$2:$H$1001,0),MATCH(COLUMNS($O$1006:O1006),$O$1006:$Q$1006,0)), HYPERLINK("#",""), HYPERLINK(CONCATENATE("#metadata!", ADDRESS(INDEX($J$2:$J$1001,MATCH(ROWS($H$2:H224),$H$2:$H$1001,0),0), INDEX($O$1004:$Q$1004,1,MATCH(COLUMNS($O$1006:O1006),$O$1006:$Q$1006,0)))),"Fix")))</f>
        <v xml:space="preserve"> </v>
      </c>
      <c r="C224" s="3" t="str">
        <f ca="1">IF(OR(INDEX($I$2:$I$1001,MATCH(ROWS($H$2:H224),$H$2:$H$1001,0),1)&gt;=100000,INDEX($O$1005:$Q$1005,1,MATCH(COLUMNS($O$1006:P1006),$O$1006:$Q$1006,0))&gt;=100000), " ",IF(INDEX($O$2:$Q$1001,MATCH(ROWS($H$2:H224),$H$2:$H$1001,0),MATCH(COLUMNS($O$1006:P1006),$O$1006:$Q$1006,0)), HYPERLINK("#",""), HYPERLINK(CONCATENATE("#metadata!", ADDRESS(INDEX($J$2:$J$1001,MATCH(ROWS($H$2:H224),$H$2:$H$1001,0),0), INDEX($O$1004:$Q$1004,1,MATCH(COLUMNS($O$1006:P1006),$O$1006:$Q$1006,0)))),"Fix")))</f>
        <v xml:space="preserve"> </v>
      </c>
      <c r="D224" s="3" t="str">
        <f ca="1">IF(OR(INDEX($I$2:$I$1001,MATCH(ROWS($H$2:H224),$H$2:$H$1001,0),1)&gt;=100000,INDEX($O$1005:$Q$1005,1,MATCH(COLUMNS($O$1006:Q1006),$O$1006:$Q$1006,0))&gt;=100000), " ",IF(INDEX($O$2:$Q$1001,MATCH(ROWS($H$2:H224),$H$2:$H$1001,0),MATCH(COLUMNS($O$1006:Q1006),$O$1006:$Q$1006,0)), HYPERLINK("#",""), HYPERLINK(CONCATENATE("#metadata!", ADDRESS(INDEX($J$2:$J$1001,MATCH(ROWS($H$2:H224),$H$2:$H$1001,0),0), INDEX($O$1004:$Q$1004,1,MATCH(COLUMNS($O$1006:Q1006),$O$1006:$Q$1006,0)))),"Fix")))</f>
        <v xml:space="preserve"> </v>
      </c>
      <c r="H224">
        <v>223</v>
      </c>
      <c r="I224">
        <v>100224</v>
      </c>
      <c r="J224">
        <v>224</v>
      </c>
      <c r="K224" t="b">
        <f t="shared" si="3"/>
        <v>1</v>
      </c>
      <c r="L224" t="b">
        <f>COUNTBLANK(metadata!B224:D224)=COLUMNS(metadata!B224:D224)</f>
        <v>1</v>
      </c>
      <c r="M224" t="str">
        <v/>
      </c>
      <c r="O224" t="b">
        <f ca="1"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P224" t="b">
        <f>AND(IF(metadata!C224="",FALSE,TRUE),EXACT(metadata!C224,"mouse gut metagenome"))</f>
        <v>0</v>
      </c>
      <c r="Q224" t="b">
        <f>AND(IF(metadata!D224="",FALSE,TRUE),EXACT(metadata!D224,"410661"))</f>
        <v>0</v>
      </c>
    </row>
    <row r="225" spans="1:17" x14ac:dyDescent="0.2">
      <c r="A225" s="4" t="str">
        <f ca="1">IF(B225=" "," ",HYPERLINK(CONCATENATE("#metadata!",ADDRESS(INDEX($J$2:$J$1001,MATCH(ROWS($H$2:H225),$H$2:$H$1001,0),0),1)),INDEX($M$2:$M$1001,MATCH(ROWS($H$2:H225),$H$2:$H$1001,0),0)))</f>
        <v xml:space="preserve"> </v>
      </c>
      <c r="B225" s="3" t="str">
        <f ca="1">IF(OR(INDEX($I$2:$I$1001,MATCH(ROWS($H$2:H225),$H$2:$H$1001,0),1)&gt;=100000,INDEX($O$1005:$Q$1005,1,MATCH(COLUMNS($O$1006:O1006),$O$1006:$Q$1006,0))&gt;=100000), " ",IF(INDEX($O$2:$Q$1001,MATCH(ROWS($H$2:H225),$H$2:$H$1001,0),MATCH(COLUMNS($O$1006:O1006),$O$1006:$Q$1006,0)), HYPERLINK("#",""), HYPERLINK(CONCATENATE("#metadata!", ADDRESS(INDEX($J$2:$J$1001,MATCH(ROWS($H$2:H225),$H$2:$H$1001,0),0), INDEX($O$1004:$Q$1004,1,MATCH(COLUMNS($O$1006:O1006),$O$1006:$Q$1006,0)))),"Fix")))</f>
        <v xml:space="preserve"> </v>
      </c>
      <c r="C225" s="3" t="str">
        <f ca="1">IF(OR(INDEX($I$2:$I$1001,MATCH(ROWS($H$2:H225),$H$2:$H$1001,0),1)&gt;=100000,INDEX($O$1005:$Q$1005,1,MATCH(COLUMNS($O$1006:P1006),$O$1006:$Q$1006,0))&gt;=100000), " ",IF(INDEX($O$2:$Q$1001,MATCH(ROWS($H$2:H225),$H$2:$H$1001,0),MATCH(COLUMNS($O$1006:P1006),$O$1006:$Q$1006,0)), HYPERLINK("#",""), HYPERLINK(CONCATENATE("#metadata!", ADDRESS(INDEX($J$2:$J$1001,MATCH(ROWS($H$2:H225),$H$2:$H$1001,0),0), INDEX($O$1004:$Q$1004,1,MATCH(COLUMNS($O$1006:P1006),$O$1006:$Q$1006,0)))),"Fix")))</f>
        <v xml:space="preserve"> </v>
      </c>
      <c r="D225" s="3" t="str">
        <f ca="1">IF(OR(INDEX($I$2:$I$1001,MATCH(ROWS($H$2:H225),$H$2:$H$1001,0),1)&gt;=100000,INDEX($O$1005:$Q$1005,1,MATCH(COLUMNS($O$1006:Q1006),$O$1006:$Q$1006,0))&gt;=100000), " ",IF(INDEX($O$2:$Q$1001,MATCH(ROWS($H$2:H225),$H$2:$H$1001,0),MATCH(COLUMNS($O$1006:Q1006),$O$1006:$Q$1006,0)), HYPERLINK("#",""), HYPERLINK(CONCATENATE("#metadata!", ADDRESS(INDEX($J$2:$J$1001,MATCH(ROWS($H$2:H225),$H$2:$H$1001,0),0), INDEX($O$1004:$Q$1004,1,MATCH(COLUMNS($O$1006:Q1006),$O$1006:$Q$1006,0)))),"Fix")))</f>
        <v xml:space="preserve"> </v>
      </c>
      <c r="H225">
        <v>224</v>
      </c>
      <c r="I225">
        <v>100225</v>
      </c>
      <c r="J225">
        <v>225</v>
      </c>
      <c r="K225" t="b">
        <f t="shared" si="3"/>
        <v>1</v>
      </c>
      <c r="L225" t="b">
        <f>COUNTBLANK(metadata!B225:D225)=COLUMNS(metadata!B225:D225)</f>
        <v>1</v>
      </c>
      <c r="M225" t="str">
        <v/>
      </c>
      <c r="O225" t="b">
        <f ca="1"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P225" t="b">
        <f>AND(IF(metadata!C225="",FALSE,TRUE),EXACT(metadata!C225,"mouse gut metagenome"))</f>
        <v>0</v>
      </c>
      <c r="Q225" t="b">
        <f>AND(IF(metadata!D225="",FALSE,TRUE),EXACT(metadata!D225,"410661"))</f>
        <v>0</v>
      </c>
    </row>
    <row r="226" spans="1:17" x14ac:dyDescent="0.2">
      <c r="A226" s="4" t="str">
        <f ca="1">IF(B226=" "," ",HYPERLINK(CONCATENATE("#metadata!",ADDRESS(INDEX($J$2:$J$1001,MATCH(ROWS($H$2:H226),$H$2:$H$1001,0),0),1)),INDEX($M$2:$M$1001,MATCH(ROWS($H$2:H226),$H$2:$H$1001,0),0)))</f>
        <v xml:space="preserve"> </v>
      </c>
      <c r="B226" s="3" t="str">
        <f ca="1">IF(OR(INDEX($I$2:$I$1001,MATCH(ROWS($H$2:H226),$H$2:$H$1001,0),1)&gt;=100000,INDEX($O$1005:$Q$1005,1,MATCH(COLUMNS($O$1006:O1006),$O$1006:$Q$1006,0))&gt;=100000), " ",IF(INDEX($O$2:$Q$1001,MATCH(ROWS($H$2:H226),$H$2:$H$1001,0),MATCH(COLUMNS($O$1006:O1006),$O$1006:$Q$1006,0)), HYPERLINK("#",""), HYPERLINK(CONCATENATE("#metadata!", ADDRESS(INDEX($J$2:$J$1001,MATCH(ROWS($H$2:H226),$H$2:$H$1001,0),0), INDEX($O$1004:$Q$1004,1,MATCH(COLUMNS($O$1006:O1006),$O$1006:$Q$1006,0)))),"Fix")))</f>
        <v xml:space="preserve"> </v>
      </c>
      <c r="C226" s="3" t="str">
        <f ca="1">IF(OR(INDEX($I$2:$I$1001,MATCH(ROWS($H$2:H226),$H$2:$H$1001,0),1)&gt;=100000,INDEX($O$1005:$Q$1005,1,MATCH(COLUMNS($O$1006:P1006),$O$1006:$Q$1006,0))&gt;=100000), " ",IF(INDEX($O$2:$Q$1001,MATCH(ROWS($H$2:H226),$H$2:$H$1001,0),MATCH(COLUMNS($O$1006:P1006),$O$1006:$Q$1006,0)), HYPERLINK("#",""), HYPERLINK(CONCATENATE("#metadata!", ADDRESS(INDEX($J$2:$J$1001,MATCH(ROWS($H$2:H226),$H$2:$H$1001,0),0), INDEX($O$1004:$Q$1004,1,MATCH(COLUMNS($O$1006:P1006),$O$1006:$Q$1006,0)))),"Fix")))</f>
        <v xml:space="preserve"> </v>
      </c>
      <c r="D226" s="3" t="str">
        <f ca="1">IF(OR(INDEX($I$2:$I$1001,MATCH(ROWS($H$2:H226),$H$2:$H$1001,0),1)&gt;=100000,INDEX($O$1005:$Q$1005,1,MATCH(COLUMNS($O$1006:Q1006),$O$1006:$Q$1006,0))&gt;=100000), " ",IF(INDEX($O$2:$Q$1001,MATCH(ROWS($H$2:H226),$H$2:$H$1001,0),MATCH(COLUMNS($O$1006:Q1006),$O$1006:$Q$1006,0)), HYPERLINK("#",""), HYPERLINK(CONCATENATE("#metadata!", ADDRESS(INDEX($J$2:$J$1001,MATCH(ROWS($H$2:H226),$H$2:$H$1001,0),0), INDEX($O$1004:$Q$1004,1,MATCH(COLUMNS($O$1006:Q1006),$O$1006:$Q$1006,0)))),"Fix")))</f>
        <v xml:space="preserve"> </v>
      </c>
      <c r="H226">
        <v>225</v>
      </c>
      <c r="I226">
        <v>100226</v>
      </c>
      <c r="J226">
        <v>226</v>
      </c>
      <c r="K226" t="b">
        <f t="shared" si="3"/>
        <v>1</v>
      </c>
      <c r="L226" t="b">
        <f>COUNTBLANK(metadata!B226:D226)=COLUMNS(metadata!B226:D226)</f>
        <v>1</v>
      </c>
      <c r="M226" t="str">
        <v/>
      </c>
      <c r="O226" t="b">
        <f ca="1"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P226" t="b">
        <f>AND(IF(metadata!C226="",FALSE,TRUE),EXACT(metadata!C226,"mouse gut metagenome"))</f>
        <v>0</v>
      </c>
      <c r="Q226" t="b">
        <f>AND(IF(metadata!D226="",FALSE,TRUE),EXACT(metadata!D226,"410661"))</f>
        <v>0</v>
      </c>
    </row>
    <row r="227" spans="1:17" x14ac:dyDescent="0.2">
      <c r="A227" s="4" t="str">
        <f ca="1">IF(B227=" "," ",HYPERLINK(CONCATENATE("#metadata!",ADDRESS(INDEX($J$2:$J$1001,MATCH(ROWS($H$2:H227),$H$2:$H$1001,0),0),1)),INDEX($M$2:$M$1001,MATCH(ROWS($H$2:H227),$H$2:$H$1001,0),0)))</f>
        <v xml:space="preserve"> </v>
      </c>
      <c r="B227" s="3" t="str">
        <f ca="1">IF(OR(INDEX($I$2:$I$1001,MATCH(ROWS($H$2:H227),$H$2:$H$1001,0),1)&gt;=100000,INDEX($O$1005:$Q$1005,1,MATCH(COLUMNS($O$1006:O1006),$O$1006:$Q$1006,0))&gt;=100000), " ",IF(INDEX($O$2:$Q$1001,MATCH(ROWS($H$2:H227),$H$2:$H$1001,0),MATCH(COLUMNS($O$1006:O1006),$O$1006:$Q$1006,0)), HYPERLINK("#",""), HYPERLINK(CONCATENATE("#metadata!", ADDRESS(INDEX($J$2:$J$1001,MATCH(ROWS($H$2:H227),$H$2:$H$1001,0),0), INDEX($O$1004:$Q$1004,1,MATCH(COLUMNS($O$1006:O1006),$O$1006:$Q$1006,0)))),"Fix")))</f>
        <v xml:space="preserve"> </v>
      </c>
      <c r="C227" s="3" t="str">
        <f ca="1">IF(OR(INDEX($I$2:$I$1001,MATCH(ROWS($H$2:H227),$H$2:$H$1001,0),1)&gt;=100000,INDEX($O$1005:$Q$1005,1,MATCH(COLUMNS($O$1006:P1006),$O$1006:$Q$1006,0))&gt;=100000), " ",IF(INDEX($O$2:$Q$1001,MATCH(ROWS($H$2:H227),$H$2:$H$1001,0),MATCH(COLUMNS($O$1006:P1006),$O$1006:$Q$1006,0)), HYPERLINK("#",""), HYPERLINK(CONCATENATE("#metadata!", ADDRESS(INDEX($J$2:$J$1001,MATCH(ROWS($H$2:H227),$H$2:$H$1001,0),0), INDEX($O$1004:$Q$1004,1,MATCH(COLUMNS($O$1006:P1006),$O$1006:$Q$1006,0)))),"Fix")))</f>
        <v xml:space="preserve"> </v>
      </c>
      <c r="D227" s="3" t="str">
        <f ca="1">IF(OR(INDEX($I$2:$I$1001,MATCH(ROWS($H$2:H227),$H$2:$H$1001,0),1)&gt;=100000,INDEX($O$1005:$Q$1005,1,MATCH(COLUMNS($O$1006:Q1006),$O$1006:$Q$1006,0))&gt;=100000), " ",IF(INDEX($O$2:$Q$1001,MATCH(ROWS($H$2:H227),$H$2:$H$1001,0),MATCH(COLUMNS($O$1006:Q1006),$O$1006:$Q$1006,0)), HYPERLINK("#",""), HYPERLINK(CONCATENATE("#metadata!", ADDRESS(INDEX($J$2:$J$1001,MATCH(ROWS($H$2:H227),$H$2:$H$1001,0),0), INDEX($O$1004:$Q$1004,1,MATCH(COLUMNS($O$1006:Q1006),$O$1006:$Q$1006,0)))),"Fix")))</f>
        <v xml:space="preserve"> </v>
      </c>
      <c r="H227">
        <v>226</v>
      </c>
      <c r="I227">
        <v>100227</v>
      </c>
      <c r="J227">
        <v>227</v>
      </c>
      <c r="K227" t="b">
        <f t="shared" si="3"/>
        <v>1</v>
      </c>
      <c r="L227" t="b">
        <f>COUNTBLANK(metadata!B227:D227)=COLUMNS(metadata!B227:D227)</f>
        <v>1</v>
      </c>
      <c r="M227" t="str">
        <v/>
      </c>
      <c r="O227" t="b">
        <f ca="1"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P227" t="b">
        <f>AND(IF(metadata!C227="",FALSE,TRUE),EXACT(metadata!C227,"mouse gut metagenome"))</f>
        <v>0</v>
      </c>
      <c r="Q227" t="b">
        <f>AND(IF(metadata!D227="",FALSE,TRUE),EXACT(metadata!D227,"410661"))</f>
        <v>0</v>
      </c>
    </row>
    <row r="228" spans="1:17" x14ac:dyDescent="0.2">
      <c r="A228" s="4" t="str">
        <f ca="1">IF(B228=" "," ",HYPERLINK(CONCATENATE("#metadata!",ADDRESS(INDEX($J$2:$J$1001,MATCH(ROWS($H$2:H228),$H$2:$H$1001,0),0),1)),INDEX($M$2:$M$1001,MATCH(ROWS($H$2:H228),$H$2:$H$1001,0),0)))</f>
        <v xml:space="preserve"> </v>
      </c>
      <c r="B228" s="3" t="str">
        <f ca="1">IF(OR(INDEX($I$2:$I$1001,MATCH(ROWS($H$2:H228),$H$2:$H$1001,0),1)&gt;=100000,INDEX($O$1005:$Q$1005,1,MATCH(COLUMNS($O$1006:O1006),$O$1006:$Q$1006,0))&gt;=100000), " ",IF(INDEX($O$2:$Q$1001,MATCH(ROWS($H$2:H228),$H$2:$H$1001,0),MATCH(COLUMNS($O$1006:O1006),$O$1006:$Q$1006,0)), HYPERLINK("#",""), HYPERLINK(CONCATENATE("#metadata!", ADDRESS(INDEX($J$2:$J$1001,MATCH(ROWS($H$2:H228),$H$2:$H$1001,0),0), INDEX($O$1004:$Q$1004,1,MATCH(COLUMNS($O$1006:O1006),$O$1006:$Q$1006,0)))),"Fix")))</f>
        <v xml:space="preserve"> </v>
      </c>
      <c r="C228" s="3" t="str">
        <f ca="1">IF(OR(INDEX($I$2:$I$1001,MATCH(ROWS($H$2:H228),$H$2:$H$1001,0),1)&gt;=100000,INDEX($O$1005:$Q$1005,1,MATCH(COLUMNS($O$1006:P1006),$O$1006:$Q$1006,0))&gt;=100000), " ",IF(INDEX($O$2:$Q$1001,MATCH(ROWS($H$2:H228),$H$2:$H$1001,0),MATCH(COLUMNS($O$1006:P1006),$O$1006:$Q$1006,0)), HYPERLINK("#",""), HYPERLINK(CONCATENATE("#metadata!", ADDRESS(INDEX($J$2:$J$1001,MATCH(ROWS($H$2:H228),$H$2:$H$1001,0),0), INDEX($O$1004:$Q$1004,1,MATCH(COLUMNS($O$1006:P1006),$O$1006:$Q$1006,0)))),"Fix")))</f>
        <v xml:space="preserve"> </v>
      </c>
      <c r="D228" s="3" t="str">
        <f ca="1">IF(OR(INDEX($I$2:$I$1001,MATCH(ROWS($H$2:H228),$H$2:$H$1001,0),1)&gt;=100000,INDEX($O$1005:$Q$1005,1,MATCH(COLUMNS($O$1006:Q1006),$O$1006:$Q$1006,0))&gt;=100000), " ",IF(INDEX($O$2:$Q$1001,MATCH(ROWS($H$2:H228),$H$2:$H$1001,0),MATCH(COLUMNS($O$1006:Q1006),$O$1006:$Q$1006,0)), HYPERLINK("#",""), HYPERLINK(CONCATENATE("#metadata!", ADDRESS(INDEX($J$2:$J$1001,MATCH(ROWS($H$2:H228),$H$2:$H$1001,0),0), INDEX($O$1004:$Q$1004,1,MATCH(COLUMNS($O$1006:Q1006),$O$1006:$Q$1006,0)))),"Fix")))</f>
        <v xml:space="preserve"> </v>
      </c>
      <c r="H228">
        <v>227</v>
      </c>
      <c r="I228">
        <v>100228</v>
      </c>
      <c r="J228">
        <v>228</v>
      </c>
      <c r="K228" t="b">
        <f t="shared" si="3"/>
        <v>1</v>
      </c>
      <c r="L228" t="b">
        <f>COUNTBLANK(metadata!B228:D228)=COLUMNS(metadata!B228:D228)</f>
        <v>1</v>
      </c>
      <c r="M228" t="str">
        <v/>
      </c>
      <c r="O228" t="b">
        <f ca="1"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P228" t="b">
        <f>AND(IF(metadata!C228="",FALSE,TRUE),EXACT(metadata!C228,"mouse gut metagenome"))</f>
        <v>0</v>
      </c>
      <c r="Q228" t="b">
        <f>AND(IF(metadata!D228="",FALSE,TRUE),EXACT(metadata!D228,"410661"))</f>
        <v>0</v>
      </c>
    </row>
    <row r="229" spans="1:17" x14ac:dyDescent="0.2">
      <c r="A229" s="4" t="str">
        <f ca="1">IF(B229=" "," ",HYPERLINK(CONCATENATE("#metadata!",ADDRESS(INDEX($J$2:$J$1001,MATCH(ROWS($H$2:H229),$H$2:$H$1001,0),0),1)),INDEX($M$2:$M$1001,MATCH(ROWS($H$2:H229),$H$2:$H$1001,0),0)))</f>
        <v xml:space="preserve"> </v>
      </c>
      <c r="B229" s="3" t="str">
        <f ca="1">IF(OR(INDEX($I$2:$I$1001,MATCH(ROWS($H$2:H229),$H$2:$H$1001,0),1)&gt;=100000,INDEX($O$1005:$Q$1005,1,MATCH(COLUMNS($O$1006:O1006),$O$1006:$Q$1006,0))&gt;=100000), " ",IF(INDEX($O$2:$Q$1001,MATCH(ROWS($H$2:H229),$H$2:$H$1001,0),MATCH(COLUMNS($O$1006:O1006),$O$1006:$Q$1006,0)), HYPERLINK("#",""), HYPERLINK(CONCATENATE("#metadata!", ADDRESS(INDEX($J$2:$J$1001,MATCH(ROWS($H$2:H229),$H$2:$H$1001,0),0), INDEX($O$1004:$Q$1004,1,MATCH(COLUMNS($O$1006:O1006),$O$1006:$Q$1006,0)))),"Fix")))</f>
        <v xml:space="preserve"> </v>
      </c>
      <c r="C229" s="3" t="str">
        <f ca="1">IF(OR(INDEX($I$2:$I$1001,MATCH(ROWS($H$2:H229),$H$2:$H$1001,0),1)&gt;=100000,INDEX($O$1005:$Q$1005,1,MATCH(COLUMNS($O$1006:P1006),$O$1006:$Q$1006,0))&gt;=100000), " ",IF(INDEX($O$2:$Q$1001,MATCH(ROWS($H$2:H229),$H$2:$H$1001,0),MATCH(COLUMNS($O$1006:P1006),$O$1006:$Q$1006,0)), HYPERLINK("#",""), HYPERLINK(CONCATENATE("#metadata!", ADDRESS(INDEX($J$2:$J$1001,MATCH(ROWS($H$2:H229),$H$2:$H$1001,0),0), INDEX($O$1004:$Q$1004,1,MATCH(COLUMNS($O$1006:P1006),$O$1006:$Q$1006,0)))),"Fix")))</f>
        <v xml:space="preserve"> </v>
      </c>
      <c r="D229" s="3" t="str">
        <f ca="1">IF(OR(INDEX($I$2:$I$1001,MATCH(ROWS($H$2:H229),$H$2:$H$1001,0),1)&gt;=100000,INDEX($O$1005:$Q$1005,1,MATCH(COLUMNS($O$1006:Q1006),$O$1006:$Q$1006,0))&gt;=100000), " ",IF(INDEX($O$2:$Q$1001,MATCH(ROWS($H$2:H229),$H$2:$H$1001,0),MATCH(COLUMNS($O$1006:Q1006),$O$1006:$Q$1006,0)), HYPERLINK("#",""), HYPERLINK(CONCATENATE("#metadata!", ADDRESS(INDEX($J$2:$J$1001,MATCH(ROWS($H$2:H229),$H$2:$H$1001,0),0), INDEX($O$1004:$Q$1004,1,MATCH(COLUMNS($O$1006:Q1006),$O$1006:$Q$1006,0)))),"Fix")))</f>
        <v xml:space="preserve"> </v>
      </c>
      <c r="H229">
        <v>228</v>
      </c>
      <c r="I229">
        <v>100229</v>
      </c>
      <c r="J229">
        <v>229</v>
      </c>
      <c r="K229" t="b">
        <f t="shared" si="3"/>
        <v>1</v>
      </c>
      <c r="L229" t="b">
        <f>COUNTBLANK(metadata!B229:D229)=COLUMNS(metadata!B229:D229)</f>
        <v>1</v>
      </c>
      <c r="M229" t="str">
        <v/>
      </c>
      <c r="O229" t="b">
        <f ca="1"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P229" t="b">
        <f>AND(IF(metadata!C229="",FALSE,TRUE),EXACT(metadata!C229,"mouse gut metagenome"))</f>
        <v>0</v>
      </c>
      <c r="Q229" t="b">
        <f>AND(IF(metadata!D229="",FALSE,TRUE),EXACT(metadata!D229,"410661"))</f>
        <v>0</v>
      </c>
    </row>
    <row r="230" spans="1:17" x14ac:dyDescent="0.2">
      <c r="A230" s="4" t="str">
        <f ca="1">IF(B230=" "," ",HYPERLINK(CONCATENATE("#metadata!",ADDRESS(INDEX($J$2:$J$1001,MATCH(ROWS($H$2:H230),$H$2:$H$1001,0),0),1)),INDEX($M$2:$M$1001,MATCH(ROWS($H$2:H230),$H$2:$H$1001,0),0)))</f>
        <v xml:space="preserve"> </v>
      </c>
      <c r="B230" s="3" t="str">
        <f ca="1">IF(OR(INDEX($I$2:$I$1001,MATCH(ROWS($H$2:H230),$H$2:$H$1001,0),1)&gt;=100000,INDEX($O$1005:$Q$1005,1,MATCH(COLUMNS($O$1006:O1006),$O$1006:$Q$1006,0))&gt;=100000), " ",IF(INDEX($O$2:$Q$1001,MATCH(ROWS($H$2:H230),$H$2:$H$1001,0),MATCH(COLUMNS($O$1006:O1006),$O$1006:$Q$1006,0)), HYPERLINK("#",""), HYPERLINK(CONCATENATE("#metadata!", ADDRESS(INDEX($J$2:$J$1001,MATCH(ROWS($H$2:H230),$H$2:$H$1001,0),0), INDEX($O$1004:$Q$1004,1,MATCH(COLUMNS($O$1006:O1006),$O$1006:$Q$1006,0)))),"Fix")))</f>
        <v xml:space="preserve"> </v>
      </c>
      <c r="C230" s="3" t="str">
        <f ca="1">IF(OR(INDEX($I$2:$I$1001,MATCH(ROWS($H$2:H230),$H$2:$H$1001,0),1)&gt;=100000,INDEX($O$1005:$Q$1005,1,MATCH(COLUMNS($O$1006:P1006),$O$1006:$Q$1006,0))&gt;=100000), " ",IF(INDEX($O$2:$Q$1001,MATCH(ROWS($H$2:H230),$H$2:$H$1001,0),MATCH(COLUMNS($O$1006:P1006),$O$1006:$Q$1006,0)), HYPERLINK("#",""), HYPERLINK(CONCATENATE("#metadata!", ADDRESS(INDEX($J$2:$J$1001,MATCH(ROWS($H$2:H230),$H$2:$H$1001,0),0), INDEX($O$1004:$Q$1004,1,MATCH(COLUMNS($O$1006:P1006),$O$1006:$Q$1006,0)))),"Fix")))</f>
        <v xml:space="preserve"> </v>
      </c>
      <c r="D230" s="3" t="str">
        <f ca="1">IF(OR(INDEX($I$2:$I$1001,MATCH(ROWS($H$2:H230),$H$2:$H$1001,0),1)&gt;=100000,INDEX($O$1005:$Q$1005,1,MATCH(COLUMNS($O$1006:Q1006),$O$1006:$Q$1006,0))&gt;=100000), " ",IF(INDEX($O$2:$Q$1001,MATCH(ROWS($H$2:H230),$H$2:$H$1001,0),MATCH(COLUMNS($O$1006:Q1006),$O$1006:$Q$1006,0)), HYPERLINK("#",""), HYPERLINK(CONCATENATE("#metadata!", ADDRESS(INDEX($J$2:$J$1001,MATCH(ROWS($H$2:H230),$H$2:$H$1001,0),0), INDEX($O$1004:$Q$1004,1,MATCH(COLUMNS($O$1006:Q1006),$O$1006:$Q$1006,0)))),"Fix")))</f>
        <v xml:space="preserve"> </v>
      </c>
      <c r="H230">
        <v>229</v>
      </c>
      <c r="I230">
        <v>100230</v>
      </c>
      <c r="J230">
        <v>230</v>
      </c>
      <c r="K230" t="b">
        <f t="shared" si="3"/>
        <v>1</v>
      </c>
      <c r="L230" t="b">
        <f>COUNTBLANK(metadata!B230:D230)=COLUMNS(metadata!B230:D230)</f>
        <v>1</v>
      </c>
      <c r="M230" t="str">
        <v/>
      </c>
      <c r="O230" t="b">
        <f ca="1"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P230" t="b">
        <f>AND(IF(metadata!C230="",FALSE,TRUE),EXACT(metadata!C230,"mouse gut metagenome"))</f>
        <v>0</v>
      </c>
      <c r="Q230" t="b">
        <f>AND(IF(metadata!D230="",FALSE,TRUE),EXACT(metadata!D230,"410661"))</f>
        <v>0</v>
      </c>
    </row>
    <row r="231" spans="1:17" x14ac:dyDescent="0.2">
      <c r="A231" s="4" t="str">
        <f ca="1">IF(B231=" "," ",HYPERLINK(CONCATENATE("#metadata!",ADDRESS(INDEX($J$2:$J$1001,MATCH(ROWS($H$2:H231),$H$2:$H$1001,0),0),1)),INDEX($M$2:$M$1001,MATCH(ROWS($H$2:H231),$H$2:$H$1001,0),0)))</f>
        <v xml:space="preserve"> </v>
      </c>
      <c r="B231" s="3" t="str">
        <f ca="1">IF(OR(INDEX($I$2:$I$1001,MATCH(ROWS($H$2:H231),$H$2:$H$1001,0),1)&gt;=100000,INDEX($O$1005:$Q$1005,1,MATCH(COLUMNS($O$1006:O1006),$O$1006:$Q$1006,0))&gt;=100000), " ",IF(INDEX($O$2:$Q$1001,MATCH(ROWS($H$2:H231),$H$2:$H$1001,0),MATCH(COLUMNS($O$1006:O1006),$O$1006:$Q$1006,0)), HYPERLINK("#",""), HYPERLINK(CONCATENATE("#metadata!", ADDRESS(INDEX($J$2:$J$1001,MATCH(ROWS($H$2:H231),$H$2:$H$1001,0),0), INDEX($O$1004:$Q$1004,1,MATCH(COLUMNS($O$1006:O1006),$O$1006:$Q$1006,0)))),"Fix")))</f>
        <v xml:space="preserve"> </v>
      </c>
      <c r="C231" s="3" t="str">
        <f ca="1">IF(OR(INDEX($I$2:$I$1001,MATCH(ROWS($H$2:H231),$H$2:$H$1001,0),1)&gt;=100000,INDEX($O$1005:$Q$1005,1,MATCH(COLUMNS($O$1006:P1006),$O$1006:$Q$1006,0))&gt;=100000), " ",IF(INDEX($O$2:$Q$1001,MATCH(ROWS($H$2:H231),$H$2:$H$1001,0),MATCH(COLUMNS($O$1006:P1006),$O$1006:$Q$1006,0)), HYPERLINK("#",""), HYPERLINK(CONCATENATE("#metadata!", ADDRESS(INDEX($J$2:$J$1001,MATCH(ROWS($H$2:H231),$H$2:$H$1001,0),0), INDEX($O$1004:$Q$1004,1,MATCH(COLUMNS($O$1006:P1006),$O$1006:$Q$1006,0)))),"Fix")))</f>
        <v xml:space="preserve"> </v>
      </c>
      <c r="D231" s="3" t="str">
        <f ca="1">IF(OR(INDEX($I$2:$I$1001,MATCH(ROWS($H$2:H231),$H$2:$H$1001,0),1)&gt;=100000,INDEX($O$1005:$Q$1005,1,MATCH(COLUMNS($O$1006:Q1006),$O$1006:$Q$1006,0))&gt;=100000), " ",IF(INDEX($O$2:$Q$1001,MATCH(ROWS($H$2:H231),$H$2:$H$1001,0),MATCH(COLUMNS($O$1006:Q1006),$O$1006:$Q$1006,0)), HYPERLINK("#",""), HYPERLINK(CONCATENATE("#metadata!", ADDRESS(INDEX($J$2:$J$1001,MATCH(ROWS($H$2:H231),$H$2:$H$1001,0),0), INDEX($O$1004:$Q$1004,1,MATCH(COLUMNS($O$1006:Q1006),$O$1006:$Q$1006,0)))),"Fix")))</f>
        <v xml:space="preserve"> </v>
      </c>
      <c r="H231">
        <v>230</v>
      </c>
      <c r="I231">
        <v>100231</v>
      </c>
      <c r="J231">
        <v>231</v>
      </c>
      <c r="K231" t="b">
        <f t="shared" si="3"/>
        <v>1</v>
      </c>
      <c r="L231" t="b">
        <f>COUNTBLANK(metadata!B231:D231)=COLUMNS(metadata!B231:D231)</f>
        <v>1</v>
      </c>
      <c r="M231" t="str">
        <v/>
      </c>
      <c r="O231" t="b">
        <f ca="1"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P231" t="b">
        <f>AND(IF(metadata!C231="",FALSE,TRUE),EXACT(metadata!C231,"mouse gut metagenome"))</f>
        <v>0</v>
      </c>
      <c r="Q231" t="b">
        <f>AND(IF(metadata!D231="",FALSE,TRUE),EXACT(metadata!D231,"410661"))</f>
        <v>0</v>
      </c>
    </row>
    <row r="232" spans="1:17" x14ac:dyDescent="0.2">
      <c r="A232" s="4" t="str">
        <f ca="1">IF(B232=" "," ",HYPERLINK(CONCATENATE("#metadata!",ADDRESS(INDEX($J$2:$J$1001,MATCH(ROWS($H$2:H232),$H$2:$H$1001,0),0),1)),INDEX($M$2:$M$1001,MATCH(ROWS($H$2:H232),$H$2:$H$1001,0),0)))</f>
        <v xml:space="preserve"> </v>
      </c>
      <c r="B232" s="3" t="str">
        <f ca="1">IF(OR(INDEX($I$2:$I$1001,MATCH(ROWS($H$2:H232),$H$2:$H$1001,0),1)&gt;=100000,INDEX($O$1005:$Q$1005,1,MATCH(COLUMNS($O$1006:O1006),$O$1006:$Q$1006,0))&gt;=100000), " ",IF(INDEX($O$2:$Q$1001,MATCH(ROWS($H$2:H232),$H$2:$H$1001,0),MATCH(COLUMNS($O$1006:O1006),$O$1006:$Q$1006,0)), HYPERLINK("#",""), HYPERLINK(CONCATENATE("#metadata!", ADDRESS(INDEX($J$2:$J$1001,MATCH(ROWS($H$2:H232),$H$2:$H$1001,0),0), INDEX($O$1004:$Q$1004,1,MATCH(COLUMNS($O$1006:O1006),$O$1006:$Q$1006,0)))),"Fix")))</f>
        <v xml:space="preserve"> </v>
      </c>
      <c r="C232" s="3" t="str">
        <f ca="1">IF(OR(INDEX($I$2:$I$1001,MATCH(ROWS($H$2:H232),$H$2:$H$1001,0),1)&gt;=100000,INDEX($O$1005:$Q$1005,1,MATCH(COLUMNS($O$1006:P1006),$O$1006:$Q$1006,0))&gt;=100000), " ",IF(INDEX($O$2:$Q$1001,MATCH(ROWS($H$2:H232),$H$2:$H$1001,0),MATCH(COLUMNS($O$1006:P1006),$O$1006:$Q$1006,0)), HYPERLINK("#",""), HYPERLINK(CONCATENATE("#metadata!", ADDRESS(INDEX($J$2:$J$1001,MATCH(ROWS($H$2:H232),$H$2:$H$1001,0),0), INDEX($O$1004:$Q$1004,1,MATCH(COLUMNS($O$1006:P1006),$O$1006:$Q$1006,0)))),"Fix")))</f>
        <v xml:space="preserve"> </v>
      </c>
      <c r="D232" s="3" t="str">
        <f ca="1">IF(OR(INDEX($I$2:$I$1001,MATCH(ROWS($H$2:H232),$H$2:$H$1001,0),1)&gt;=100000,INDEX($O$1005:$Q$1005,1,MATCH(COLUMNS($O$1006:Q1006),$O$1006:$Q$1006,0))&gt;=100000), " ",IF(INDEX($O$2:$Q$1001,MATCH(ROWS($H$2:H232),$H$2:$H$1001,0),MATCH(COLUMNS($O$1006:Q1006),$O$1006:$Q$1006,0)), HYPERLINK("#",""), HYPERLINK(CONCATENATE("#metadata!", ADDRESS(INDEX($J$2:$J$1001,MATCH(ROWS($H$2:H232),$H$2:$H$1001,0),0), INDEX($O$1004:$Q$1004,1,MATCH(COLUMNS($O$1006:Q1006),$O$1006:$Q$1006,0)))),"Fix")))</f>
        <v xml:space="preserve"> </v>
      </c>
      <c r="H232">
        <v>231</v>
      </c>
      <c r="I232">
        <v>100232</v>
      </c>
      <c r="J232">
        <v>232</v>
      </c>
      <c r="K232" t="b">
        <f t="shared" si="3"/>
        <v>1</v>
      </c>
      <c r="L232" t="b">
        <f>COUNTBLANK(metadata!B232:D232)=COLUMNS(metadata!B232:D232)</f>
        <v>1</v>
      </c>
      <c r="M232" t="str">
        <v/>
      </c>
      <c r="O232" t="b">
        <f ca="1"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P232" t="b">
        <f>AND(IF(metadata!C232="",FALSE,TRUE),EXACT(metadata!C232,"mouse gut metagenome"))</f>
        <v>0</v>
      </c>
      <c r="Q232" t="b">
        <f>AND(IF(metadata!D232="",FALSE,TRUE),EXACT(metadata!D232,"410661"))</f>
        <v>0</v>
      </c>
    </row>
    <row r="233" spans="1:17" x14ac:dyDescent="0.2">
      <c r="A233" s="4" t="str">
        <f ca="1">IF(B233=" "," ",HYPERLINK(CONCATENATE("#metadata!",ADDRESS(INDEX($J$2:$J$1001,MATCH(ROWS($H$2:H233),$H$2:$H$1001,0),0),1)),INDEX($M$2:$M$1001,MATCH(ROWS($H$2:H233),$H$2:$H$1001,0),0)))</f>
        <v xml:space="preserve"> </v>
      </c>
      <c r="B233" s="3" t="str">
        <f ca="1">IF(OR(INDEX($I$2:$I$1001,MATCH(ROWS($H$2:H233),$H$2:$H$1001,0),1)&gt;=100000,INDEX($O$1005:$Q$1005,1,MATCH(COLUMNS($O$1006:O1006),$O$1006:$Q$1006,0))&gt;=100000), " ",IF(INDEX($O$2:$Q$1001,MATCH(ROWS($H$2:H233),$H$2:$H$1001,0),MATCH(COLUMNS($O$1006:O1006),$O$1006:$Q$1006,0)), HYPERLINK("#",""), HYPERLINK(CONCATENATE("#metadata!", ADDRESS(INDEX($J$2:$J$1001,MATCH(ROWS($H$2:H233),$H$2:$H$1001,0),0), INDEX($O$1004:$Q$1004,1,MATCH(COLUMNS($O$1006:O1006),$O$1006:$Q$1006,0)))),"Fix")))</f>
        <v xml:space="preserve"> </v>
      </c>
      <c r="C233" s="3" t="str">
        <f ca="1">IF(OR(INDEX($I$2:$I$1001,MATCH(ROWS($H$2:H233),$H$2:$H$1001,0),1)&gt;=100000,INDEX($O$1005:$Q$1005,1,MATCH(COLUMNS($O$1006:P1006),$O$1006:$Q$1006,0))&gt;=100000), " ",IF(INDEX($O$2:$Q$1001,MATCH(ROWS($H$2:H233),$H$2:$H$1001,0),MATCH(COLUMNS($O$1006:P1006),$O$1006:$Q$1006,0)), HYPERLINK("#",""), HYPERLINK(CONCATENATE("#metadata!", ADDRESS(INDEX($J$2:$J$1001,MATCH(ROWS($H$2:H233),$H$2:$H$1001,0),0), INDEX($O$1004:$Q$1004,1,MATCH(COLUMNS($O$1006:P1006),$O$1006:$Q$1006,0)))),"Fix")))</f>
        <v xml:space="preserve"> </v>
      </c>
      <c r="D233" s="3" t="str">
        <f ca="1">IF(OR(INDEX($I$2:$I$1001,MATCH(ROWS($H$2:H233),$H$2:$H$1001,0),1)&gt;=100000,INDEX($O$1005:$Q$1005,1,MATCH(COLUMNS($O$1006:Q1006),$O$1006:$Q$1006,0))&gt;=100000), " ",IF(INDEX($O$2:$Q$1001,MATCH(ROWS($H$2:H233),$H$2:$H$1001,0),MATCH(COLUMNS($O$1006:Q1006),$O$1006:$Q$1006,0)), HYPERLINK("#",""), HYPERLINK(CONCATENATE("#metadata!", ADDRESS(INDEX($J$2:$J$1001,MATCH(ROWS($H$2:H233),$H$2:$H$1001,0),0), INDEX($O$1004:$Q$1004,1,MATCH(COLUMNS($O$1006:Q1006),$O$1006:$Q$1006,0)))),"Fix")))</f>
        <v xml:space="preserve"> </v>
      </c>
      <c r="H233">
        <v>232</v>
      </c>
      <c r="I233">
        <v>100233</v>
      </c>
      <c r="J233">
        <v>233</v>
      </c>
      <c r="K233" t="b">
        <f t="shared" si="3"/>
        <v>1</v>
      </c>
      <c r="L233" t="b">
        <f>COUNTBLANK(metadata!B233:D233)=COLUMNS(metadata!B233:D233)</f>
        <v>1</v>
      </c>
      <c r="M233" t="str">
        <v/>
      </c>
      <c r="O233" t="b">
        <f ca="1"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P233" t="b">
        <f>AND(IF(metadata!C233="",FALSE,TRUE),EXACT(metadata!C233,"mouse gut metagenome"))</f>
        <v>0</v>
      </c>
      <c r="Q233" t="b">
        <f>AND(IF(metadata!D233="",FALSE,TRUE),EXACT(metadata!D233,"410661"))</f>
        <v>0</v>
      </c>
    </row>
    <row r="234" spans="1:17" x14ac:dyDescent="0.2">
      <c r="A234" s="4" t="str">
        <f ca="1">IF(B234=" "," ",HYPERLINK(CONCATENATE("#metadata!",ADDRESS(INDEX($J$2:$J$1001,MATCH(ROWS($H$2:H234),$H$2:$H$1001,0),0),1)),INDEX($M$2:$M$1001,MATCH(ROWS($H$2:H234),$H$2:$H$1001,0),0)))</f>
        <v xml:space="preserve"> </v>
      </c>
      <c r="B234" s="3" t="str">
        <f ca="1">IF(OR(INDEX($I$2:$I$1001,MATCH(ROWS($H$2:H234),$H$2:$H$1001,0),1)&gt;=100000,INDEX($O$1005:$Q$1005,1,MATCH(COLUMNS($O$1006:O1006),$O$1006:$Q$1006,0))&gt;=100000), " ",IF(INDEX($O$2:$Q$1001,MATCH(ROWS($H$2:H234),$H$2:$H$1001,0),MATCH(COLUMNS($O$1006:O1006),$O$1006:$Q$1006,0)), HYPERLINK("#",""), HYPERLINK(CONCATENATE("#metadata!", ADDRESS(INDEX($J$2:$J$1001,MATCH(ROWS($H$2:H234),$H$2:$H$1001,0),0), INDEX($O$1004:$Q$1004,1,MATCH(COLUMNS($O$1006:O1006),$O$1006:$Q$1006,0)))),"Fix")))</f>
        <v xml:space="preserve"> </v>
      </c>
      <c r="C234" s="3" t="str">
        <f ca="1">IF(OR(INDEX($I$2:$I$1001,MATCH(ROWS($H$2:H234),$H$2:$H$1001,0),1)&gt;=100000,INDEX($O$1005:$Q$1005,1,MATCH(COLUMNS($O$1006:P1006),$O$1006:$Q$1006,0))&gt;=100000), " ",IF(INDEX($O$2:$Q$1001,MATCH(ROWS($H$2:H234),$H$2:$H$1001,0),MATCH(COLUMNS($O$1006:P1006),$O$1006:$Q$1006,0)), HYPERLINK("#",""), HYPERLINK(CONCATENATE("#metadata!", ADDRESS(INDEX($J$2:$J$1001,MATCH(ROWS($H$2:H234),$H$2:$H$1001,0),0), INDEX($O$1004:$Q$1004,1,MATCH(COLUMNS($O$1006:P1006),$O$1006:$Q$1006,0)))),"Fix")))</f>
        <v xml:space="preserve"> </v>
      </c>
      <c r="D234" s="3" t="str">
        <f ca="1">IF(OR(INDEX($I$2:$I$1001,MATCH(ROWS($H$2:H234),$H$2:$H$1001,0),1)&gt;=100000,INDEX($O$1005:$Q$1005,1,MATCH(COLUMNS($O$1006:Q1006),$O$1006:$Q$1006,0))&gt;=100000), " ",IF(INDEX($O$2:$Q$1001,MATCH(ROWS($H$2:H234),$H$2:$H$1001,0),MATCH(COLUMNS($O$1006:Q1006),$O$1006:$Q$1006,0)), HYPERLINK("#",""), HYPERLINK(CONCATENATE("#metadata!", ADDRESS(INDEX($J$2:$J$1001,MATCH(ROWS($H$2:H234),$H$2:$H$1001,0),0), INDEX($O$1004:$Q$1004,1,MATCH(COLUMNS($O$1006:Q1006),$O$1006:$Q$1006,0)))),"Fix")))</f>
        <v xml:space="preserve"> </v>
      </c>
      <c r="H234">
        <v>233</v>
      </c>
      <c r="I234">
        <v>100234</v>
      </c>
      <c r="J234">
        <v>234</v>
      </c>
      <c r="K234" t="b">
        <f t="shared" si="3"/>
        <v>1</v>
      </c>
      <c r="L234" t="b">
        <f>COUNTBLANK(metadata!B234:D234)=COLUMNS(metadata!B234:D234)</f>
        <v>1</v>
      </c>
      <c r="M234" t="str">
        <v/>
      </c>
      <c r="O234" t="b">
        <f ca="1"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P234" t="b">
        <f>AND(IF(metadata!C234="",FALSE,TRUE),EXACT(metadata!C234,"mouse gut metagenome"))</f>
        <v>0</v>
      </c>
      <c r="Q234" t="b">
        <f>AND(IF(metadata!D234="",FALSE,TRUE),EXACT(metadata!D234,"410661"))</f>
        <v>0</v>
      </c>
    </row>
    <row r="235" spans="1:17" x14ac:dyDescent="0.2">
      <c r="A235" s="4" t="str">
        <f ca="1">IF(B235=" "," ",HYPERLINK(CONCATENATE("#metadata!",ADDRESS(INDEX($J$2:$J$1001,MATCH(ROWS($H$2:H235),$H$2:$H$1001,0),0),1)),INDEX($M$2:$M$1001,MATCH(ROWS($H$2:H235),$H$2:$H$1001,0),0)))</f>
        <v xml:space="preserve"> </v>
      </c>
      <c r="B235" s="3" t="str">
        <f ca="1">IF(OR(INDEX($I$2:$I$1001,MATCH(ROWS($H$2:H235),$H$2:$H$1001,0),1)&gt;=100000,INDEX($O$1005:$Q$1005,1,MATCH(COLUMNS($O$1006:O1006),$O$1006:$Q$1006,0))&gt;=100000), " ",IF(INDEX($O$2:$Q$1001,MATCH(ROWS($H$2:H235),$H$2:$H$1001,0),MATCH(COLUMNS($O$1006:O1006),$O$1006:$Q$1006,0)), HYPERLINK("#",""), HYPERLINK(CONCATENATE("#metadata!", ADDRESS(INDEX($J$2:$J$1001,MATCH(ROWS($H$2:H235),$H$2:$H$1001,0),0), INDEX($O$1004:$Q$1004,1,MATCH(COLUMNS($O$1006:O1006),$O$1006:$Q$1006,0)))),"Fix")))</f>
        <v xml:space="preserve"> </v>
      </c>
      <c r="C235" s="3" t="str">
        <f ca="1">IF(OR(INDEX($I$2:$I$1001,MATCH(ROWS($H$2:H235),$H$2:$H$1001,0),1)&gt;=100000,INDEX($O$1005:$Q$1005,1,MATCH(COLUMNS($O$1006:P1006),$O$1006:$Q$1006,0))&gt;=100000), " ",IF(INDEX($O$2:$Q$1001,MATCH(ROWS($H$2:H235),$H$2:$H$1001,0),MATCH(COLUMNS($O$1006:P1006),$O$1006:$Q$1006,0)), HYPERLINK("#",""), HYPERLINK(CONCATENATE("#metadata!", ADDRESS(INDEX($J$2:$J$1001,MATCH(ROWS($H$2:H235),$H$2:$H$1001,0),0), INDEX($O$1004:$Q$1004,1,MATCH(COLUMNS($O$1006:P1006),$O$1006:$Q$1006,0)))),"Fix")))</f>
        <v xml:space="preserve"> </v>
      </c>
      <c r="D235" s="3" t="str">
        <f ca="1">IF(OR(INDEX($I$2:$I$1001,MATCH(ROWS($H$2:H235),$H$2:$H$1001,0),1)&gt;=100000,INDEX($O$1005:$Q$1005,1,MATCH(COLUMNS($O$1006:Q1006),$O$1006:$Q$1006,0))&gt;=100000), " ",IF(INDEX($O$2:$Q$1001,MATCH(ROWS($H$2:H235),$H$2:$H$1001,0),MATCH(COLUMNS($O$1006:Q1006),$O$1006:$Q$1006,0)), HYPERLINK("#",""), HYPERLINK(CONCATENATE("#metadata!", ADDRESS(INDEX($J$2:$J$1001,MATCH(ROWS($H$2:H235),$H$2:$H$1001,0),0), INDEX($O$1004:$Q$1004,1,MATCH(COLUMNS($O$1006:Q1006),$O$1006:$Q$1006,0)))),"Fix")))</f>
        <v xml:space="preserve"> </v>
      </c>
      <c r="H235">
        <v>234</v>
      </c>
      <c r="I235">
        <v>100235</v>
      </c>
      <c r="J235">
        <v>235</v>
      </c>
      <c r="K235" t="b">
        <f t="shared" si="3"/>
        <v>1</v>
      </c>
      <c r="L235" t="b">
        <f>COUNTBLANK(metadata!B235:D235)=COLUMNS(metadata!B235:D235)</f>
        <v>1</v>
      </c>
      <c r="M235" t="str">
        <v/>
      </c>
      <c r="O235" t="b">
        <f ca="1"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P235" t="b">
        <f>AND(IF(metadata!C235="",FALSE,TRUE),EXACT(metadata!C235,"mouse gut metagenome"))</f>
        <v>0</v>
      </c>
      <c r="Q235" t="b">
        <f>AND(IF(metadata!D235="",FALSE,TRUE),EXACT(metadata!D235,"410661"))</f>
        <v>0</v>
      </c>
    </row>
    <row r="236" spans="1:17" x14ac:dyDescent="0.2">
      <c r="A236" s="4" t="str">
        <f ca="1">IF(B236=" "," ",HYPERLINK(CONCATENATE("#metadata!",ADDRESS(INDEX($J$2:$J$1001,MATCH(ROWS($H$2:H236),$H$2:$H$1001,0),0),1)),INDEX($M$2:$M$1001,MATCH(ROWS($H$2:H236),$H$2:$H$1001,0),0)))</f>
        <v xml:space="preserve"> </v>
      </c>
      <c r="B236" s="3" t="str">
        <f ca="1">IF(OR(INDEX($I$2:$I$1001,MATCH(ROWS($H$2:H236),$H$2:$H$1001,0),1)&gt;=100000,INDEX($O$1005:$Q$1005,1,MATCH(COLUMNS($O$1006:O1006),$O$1006:$Q$1006,0))&gt;=100000), " ",IF(INDEX($O$2:$Q$1001,MATCH(ROWS($H$2:H236),$H$2:$H$1001,0),MATCH(COLUMNS($O$1006:O1006),$O$1006:$Q$1006,0)), HYPERLINK("#",""), HYPERLINK(CONCATENATE("#metadata!", ADDRESS(INDEX($J$2:$J$1001,MATCH(ROWS($H$2:H236),$H$2:$H$1001,0),0), INDEX($O$1004:$Q$1004,1,MATCH(COLUMNS($O$1006:O1006),$O$1006:$Q$1006,0)))),"Fix")))</f>
        <v xml:space="preserve"> </v>
      </c>
      <c r="C236" s="3" t="str">
        <f ca="1">IF(OR(INDEX($I$2:$I$1001,MATCH(ROWS($H$2:H236),$H$2:$H$1001,0),1)&gt;=100000,INDEX($O$1005:$Q$1005,1,MATCH(COLUMNS($O$1006:P1006),$O$1006:$Q$1006,0))&gt;=100000), " ",IF(INDEX($O$2:$Q$1001,MATCH(ROWS($H$2:H236),$H$2:$H$1001,0),MATCH(COLUMNS($O$1006:P1006),$O$1006:$Q$1006,0)), HYPERLINK("#",""), HYPERLINK(CONCATENATE("#metadata!", ADDRESS(INDEX($J$2:$J$1001,MATCH(ROWS($H$2:H236),$H$2:$H$1001,0),0), INDEX($O$1004:$Q$1004,1,MATCH(COLUMNS($O$1006:P1006),$O$1006:$Q$1006,0)))),"Fix")))</f>
        <v xml:space="preserve"> </v>
      </c>
      <c r="D236" s="3" t="str">
        <f ca="1">IF(OR(INDEX($I$2:$I$1001,MATCH(ROWS($H$2:H236),$H$2:$H$1001,0),1)&gt;=100000,INDEX($O$1005:$Q$1005,1,MATCH(COLUMNS($O$1006:Q1006),$O$1006:$Q$1006,0))&gt;=100000), " ",IF(INDEX($O$2:$Q$1001,MATCH(ROWS($H$2:H236),$H$2:$H$1001,0),MATCH(COLUMNS($O$1006:Q1006),$O$1006:$Q$1006,0)), HYPERLINK("#",""), HYPERLINK(CONCATENATE("#metadata!", ADDRESS(INDEX($J$2:$J$1001,MATCH(ROWS($H$2:H236),$H$2:$H$1001,0),0), INDEX($O$1004:$Q$1004,1,MATCH(COLUMNS($O$1006:Q1006),$O$1006:$Q$1006,0)))),"Fix")))</f>
        <v xml:space="preserve"> </v>
      </c>
      <c r="H236">
        <v>235</v>
      </c>
      <c r="I236">
        <v>100236</v>
      </c>
      <c r="J236">
        <v>236</v>
      </c>
      <c r="K236" t="b">
        <f t="shared" si="3"/>
        <v>1</v>
      </c>
      <c r="L236" t="b">
        <f>COUNTBLANK(metadata!B236:D236)=COLUMNS(metadata!B236:D236)</f>
        <v>1</v>
      </c>
      <c r="M236" t="str">
        <v/>
      </c>
      <c r="O236" t="b">
        <f ca="1"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P236" t="b">
        <f>AND(IF(metadata!C236="",FALSE,TRUE),EXACT(metadata!C236,"mouse gut metagenome"))</f>
        <v>0</v>
      </c>
      <c r="Q236" t="b">
        <f>AND(IF(metadata!D236="",FALSE,TRUE),EXACT(metadata!D236,"410661"))</f>
        <v>0</v>
      </c>
    </row>
    <row r="237" spans="1:17" x14ac:dyDescent="0.2">
      <c r="A237" s="4" t="str">
        <f ca="1">IF(B237=" "," ",HYPERLINK(CONCATENATE("#metadata!",ADDRESS(INDEX($J$2:$J$1001,MATCH(ROWS($H$2:H237),$H$2:$H$1001,0),0),1)),INDEX($M$2:$M$1001,MATCH(ROWS($H$2:H237),$H$2:$H$1001,0),0)))</f>
        <v xml:space="preserve"> </v>
      </c>
      <c r="B237" s="3" t="str">
        <f ca="1">IF(OR(INDEX($I$2:$I$1001,MATCH(ROWS($H$2:H237),$H$2:$H$1001,0),1)&gt;=100000,INDEX($O$1005:$Q$1005,1,MATCH(COLUMNS($O$1006:O1006),$O$1006:$Q$1006,0))&gt;=100000), " ",IF(INDEX($O$2:$Q$1001,MATCH(ROWS($H$2:H237),$H$2:$H$1001,0),MATCH(COLUMNS($O$1006:O1006),$O$1006:$Q$1006,0)), HYPERLINK("#",""), HYPERLINK(CONCATENATE("#metadata!", ADDRESS(INDEX($J$2:$J$1001,MATCH(ROWS($H$2:H237),$H$2:$H$1001,0),0), INDEX($O$1004:$Q$1004,1,MATCH(COLUMNS($O$1006:O1006),$O$1006:$Q$1006,0)))),"Fix")))</f>
        <v xml:space="preserve"> </v>
      </c>
      <c r="C237" s="3" t="str">
        <f ca="1">IF(OR(INDEX($I$2:$I$1001,MATCH(ROWS($H$2:H237),$H$2:$H$1001,0),1)&gt;=100000,INDEX($O$1005:$Q$1005,1,MATCH(COLUMNS($O$1006:P1006),$O$1006:$Q$1006,0))&gt;=100000), " ",IF(INDEX($O$2:$Q$1001,MATCH(ROWS($H$2:H237),$H$2:$H$1001,0),MATCH(COLUMNS($O$1006:P1006),$O$1006:$Q$1006,0)), HYPERLINK("#",""), HYPERLINK(CONCATENATE("#metadata!", ADDRESS(INDEX($J$2:$J$1001,MATCH(ROWS($H$2:H237),$H$2:$H$1001,0),0), INDEX($O$1004:$Q$1004,1,MATCH(COLUMNS($O$1006:P1006),$O$1006:$Q$1006,0)))),"Fix")))</f>
        <v xml:space="preserve"> </v>
      </c>
      <c r="D237" s="3" t="str">
        <f ca="1">IF(OR(INDEX($I$2:$I$1001,MATCH(ROWS($H$2:H237),$H$2:$H$1001,0),1)&gt;=100000,INDEX($O$1005:$Q$1005,1,MATCH(COLUMNS($O$1006:Q1006),$O$1006:$Q$1006,0))&gt;=100000), " ",IF(INDEX($O$2:$Q$1001,MATCH(ROWS($H$2:H237),$H$2:$H$1001,0),MATCH(COLUMNS($O$1006:Q1006),$O$1006:$Q$1006,0)), HYPERLINK("#",""), HYPERLINK(CONCATENATE("#metadata!", ADDRESS(INDEX($J$2:$J$1001,MATCH(ROWS($H$2:H237),$H$2:$H$1001,0),0), INDEX($O$1004:$Q$1004,1,MATCH(COLUMNS($O$1006:Q1006),$O$1006:$Q$1006,0)))),"Fix")))</f>
        <v xml:space="preserve"> </v>
      </c>
      <c r="H237">
        <v>236</v>
      </c>
      <c r="I237">
        <v>100237</v>
      </c>
      <c r="J237">
        <v>237</v>
      </c>
      <c r="K237" t="b">
        <f t="shared" si="3"/>
        <v>1</v>
      </c>
      <c r="L237" t="b">
        <f>COUNTBLANK(metadata!B237:D237)=COLUMNS(metadata!B237:D237)</f>
        <v>1</v>
      </c>
      <c r="M237" t="str">
        <v/>
      </c>
      <c r="O237" t="b">
        <f ca="1"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P237" t="b">
        <f>AND(IF(metadata!C237="",FALSE,TRUE),EXACT(metadata!C237,"mouse gut metagenome"))</f>
        <v>0</v>
      </c>
      <c r="Q237" t="b">
        <f>AND(IF(metadata!D237="",FALSE,TRUE),EXACT(metadata!D237,"410661"))</f>
        <v>0</v>
      </c>
    </row>
    <row r="238" spans="1:17" x14ac:dyDescent="0.2">
      <c r="A238" s="4" t="str">
        <f ca="1">IF(B238=" "," ",HYPERLINK(CONCATENATE("#metadata!",ADDRESS(INDEX($J$2:$J$1001,MATCH(ROWS($H$2:H238),$H$2:$H$1001,0),0),1)),INDEX($M$2:$M$1001,MATCH(ROWS($H$2:H238),$H$2:$H$1001,0),0)))</f>
        <v xml:space="preserve"> </v>
      </c>
      <c r="B238" s="3" t="str">
        <f ca="1">IF(OR(INDEX($I$2:$I$1001,MATCH(ROWS($H$2:H238),$H$2:$H$1001,0),1)&gt;=100000,INDEX($O$1005:$Q$1005,1,MATCH(COLUMNS($O$1006:O1006),$O$1006:$Q$1006,0))&gt;=100000), " ",IF(INDEX($O$2:$Q$1001,MATCH(ROWS($H$2:H238),$H$2:$H$1001,0),MATCH(COLUMNS($O$1006:O1006),$O$1006:$Q$1006,0)), HYPERLINK("#",""), HYPERLINK(CONCATENATE("#metadata!", ADDRESS(INDEX($J$2:$J$1001,MATCH(ROWS($H$2:H238),$H$2:$H$1001,0),0), INDEX($O$1004:$Q$1004,1,MATCH(COLUMNS($O$1006:O1006),$O$1006:$Q$1006,0)))),"Fix")))</f>
        <v xml:space="preserve"> </v>
      </c>
      <c r="C238" s="3" t="str">
        <f ca="1">IF(OR(INDEX($I$2:$I$1001,MATCH(ROWS($H$2:H238),$H$2:$H$1001,0),1)&gt;=100000,INDEX($O$1005:$Q$1005,1,MATCH(COLUMNS($O$1006:P1006),$O$1006:$Q$1006,0))&gt;=100000), " ",IF(INDEX($O$2:$Q$1001,MATCH(ROWS($H$2:H238),$H$2:$H$1001,0),MATCH(COLUMNS($O$1006:P1006),$O$1006:$Q$1006,0)), HYPERLINK("#",""), HYPERLINK(CONCATENATE("#metadata!", ADDRESS(INDEX($J$2:$J$1001,MATCH(ROWS($H$2:H238),$H$2:$H$1001,0),0), INDEX($O$1004:$Q$1004,1,MATCH(COLUMNS($O$1006:P1006),$O$1006:$Q$1006,0)))),"Fix")))</f>
        <v xml:space="preserve"> </v>
      </c>
      <c r="D238" s="3" t="str">
        <f ca="1">IF(OR(INDEX($I$2:$I$1001,MATCH(ROWS($H$2:H238),$H$2:$H$1001,0),1)&gt;=100000,INDEX($O$1005:$Q$1005,1,MATCH(COLUMNS($O$1006:Q1006),$O$1006:$Q$1006,0))&gt;=100000), " ",IF(INDEX($O$2:$Q$1001,MATCH(ROWS($H$2:H238),$H$2:$H$1001,0),MATCH(COLUMNS($O$1006:Q1006),$O$1006:$Q$1006,0)), HYPERLINK("#",""), HYPERLINK(CONCATENATE("#metadata!", ADDRESS(INDEX($J$2:$J$1001,MATCH(ROWS($H$2:H238),$H$2:$H$1001,0),0), INDEX($O$1004:$Q$1004,1,MATCH(COLUMNS($O$1006:Q1006),$O$1006:$Q$1006,0)))),"Fix")))</f>
        <v xml:space="preserve"> </v>
      </c>
      <c r="H238">
        <v>237</v>
      </c>
      <c r="I238">
        <v>100238</v>
      </c>
      <c r="J238">
        <v>238</v>
      </c>
      <c r="K238" t="b">
        <f t="shared" si="3"/>
        <v>1</v>
      </c>
      <c r="L238" t="b">
        <f>COUNTBLANK(metadata!B238:D238)=COLUMNS(metadata!B238:D238)</f>
        <v>1</v>
      </c>
      <c r="M238" t="str">
        <v/>
      </c>
      <c r="O238" t="b">
        <f ca="1"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P238" t="b">
        <f>AND(IF(metadata!C238="",FALSE,TRUE),EXACT(metadata!C238,"mouse gut metagenome"))</f>
        <v>0</v>
      </c>
      <c r="Q238" t="b">
        <f>AND(IF(metadata!D238="",FALSE,TRUE),EXACT(metadata!D238,"410661"))</f>
        <v>0</v>
      </c>
    </row>
    <row r="239" spans="1:17" x14ac:dyDescent="0.2">
      <c r="A239" s="4" t="str">
        <f ca="1">IF(B239=" "," ",HYPERLINK(CONCATENATE("#metadata!",ADDRESS(INDEX($J$2:$J$1001,MATCH(ROWS($H$2:H239),$H$2:$H$1001,0),0),1)),INDEX($M$2:$M$1001,MATCH(ROWS($H$2:H239),$H$2:$H$1001,0),0)))</f>
        <v xml:space="preserve"> </v>
      </c>
      <c r="B239" s="3" t="str">
        <f ca="1">IF(OR(INDEX($I$2:$I$1001,MATCH(ROWS($H$2:H239),$H$2:$H$1001,0),1)&gt;=100000,INDEX($O$1005:$Q$1005,1,MATCH(COLUMNS($O$1006:O1006),$O$1006:$Q$1006,0))&gt;=100000), " ",IF(INDEX($O$2:$Q$1001,MATCH(ROWS($H$2:H239),$H$2:$H$1001,0),MATCH(COLUMNS($O$1006:O1006),$O$1006:$Q$1006,0)), HYPERLINK("#",""), HYPERLINK(CONCATENATE("#metadata!", ADDRESS(INDEX($J$2:$J$1001,MATCH(ROWS($H$2:H239),$H$2:$H$1001,0),0), INDEX($O$1004:$Q$1004,1,MATCH(COLUMNS($O$1006:O1006),$O$1006:$Q$1006,0)))),"Fix")))</f>
        <v xml:space="preserve"> </v>
      </c>
      <c r="C239" s="3" t="str">
        <f ca="1">IF(OR(INDEX($I$2:$I$1001,MATCH(ROWS($H$2:H239),$H$2:$H$1001,0),1)&gt;=100000,INDEX($O$1005:$Q$1005,1,MATCH(COLUMNS($O$1006:P1006),$O$1006:$Q$1006,0))&gt;=100000), " ",IF(INDEX($O$2:$Q$1001,MATCH(ROWS($H$2:H239),$H$2:$H$1001,0),MATCH(COLUMNS($O$1006:P1006),$O$1006:$Q$1006,0)), HYPERLINK("#",""), HYPERLINK(CONCATENATE("#metadata!", ADDRESS(INDEX($J$2:$J$1001,MATCH(ROWS($H$2:H239),$H$2:$H$1001,0),0), INDEX($O$1004:$Q$1004,1,MATCH(COLUMNS($O$1006:P1006),$O$1006:$Q$1006,0)))),"Fix")))</f>
        <v xml:space="preserve"> </v>
      </c>
      <c r="D239" s="3" t="str">
        <f ca="1">IF(OR(INDEX($I$2:$I$1001,MATCH(ROWS($H$2:H239),$H$2:$H$1001,0),1)&gt;=100000,INDEX($O$1005:$Q$1005,1,MATCH(COLUMNS($O$1006:Q1006),$O$1006:$Q$1006,0))&gt;=100000), " ",IF(INDEX($O$2:$Q$1001,MATCH(ROWS($H$2:H239),$H$2:$H$1001,0),MATCH(COLUMNS($O$1006:Q1006),$O$1006:$Q$1006,0)), HYPERLINK("#",""), HYPERLINK(CONCATENATE("#metadata!", ADDRESS(INDEX($J$2:$J$1001,MATCH(ROWS($H$2:H239),$H$2:$H$1001,0),0), INDEX($O$1004:$Q$1004,1,MATCH(COLUMNS($O$1006:Q1006),$O$1006:$Q$1006,0)))),"Fix")))</f>
        <v xml:space="preserve"> </v>
      </c>
      <c r="H239">
        <v>238</v>
      </c>
      <c r="I239">
        <v>100239</v>
      </c>
      <c r="J239">
        <v>239</v>
      </c>
      <c r="K239" t="b">
        <f t="shared" si="3"/>
        <v>1</v>
      </c>
      <c r="L239" t="b">
        <f>COUNTBLANK(metadata!B239:D239)=COLUMNS(metadata!B239:D239)</f>
        <v>1</v>
      </c>
      <c r="M239" t="str">
        <v/>
      </c>
      <c r="O239" t="b">
        <f ca="1"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P239" t="b">
        <f>AND(IF(metadata!C239="",FALSE,TRUE),EXACT(metadata!C239,"mouse gut metagenome"))</f>
        <v>0</v>
      </c>
      <c r="Q239" t="b">
        <f>AND(IF(metadata!D239="",FALSE,TRUE),EXACT(metadata!D239,"410661"))</f>
        <v>0</v>
      </c>
    </row>
    <row r="240" spans="1:17" x14ac:dyDescent="0.2">
      <c r="A240" s="4" t="str">
        <f ca="1">IF(B240=" "," ",HYPERLINK(CONCATENATE("#metadata!",ADDRESS(INDEX($J$2:$J$1001,MATCH(ROWS($H$2:H240),$H$2:$H$1001,0),0),1)),INDEX($M$2:$M$1001,MATCH(ROWS($H$2:H240),$H$2:$H$1001,0),0)))</f>
        <v xml:space="preserve"> </v>
      </c>
      <c r="B240" s="3" t="str">
        <f ca="1">IF(OR(INDEX($I$2:$I$1001,MATCH(ROWS($H$2:H240),$H$2:$H$1001,0),1)&gt;=100000,INDEX($O$1005:$Q$1005,1,MATCH(COLUMNS($O$1006:O1006),$O$1006:$Q$1006,0))&gt;=100000), " ",IF(INDEX($O$2:$Q$1001,MATCH(ROWS($H$2:H240),$H$2:$H$1001,0),MATCH(COLUMNS($O$1006:O1006),$O$1006:$Q$1006,0)), HYPERLINK("#",""), HYPERLINK(CONCATENATE("#metadata!", ADDRESS(INDEX($J$2:$J$1001,MATCH(ROWS($H$2:H240),$H$2:$H$1001,0),0), INDEX($O$1004:$Q$1004,1,MATCH(COLUMNS($O$1006:O1006),$O$1006:$Q$1006,0)))),"Fix")))</f>
        <v xml:space="preserve"> </v>
      </c>
      <c r="C240" s="3" t="str">
        <f ca="1">IF(OR(INDEX($I$2:$I$1001,MATCH(ROWS($H$2:H240),$H$2:$H$1001,0),1)&gt;=100000,INDEX($O$1005:$Q$1005,1,MATCH(COLUMNS($O$1006:P1006),$O$1006:$Q$1006,0))&gt;=100000), " ",IF(INDEX($O$2:$Q$1001,MATCH(ROWS($H$2:H240),$H$2:$H$1001,0),MATCH(COLUMNS($O$1006:P1006),$O$1006:$Q$1006,0)), HYPERLINK("#",""), HYPERLINK(CONCATENATE("#metadata!", ADDRESS(INDEX($J$2:$J$1001,MATCH(ROWS($H$2:H240),$H$2:$H$1001,0),0), INDEX($O$1004:$Q$1004,1,MATCH(COLUMNS($O$1006:P1006),$O$1006:$Q$1006,0)))),"Fix")))</f>
        <v xml:space="preserve"> </v>
      </c>
      <c r="D240" s="3" t="str">
        <f ca="1">IF(OR(INDEX($I$2:$I$1001,MATCH(ROWS($H$2:H240),$H$2:$H$1001,0),1)&gt;=100000,INDEX($O$1005:$Q$1005,1,MATCH(COLUMNS($O$1006:Q1006),$O$1006:$Q$1006,0))&gt;=100000), " ",IF(INDEX($O$2:$Q$1001,MATCH(ROWS($H$2:H240),$H$2:$H$1001,0),MATCH(COLUMNS($O$1006:Q1006),$O$1006:$Q$1006,0)), HYPERLINK("#",""), HYPERLINK(CONCATENATE("#metadata!", ADDRESS(INDEX($J$2:$J$1001,MATCH(ROWS($H$2:H240),$H$2:$H$1001,0),0), INDEX($O$1004:$Q$1004,1,MATCH(COLUMNS($O$1006:Q1006),$O$1006:$Q$1006,0)))),"Fix")))</f>
        <v xml:space="preserve"> </v>
      </c>
      <c r="H240">
        <v>239</v>
      </c>
      <c r="I240">
        <v>100240</v>
      </c>
      <c r="J240">
        <v>240</v>
      </c>
      <c r="K240" t="b">
        <f t="shared" si="3"/>
        <v>1</v>
      </c>
      <c r="L240" t="b">
        <f>COUNTBLANK(metadata!B240:D240)=COLUMNS(metadata!B240:D240)</f>
        <v>1</v>
      </c>
      <c r="M240" t="str">
        <v/>
      </c>
      <c r="O240" t="b">
        <f ca="1"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P240" t="b">
        <f>AND(IF(metadata!C240="",FALSE,TRUE),EXACT(metadata!C240,"mouse gut metagenome"))</f>
        <v>0</v>
      </c>
      <c r="Q240" t="b">
        <f>AND(IF(metadata!D240="",FALSE,TRUE),EXACT(metadata!D240,"410661"))</f>
        <v>0</v>
      </c>
    </row>
    <row r="241" spans="1:17" x14ac:dyDescent="0.2">
      <c r="A241" s="4" t="str">
        <f ca="1">IF(B241=" "," ",HYPERLINK(CONCATENATE("#metadata!",ADDRESS(INDEX($J$2:$J$1001,MATCH(ROWS($H$2:H241),$H$2:$H$1001,0),0),1)),INDEX($M$2:$M$1001,MATCH(ROWS($H$2:H241),$H$2:$H$1001,0),0)))</f>
        <v xml:space="preserve"> </v>
      </c>
      <c r="B241" s="3" t="str">
        <f ca="1">IF(OR(INDEX($I$2:$I$1001,MATCH(ROWS($H$2:H241),$H$2:$H$1001,0),1)&gt;=100000,INDEX($O$1005:$Q$1005,1,MATCH(COLUMNS($O$1006:O1006),$O$1006:$Q$1006,0))&gt;=100000), " ",IF(INDEX($O$2:$Q$1001,MATCH(ROWS($H$2:H241),$H$2:$H$1001,0),MATCH(COLUMNS($O$1006:O1006),$O$1006:$Q$1006,0)), HYPERLINK("#",""), HYPERLINK(CONCATENATE("#metadata!", ADDRESS(INDEX($J$2:$J$1001,MATCH(ROWS($H$2:H241),$H$2:$H$1001,0),0), INDEX($O$1004:$Q$1004,1,MATCH(COLUMNS($O$1006:O1006),$O$1006:$Q$1006,0)))),"Fix")))</f>
        <v xml:space="preserve"> </v>
      </c>
      <c r="C241" s="3" t="str">
        <f ca="1">IF(OR(INDEX($I$2:$I$1001,MATCH(ROWS($H$2:H241),$H$2:$H$1001,0),1)&gt;=100000,INDEX($O$1005:$Q$1005,1,MATCH(COLUMNS($O$1006:P1006),$O$1006:$Q$1006,0))&gt;=100000), " ",IF(INDEX($O$2:$Q$1001,MATCH(ROWS($H$2:H241),$H$2:$H$1001,0),MATCH(COLUMNS($O$1006:P1006),$O$1006:$Q$1006,0)), HYPERLINK("#",""), HYPERLINK(CONCATENATE("#metadata!", ADDRESS(INDEX($J$2:$J$1001,MATCH(ROWS($H$2:H241),$H$2:$H$1001,0),0), INDEX($O$1004:$Q$1004,1,MATCH(COLUMNS($O$1006:P1006),$O$1006:$Q$1006,0)))),"Fix")))</f>
        <v xml:space="preserve"> </v>
      </c>
      <c r="D241" s="3" t="str">
        <f ca="1">IF(OR(INDEX($I$2:$I$1001,MATCH(ROWS($H$2:H241),$H$2:$H$1001,0),1)&gt;=100000,INDEX($O$1005:$Q$1005,1,MATCH(COLUMNS($O$1006:Q1006),$O$1006:$Q$1006,0))&gt;=100000), " ",IF(INDEX($O$2:$Q$1001,MATCH(ROWS($H$2:H241),$H$2:$H$1001,0),MATCH(COLUMNS($O$1006:Q1006),$O$1006:$Q$1006,0)), HYPERLINK("#",""), HYPERLINK(CONCATENATE("#metadata!", ADDRESS(INDEX($J$2:$J$1001,MATCH(ROWS($H$2:H241),$H$2:$H$1001,0),0), INDEX($O$1004:$Q$1004,1,MATCH(COLUMNS($O$1006:Q1006),$O$1006:$Q$1006,0)))),"Fix")))</f>
        <v xml:space="preserve"> </v>
      </c>
      <c r="H241">
        <v>240</v>
      </c>
      <c r="I241">
        <v>100241</v>
      </c>
      <c r="J241">
        <v>241</v>
      </c>
      <c r="K241" t="b">
        <f t="shared" si="3"/>
        <v>1</v>
      </c>
      <c r="L241" t="b">
        <f>COUNTBLANK(metadata!B241:D241)=COLUMNS(metadata!B241:D241)</f>
        <v>1</v>
      </c>
      <c r="M241" t="str">
        <v/>
      </c>
      <c r="O241" t="b">
        <f ca="1"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P241" t="b">
        <f>AND(IF(metadata!C241="",FALSE,TRUE),EXACT(metadata!C241,"mouse gut metagenome"))</f>
        <v>0</v>
      </c>
      <c r="Q241" t="b">
        <f>AND(IF(metadata!D241="",FALSE,TRUE),EXACT(metadata!D241,"410661"))</f>
        <v>0</v>
      </c>
    </row>
    <row r="242" spans="1:17" x14ac:dyDescent="0.2">
      <c r="A242" s="4" t="str">
        <f ca="1">IF(B242=" "," ",HYPERLINK(CONCATENATE("#metadata!",ADDRESS(INDEX($J$2:$J$1001,MATCH(ROWS($H$2:H242),$H$2:$H$1001,0),0),1)),INDEX($M$2:$M$1001,MATCH(ROWS($H$2:H242),$H$2:$H$1001,0),0)))</f>
        <v xml:space="preserve"> </v>
      </c>
      <c r="B242" s="3" t="str">
        <f ca="1">IF(OR(INDEX($I$2:$I$1001,MATCH(ROWS($H$2:H242),$H$2:$H$1001,0),1)&gt;=100000,INDEX($O$1005:$Q$1005,1,MATCH(COLUMNS($O$1006:O1006),$O$1006:$Q$1006,0))&gt;=100000), " ",IF(INDEX($O$2:$Q$1001,MATCH(ROWS($H$2:H242),$H$2:$H$1001,0),MATCH(COLUMNS($O$1006:O1006),$O$1006:$Q$1006,0)), HYPERLINK("#",""), HYPERLINK(CONCATENATE("#metadata!", ADDRESS(INDEX($J$2:$J$1001,MATCH(ROWS($H$2:H242),$H$2:$H$1001,0),0), INDEX($O$1004:$Q$1004,1,MATCH(COLUMNS($O$1006:O1006),$O$1006:$Q$1006,0)))),"Fix")))</f>
        <v xml:space="preserve"> </v>
      </c>
      <c r="C242" s="3" t="str">
        <f ca="1">IF(OR(INDEX($I$2:$I$1001,MATCH(ROWS($H$2:H242),$H$2:$H$1001,0),1)&gt;=100000,INDEX($O$1005:$Q$1005,1,MATCH(COLUMNS($O$1006:P1006),$O$1006:$Q$1006,0))&gt;=100000), " ",IF(INDEX($O$2:$Q$1001,MATCH(ROWS($H$2:H242),$H$2:$H$1001,0),MATCH(COLUMNS($O$1006:P1006),$O$1006:$Q$1006,0)), HYPERLINK("#",""), HYPERLINK(CONCATENATE("#metadata!", ADDRESS(INDEX($J$2:$J$1001,MATCH(ROWS($H$2:H242),$H$2:$H$1001,0),0), INDEX($O$1004:$Q$1004,1,MATCH(COLUMNS($O$1006:P1006),$O$1006:$Q$1006,0)))),"Fix")))</f>
        <v xml:space="preserve"> </v>
      </c>
      <c r="D242" s="3" t="str">
        <f ca="1">IF(OR(INDEX($I$2:$I$1001,MATCH(ROWS($H$2:H242),$H$2:$H$1001,0),1)&gt;=100000,INDEX($O$1005:$Q$1005,1,MATCH(COLUMNS($O$1006:Q1006),$O$1006:$Q$1006,0))&gt;=100000), " ",IF(INDEX($O$2:$Q$1001,MATCH(ROWS($H$2:H242),$H$2:$H$1001,0),MATCH(COLUMNS($O$1006:Q1006),$O$1006:$Q$1006,0)), HYPERLINK("#",""), HYPERLINK(CONCATENATE("#metadata!", ADDRESS(INDEX($J$2:$J$1001,MATCH(ROWS($H$2:H242),$H$2:$H$1001,0),0), INDEX($O$1004:$Q$1004,1,MATCH(COLUMNS($O$1006:Q1006),$O$1006:$Q$1006,0)))),"Fix")))</f>
        <v xml:space="preserve"> </v>
      </c>
      <c r="H242">
        <v>241</v>
      </c>
      <c r="I242">
        <v>100242</v>
      </c>
      <c r="J242">
        <v>242</v>
      </c>
      <c r="K242" t="b">
        <f t="shared" si="3"/>
        <v>1</v>
      </c>
      <c r="L242" t="b">
        <f>COUNTBLANK(metadata!B242:D242)=COLUMNS(metadata!B242:D242)</f>
        <v>1</v>
      </c>
      <c r="M242" t="str">
        <v/>
      </c>
      <c r="O242" t="b">
        <f ca="1"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P242" t="b">
        <f>AND(IF(metadata!C242="",FALSE,TRUE),EXACT(metadata!C242,"mouse gut metagenome"))</f>
        <v>0</v>
      </c>
      <c r="Q242" t="b">
        <f>AND(IF(metadata!D242="",FALSE,TRUE),EXACT(metadata!D242,"410661"))</f>
        <v>0</v>
      </c>
    </row>
    <row r="243" spans="1:17" x14ac:dyDescent="0.2">
      <c r="A243" s="4" t="str">
        <f ca="1">IF(B243=" "," ",HYPERLINK(CONCATENATE("#metadata!",ADDRESS(INDEX($J$2:$J$1001,MATCH(ROWS($H$2:H243),$H$2:$H$1001,0),0),1)),INDEX($M$2:$M$1001,MATCH(ROWS($H$2:H243),$H$2:$H$1001,0),0)))</f>
        <v xml:space="preserve"> </v>
      </c>
      <c r="B243" s="3" t="str">
        <f ca="1">IF(OR(INDEX($I$2:$I$1001,MATCH(ROWS($H$2:H243),$H$2:$H$1001,0),1)&gt;=100000,INDEX($O$1005:$Q$1005,1,MATCH(COLUMNS($O$1006:O1006),$O$1006:$Q$1006,0))&gt;=100000), " ",IF(INDEX($O$2:$Q$1001,MATCH(ROWS($H$2:H243),$H$2:$H$1001,0),MATCH(COLUMNS($O$1006:O1006),$O$1006:$Q$1006,0)), HYPERLINK("#",""), HYPERLINK(CONCATENATE("#metadata!", ADDRESS(INDEX($J$2:$J$1001,MATCH(ROWS($H$2:H243),$H$2:$H$1001,0),0), INDEX($O$1004:$Q$1004,1,MATCH(COLUMNS($O$1006:O1006),$O$1006:$Q$1006,0)))),"Fix")))</f>
        <v xml:space="preserve"> </v>
      </c>
      <c r="C243" s="3" t="str">
        <f ca="1">IF(OR(INDEX($I$2:$I$1001,MATCH(ROWS($H$2:H243),$H$2:$H$1001,0),1)&gt;=100000,INDEX($O$1005:$Q$1005,1,MATCH(COLUMNS($O$1006:P1006),$O$1006:$Q$1006,0))&gt;=100000), " ",IF(INDEX($O$2:$Q$1001,MATCH(ROWS($H$2:H243),$H$2:$H$1001,0),MATCH(COLUMNS($O$1006:P1006),$O$1006:$Q$1006,0)), HYPERLINK("#",""), HYPERLINK(CONCATENATE("#metadata!", ADDRESS(INDEX($J$2:$J$1001,MATCH(ROWS($H$2:H243),$H$2:$H$1001,0),0), INDEX($O$1004:$Q$1004,1,MATCH(COLUMNS($O$1006:P1006),$O$1006:$Q$1006,0)))),"Fix")))</f>
        <v xml:space="preserve"> </v>
      </c>
      <c r="D243" s="3" t="str">
        <f ca="1">IF(OR(INDEX($I$2:$I$1001,MATCH(ROWS($H$2:H243),$H$2:$H$1001,0),1)&gt;=100000,INDEX($O$1005:$Q$1005,1,MATCH(COLUMNS($O$1006:Q1006),$O$1006:$Q$1006,0))&gt;=100000), " ",IF(INDEX($O$2:$Q$1001,MATCH(ROWS($H$2:H243),$H$2:$H$1001,0),MATCH(COLUMNS($O$1006:Q1006),$O$1006:$Q$1006,0)), HYPERLINK("#",""), HYPERLINK(CONCATENATE("#metadata!", ADDRESS(INDEX($J$2:$J$1001,MATCH(ROWS($H$2:H243),$H$2:$H$1001,0),0), INDEX($O$1004:$Q$1004,1,MATCH(COLUMNS($O$1006:Q1006),$O$1006:$Q$1006,0)))),"Fix")))</f>
        <v xml:space="preserve"> </v>
      </c>
      <c r="H243">
        <v>242</v>
      </c>
      <c r="I243">
        <v>100243</v>
      </c>
      <c r="J243">
        <v>243</v>
      </c>
      <c r="K243" t="b">
        <f t="shared" si="3"/>
        <v>1</v>
      </c>
      <c r="L243" t="b">
        <f>COUNTBLANK(metadata!B243:D243)=COLUMNS(metadata!B243:D243)</f>
        <v>1</v>
      </c>
      <c r="M243" t="str">
        <v/>
      </c>
      <c r="O243" t="b">
        <f ca="1"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P243" t="b">
        <f>AND(IF(metadata!C243="",FALSE,TRUE),EXACT(metadata!C243,"mouse gut metagenome"))</f>
        <v>0</v>
      </c>
      <c r="Q243" t="b">
        <f>AND(IF(metadata!D243="",FALSE,TRUE),EXACT(metadata!D243,"410661"))</f>
        <v>0</v>
      </c>
    </row>
    <row r="244" spans="1:17" x14ac:dyDescent="0.2">
      <c r="A244" s="4" t="str">
        <f ca="1">IF(B244=" "," ",HYPERLINK(CONCATENATE("#metadata!",ADDRESS(INDEX($J$2:$J$1001,MATCH(ROWS($H$2:H244),$H$2:$H$1001,0),0),1)),INDEX($M$2:$M$1001,MATCH(ROWS($H$2:H244),$H$2:$H$1001,0),0)))</f>
        <v xml:space="preserve"> </v>
      </c>
      <c r="B244" s="3" t="str">
        <f ca="1">IF(OR(INDEX($I$2:$I$1001,MATCH(ROWS($H$2:H244),$H$2:$H$1001,0),1)&gt;=100000,INDEX($O$1005:$Q$1005,1,MATCH(COLUMNS($O$1006:O1006),$O$1006:$Q$1006,0))&gt;=100000), " ",IF(INDEX($O$2:$Q$1001,MATCH(ROWS($H$2:H244),$H$2:$H$1001,0),MATCH(COLUMNS($O$1006:O1006),$O$1006:$Q$1006,0)), HYPERLINK("#",""), HYPERLINK(CONCATENATE("#metadata!", ADDRESS(INDEX($J$2:$J$1001,MATCH(ROWS($H$2:H244),$H$2:$H$1001,0),0), INDEX($O$1004:$Q$1004,1,MATCH(COLUMNS($O$1006:O1006),$O$1006:$Q$1006,0)))),"Fix")))</f>
        <v xml:space="preserve"> </v>
      </c>
      <c r="C244" s="3" t="str">
        <f ca="1">IF(OR(INDEX($I$2:$I$1001,MATCH(ROWS($H$2:H244),$H$2:$H$1001,0),1)&gt;=100000,INDEX($O$1005:$Q$1005,1,MATCH(COLUMNS($O$1006:P1006),$O$1006:$Q$1006,0))&gt;=100000), " ",IF(INDEX($O$2:$Q$1001,MATCH(ROWS($H$2:H244),$H$2:$H$1001,0),MATCH(COLUMNS($O$1006:P1006),$O$1006:$Q$1006,0)), HYPERLINK("#",""), HYPERLINK(CONCATENATE("#metadata!", ADDRESS(INDEX($J$2:$J$1001,MATCH(ROWS($H$2:H244),$H$2:$H$1001,0),0), INDEX($O$1004:$Q$1004,1,MATCH(COLUMNS($O$1006:P1006),$O$1006:$Q$1006,0)))),"Fix")))</f>
        <v xml:space="preserve"> </v>
      </c>
      <c r="D244" s="3" t="str">
        <f ca="1">IF(OR(INDEX($I$2:$I$1001,MATCH(ROWS($H$2:H244),$H$2:$H$1001,0),1)&gt;=100000,INDEX($O$1005:$Q$1005,1,MATCH(COLUMNS($O$1006:Q1006),$O$1006:$Q$1006,0))&gt;=100000), " ",IF(INDEX($O$2:$Q$1001,MATCH(ROWS($H$2:H244),$H$2:$H$1001,0),MATCH(COLUMNS($O$1006:Q1006),$O$1006:$Q$1006,0)), HYPERLINK("#",""), HYPERLINK(CONCATENATE("#metadata!", ADDRESS(INDEX($J$2:$J$1001,MATCH(ROWS($H$2:H244),$H$2:$H$1001,0),0), INDEX($O$1004:$Q$1004,1,MATCH(COLUMNS($O$1006:Q1006),$O$1006:$Q$1006,0)))),"Fix")))</f>
        <v xml:space="preserve"> </v>
      </c>
      <c r="H244">
        <v>243</v>
      </c>
      <c r="I244">
        <v>100244</v>
      </c>
      <c r="J244">
        <v>244</v>
      </c>
      <c r="K244" t="b">
        <f t="shared" si="3"/>
        <v>1</v>
      </c>
      <c r="L244" t="b">
        <f>COUNTBLANK(metadata!B244:D244)=COLUMNS(metadata!B244:D244)</f>
        <v>1</v>
      </c>
      <c r="M244" t="str">
        <v/>
      </c>
      <c r="O244" t="b">
        <f ca="1"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P244" t="b">
        <f>AND(IF(metadata!C244="",FALSE,TRUE),EXACT(metadata!C244,"mouse gut metagenome"))</f>
        <v>0</v>
      </c>
      <c r="Q244" t="b">
        <f>AND(IF(metadata!D244="",FALSE,TRUE),EXACT(metadata!D244,"410661"))</f>
        <v>0</v>
      </c>
    </row>
    <row r="245" spans="1:17" x14ac:dyDescent="0.2">
      <c r="A245" s="4" t="str">
        <f ca="1">IF(B245=" "," ",HYPERLINK(CONCATENATE("#metadata!",ADDRESS(INDEX($J$2:$J$1001,MATCH(ROWS($H$2:H245),$H$2:$H$1001,0),0),1)),INDEX($M$2:$M$1001,MATCH(ROWS($H$2:H245),$H$2:$H$1001,0),0)))</f>
        <v xml:space="preserve"> </v>
      </c>
      <c r="B245" s="3" t="str">
        <f ca="1">IF(OR(INDEX($I$2:$I$1001,MATCH(ROWS($H$2:H245),$H$2:$H$1001,0),1)&gt;=100000,INDEX($O$1005:$Q$1005,1,MATCH(COLUMNS($O$1006:O1006),$O$1006:$Q$1006,0))&gt;=100000), " ",IF(INDEX($O$2:$Q$1001,MATCH(ROWS($H$2:H245),$H$2:$H$1001,0),MATCH(COLUMNS($O$1006:O1006),$O$1006:$Q$1006,0)), HYPERLINK("#",""), HYPERLINK(CONCATENATE("#metadata!", ADDRESS(INDEX($J$2:$J$1001,MATCH(ROWS($H$2:H245),$H$2:$H$1001,0),0), INDEX($O$1004:$Q$1004,1,MATCH(COLUMNS($O$1006:O1006),$O$1006:$Q$1006,0)))),"Fix")))</f>
        <v xml:space="preserve"> </v>
      </c>
      <c r="C245" s="3" t="str">
        <f ca="1">IF(OR(INDEX($I$2:$I$1001,MATCH(ROWS($H$2:H245),$H$2:$H$1001,0),1)&gt;=100000,INDEX($O$1005:$Q$1005,1,MATCH(COLUMNS($O$1006:P1006),$O$1006:$Q$1006,0))&gt;=100000), " ",IF(INDEX($O$2:$Q$1001,MATCH(ROWS($H$2:H245),$H$2:$H$1001,0),MATCH(COLUMNS($O$1006:P1006),$O$1006:$Q$1006,0)), HYPERLINK("#",""), HYPERLINK(CONCATENATE("#metadata!", ADDRESS(INDEX($J$2:$J$1001,MATCH(ROWS($H$2:H245),$H$2:$H$1001,0),0), INDEX($O$1004:$Q$1004,1,MATCH(COLUMNS($O$1006:P1006),$O$1006:$Q$1006,0)))),"Fix")))</f>
        <v xml:space="preserve"> </v>
      </c>
      <c r="D245" s="3" t="str">
        <f ca="1">IF(OR(INDEX($I$2:$I$1001,MATCH(ROWS($H$2:H245),$H$2:$H$1001,0),1)&gt;=100000,INDEX($O$1005:$Q$1005,1,MATCH(COLUMNS($O$1006:Q1006),$O$1006:$Q$1006,0))&gt;=100000), " ",IF(INDEX($O$2:$Q$1001,MATCH(ROWS($H$2:H245),$H$2:$H$1001,0),MATCH(COLUMNS($O$1006:Q1006),$O$1006:$Q$1006,0)), HYPERLINK("#",""), HYPERLINK(CONCATENATE("#metadata!", ADDRESS(INDEX($J$2:$J$1001,MATCH(ROWS($H$2:H245),$H$2:$H$1001,0),0), INDEX($O$1004:$Q$1004,1,MATCH(COLUMNS($O$1006:Q1006),$O$1006:$Q$1006,0)))),"Fix")))</f>
        <v xml:space="preserve"> </v>
      </c>
      <c r="H245">
        <v>244</v>
      </c>
      <c r="I245">
        <v>100245</v>
      </c>
      <c r="J245">
        <v>245</v>
      </c>
      <c r="K245" t="b">
        <f t="shared" si="3"/>
        <v>1</v>
      </c>
      <c r="L245" t="b">
        <f>COUNTBLANK(metadata!B245:D245)=COLUMNS(metadata!B245:D245)</f>
        <v>1</v>
      </c>
      <c r="M245" t="str">
        <v/>
      </c>
      <c r="O245" t="b">
        <f ca="1"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P245" t="b">
        <f>AND(IF(metadata!C245="",FALSE,TRUE),EXACT(metadata!C245,"mouse gut metagenome"))</f>
        <v>0</v>
      </c>
      <c r="Q245" t="b">
        <f>AND(IF(metadata!D245="",FALSE,TRUE),EXACT(metadata!D245,"410661"))</f>
        <v>0</v>
      </c>
    </row>
    <row r="246" spans="1:17" x14ac:dyDescent="0.2">
      <c r="A246" s="4" t="str">
        <f ca="1">IF(B246=" "," ",HYPERLINK(CONCATENATE("#metadata!",ADDRESS(INDEX($J$2:$J$1001,MATCH(ROWS($H$2:H246),$H$2:$H$1001,0),0),1)),INDEX($M$2:$M$1001,MATCH(ROWS($H$2:H246),$H$2:$H$1001,0),0)))</f>
        <v xml:space="preserve"> </v>
      </c>
      <c r="B246" s="3" t="str">
        <f ca="1">IF(OR(INDEX($I$2:$I$1001,MATCH(ROWS($H$2:H246),$H$2:$H$1001,0),1)&gt;=100000,INDEX($O$1005:$Q$1005,1,MATCH(COLUMNS($O$1006:O1006),$O$1006:$Q$1006,0))&gt;=100000), " ",IF(INDEX($O$2:$Q$1001,MATCH(ROWS($H$2:H246),$H$2:$H$1001,0),MATCH(COLUMNS($O$1006:O1006),$O$1006:$Q$1006,0)), HYPERLINK("#",""), HYPERLINK(CONCATENATE("#metadata!", ADDRESS(INDEX($J$2:$J$1001,MATCH(ROWS($H$2:H246),$H$2:$H$1001,0),0), INDEX($O$1004:$Q$1004,1,MATCH(COLUMNS($O$1006:O1006),$O$1006:$Q$1006,0)))),"Fix")))</f>
        <v xml:space="preserve"> </v>
      </c>
      <c r="C246" s="3" t="str">
        <f ca="1">IF(OR(INDEX($I$2:$I$1001,MATCH(ROWS($H$2:H246),$H$2:$H$1001,0),1)&gt;=100000,INDEX($O$1005:$Q$1005,1,MATCH(COLUMNS($O$1006:P1006),$O$1006:$Q$1006,0))&gt;=100000), " ",IF(INDEX($O$2:$Q$1001,MATCH(ROWS($H$2:H246),$H$2:$H$1001,0),MATCH(COLUMNS($O$1006:P1006),$O$1006:$Q$1006,0)), HYPERLINK("#",""), HYPERLINK(CONCATENATE("#metadata!", ADDRESS(INDEX($J$2:$J$1001,MATCH(ROWS($H$2:H246),$H$2:$H$1001,0),0), INDEX($O$1004:$Q$1004,1,MATCH(COLUMNS($O$1006:P1006),$O$1006:$Q$1006,0)))),"Fix")))</f>
        <v xml:space="preserve"> </v>
      </c>
      <c r="D246" s="3" t="str">
        <f ca="1">IF(OR(INDEX($I$2:$I$1001,MATCH(ROWS($H$2:H246),$H$2:$H$1001,0),1)&gt;=100000,INDEX($O$1005:$Q$1005,1,MATCH(COLUMNS($O$1006:Q1006),$O$1006:$Q$1006,0))&gt;=100000), " ",IF(INDEX($O$2:$Q$1001,MATCH(ROWS($H$2:H246),$H$2:$H$1001,0),MATCH(COLUMNS($O$1006:Q1006),$O$1006:$Q$1006,0)), HYPERLINK("#",""), HYPERLINK(CONCATENATE("#metadata!", ADDRESS(INDEX($J$2:$J$1001,MATCH(ROWS($H$2:H246),$H$2:$H$1001,0),0), INDEX($O$1004:$Q$1004,1,MATCH(COLUMNS($O$1006:Q1006),$O$1006:$Q$1006,0)))),"Fix")))</f>
        <v xml:space="preserve"> </v>
      </c>
      <c r="H246">
        <v>245</v>
      </c>
      <c r="I246">
        <v>100246</v>
      </c>
      <c r="J246">
        <v>246</v>
      </c>
      <c r="K246" t="b">
        <f t="shared" si="3"/>
        <v>1</v>
      </c>
      <c r="L246" t="b">
        <f>COUNTBLANK(metadata!B246:D246)=COLUMNS(metadata!B246:D246)</f>
        <v>1</v>
      </c>
      <c r="M246" t="str">
        <v/>
      </c>
      <c r="O246" t="b">
        <f ca="1"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P246" t="b">
        <f>AND(IF(metadata!C246="",FALSE,TRUE),EXACT(metadata!C246,"mouse gut metagenome"))</f>
        <v>0</v>
      </c>
      <c r="Q246" t="b">
        <f>AND(IF(metadata!D246="",FALSE,TRUE),EXACT(metadata!D246,"410661"))</f>
        <v>0</v>
      </c>
    </row>
    <row r="247" spans="1:17" x14ac:dyDescent="0.2">
      <c r="A247" s="4" t="str">
        <f ca="1">IF(B247=" "," ",HYPERLINK(CONCATENATE("#metadata!",ADDRESS(INDEX($J$2:$J$1001,MATCH(ROWS($H$2:H247),$H$2:$H$1001,0),0),1)),INDEX($M$2:$M$1001,MATCH(ROWS($H$2:H247),$H$2:$H$1001,0),0)))</f>
        <v xml:space="preserve"> </v>
      </c>
      <c r="B247" s="3" t="str">
        <f ca="1">IF(OR(INDEX($I$2:$I$1001,MATCH(ROWS($H$2:H247),$H$2:$H$1001,0),1)&gt;=100000,INDEX($O$1005:$Q$1005,1,MATCH(COLUMNS($O$1006:O1006),$O$1006:$Q$1006,0))&gt;=100000), " ",IF(INDEX($O$2:$Q$1001,MATCH(ROWS($H$2:H247),$H$2:$H$1001,0),MATCH(COLUMNS($O$1006:O1006),$O$1006:$Q$1006,0)), HYPERLINK("#",""), HYPERLINK(CONCATENATE("#metadata!", ADDRESS(INDEX($J$2:$J$1001,MATCH(ROWS($H$2:H247),$H$2:$H$1001,0),0), INDEX($O$1004:$Q$1004,1,MATCH(COLUMNS($O$1006:O1006),$O$1006:$Q$1006,0)))),"Fix")))</f>
        <v xml:space="preserve"> </v>
      </c>
      <c r="C247" s="3" t="str">
        <f ca="1">IF(OR(INDEX($I$2:$I$1001,MATCH(ROWS($H$2:H247),$H$2:$H$1001,0),1)&gt;=100000,INDEX($O$1005:$Q$1005,1,MATCH(COLUMNS($O$1006:P1006),$O$1006:$Q$1006,0))&gt;=100000), " ",IF(INDEX($O$2:$Q$1001,MATCH(ROWS($H$2:H247),$H$2:$H$1001,0),MATCH(COLUMNS($O$1006:P1006),$O$1006:$Q$1006,0)), HYPERLINK("#",""), HYPERLINK(CONCATENATE("#metadata!", ADDRESS(INDEX($J$2:$J$1001,MATCH(ROWS($H$2:H247),$H$2:$H$1001,0),0), INDEX($O$1004:$Q$1004,1,MATCH(COLUMNS($O$1006:P1006),$O$1006:$Q$1006,0)))),"Fix")))</f>
        <v xml:space="preserve"> </v>
      </c>
      <c r="D247" s="3" t="str">
        <f ca="1">IF(OR(INDEX($I$2:$I$1001,MATCH(ROWS($H$2:H247),$H$2:$H$1001,0),1)&gt;=100000,INDEX($O$1005:$Q$1005,1,MATCH(COLUMNS($O$1006:Q1006),$O$1006:$Q$1006,0))&gt;=100000), " ",IF(INDEX($O$2:$Q$1001,MATCH(ROWS($H$2:H247),$H$2:$H$1001,0),MATCH(COLUMNS($O$1006:Q1006),$O$1006:$Q$1006,0)), HYPERLINK("#",""), HYPERLINK(CONCATENATE("#metadata!", ADDRESS(INDEX($J$2:$J$1001,MATCH(ROWS($H$2:H247),$H$2:$H$1001,0),0), INDEX($O$1004:$Q$1004,1,MATCH(COLUMNS($O$1006:Q1006),$O$1006:$Q$1006,0)))),"Fix")))</f>
        <v xml:space="preserve"> </v>
      </c>
      <c r="H247">
        <v>246</v>
      </c>
      <c r="I247">
        <v>100247</v>
      </c>
      <c r="J247">
        <v>247</v>
      </c>
      <c r="K247" t="b">
        <f t="shared" si="3"/>
        <v>1</v>
      </c>
      <c r="L247" t="b">
        <f>COUNTBLANK(metadata!B247:D247)=COLUMNS(metadata!B247:D247)</f>
        <v>1</v>
      </c>
      <c r="M247" t="str">
        <v/>
      </c>
      <c r="O247" t="b">
        <f ca="1"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P247" t="b">
        <f>AND(IF(metadata!C247="",FALSE,TRUE),EXACT(metadata!C247,"mouse gut metagenome"))</f>
        <v>0</v>
      </c>
      <c r="Q247" t="b">
        <f>AND(IF(metadata!D247="",FALSE,TRUE),EXACT(metadata!D247,"410661"))</f>
        <v>0</v>
      </c>
    </row>
    <row r="248" spans="1:17" x14ac:dyDescent="0.2">
      <c r="A248" s="4" t="str">
        <f ca="1">IF(B248=" "," ",HYPERLINK(CONCATENATE("#metadata!",ADDRESS(INDEX($J$2:$J$1001,MATCH(ROWS($H$2:H248),$H$2:$H$1001,0),0),1)),INDEX($M$2:$M$1001,MATCH(ROWS($H$2:H248),$H$2:$H$1001,0),0)))</f>
        <v xml:space="preserve"> </v>
      </c>
      <c r="B248" s="3" t="str">
        <f ca="1">IF(OR(INDEX($I$2:$I$1001,MATCH(ROWS($H$2:H248),$H$2:$H$1001,0),1)&gt;=100000,INDEX($O$1005:$Q$1005,1,MATCH(COLUMNS($O$1006:O1006),$O$1006:$Q$1006,0))&gt;=100000), " ",IF(INDEX($O$2:$Q$1001,MATCH(ROWS($H$2:H248),$H$2:$H$1001,0),MATCH(COLUMNS($O$1006:O1006),$O$1006:$Q$1006,0)), HYPERLINK("#",""), HYPERLINK(CONCATENATE("#metadata!", ADDRESS(INDEX($J$2:$J$1001,MATCH(ROWS($H$2:H248),$H$2:$H$1001,0),0), INDEX($O$1004:$Q$1004,1,MATCH(COLUMNS($O$1006:O1006),$O$1006:$Q$1006,0)))),"Fix")))</f>
        <v xml:space="preserve"> </v>
      </c>
      <c r="C248" s="3" t="str">
        <f ca="1">IF(OR(INDEX($I$2:$I$1001,MATCH(ROWS($H$2:H248),$H$2:$H$1001,0),1)&gt;=100000,INDEX($O$1005:$Q$1005,1,MATCH(COLUMNS($O$1006:P1006),$O$1006:$Q$1006,0))&gt;=100000), " ",IF(INDEX($O$2:$Q$1001,MATCH(ROWS($H$2:H248),$H$2:$H$1001,0),MATCH(COLUMNS($O$1006:P1006),$O$1006:$Q$1006,0)), HYPERLINK("#",""), HYPERLINK(CONCATENATE("#metadata!", ADDRESS(INDEX($J$2:$J$1001,MATCH(ROWS($H$2:H248),$H$2:$H$1001,0),0), INDEX($O$1004:$Q$1004,1,MATCH(COLUMNS($O$1006:P1006),$O$1006:$Q$1006,0)))),"Fix")))</f>
        <v xml:space="preserve"> </v>
      </c>
      <c r="D248" s="3" t="str">
        <f ca="1">IF(OR(INDEX($I$2:$I$1001,MATCH(ROWS($H$2:H248),$H$2:$H$1001,0),1)&gt;=100000,INDEX($O$1005:$Q$1005,1,MATCH(COLUMNS($O$1006:Q1006),$O$1006:$Q$1006,0))&gt;=100000), " ",IF(INDEX($O$2:$Q$1001,MATCH(ROWS($H$2:H248),$H$2:$H$1001,0),MATCH(COLUMNS($O$1006:Q1006),$O$1006:$Q$1006,0)), HYPERLINK("#",""), HYPERLINK(CONCATENATE("#metadata!", ADDRESS(INDEX($J$2:$J$1001,MATCH(ROWS($H$2:H248),$H$2:$H$1001,0),0), INDEX($O$1004:$Q$1004,1,MATCH(COLUMNS($O$1006:Q1006),$O$1006:$Q$1006,0)))),"Fix")))</f>
        <v xml:space="preserve"> </v>
      </c>
      <c r="H248">
        <v>247</v>
      </c>
      <c r="I248">
        <v>100248</v>
      </c>
      <c r="J248">
        <v>248</v>
      </c>
      <c r="K248" t="b">
        <f t="shared" si="3"/>
        <v>1</v>
      </c>
      <c r="L248" t="b">
        <f>COUNTBLANK(metadata!B248:D248)=COLUMNS(metadata!B248:D248)</f>
        <v>1</v>
      </c>
      <c r="M248" t="str">
        <v/>
      </c>
      <c r="O248" t="b">
        <f ca="1"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P248" t="b">
        <f>AND(IF(metadata!C248="",FALSE,TRUE),EXACT(metadata!C248,"mouse gut metagenome"))</f>
        <v>0</v>
      </c>
      <c r="Q248" t="b">
        <f>AND(IF(metadata!D248="",FALSE,TRUE),EXACT(metadata!D248,"410661"))</f>
        <v>0</v>
      </c>
    </row>
    <row r="249" spans="1:17" x14ac:dyDescent="0.2">
      <c r="A249" s="4" t="str">
        <f ca="1">IF(B249=" "," ",HYPERLINK(CONCATENATE("#metadata!",ADDRESS(INDEX($J$2:$J$1001,MATCH(ROWS($H$2:H249),$H$2:$H$1001,0),0),1)),INDEX($M$2:$M$1001,MATCH(ROWS($H$2:H249),$H$2:$H$1001,0),0)))</f>
        <v xml:space="preserve"> </v>
      </c>
      <c r="B249" s="3" t="str">
        <f ca="1">IF(OR(INDEX($I$2:$I$1001,MATCH(ROWS($H$2:H249),$H$2:$H$1001,0),1)&gt;=100000,INDEX($O$1005:$Q$1005,1,MATCH(COLUMNS($O$1006:O1006),$O$1006:$Q$1006,0))&gt;=100000), " ",IF(INDEX($O$2:$Q$1001,MATCH(ROWS($H$2:H249),$H$2:$H$1001,0),MATCH(COLUMNS($O$1006:O1006),$O$1006:$Q$1006,0)), HYPERLINK("#",""), HYPERLINK(CONCATENATE("#metadata!", ADDRESS(INDEX($J$2:$J$1001,MATCH(ROWS($H$2:H249),$H$2:$H$1001,0),0), INDEX($O$1004:$Q$1004,1,MATCH(COLUMNS($O$1006:O1006),$O$1006:$Q$1006,0)))),"Fix")))</f>
        <v xml:space="preserve"> </v>
      </c>
      <c r="C249" s="3" t="str">
        <f ca="1">IF(OR(INDEX($I$2:$I$1001,MATCH(ROWS($H$2:H249),$H$2:$H$1001,0),1)&gt;=100000,INDEX($O$1005:$Q$1005,1,MATCH(COLUMNS($O$1006:P1006),$O$1006:$Q$1006,0))&gt;=100000), " ",IF(INDEX($O$2:$Q$1001,MATCH(ROWS($H$2:H249),$H$2:$H$1001,0),MATCH(COLUMNS($O$1006:P1006),$O$1006:$Q$1006,0)), HYPERLINK("#",""), HYPERLINK(CONCATENATE("#metadata!", ADDRESS(INDEX($J$2:$J$1001,MATCH(ROWS($H$2:H249),$H$2:$H$1001,0),0), INDEX($O$1004:$Q$1004,1,MATCH(COLUMNS($O$1006:P1006),$O$1006:$Q$1006,0)))),"Fix")))</f>
        <v xml:space="preserve"> </v>
      </c>
      <c r="D249" s="3" t="str">
        <f ca="1">IF(OR(INDEX($I$2:$I$1001,MATCH(ROWS($H$2:H249),$H$2:$H$1001,0),1)&gt;=100000,INDEX($O$1005:$Q$1005,1,MATCH(COLUMNS($O$1006:Q1006),$O$1006:$Q$1006,0))&gt;=100000), " ",IF(INDEX($O$2:$Q$1001,MATCH(ROWS($H$2:H249),$H$2:$H$1001,0),MATCH(COLUMNS($O$1006:Q1006),$O$1006:$Q$1006,0)), HYPERLINK("#",""), HYPERLINK(CONCATENATE("#metadata!", ADDRESS(INDEX($J$2:$J$1001,MATCH(ROWS($H$2:H249),$H$2:$H$1001,0),0), INDEX($O$1004:$Q$1004,1,MATCH(COLUMNS($O$1006:Q1006),$O$1006:$Q$1006,0)))),"Fix")))</f>
        <v xml:space="preserve"> </v>
      </c>
      <c r="H249">
        <v>248</v>
      </c>
      <c r="I249">
        <v>100249</v>
      </c>
      <c r="J249">
        <v>249</v>
      </c>
      <c r="K249" t="b">
        <f t="shared" si="3"/>
        <v>1</v>
      </c>
      <c r="L249" t="b">
        <f>COUNTBLANK(metadata!B249:D249)=COLUMNS(metadata!B249:D249)</f>
        <v>1</v>
      </c>
      <c r="M249" t="str">
        <v/>
      </c>
      <c r="O249" t="b">
        <f ca="1"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P249" t="b">
        <f>AND(IF(metadata!C249="",FALSE,TRUE),EXACT(metadata!C249,"mouse gut metagenome"))</f>
        <v>0</v>
      </c>
      <c r="Q249" t="b">
        <f>AND(IF(metadata!D249="",FALSE,TRUE),EXACT(metadata!D249,"410661"))</f>
        <v>0</v>
      </c>
    </row>
    <row r="250" spans="1:17" x14ac:dyDescent="0.2">
      <c r="A250" s="4" t="str">
        <f ca="1">IF(B250=" "," ",HYPERLINK(CONCATENATE("#metadata!",ADDRESS(INDEX($J$2:$J$1001,MATCH(ROWS($H$2:H250),$H$2:$H$1001,0),0),1)),INDEX($M$2:$M$1001,MATCH(ROWS($H$2:H250),$H$2:$H$1001,0),0)))</f>
        <v xml:space="preserve"> </v>
      </c>
      <c r="B250" s="3" t="str">
        <f ca="1">IF(OR(INDEX($I$2:$I$1001,MATCH(ROWS($H$2:H250),$H$2:$H$1001,0),1)&gt;=100000,INDEX($O$1005:$Q$1005,1,MATCH(COLUMNS($O$1006:O1006),$O$1006:$Q$1006,0))&gt;=100000), " ",IF(INDEX($O$2:$Q$1001,MATCH(ROWS($H$2:H250),$H$2:$H$1001,0),MATCH(COLUMNS($O$1006:O1006),$O$1006:$Q$1006,0)), HYPERLINK("#",""), HYPERLINK(CONCATENATE("#metadata!", ADDRESS(INDEX($J$2:$J$1001,MATCH(ROWS($H$2:H250),$H$2:$H$1001,0),0), INDEX($O$1004:$Q$1004,1,MATCH(COLUMNS($O$1006:O1006),$O$1006:$Q$1006,0)))),"Fix")))</f>
        <v xml:space="preserve"> </v>
      </c>
      <c r="C250" s="3" t="str">
        <f ca="1">IF(OR(INDEX($I$2:$I$1001,MATCH(ROWS($H$2:H250),$H$2:$H$1001,0),1)&gt;=100000,INDEX($O$1005:$Q$1005,1,MATCH(COLUMNS($O$1006:P1006),$O$1006:$Q$1006,0))&gt;=100000), " ",IF(INDEX($O$2:$Q$1001,MATCH(ROWS($H$2:H250),$H$2:$H$1001,0),MATCH(COLUMNS($O$1006:P1006),$O$1006:$Q$1006,0)), HYPERLINK("#",""), HYPERLINK(CONCATENATE("#metadata!", ADDRESS(INDEX($J$2:$J$1001,MATCH(ROWS($H$2:H250),$H$2:$H$1001,0),0), INDEX($O$1004:$Q$1004,1,MATCH(COLUMNS($O$1006:P1006),$O$1006:$Q$1006,0)))),"Fix")))</f>
        <v xml:space="preserve"> </v>
      </c>
      <c r="D250" s="3" t="str">
        <f ca="1">IF(OR(INDEX($I$2:$I$1001,MATCH(ROWS($H$2:H250),$H$2:$H$1001,0),1)&gt;=100000,INDEX($O$1005:$Q$1005,1,MATCH(COLUMNS($O$1006:Q1006),$O$1006:$Q$1006,0))&gt;=100000), " ",IF(INDEX($O$2:$Q$1001,MATCH(ROWS($H$2:H250),$H$2:$H$1001,0),MATCH(COLUMNS($O$1006:Q1006),$O$1006:$Q$1006,0)), HYPERLINK("#",""), HYPERLINK(CONCATENATE("#metadata!", ADDRESS(INDEX($J$2:$J$1001,MATCH(ROWS($H$2:H250),$H$2:$H$1001,0),0), INDEX($O$1004:$Q$1004,1,MATCH(COLUMNS($O$1006:Q1006),$O$1006:$Q$1006,0)))),"Fix")))</f>
        <v xml:space="preserve"> </v>
      </c>
      <c r="H250">
        <v>249</v>
      </c>
      <c r="I250">
        <v>100250</v>
      </c>
      <c r="J250">
        <v>250</v>
      </c>
      <c r="K250" t="b">
        <f t="shared" si="3"/>
        <v>1</v>
      </c>
      <c r="L250" t="b">
        <f>COUNTBLANK(metadata!B250:D250)=COLUMNS(metadata!B250:D250)</f>
        <v>1</v>
      </c>
      <c r="M250" t="str">
        <v/>
      </c>
      <c r="O250" t="b">
        <f ca="1"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P250" t="b">
        <f>AND(IF(metadata!C250="",FALSE,TRUE),EXACT(metadata!C250,"mouse gut metagenome"))</f>
        <v>0</v>
      </c>
      <c r="Q250" t="b">
        <f>AND(IF(metadata!D250="",FALSE,TRUE),EXACT(metadata!D250,"410661"))</f>
        <v>0</v>
      </c>
    </row>
    <row r="251" spans="1:17" x14ac:dyDescent="0.2">
      <c r="A251" s="4" t="str">
        <f ca="1">IF(B251=" "," ",HYPERLINK(CONCATENATE("#metadata!",ADDRESS(INDEX($J$2:$J$1001,MATCH(ROWS($H$2:H251),$H$2:$H$1001,0),0),1)),INDEX($M$2:$M$1001,MATCH(ROWS($H$2:H251),$H$2:$H$1001,0),0)))</f>
        <v xml:space="preserve"> </v>
      </c>
      <c r="B251" s="3" t="str">
        <f ca="1">IF(OR(INDEX($I$2:$I$1001,MATCH(ROWS($H$2:H251),$H$2:$H$1001,0),1)&gt;=100000,INDEX($O$1005:$Q$1005,1,MATCH(COLUMNS($O$1006:O1006),$O$1006:$Q$1006,0))&gt;=100000), " ",IF(INDEX($O$2:$Q$1001,MATCH(ROWS($H$2:H251),$H$2:$H$1001,0),MATCH(COLUMNS($O$1006:O1006),$O$1006:$Q$1006,0)), HYPERLINK("#",""), HYPERLINK(CONCATENATE("#metadata!", ADDRESS(INDEX($J$2:$J$1001,MATCH(ROWS($H$2:H251),$H$2:$H$1001,0),0), INDEX($O$1004:$Q$1004,1,MATCH(COLUMNS($O$1006:O1006),$O$1006:$Q$1006,0)))),"Fix")))</f>
        <v xml:space="preserve"> </v>
      </c>
      <c r="C251" s="3" t="str">
        <f ca="1">IF(OR(INDEX($I$2:$I$1001,MATCH(ROWS($H$2:H251),$H$2:$H$1001,0),1)&gt;=100000,INDEX($O$1005:$Q$1005,1,MATCH(COLUMNS($O$1006:P1006),$O$1006:$Q$1006,0))&gt;=100000), " ",IF(INDEX($O$2:$Q$1001,MATCH(ROWS($H$2:H251),$H$2:$H$1001,0),MATCH(COLUMNS($O$1006:P1006),$O$1006:$Q$1006,0)), HYPERLINK("#",""), HYPERLINK(CONCATENATE("#metadata!", ADDRESS(INDEX($J$2:$J$1001,MATCH(ROWS($H$2:H251),$H$2:$H$1001,0),0), INDEX($O$1004:$Q$1004,1,MATCH(COLUMNS($O$1006:P1006),$O$1006:$Q$1006,0)))),"Fix")))</f>
        <v xml:space="preserve"> </v>
      </c>
      <c r="D251" s="3" t="str">
        <f ca="1">IF(OR(INDEX($I$2:$I$1001,MATCH(ROWS($H$2:H251),$H$2:$H$1001,0),1)&gt;=100000,INDEX($O$1005:$Q$1005,1,MATCH(COLUMNS($O$1006:Q1006),$O$1006:$Q$1006,0))&gt;=100000), " ",IF(INDEX($O$2:$Q$1001,MATCH(ROWS($H$2:H251),$H$2:$H$1001,0),MATCH(COLUMNS($O$1006:Q1006),$O$1006:$Q$1006,0)), HYPERLINK("#",""), HYPERLINK(CONCATENATE("#metadata!", ADDRESS(INDEX($J$2:$J$1001,MATCH(ROWS($H$2:H251),$H$2:$H$1001,0),0), INDEX($O$1004:$Q$1004,1,MATCH(COLUMNS($O$1006:Q1006),$O$1006:$Q$1006,0)))),"Fix")))</f>
        <v xml:space="preserve"> </v>
      </c>
      <c r="H251">
        <v>250</v>
      </c>
      <c r="I251">
        <v>100251</v>
      </c>
      <c r="J251">
        <v>251</v>
      </c>
      <c r="K251" t="b">
        <f t="shared" si="3"/>
        <v>1</v>
      </c>
      <c r="L251" t="b">
        <f>COUNTBLANK(metadata!B251:D251)=COLUMNS(metadata!B251:D251)</f>
        <v>1</v>
      </c>
      <c r="M251" t="str">
        <v/>
      </c>
      <c r="O251" t="b">
        <f ca="1"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P251" t="b">
        <f>AND(IF(metadata!C251="",FALSE,TRUE),EXACT(metadata!C251,"mouse gut metagenome"))</f>
        <v>0</v>
      </c>
      <c r="Q251" t="b">
        <f>AND(IF(metadata!D251="",FALSE,TRUE),EXACT(metadata!D251,"410661"))</f>
        <v>0</v>
      </c>
    </row>
    <row r="252" spans="1:17" x14ac:dyDescent="0.2">
      <c r="A252" s="4" t="str">
        <f ca="1">IF(B252=" "," ",HYPERLINK(CONCATENATE("#metadata!",ADDRESS(INDEX($J$2:$J$1001,MATCH(ROWS($H$2:H252),$H$2:$H$1001,0),0),1)),INDEX($M$2:$M$1001,MATCH(ROWS($H$2:H252),$H$2:$H$1001,0),0)))</f>
        <v xml:space="preserve"> </v>
      </c>
      <c r="B252" s="3" t="str">
        <f ca="1">IF(OR(INDEX($I$2:$I$1001,MATCH(ROWS($H$2:H252),$H$2:$H$1001,0),1)&gt;=100000,INDEX($O$1005:$Q$1005,1,MATCH(COLUMNS($O$1006:O1006),$O$1006:$Q$1006,0))&gt;=100000), " ",IF(INDEX($O$2:$Q$1001,MATCH(ROWS($H$2:H252),$H$2:$H$1001,0),MATCH(COLUMNS($O$1006:O1006),$O$1006:$Q$1006,0)), HYPERLINK("#",""), HYPERLINK(CONCATENATE("#metadata!", ADDRESS(INDEX($J$2:$J$1001,MATCH(ROWS($H$2:H252),$H$2:$H$1001,0),0), INDEX($O$1004:$Q$1004,1,MATCH(COLUMNS($O$1006:O1006),$O$1006:$Q$1006,0)))),"Fix")))</f>
        <v xml:space="preserve"> </v>
      </c>
      <c r="C252" s="3" t="str">
        <f ca="1">IF(OR(INDEX($I$2:$I$1001,MATCH(ROWS($H$2:H252),$H$2:$H$1001,0),1)&gt;=100000,INDEX($O$1005:$Q$1005,1,MATCH(COLUMNS($O$1006:P1006),$O$1006:$Q$1006,0))&gt;=100000), " ",IF(INDEX($O$2:$Q$1001,MATCH(ROWS($H$2:H252),$H$2:$H$1001,0),MATCH(COLUMNS($O$1006:P1006),$O$1006:$Q$1006,0)), HYPERLINK("#",""), HYPERLINK(CONCATENATE("#metadata!", ADDRESS(INDEX($J$2:$J$1001,MATCH(ROWS($H$2:H252),$H$2:$H$1001,0),0), INDEX($O$1004:$Q$1004,1,MATCH(COLUMNS($O$1006:P1006),$O$1006:$Q$1006,0)))),"Fix")))</f>
        <v xml:space="preserve"> </v>
      </c>
      <c r="D252" s="3" t="str">
        <f ca="1">IF(OR(INDEX($I$2:$I$1001,MATCH(ROWS($H$2:H252),$H$2:$H$1001,0),1)&gt;=100000,INDEX($O$1005:$Q$1005,1,MATCH(COLUMNS($O$1006:Q1006),$O$1006:$Q$1006,0))&gt;=100000), " ",IF(INDEX($O$2:$Q$1001,MATCH(ROWS($H$2:H252),$H$2:$H$1001,0),MATCH(COLUMNS($O$1006:Q1006),$O$1006:$Q$1006,0)), HYPERLINK("#",""), HYPERLINK(CONCATENATE("#metadata!", ADDRESS(INDEX($J$2:$J$1001,MATCH(ROWS($H$2:H252),$H$2:$H$1001,0),0), INDEX($O$1004:$Q$1004,1,MATCH(COLUMNS($O$1006:Q1006),$O$1006:$Q$1006,0)))),"Fix")))</f>
        <v xml:space="preserve"> </v>
      </c>
      <c r="H252">
        <v>251</v>
      </c>
      <c r="I252">
        <v>100252</v>
      </c>
      <c r="J252">
        <v>252</v>
      </c>
      <c r="K252" t="b">
        <f t="shared" si="3"/>
        <v>1</v>
      </c>
      <c r="L252" t="b">
        <f>COUNTBLANK(metadata!B252:D252)=COLUMNS(metadata!B252:D252)</f>
        <v>1</v>
      </c>
      <c r="M252" t="str">
        <v/>
      </c>
      <c r="O252" t="b">
        <f ca="1"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P252" t="b">
        <f>AND(IF(metadata!C252="",FALSE,TRUE),EXACT(metadata!C252,"mouse gut metagenome"))</f>
        <v>0</v>
      </c>
      <c r="Q252" t="b">
        <f>AND(IF(metadata!D252="",FALSE,TRUE),EXACT(metadata!D252,"410661"))</f>
        <v>0</v>
      </c>
    </row>
    <row r="253" spans="1:17" x14ac:dyDescent="0.2">
      <c r="A253" s="4" t="str">
        <f ca="1">IF(B253=" "," ",HYPERLINK(CONCATENATE("#metadata!",ADDRESS(INDEX($J$2:$J$1001,MATCH(ROWS($H$2:H253),$H$2:$H$1001,0),0),1)),INDEX($M$2:$M$1001,MATCH(ROWS($H$2:H253),$H$2:$H$1001,0),0)))</f>
        <v xml:space="preserve"> </v>
      </c>
      <c r="B253" s="3" t="str">
        <f ca="1">IF(OR(INDEX($I$2:$I$1001,MATCH(ROWS($H$2:H253),$H$2:$H$1001,0),1)&gt;=100000,INDEX($O$1005:$Q$1005,1,MATCH(COLUMNS($O$1006:O1006),$O$1006:$Q$1006,0))&gt;=100000), " ",IF(INDEX($O$2:$Q$1001,MATCH(ROWS($H$2:H253),$H$2:$H$1001,0),MATCH(COLUMNS($O$1006:O1006),$O$1006:$Q$1006,0)), HYPERLINK("#",""), HYPERLINK(CONCATENATE("#metadata!", ADDRESS(INDEX($J$2:$J$1001,MATCH(ROWS($H$2:H253),$H$2:$H$1001,0),0), INDEX($O$1004:$Q$1004,1,MATCH(COLUMNS($O$1006:O1006),$O$1006:$Q$1006,0)))),"Fix")))</f>
        <v xml:space="preserve"> </v>
      </c>
      <c r="C253" s="3" t="str">
        <f ca="1">IF(OR(INDEX($I$2:$I$1001,MATCH(ROWS($H$2:H253),$H$2:$H$1001,0),1)&gt;=100000,INDEX($O$1005:$Q$1005,1,MATCH(COLUMNS($O$1006:P1006),$O$1006:$Q$1006,0))&gt;=100000), " ",IF(INDEX($O$2:$Q$1001,MATCH(ROWS($H$2:H253),$H$2:$H$1001,0),MATCH(COLUMNS($O$1006:P1006),$O$1006:$Q$1006,0)), HYPERLINK("#",""), HYPERLINK(CONCATENATE("#metadata!", ADDRESS(INDEX($J$2:$J$1001,MATCH(ROWS($H$2:H253),$H$2:$H$1001,0),0), INDEX($O$1004:$Q$1004,1,MATCH(COLUMNS($O$1006:P1006),$O$1006:$Q$1006,0)))),"Fix")))</f>
        <v xml:space="preserve"> </v>
      </c>
      <c r="D253" s="3" t="str">
        <f ca="1">IF(OR(INDEX($I$2:$I$1001,MATCH(ROWS($H$2:H253),$H$2:$H$1001,0),1)&gt;=100000,INDEX($O$1005:$Q$1005,1,MATCH(COLUMNS($O$1006:Q1006),$O$1006:$Q$1006,0))&gt;=100000), " ",IF(INDEX($O$2:$Q$1001,MATCH(ROWS($H$2:H253),$H$2:$H$1001,0),MATCH(COLUMNS($O$1006:Q1006),$O$1006:$Q$1006,0)), HYPERLINK("#",""), HYPERLINK(CONCATENATE("#metadata!", ADDRESS(INDEX($J$2:$J$1001,MATCH(ROWS($H$2:H253),$H$2:$H$1001,0),0), INDEX($O$1004:$Q$1004,1,MATCH(COLUMNS($O$1006:Q1006),$O$1006:$Q$1006,0)))),"Fix")))</f>
        <v xml:space="preserve"> </v>
      </c>
      <c r="H253">
        <v>252</v>
      </c>
      <c r="I253">
        <v>100253</v>
      </c>
      <c r="J253">
        <v>253</v>
      </c>
      <c r="K253" t="b">
        <f t="shared" si="3"/>
        <v>1</v>
      </c>
      <c r="L253" t="b">
        <f>COUNTBLANK(metadata!B253:D253)=COLUMNS(metadata!B253:D253)</f>
        <v>1</v>
      </c>
      <c r="M253" t="str">
        <v/>
      </c>
      <c r="O253" t="b">
        <f ca="1"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P253" t="b">
        <f>AND(IF(metadata!C253="",FALSE,TRUE),EXACT(metadata!C253,"mouse gut metagenome"))</f>
        <v>0</v>
      </c>
      <c r="Q253" t="b">
        <f>AND(IF(metadata!D253="",FALSE,TRUE),EXACT(metadata!D253,"410661"))</f>
        <v>0</v>
      </c>
    </row>
    <row r="254" spans="1:17" x14ac:dyDescent="0.2">
      <c r="A254" s="4" t="str">
        <f ca="1">IF(B254=" "," ",HYPERLINK(CONCATENATE("#metadata!",ADDRESS(INDEX($J$2:$J$1001,MATCH(ROWS($H$2:H254),$H$2:$H$1001,0),0),1)),INDEX($M$2:$M$1001,MATCH(ROWS($H$2:H254),$H$2:$H$1001,0),0)))</f>
        <v xml:space="preserve"> </v>
      </c>
      <c r="B254" s="3" t="str">
        <f ca="1">IF(OR(INDEX($I$2:$I$1001,MATCH(ROWS($H$2:H254),$H$2:$H$1001,0),1)&gt;=100000,INDEX($O$1005:$Q$1005,1,MATCH(COLUMNS($O$1006:O1006),$O$1006:$Q$1006,0))&gt;=100000), " ",IF(INDEX($O$2:$Q$1001,MATCH(ROWS($H$2:H254),$H$2:$H$1001,0),MATCH(COLUMNS($O$1006:O1006),$O$1006:$Q$1006,0)), HYPERLINK("#",""), HYPERLINK(CONCATENATE("#metadata!", ADDRESS(INDEX($J$2:$J$1001,MATCH(ROWS($H$2:H254),$H$2:$H$1001,0),0), INDEX($O$1004:$Q$1004,1,MATCH(COLUMNS($O$1006:O1006),$O$1006:$Q$1006,0)))),"Fix")))</f>
        <v xml:space="preserve"> </v>
      </c>
      <c r="C254" s="3" t="str">
        <f ca="1">IF(OR(INDEX($I$2:$I$1001,MATCH(ROWS($H$2:H254),$H$2:$H$1001,0),1)&gt;=100000,INDEX($O$1005:$Q$1005,1,MATCH(COLUMNS($O$1006:P1006),$O$1006:$Q$1006,0))&gt;=100000), " ",IF(INDEX($O$2:$Q$1001,MATCH(ROWS($H$2:H254),$H$2:$H$1001,0),MATCH(COLUMNS($O$1006:P1006),$O$1006:$Q$1006,0)), HYPERLINK("#",""), HYPERLINK(CONCATENATE("#metadata!", ADDRESS(INDEX($J$2:$J$1001,MATCH(ROWS($H$2:H254),$H$2:$H$1001,0),0), INDEX($O$1004:$Q$1004,1,MATCH(COLUMNS($O$1006:P1006),$O$1006:$Q$1006,0)))),"Fix")))</f>
        <v xml:space="preserve"> </v>
      </c>
      <c r="D254" s="3" t="str">
        <f ca="1">IF(OR(INDEX($I$2:$I$1001,MATCH(ROWS($H$2:H254),$H$2:$H$1001,0),1)&gt;=100000,INDEX($O$1005:$Q$1005,1,MATCH(COLUMNS($O$1006:Q1006),$O$1006:$Q$1006,0))&gt;=100000), " ",IF(INDEX($O$2:$Q$1001,MATCH(ROWS($H$2:H254),$H$2:$H$1001,0),MATCH(COLUMNS($O$1006:Q1006),$O$1006:$Q$1006,0)), HYPERLINK("#",""), HYPERLINK(CONCATENATE("#metadata!", ADDRESS(INDEX($J$2:$J$1001,MATCH(ROWS($H$2:H254),$H$2:$H$1001,0),0), INDEX($O$1004:$Q$1004,1,MATCH(COLUMNS($O$1006:Q1006),$O$1006:$Q$1006,0)))),"Fix")))</f>
        <v xml:space="preserve"> </v>
      </c>
      <c r="H254">
        <v>253</v>
      </c>
      <c r="I254">
        <v>100254</v>
      </c>
      <c r="J254">
        <v>254</v>
      </c>
      <c r="K254" t="b">
        <f t="shared" si="3"/>
        <v>1</v>
      </c>
      <c r="L254" t="b">
        <f>COUNTBLANK(metadata!B254:D254)=COLUMNS(metadata!B254:D254)</f>
        <v>1</v>
      </c>
      <c r="M254" t="str">
        <v/>
      </c>
      <c r="O254" t="b">
        <f ca="1"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P254" t="b">
        <f>AND(IF(metadata!C254="",FALSE,TRUE),EXACT(metadata!C254,"mouse gut metagenome"))</f>
        <v>0</v>
      </c>
      <c r="Q254" t="b">
        <f>AND(IF(metadata!D254="",FALSE,TRUE),EXACT(metadata!D254,"410661"))</f>
        <v>0</v>
      </c>
    </row>
    <row r="255" spans="1:17" x14ac:dyDescent="0.2">
      <c r="A255" s="4" t="str">
        <f ca="1">IF(B255=" "," ",HYPERLINK(CONCATENATE("#metadata!",ADDRESS(INDEX($J$2:$J$1001,MATCH(ROWS($H$2:H255),$H$2:$H$1001,0),0),1)),INDEX($M$2:$M$1001,MATCH(ROWS($H$2:H255),$H$2:$H$1001,0),0)))</f>
        <v xml:space="preserve"> </v>
      </c>
      <c r="B255" s="3" t="str">
        <f ca="1">IF(OR(INDEX($I$2:$I$1001,MATCH(ROWS($H$2:H255),$H$2:$H$1001,0),1)&gt;=100000,INDEX($O$1005:$Q$1005,1,MATCH(COLUMNS($O$1006:O1006),$O$1006:$Q$1006,0))&gt;=100000), " ",IF(INDEX($O$2:$Q$1001,MATCH(ROWS($H$2:H255),$H$2:$H$1001,0),MATCH(COLUMNS($O$1006:O1006),$O$1006:$Q$1006,0)), HYPERLINK("#",""), HYPERLINK(CONCATENATE("#metadata!", ADDRESS(INDEX($J$2:$J$1001,MATCH(ROWS($H$2:H255),$H$2:$H$1001,0),0), INDEX($O$1004:$Q$1004,1,MATCH(COLUMNS($O$1006:O1006),$O$1006:$Q$1006,0)))),"Fix")))</f>
        <v xml:space="preserve"> </v>
      </c>
      <c r="C255" s="3" t="str">
        <f ca="1">IF(OR(INDEX($I$2:$I$1001,MATCH(ROWS($H$2:H255),$H$2:$H$1001,0),1)&gt;=100000,INDEX($O$1005:$Q$1005,1,MATCH(COLUMNS($O$1006:P1006),$O$1006:$Q$1006,0))&gt;=100000), " ",IF(INDEX($O$2:$Q$1001,MATCH(ROWS($H$2:H255),$H$2:$H$1001,0),MATCH(COLUMNS($O$1006:P1006),$O$1006:$Q$1006,0)), HYPERLINK("#",""), HYPERLINK(CONCATENATE("#metadata!", ADDRESS(INDEX($J$2:$J$1001,MATCH(ROWS($H$2:H255),$H$2:$H$1001,0),0), INDEX($O$1004:$Q$1004,1,MATCH(COLUMNS($O$1006:P1006),$O$1006:$Q$1006,0)))),"Fix")))</f>
        <v xml:space="preserve"> </v>
      </c>
      <c r="D255" s="3" t="str">
        <f ca="1">IF(OR(INDEX($I$2:$I$1001,MATCH(ROWS($H$2:H255),$H$2:$H$1001,0),1)&gt;=100000,INDEX($O$1005:$Q$1005,1,MATCH(COLUMNS($O$1006:Q1006),$O$1006:$Q$1006,0))&gt;=100000), " ",IF(INDEX($O$2:$Q$1001,MATCH(ROWS($H$2:H255),$H$2:$H$1001,0),MATCH(COLUMNS($O$1006:Q1006),$O$1006:$Q$1006,0)), HYPERLINK("#",""), HYPERLINK(CONCATENATE("#metadata!", ADDRESS(INDEX($J$2:$J$1001,MATCH(ROWS($H$2:H255),$H$2:$H$1001,0),0), INDEX($O$1004:$Q$1004,1,MATCH(COLUMNS($O$1006:Q1006),$O$1006:$Q$1006,0)))),"Fix")))</f>
        <v xml:space="preserve"> </v>
      </c>
      <c r="H255">
        <v>254</v>
      </c>
      <c r="I255">
        <v>100255</v>
      </c>
      <c r="J255">
        <v>255</v>
      </c>
      <c r="K255" t="b">
        <f t="shared" si="3"/>
        <v>1</v>
      </c>
      <c r="L255" t="b">
        <f>COUNTBLANK(metadata!B255:D255)=COLUMNS(metadata!B255:D255)</f>
        <v>1</v>
      </c>
      <c r="M255" t="str">
        <v/>
      </c>
      <c r="O255" t="b">
        <f ca="1"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P255" t="b">
        <f>AND(IF(metadata!C255="",FALSE,TRUE),EXACT(metadata!C255,"mouse gut metagenome"))</f>
        <v>0</v>
      </c>
      <c r="Q255" t="b">
        <f>AND(IF(metadata!D255="",FALSE,TRUE),EXACT(metadata!D255,"410661"))</f>
        <v>0</v>
      </c>
    </row>
    <row r="256" spans="1:17" x14ac:dyDescent="0.2">
      <c r="A256" s="4" t="str">
        <f ca="1">IF(B256=" "," ",HYPERLINK(CONCATENATE("#metadata!",ADDRESS(INDEX($J$2:$J$1001,MATCH(ROWS($H$2:H256),$H$2:$H$1001,0),0),1)),INDEX($M$2:$M$1001,MATCH(ROWS($H$2:H256),$H$2:$H$1001,0),0)))</f>
        <v xml:space="preserve"> </v>
      </c>
      <c r="B256" s="3" t="str">
        <f ca="1">IF(OR(INDEX($I$2:$I$1001,MATCH(ROWS($H$2:H256),$H$2:$H$1001,0),1)&gt;=100000,INDEX($O$1005:$Q$1005,1,MATCH(COLUMNS($O$1006:O1006),$O$1006:$Q$1006,0))&gt;=100000), " ",IF(INDEX($O$2:$Q$1001,MATCH(ROWS($H$2:H256),$H$2:$H$1001,0),MATCH(COLUMNS($O$1006:O1006),$O$1006:$Q$1006,0)), HYPERLINK("#",""), HYPERLINK(CONCATENATE("#metadata!", ADDRESS(INDEX($J$2:$J$1001,MATCH(ROWS($H$2:H256),$H$2:$H$1001,0),0), INDEX($O$1004:$Q$1004,1,MATCH(COLUMNS($O$1006:O1006),$O$1006:$Q$1006,0)))),"Fix")))</f>
        <v xml:space="preserve"> </v>
      </c>
      <c r="C256" s="3" t="str">
        <f ca="1">IF(OR(INDEX($I$2:$I$1001,MATCH(ROWS($H$2:H256),$H$2:$H$1001,0),1)&gt;=100000,INDEX($O$1005:$Q$1005,1,MATCH(COLUMNS($O$1006:P1006),$O$1006:$Q$1006,0))&gt;=100000), " ",IF(INDEX($O$2:$Q$1001,MATCH(ROWS($H$2:H256),$H$2:$H$1001,0),MATCH(COLUMNS($O$1006:P1006),$O$1006:$Q$1006,0)), HYPERLINK("#",""), HYPERLINK(CONCATENATE("#metadata!", ADDRESS(INDEX($J$2:$J$1001,MATCH(ROWS($H$2:H256),$H$2:$H$1001,0),0), INDEX($O$1004:$Q$1004,1,MATCH(COLUMNS($O$1006:P1006),$O$1006:$Q$1006,0)))),"Fix")))</f>
        <v xml:space="preserve"> </v>
      </c>
      <c r="D256" s="3" t="str">
        <f ca="1">IF(OR(INDEX($I$2:$I$1001,MATCH(ROWS($H$2:H256),$H$2:$H$1001,0),1)&gt;=100000,INDEX($O$1005:$Q$1005,1,MATCH(COLUMNS($O$1006:Q1006),$O$1006:$Q$1006,0))&gt;=100000), " ",IF(INDEX($O$2:$Q$1001,MATCH(ROWS($H$2:H256),$H$2:$H$1001,0),MATCH(COLUMNS($O$1006:Q1006),$O$1006:$Q$1006,0)), HYPERLINK("#",""), HYPERLINK(CONCATENATE("#metadata!", ADDRESS(INDEX($J$2:$J$1001,MATCH(ROWS($H$2:H256),$H$2:$H$1001,0),0), INDEX($O$1004:$Q$1004,1,MATCH(COLUMNS($O$1006:Q1006),$O$1006:$Q$1006,0)))),"Fix")))</f>
        <v xml:space="preserve"> </v>
      </c>
      <c r="H256">
        <v>255</v>
      </c>
      <c r="I256">
        <v>100256</v>
      </c>
      <c r="J256">
        <v>256</v>
      </c>
      <c r="K256" t="b">
        <f t="shared" si="3"/>
        <v>1</v>
      </c>
      <c r="L256" t="b">
        <f>COUNTBLANK(metadata!B256:D256)=COLUMNS(metadata!B256:D256)</f>
        <v>1</v>
      </c>
      <c r="M256" t="str">
        <v/>
      </c>
      <c r="O256" t="b">
        <f ca="1"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P256" t="b">
        <f>AND(IF(metadata!C256="",FALSE,TRUE),EXACT(metadata!C256,"mouse gut metagenome"))</f>
        <v>0</v>
      </c>
      <c r="Q256" t="b">
        <f>AND(IF(metadata!D256="",FALSE,TRUE),EXACT(metadata!D256,"410661"))</f>
        <v>0</v>
      </c>
    </row>
    <row r="257" spans="1:17" x14ac:dyDescent="0.2">
      <c r="A257" s="4" t="str">
        <f ca="1">IF(B257=" "," ",HYPERLINK(CONCATENATE("#metadata!",ADDRESS(INDEX($J$2:$J$1001,MATCH(ROWS($H$2:H257),$H$2:$H$1001,0),0),1)),INDEX($M$2:$M$1001,MATCH(ROWS($H$2:H257),$H$2:$H$1001,0),0)))</f>
        <v xml:space="preserve"> </v>
      </c>
      <c r="B257" s="3" t="str">
        <f ca="1">IF(OR(INDEX($I$2:$I$1001,MATCH(ROWS($H$2:H257),$H$2:$H$1001,0),1)&gt;=100000,INDEX($O$1005:$Q$1005,1,MATCH(COLUMNS($O$1006:O1006),$O$1006:$Q$1006,0))&gt;=100000), " ",IF(INDEX($O$2:$Q$1001,MATCH(ROWS($H$2:H257),$H$2:$H$1001,0),MATCH(COLUMNS($O$1006:O1006),$O$1006:$Q$1006,0)), HYPERLINK("#",""), HYPERLINK(CONCATENATE("#metadata!", ADDRESS(INDEX($J$2:$J$1001,MATCH(ROWS($H$2:H257),$H$2:$H$1001,0),0), INDEX($O$1004:$Q$1004,1,MATCH(COLUMNS($O$1006:O1006),$O$1006:$Q$1006,0)))),"Fix")))</f>
        <v xml:space="preserve"> </v>
      </c>
      <c r="C257" s="3" t="str">
        <f ca="1">IF(OR(INDEX($I$2:$I$1001,MATCH(ROWS($H$2:H257),$H$2:$H$1001,0),1)&gt;=100000,INDEX($O$1005:$Q$1005,1,MATCH(COLUMNS($O$1006:P1006),$O$1006:$Q$1006,0))&gt;=100000), " ",IF(INDEX($O$2:$Q$1001,MATCH(ROWS($H$2:H257),$H$2:$H$1001,0),MATCH(COLUMNS($O$1006:P1006),$O$1006:$Q$1006,0)), HYPERLINK("#",""), HYPERLINK(CONCATENATE("#metadata!", ADDRESS(INDEX($J$2:$J$1001,MATCH(ROWS($H$2:H257),$H$2:$H$1001,0),0), INDEX($O$1004:$Q$1004,1,MATCH(COLUMNS($O$1006:P1006),$O$1006:$Q$1006,0)))),"Fix")))</f>
        <v xml:space="preserve"> </v>
      </c>
      <c r="D257" s="3" t="str">
        <f ca="1">IF(OR(INDEX($I$2:$I$1001,MATCH(ROWS($H$2:H257),$H$2:$H$1001,0),1)&gt;=100000,INDEX($O$1005:$Q$1005,1,MATCH(COLUMNS($O$1006:Q1006),$O$1006:$Q$1006,0))&gt;=100000), " ",IF(INDEX($O$2:$Q$1001,MATCH(ROWS($H$2:H257),$H$2:$H$1001,0),MATCH(COLUMNS($O$1006:Q1006),$O$1006:$Q$1006,0)), HYPERLINK("#",""), HYPERLINK(CONCATENATE("#metadata!", ADDRESS(INDEX($J$2:$J$1001,MATCH(ROWS($H$2:H257),$H$2:$H$1001,0),0), INDEX($O$1004:$Q$1004,1,MATCH(COLUMNS($O$1006:Q1006),$O$1006:$Q$1006,0)))),"Fix")))</f>
        <v xml:space="preserve"> </v>
      </c>
      <c r="H257">
        <v>256</v>
      </c>
      <c r="I257">
        <v>100257</v>
      </c>
      <c r="J257">
        <v>257</v>
      </c>
      <c r="K257" t="b">
        <f t="shared" si="3"/>
        <v>1</v>
      </c>
      <c r="L257" t="b">
        <f>COUNTBLANK(metadata!B257:D257)=COLUMNS(metadata!B257:D257)</f>
        <v>1</v>
      </c>
      <c r="M257" t="str">
        <v/>
      </c>
      <c r="O257" t="b">
        <f ca="1"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P257" t="b">
        <f>AND(IF(metadata!C257="",FALSE,TRUE),EXACT(metadata!C257,"mouse gut metagenome"))</f>
        <v>0</v>
      </c>
      <c r="Q257" t="b">
        <f>AND(IF(metadata!D257="",FALSE,TRUE),EXACT(metadata!D257,"410661"))</f>
        <v>0</v>
      </c>
    </row>
    <row r="258" spans="1:17" x14ac:dyDescent="0.2">
      <c r="A258" s="4" t="str">
        <f ca="1">IF(B258=" "," ",HYPERLINK(CONCATENATE("#metadata!",ADDRESS(INDEX($J$2:$J$1001,MATCH(ROWS($H$2:H258),$H$2:$H$1001,0),0),1)),INDEX($M$2:$M$1001,MATCH(ROWS($H$2:H258),$H$2:$H$1001,0),0)))</f>
        <v xml:space="preserve"> </v>
      </c>
      <c r="B258" s="3" t="str">
        <f ca="1">IF(OR(INDEX($I$2:$I$1001,MATCH(ROWS($H$2:H258),$H$2:$H$1001,0),1)&gt;=100000,INDEX($O$1005:$Q$1005,1,MATCH(COLUMNS($O$1006:O1006),$O$1006:$Q$1006,0))&gt;=100000), " ",IF(INDEX($O$2:$Q$1001,MATCH(ROWS($H$2:H258),$H$2:$H$1001,0),MATCH(COLUMNS($O$1006:O1006),$O$1006:$Q$1006,0)), HYPERLINK("#",""), HYPERLINK(CONCATENATE("#metadata!", ADDRESS(INDEX($J$2:$J$1001,MATCH(ROWS($H$2:H258),$H$2:$H$1001,0),0), INDEX($O$1004:$Q$1004,1,MATCH(COLUMNS($O$1006:O1006),$O$1006:$Q$1006,0)))),"Fix")))</f>
        <v xml:space="preserve"> </v>
      </c>
      <c r="C258" s="3" t="str">
        <f ca="1">IF(OR(INDEX($I$2:$I$1001,MATCH(ROWS($H$2:H258),$H$2:$H$1001,0),1)&gt;=100000,INDEX($O$1005:$Q$1005,1,MATCH(COLUMNS($O$1006:P1006),$O$1006:$Q$1006,0))&gt;=100000), " ",IF(INDEX($O$2:$Q$1001,MATCH(ROWS($H$2:H258),$H$2:$H$1001,0),MATCH(COLUMNS($O$1006:P1006),$O$1006:$Q$1006,0)), HYPERLINK("#",""), HYPERLINK(CONCATENATE("#metadata!", ADDRESS(INDEX($J$2:$J$1001,MATCH(ROWS($H$2:H258),$H$2:$H$1001,0),0), INDEX($O$1004:$Q$1004,1,MATCH(COLUMNS($O$1006:P1006),$O$1006:$Q$1006,0)))),"Fix")))</f>
        <v xml:space="preserve"> </v>
      </c>
      <c r="D258" s="3" t="str">
        <f ca="1">IF(OR(INDEX($I$2:$I$1001,MATCH(ROWS($H$2:H258),$H$2:$H$1001,0),1)&gt;=100000,INDEX($O$1005:$Q$1005,1,MATCH(COLUMNS($O$1006:Q1006),$O$1006:$Q$1006,0))&gt;=100000), " ",IF(INDEX($O$2:$Q$1001,MATCH(ROWS($H$2:H258),$H$2:$H$1001,0),MATCH(COLUMNS($O$1006:Q1006),$O$1006:$Q$1006,0)), HYPERLINK("#",""), HYPERLINK(CONCATENATE("#metadata!", ADDRESS(INDEX($J$2:$J$1001,MATCH(ROWS($H$2:H258),$H$2:$H$1001,0),0), INDEX($O$1004:$Q$1004,1,MATCH(COLUMNS($O$1006:Q1006),$O$1006:$Q$1006,0)))),"Fix")))</f>
        <v xml:space="preserve"> </v>
      </c>
      <c r="H258">
        <v>257</v>
      </c>
      <c r="I258">
        <v>100258</v>
      </c>
      <c r="J258">
        <v>258</v>
      </c>
      <c r="K258" t="b">
        <f t="shared" ref="K258:K321" si="4">IF(L258,TRUE,AND(O258:Q258))</f>
        <v>1</v>
      </c>
      <c r="L258" t="b">
        <f>COUNTBLANK(metadata!B258:D258)=COLUMNS(metadata!B258:D258)</f>
        <v>1</v>
      </c>
      <c r="M258" t="str">
        <v/>
      </c>
      <c r="O258" t="b">
        <f ca="1"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P258" t="b">
        <f>AND(IF(metadata!C258="",FALSE,TRUE),EXACT(metadata!C258,"mouse gut metagenome"))</f>
        <v>0</v>
      </c>
      <c r="Q258" t="b">
        <f>AND(IF(metadata!D258="",FALSE,TRUE),EXACT(metadata!D258,"410661"))</f>
        <v>0</v>
      </c>
    </row>
    <row r="259" spans="1:17" x14ac:dyDescent="0.2">
      <c r="A259" s="4" t="str">
        <f ca="1">IF(B259=" "," ",HYPERLINK(CONCATENATE("#metadata!",ADDRESS(INDEX($J$2:$J$1001,MATCH(ROWS($H$2:H259),$H$2:$H$1001,0),0),1)),INDEX($M$2:$M$1001,MATCH(ROWS($H$2:H259),$H$2:$H$1001,0),0)))</f>
        <v xml:space="preserve"> </v>
      </c>
      <c r="B259" s="3" t="str">
        <f ca="1">IF(OR(INDEX($I$2:$I$1001,MATCH(ROWS($H$2:H259),$H$2:$H$1001,0),1)&gt;=100000,INDEX($O$1005:$Q$1005,1,MATCH(COLUMNS($O$1006:O1006),$O$1006:$Q$1006,0))&gt;=100000), " ",IF(INDEX($O$2:$Q$1001,MATCH(ROWS($H$2:H259),$H$2:$H$1001,0),MATCH(COLUMNS($O$1006:O1006),$O$1006:$Q$1006,0)), HYPERLINK("#",""), HYPERLINK(CONCATENATE("#metadata!", ADDRESS(INDEX($J$2:$J$1001,MATCH(ROWS($H$2:H259),$H$2:$H$1001,0),0), INDEX($O$1004:$Q$1004,1,MATCH(COLUMNS($O$1006:O1006),$O$1006:$Q$1006,0)))),"Fix")))</f>
        <v xml:space="preserve"> </v>
      </c>
      <c r="C259" s="3" t="str">
        <f ca="1">IF(OR(INDEX($I$2:$I$1001,MATCH(ROWS($H$2:H259),$H$2:$H$1001,0),1)&gt;=100000,INDEX($O$1005:$Q$1005,1,MATCH(COLUMNS($O$1006:P1006),$O$1006:$Q$1006,0))&gt;=100000), " ",IF(INDEX($O$2:$Q$1001,MATCH(ROWS($H$2:H259),$H$2:$H$1001,0),MATCH(COLUMNS($O$1006:P1006),$O$1006:$Q$1006,0)), HYPERLINK("#",""), HYPERLINK(CONCATENATE("#metadata!", ADDRESS(INDEX($J$2:$J$1001,MATCH(ROWS($H$2:H259),$H$2:$H$1001,0),0), INDEX($O$1004:$Q$1004,1,MATCH(COLUMNS($O$1006:P1006),$O$1006:$Q$1006,0)))),"Fix")))</f>
        <v xml:space="preserve"> </v>
      </c>
      <c r="D259" s="3" t="str">
        <f ca="1">IF(OR(INDEX($I$2:$I$1001,MATCH(ROWS($H$2:H259),$H$2:$H$1001,0),1)&gt;=100000,INDEX($O$1005:$Q$1005,1,MATCH(COLUMNS($O$1006:Q1006),$O$1006:$Q$1006,0))&gt;=100000), " ",IF(INDEX($O$2:$Q$1001,MATCH(ROWS($H$2:H259),$H$2:$H$1001,0),MATCH(COLUMNS($O$1006:Q1006),$O$1006:$Q$1006,0)), HYPERLINK("#",""), HYPERLINK(CONCATENATE("#metadata!", ADDRESS(INDEX($J$2:$J$1001,MATCH(ROWS($H$2:H259),$H$2:$H$1001,0),0), INDEX($O$1004:$Q$1004,1,MATCH(COLUMNS($O$1006:Q1006),$O$1006:$Q$1006,0)))),"Fix")))</f>
        <v xml:space="preserve"> </v>
      </c>
      <c r="H259">
        <v>258</v>
      </c>
      <c r="I259">
        <v>100259</v>
      </c>
      <c r="J259">
        <v>259</v>
      </c>
      <c r="K259" t="b">
        <f t="shared" si="4"/>
        <v>1</v>
      </c>
      <c r="L259" t="b">
        <f>COUNTBLANK(metadata!B259:D259)=COLUMNS(metadata!B259:D259)</f>
        <v>1</v>
      </c>
      <c r="M259" t="str">
        <v/>
      </c>
      <c r="O259" t="b">
        <f ca="1"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P259" t="b">
        <f>AND(IF(metadata!C259="",FALSE,TRUE),EXACT(metadata!C259,"mouse gut metagenome"))</f>
        <v>0</v>
      </c>
      <c r="Q259" t="b">
        <f>AND(IF(metadata!D259="",FALSE,TRUE),EXACT(metadata!D259,"410661"))</f>
        <v>0</v>
      </c>
    </row>
    <row r="260" spans="1:17" x14ac:dyDescent="0.2">
      <c r="A260" s="4" t="str">
        <f ca="1">IF(B260=" "," ",HYPERLINK(CONCATENATE("#metadata!",ADDRESS(INDEX($J$2:$J$1001,MATCH(ROWS($H$2:H260),$H$2:$H$1001,0),0),1)),INDEX($M$2:$M$1001,MATCH(ROWS($H$2:H260),$H$2:$H$1001,0),0)))</f>
        <v xml:space="preserve"> </v>
      </c>
      <c r="B260" s="3" t="str">
        <f ca="1">IF(OR(INDEX($I$2:$I$1001,MATCH(ROWS($H$2:H260),$H$2:$H$1001,0),1)&gt;=100000,INDEX($O$1005:$Q$1005,1,MATCH(COLUMNS($O$1006:O1006),$O$1006:$Q$1006,0))&gt;=100000), " ",IF(INDEX($O$2:$Q$1001,MATCH(ROWS($H$2:H260),$H$2:$H$1001,0),MATCH(COLUMNS($O$1006:O1006),$O$1006:$Q$1006,0)), HYPERLINK("#",""), HYPERLINK(CONCATENATE("#metadata!", ADDRESS(INDEX($J$2:$J$1001,MATCH(ROWS($H$2:H260),$H$2:$H$1001,0),0), INDEX($O$1004:$Q$1004,1,MATCH(COLUMNS($O$1006:O1006),$O$1006:$Q$1006,0)))),"Fix")))</f>
        <v xml:space="preserve"> </v>
      </c>
      <c r="C260" s="3" t="str">
        <f ca="1">IF(OR(INDEX($I$2:$I$1001,MATCH(ROWS($H$2:H260),$H$2:$H$1001,0),1)&gt;=100000,INDEX($O$1005:$Q$1005,1,MATCH(COLUMNS($O$1006:P1006),$O$1006:$Q$1006,0))&gt;=100000), " ",IF(INDEX($O$2:$Q$1001,MATCH(ROWS($H$2:H260),$H$2:$H$1001,0),MATCH(COLUMNS($O$1006:P1006),$O$1006:$Q$1006,0)), HYPERLINK("#",""), HYPERLINK(CONCATENATE("#metadata!", ADDRESS(INDEX($J$2:$J$1001,MATCH(ROWS($H$2:H260),$H$2:$H$1001,0),0), INDEX($O$1004:$Q$1004,1,MATCH(COLUMNS($O$1006:P1006),$O$1006:$Q$1006,0)))),"Fix")))</f>
        <v xml:space="preserve"> </v>
      </c>
      <c r="D260" s="3" t="str">
        <f ca="1">IF(OR(INDEX($I$2:$I$1001,MATCH(ROWS($H$2:H260),$H$2:$H$1001,0),1)&gt;=100000,INDEX($O$1005:$Q$1005,1,MATCH(COLUMNS($O$1006:Q1006),$O$1006:$Q$1006,0))&gt;=100000), " ",IF(INDEX($O$2:$Q$1001,MATCH(ROWS($H$2:H260),$H$2:$H$1001,0),MATCH(COLUMNS($O$1006:Q1006),$O$1006:$Q$1006,0)), HYPERLINK("#",""), HYPERLINK(CONCATENATE("#metadata!", ADDRESS(INDEX($J$2:$J$1001,MATCH(ROWS($H$2:H260),$H$2:$H$1001,0),0), INDEX($O$1004:$Q$1004,1,MATCH(COLUMNS($O$1006:Q1006),$O$1006:$Q$1006,0)))),"Fix")))</f>
        <v xml:space="preserve"> </v>
      </c>
      <c r="H260">
        <v>259</v>
      </c>
      <c r="I260">
        <v>100260</v>
      </c>
      <c r="J260">
        <v>260</v>
      </c>
      <c r="K260" t="b">
        <f t="shared" si="4"/>
        <v>1</v>
      </c>
      <c r="L260" t="b">
        <f>COUNTBLANK(metadata!B260:D260)=COLUMNS(metadata!B260:D260)</f>
        <v>1</v>
      </c>
      <c r="M260" t="str">
        <v/>
      </c>
      <c r="O260" t="b">
        <f ca="1"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P260" t="b">
        <f>AND(IF(metadata!C260="",FALSE,TRUE),EXACT(metadata!C260,"mouse gut metagenome"))</f>
        <v>0</v>
      </c>
      <c r="Q260" t="b">
        <f>AND(IF(metadata!D260="",FALSE,TRUE),EXACT(metadata!D260,"410661"))</f>
        <v>0</v>
      </c>
    </row>
    <row r="261" spans="1:17" x14ac:dyDescent="0.2">
      <c r="A261" s="4" t="str">
        <f ca="1">IF(B261=" "," ",HYPERLINK(CONCATENATE("#metadata!",ADDRESS(INDEX($J$2:$J$1001,MATCH(ROWS($H$2:H261),$H$2:$H$1001,0),0),1)),INDEX($M$2:$M$1001,MATCH(ROWS($H$2:H261),$H$2:$H$1001,0),0)))</f>
        <v xml:space="preserve"> </v>
      </c>
      <c r="B261" s="3" t="str">
        <f ca="1">IF(OR(INDEX($I$2:$I$1001,MATCH(ROWS($H$2:H261),$H$2:$H$1001,0),1)&gt;=100000,INDEX($O$1005:$Q$1005,1,MATCH(COLUMNS($O$1006:O1006),$O$1006:$Q$1006,0))&gt;=100000), " ",IF(INDEX($O$2:$Q$1001,MATCH(ROWS($H$2:H261),$H$2:$H$1001,0),MATCH(COLUMNS($O$1006:O1006),$O$1006:$Q$1006,0)), HYPERLINK("#",""), HYPERLINK(CONCATENATE("#metadata!", ADDRESS(INDEX($J$2:$J$1001,MATCH(ROWS($H$2:H261),$H$2:$H$1001,0),0), INDEX($O$1004:$Q$1004,1,MATCH(COLUMNS($O$1006:O1006),$O$1006:$Q$1006,0)))),"Fix")))</f>
        <v xml:space="preserve"> </v>
      </c>
      <c r="C261" s="3" t="str">
        <f ca="1">IF(OR(INDEX($I$2:$I$1001,MATCH(ROWS($H$2:H261),$H$2:$H$1001,0),1)&gt;=100000,INDEX($O$1005:$Q$1005,1,MATCH(COLUMNS($O$1006:P1006),$O$1006:$Q$1006,0))&gt;=100000), " ",IF(INDEX($O$2:$Q$1001,MATCH(ROWS($H$2:H261),$H$2:$H$1001,0),MATCH(COLUMNS($O$1006:P1006),$O$1006:$Q$1006,0)), HYPERLINK("#",""), HYPERLINK(CONCATENATE("#metadata!", ADDRESS(INDEX($J$2:$J$1001,MATCH(ROWS($H$2:H261),$H$2:$H$1001,0),0), INDEX($O$1004:$Q$1004,1,MATCH(COLUMNS($O$1006:P1006),$O$1006:$Q$1006,0)))),"Fix")))</f>
        <v xml:space="preserve"> </v>
      </c>
      <c r="D261" s="3" t="str">
        <f ca="1">IF(OR(INDEX($I$2:$I$1001,MATCH(ROWS($H$2:H261),$H$2:$H$1001,0),1)&gt;=100000,INDEX($O$1005:$Q$1005,1,MATCH(COLUMNS($O$1006:Q1006),$O$1006:$Q$1006,0))&gt;=100000), " ",IF(INDEX($O$2:$Q$1001,MATCH(ROWS($H$2:H261),$H$2:$H$1001,0),MATCH(COLUMNS($O$1006:Q1006),$O$1006:$Q$1006,0)), HYPERLINK("#",""), HYPERLINK(CONCATENATE("#metadata!", ADDRESS(INDEX($J$2:$J$1001,MATCH(ROWS($H$2:H261),$H$2:$H$1001,0),0), INDEX($O$1004:$Q$1004,1,MATCH(COLUMNS($O$1006:Q1006),$O$1006:$Q$1006,0)))),"Fix")))</f>
        <v xml:space="preserve"> </v>
      </c>
      <c r="H261">
        <v>260</v>
      </c>
      <c r="I261">
        <v>100261</v>
      </c>
      <c r="J261">
        <v>261</v>
      </c>
      <c r="K261" t="b">
        <f t="shared" si="4"/>
        <v>1</v>
      </c>
      <c r="L261" t="b">
        <f>COUNTBLANK(metadata!B261:D261)=COLUMNS(metadata!B261:D261)</f>
        <v>1</v>
      </c>
      <c r="M261" t="str">
        <v/>
      </c>
      <c r="O261" t="b">
        <f ca="1"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P261" t="b">
        <f>AND(IF(metadata!C261="",FALSE,TRUE),EXACT(metadata!C261,"mouse gut metagenome"))</f>
        <v>0</v>
      </c>
      <c r="Q261" t="b">
        <f>AND(IF(metadata!D261="",FALSE,TRUE),EXACT(metadata!D261,"410661"))</f>
        <v>0</v>
      </c>
    </row>
    <row r="262" spans="1:17" x14ac:dyDescent="0.2">
      <c r="A262" s="4" t="str">
        <f ca="1">IF(B262=" "," ",HYPERLINK(CONCATENATE("#metadata!",ADDRESS(INDEX($J$2:$J$1001,MATCH(ROWS($H$2:H262),$H$2:$H$1001,0),0),1)),INDEX($M$2:$M$1001,MATCH(ROWS($H$2:H262),$H$2:$H$1001,0),0)))</f>
        <v xml:space="preserve"> </v>
      </c>
      <c r="B262" s="3" t="str">
        <f ca="1">IF(OR(INDEX($I$2:$I$1001,MATCH(ROWS($H$2:H262),$H$2:$H$1001,0),1)&gt;=100000,INDEX($O$1005:$Q$1005,1,MATCH(COLUMNS($O$1006:O1006),$O$1006:$Q$1006,0))&gt;=100000), " ",IF(INDEX($O$2:$Q$1001,MATCH(ROWS($H$2:H262),$H$2:$H$1001,0),MATCH(COLUMNS($O$1006:O1006),$O$1006:$Q$1006,0)), HYPERLINK("#",""), HYPERLINK(CONCATENATE("#metadata!", ADDRESS(INDEX($J$2:$J$1001,MATCH(ROWS($H$2:H262),$H$2:$H$1001,0),0), INDEX($O$1004:$Q$1004,1,MATCH(COLUMNS($O$1006:O1006),$O$1006:$Q$1006,0)))),"Fix")))</f>
        <v xml:space="preserve"> </v>
      </c>
      <c r="C262" s="3" t="str">
        <f ca="1">IF(OR(INDEX($I$2:$I$1001,MATCH(ROWS($H$2:H262),$H$2:$H$1001,0),1)&gt;=100000,INDEX($O$1005:$Q$1005,1,MATCH(COLUMNS($O$1006:P1006),$O$1006:$Q$1006,0))&gt;=100000), " ",IF(INDEX($O$2:$Q$1001,MATCH(ROWS($H$2:H262),$H$2:$H$1001,0),MATCH(COLUMNS($O$1006:P1006),$O$1006:$Q$1006,0)), HYPERLINK("#",""), HYPERLINK(CONCATENATE("#metadata!", ADDRESS(INDEX($J$2:$J$1001,MATCH(ROWS($H$2:H262),$H$2:$H$1001,0),0), INDEX($O$1004:$Q$1004,1,MATCH(COLUMNS($O$1006:P1006),$O$1006:$Q$1006,0)))),"Fix")))</f>
        <v xml:space="preserve"> </v>
      </c>
      <c r="D262" s="3" t="str">
        <f ca="1">IF(OR(INDEX($I$2:$I$1001,MATCH(ROWS($H$2:H262),$H$2:$H$1001,0),1)&gt;=100000,INDEX($O$1005:$Q$1005,1,MATCH(COLUMNS($O$1006:Q1006),$O$1006:$Q$1006,0))&gt;=100000), " ",IF(INDEX($O$2:$Q$1001,MATCH(ROWS($H$2:H262),$H$2:$H$1001,0),MATCH(COLUMNS($O$1006:Q1006),$O$1006:$Q$1006,0)), HYPERLINK("#",""), HYPERLINK(CONCATENATE("#metadata!", ADDRESS(INDEX($J$2:$J$1001,MATCH(ROWS($H$2:H262),$H$2:$H$1001,0),0), INDEX($O$1004:$Q$1004,1,MATCH(COLUMNS($O$1006:Q1006),$O$1006:$Q$1006,0)))),"Fix")))</f>
        <v xml:space="preserve"> </v>
      </c>
      <c r="H262">
        <v>261</v>
      </c>
      <c r="I262">
        <v>100262</v>
      </c>
      <c r="J262">
        <v>262</v>
      </c>
      <c r="K262" t="b">
        <f t="shared" si="4"/>
        <v>1</v>
      </c>
      <c r="L262" t="b">
        <f>COUNTBLANK(metadata!B262:D262)=COLUMNS(metadata!B262:D262)</f>
        <v>1</v>
      </c>
      <c r="M262" t="str">
        <v/>
      </c>
      <c r="O262" t="b">
        <f ca="1"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P262" t="b">
        <f>AND(IF(metadata!C262="",FALSE,TRUE),EXACT(metadata!C262,"mouse gut metagenome"))</f>
        <v>0</v>
      </c>
      <c r="Q262" t="b">
        <f>AND(IF(metadata!D262="",FALSE,TRUE),EXACT(metadata!D262,"410661"))</f>
        <v>0</v>
      </c>
    </row>
    <row r="263" spans="1:17" x14ac:dyDescent="0.2">
      <c r="A263" s="4" t="str">
        <f ca="1">IF(B263=" "," ",HYPERLINK(CONCATENATE("#metadata!",ADDRESS(INDEX($J$2:$J$1001,MATCH(ROWS($H$2:H263),$H$2:$H$1001,0),0),1)),INDEX($M$2:$M$1001,MATCH(ROWS($H$2:H263),$H$2:$H$1001,0),0)))</f>
        <v xml:space="preserve"> </v>
      </c>
      <c r="B263" s="3" t="str">
        <f ca="1">IF(OR(INDEX($I$2:$I$1001,MATCH(ROWS($H$2:H263),$H$2:$H$1001,0),1)&gt;=100000,INDEX($O$1005:$Q$1005,1,MATCH(COLUMNS($O$1006:O1006),$O$1006:$Q$1006,0))&gt;=100000), " ",IF(INDEX($O$2:$Q$1001,MATCH(ROWS($H$2:H263),$H$2:$H$1001,0),MATCH(COLUMNS($O$1006:O1006),$O$1006:$Q$1006,0)), HYPERLINK("#",""), HYPERLINK(CONCATENATE("#metadata!", ADDRESS(INDEX($J$2:$J$1001,MATCH(ROWS($H$2:H263),$H$2:$H$1001,0),0), INDEX($O$1004:$Q$1004,1,MATCH(COLUMNS($O$1006:O1006),$O$1006:$Q$1006,0)))),"Fix")))</f>
        <v xml:space="preserve"> </v>
      </c>
      <c r="C263" s="3" t="str">
        <f ca="1">IF(OR(INDEX($I$2:$I$1001,MATCH(ROWS($H$2:H263),$H$2:$H$1001,0),1)&gt;=100000,INDEX($O$1005:$Q$1005,1,MATCH(COLUMNS($O$1006:P1006),$O$1006:$Q$1006,0))&gt;=100000), " ",IF(INDEX($O$2:$Q$1001,MATCH(ROWS($H$2:H263),$H$2:$H$1001,0),MATCH(COLUMNS($O$1006:P1006),$O$1006:$Q$1006,0)), HYPERLINK("#",""), HYPERLINK(CONCATENATE("#metadata!", ADDRESS(INDEX($J$2:$J$1001,MATCH(ROWS($H$2:H263),$H$2:$H$1001,0),0), INDEX($O$1004:$Q$1004,1,MATCH(COLUMNS($O$1006:P1006),$O$1006:$Q$1006,0)))),"Fix")))</f>
        <v xml:space="preserve"> </v>
      </c>
      <c r="D263" s="3" t="str">
        <f ca="1">IF(OR(INDEX($I$2:$I$1001,MATCH(ROWS($H$2:H263),$H$2:$H$1001,0),1)&gt;=100000,INDEX($O$1005:$Q$1005,1,MATCH(COLUMNS($O$1006:Q1006),$O$1006:$Q$1006,0))&gt;=100000), " ",IF(INDEX($O$2:$Q$1001,MATCH(ROWS($H$2:H263),$H$2:$H$1001,0),MATCH(COLUMNS($O$1006:Q1006),$O$1006:$Q$1006,0)), HYPERLINK("#",""), HYPERLINK(CONCATENATE("#metadata!", ADDRESS(INDEX($J$2:$J$1001,MATCH(ROWS($H$2:H263),$H$2:$H$1001,0),0), INDEX($O$1004:$Q$1004,1,MATCH(COLUMNS($O$1006:Q1006),$O$1006:$Q$1006,0)))),"Fix")))</f>
        <v xml:space="preserve"> </v>
      </c>
      <c r="H263">
        <v>262</v>
      </c>
      <c r="I263">
        <v>100263</v>
      </c>
      <c r="J263">
        <v>263</v>
      </c>
      <c r="K263" t="b">
        <f t="shared" si="4"/>
        <v>1</v>
      </c>
      <c r="L263" t="b">
        <f>COUNTBLANK(metadata!B263:D263)=COLUMNS(metadata!B263:D263)</f>
        <v>1</v>
      </c>
      <c r="M263" t="str">
        <v/>
      </c>
      <c r="O263" t="b">
        <f ca="1"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P263" t="b">
        <f>AND(IF(metadata!C263="",FALSE,TRUE),EXACT(metadata!C263,"mouse gut metagenome"))</f>
        <v>0</v>
      </c>
      <c r="Q263" t="b">
        <f>AND(IF(metadata!D263="",FALSE,TRUE),EXACT(metadata!D263,"410661"))</f>
        <v>0</v>
      </c>
    </row>
    <row r="264" spans="1:17" x14ac:dyDescent="0.2">
      <c r="A264" s="4" t="str">
        <f ca="1">IF(B264=" "," ",HYPERLINK(CONCATENATE("#metadata!",ADDRESS(INDEX($J$2:$J$1001,MATCH(ROWS($H$2:H264),$H$2:$H$1001,0),0),1)),INDEX($M$2:$M$1001,MATCH(ROWS($H$2:H264),$H$2:$H$1001,0),0)))</f>
        <v xml:space="preserve"> </v>
      </c>
      <c r="B264" s="3" t="str">
        <f ca="1">IF(OR(INDEX($I$2:$I$1001,MATCH(ROWS($H$2:H264),$H$2:$H$1001,0),1)&gt;=100000,INDEX($O$1005:$Q$1005,1,MATCH(COLUMNS($O$1006:O1006),$O$1006:$Q$1006,0))&gt;=100000), " ",IF(INDEX($O$2:$Q$1001,MATCH(ROWS($H$2:H264),$H$2:$H$1001,0),MATCH(COLUMNS($O$1006:O1006),$O$1006:$Q$1006,0)), HYPERLINK("#",""), HYPERLINK(CONCATENATE("#metadata!", ADDRESS(INDEX($J$2:$J$1001,MATCH(ROWS($H$2:H264),$H$2:$H$1001,0),0), INDEX($O$1004:$Q$1004,1,MATCH(COLUMNS($O$1006:O1006),$O$1006:$Q$1006,0)))),"Fix")))</f>
        <v xml:space="preserve"> </v>
      </c>
      <c r="C264" s="3" t="str">
        <f ca="1">IF(OR(INDEX($I$2:$I$1001,MATCH(ROWS($H$2:H264),$H$2:$H$1001,0),1)&gt;=100000,INDEX($O$1005:$Q$1005,1,MATCH(COLUMNS($O$1006:P1006),$O$1006:$Q$1006,0))&gt;=100000), " ",IF(INDEX($O$2:$Q$1001,MATCH(ROWS($H$2:H264),$H$2:$H$1001,0),MATCH(COLUMNS($O$1006:P1006),$O$1006:$Q$1006,0)), HYPERLINK("#",""), HYPERLINK(CONCATENATE("#metadata!", ADDRESS(INDEX($J$2:$J$1001,MATCH(ROWS($H$2:H264),$H$2:$H$1001,0),0), INDEX($O$1004:$Q$1004,1,MATCH(COLUMNS($O$1006:P1006),$O$1006:$Q$1006,0)))),"Fix")))</f>
        <v xml:space="preserve"> </v>
      </c>
      <c r="D264" s="3" t="str">
        <f ca="1">IF(OR(INDEX($I$2:$I$1001,MATCH(ROWS($H$2:H264),$H$2:$H$1001,0),1)&gt;=100000,INDEX($O$1005:$Q$1005,1,MATCH(COLUMNS($O$1006:Q1006),$O$1006:$Q$1006,0))&gt;=100000), " ",IF(INDEX($O$2:$Q$1001,MATCH(ROWS($H$2:H264),$H$2:$H$1001,0),MATCH(COLUMNS($O$1006:Q1006),$O$1006:$Q$1006,0)), HYPERLINK("#",""), HYPERLINK(CONCATENATE("#metadata!", ADDRESS(INDEX($J$2:$J$1001,MATCH(ROWS($H$2:H264),$H$2:$H$1001,0),0), INDEX($O$1004:$Q$1004,1,MATCH(COLUMNS($O$1006:Q1006),$O$1006:$Q$1006,0)))),"Fix")))</f>
        <v xml:space="preserve"> </v>
      </c>
      <c r="H264">
        <v>263</v>
      </c>
      <c r="I264">
        <v>100264</v>
      </c>
      <c r="J264">
        <v>264</v>
      </c>
      <c r="K264" t="b">
        <f t="shared" si="4"/>
        <v>1</v>
      </c>
      <c r="L264" t="b">
        <f>COUNTBLANK(metadata!B264:D264)=COLUMNS(metadata!B264:D264)</f>
        <v>1</v>
      </c>
      <c r="M264" t="str">
        <v/>
      </c>
      <c r="O264" t="b">
        <f ca="1"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P264" t="b">
        <f>AND(IF(metadata!C264="",FALSE,TRUE),EXACT(metadata!C264,"mouse gut metagenome"))</f>
        <v>0</v>
      </c>
      <c r="Q264" t="b">
        <f>AND(IF(metadata!D264="",FALSE,TRUE),EXACT(metadata!D264,"410661"))</f>
        <v>0</v>
      </c>
    </row>
    <row r="265" spans="1:17" x14ac:dyDescent="0.2">
      <c r="A265" s="4" t="str">
        <f ca="1">IF(B265=" "," ",HYPERLINK(CONCATENATE("#metadata!",ADDRESS(INDEX($J$2:$J$1001,MATCH(ROWS($H$2:H265),$H$2:$H$1001,0),0),1)),INDEX($M$2:$M$1001,MATCH(ROWS($H$2:H265),$H$2:$H$1001,0),0)))</f>
        <v xml:space="preserve"> </v>
      </c>
      <c r="B265" s="3" t="str">
        <f ca="1">IF(OR(INDEX($I$2:$I$1001,MATCH(ROWS($H$2:H265),$H$2:$H$1001,0),1)&gt;=100000,INDEX($O$1005:$Q$1005,1,MATCH(COLUMNS($O$1006:O1006),$O$1006:$Q$1006,0))&gt;=100000), " ",IF(INDEX($O$2:$Q$1001,MATCH(ROWS($H$2:H265),$H$2:$H$1001,0),MATCH(COLUMNS($O$1006:O1006),$O$1006:$Q$1006,0)), HYPERLINK("#",""), HYPERLINK(CONCATENATE("#metadata!", ADDRESS(INDEX($J$2:$J$1001,MATCH(ROWS($H$2:H265),$H$2:$H$1001,0),0), INDEX($O$1004:$Q$1004,1,MATCH(COLUMNS($O$1006:O1006),$O$1006:$Q$1006,0)))),"Fix")))</f>
        <v xml:space="preserve"> </v>
      </c>
      <c r="C265" s="3" t="str">
        <f ca="1">IF(OR(INDEX($I$2:$I$1001,MATCH(ROWS($H$2:H265),$H$2:$H$1001,0),1)&gt;=100000,INDEX($O$1005:$Q$1005,1,MATCH(COLUMNS($O$1006:P1006),$O$1006:$Q$1006,0))&gt;=100000), " ",IF(INDEX($O$2:$Q$1001,MATCH(ROWS($H$2:H265),$H$2:$H$1001,0),MATCH(COLUMNS($O$1006:P1006),$O$1006:$Q$1006,0)), HYPERLINK("#",""), HYPERLINK(CONCATENATE("#metadata!", ADDRESS(INDEX($J$2:$J$1001,MATCH(ROWS($H$2:H265),$H$2:$H$1001,0),0), INDEX($O$1004:$Q$1004,1,MATCH(COLUMNS($O$1006:P1006),$O$1006:$Q$1006,0)))),"Fix")))</f>
        <v xml:space="preserve"> </v>
      </c>
      <c r="D265" s="3" t="str">
        <f ca="1">IF(OR(INDEX($I$2:$I$1001,MATCH(ROWS($H$2:H265),$H$2:$H$1001,0),1)&gt;=100000,INDEX($O$1005:$Q$1005,1,MATCH(COLUMNS($O$1006:Q1006),$O$1006:$Q$1006,0))&gt;=100000), " ",IF(INDEX($O$2:$Q$1001,MATCH(ROWS($H$2:H265),$H$2:$H$1001,0),MATCH(COLUMNS($O$1006:Q1006),$O$1006:$Q$1006,0)), HYPERLINK("#",""), HYPERLINK(CONCATENATE("#metadata!", ADDRESS(INDEX($J$2:$J$1001,MATCH(ROWS($H$2:H265),$H$2:$H$1001,0),0), INDEX($O$1004:$Q$1004,1,MATCH(COLUMNS($O$1006:Q1006),$O$1006:$Q$1006,0)))),"Fix")))</f>
        <v xml:space="preserve"> </v>
      </c>
      <c r="H265">
        <v>264</v>
      </c>
      <c r="I265">
        <v>100265</v>
      </c>
      <c r="J265">
        <v>265</v>
      </c>
      <c r="K265" t="b">
        <f t="shared" si="4"/>
        <v>1</v>
      </c>
      <c r="L265" t="b">
        <f>COUNTBLANK(metadata!B265:D265)=COLUMNS(metadata!B265:D265)</f>
        <v>1</v>
      </c>
      <c r="M265" t="str">
        <v/>
      </c>
      <c r="O265" t="b">
        <f ca="1"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P265" t="b">
        <f>AND(IF(metadata!C265="",FALSE,TRUE),EXACT(metadata!C265,"mouse gut metagenome"))</f>
        <v>0</v>
      </c>
      <c r="Q265" t="b">
        <f>AND(IF(metadata!D265="",FALSE,TRUE),EXACT(metadata!D265,"410661"))</f>
        <v>0</v>
      </c>
    </row>
    <row r="266" spans="1:17" x14ac:dyDescent="0.2">
      <c r="A266" s="4" t="str">
        <f ca="1">IF(B266=" "," ",HYPERLINK(CONCATENATE("#metadata!",ADDRESS(INDEX($J$2:$J$1001,MATCH(ROWS($H$2:H266),$H$2:$H$1001,0),0),1)),INDEX($M$2:$M$1001,MATCH(ROWS($H$2:H266),$H$2:$H$1001,0),0)))</f>
        <v xml:space="preserve"> </v>
      </c>
      <c r="B266" s="3" t="str">
        <f ca="1">IF(OR(INDEX($I$2:$I$1001,MATCH(ROWS($H$2:H266),$H$2:$H$1001,0),1)&gt;=100000,INDEX($O$1005:$Q$1005,1,MATCH(COLUMNS($O$1006:O1006),$O$1006:$Q$1006,0))&gt;=100000), " ",IF(INDEX($O$2:$Q$1001,MATCH(ROWS($H$2:H266),$H$2:$H$1001,0),MATCH(COLUMNS($O$1006:O1006),$O$1006:$Q$1006,0)), HYPERLINK("#",""), HYPERLINK(CONCATENATE("#metadata!", ADDRESS(INDEX($J$2:$J$1001,MATCH(ROWS($H$2:H266),$H$2:$H$1001,0),0), INDEX($O$1004:$Q$1004,1,MATCH(COLUMNS($O$1006:O1006),$O$1006:$Q$1006,0)))),"Fix")))</f>
        <v xml:space="preserve"> </v>
      </c>
      <c r="C266" s="3" t="str">
        <f ca="1">IF(OR(INDEX($I$2:$I$1001,MATCH(ROWS($H$2:H266),$H$2:$H$1001,0),1)&gt;=100000,INDEX($O$1005:$Q$1005,1,MATCH(COLUMNS($O$1006:P1006),$O$1006:$Q$1006,0))&gt;=100000), " ",IF(INDEX($O$2:$Q$1001,MATCH(ROWS($H$2:H266),$H$2:$H$1001,0),MATCH(COLUMNS($O$1006:P1006),$O$1006:$Q$1006,0)), HYPERLINK("#",""), HYPERLINK(CONCATENATE("#metadata!", ADDRESS(INDEX($J$2:$J$1001,MATCH(ROWS($H$2:H266),$H$2:$H$1001,0),0), INDEX($O$1004:$Q$1004,1,MATCH(COLUMNS($O$1006:P1006),$O$1006:$Q$1006,0)))),"Fix")))</f>
        <v xml:space="preserve"> </v>
      </c>
      <c r="D266" s="3" t="str">
        <f ca="1">IF(OR(INDEX($I$2:$I$1001,MATCH(ROWS($H$2:H266),$H$2:$H$1001,0),1)&gt;=100000,INDEX($O$1005:$Q$1005,1,MATCH(COLUMNS($O$1006:Q1006),$O$1006:$Q$1006,0))&gt;=100000), " ",IF(INDEX($O$2:$Q$1001,MATCH(ROWS($H$2:H266),$H$2:$H$1001,0),MATCH(COLUMNS($O$1006:Q1006),$O$1006:$Q$1006,0)), HYPERLINK("#",""), HYPERLINK(CONCATENATE("#metadata!", ADDRESS(INDEX($J$2:$J$1001,MATCH(ROWS($H$2:H266),$H$2:$H$1001,0),0), INDEX($O$1004:$Q$1004,1,MATCH(COLUMNS($O$1006:Q1006),$O$1006:$Q$1006,0)))),"Fix")))</f>
        <v xml:space="preserve"> </v>
      </c>
      <c r="H266">
        <v>265</v>
      </c>
      <c r="I266">
        <v>100266</v>
      </c>
      <c r="J266">
        <v>266</v>
      </c>
      <c r="K266" t="b">
        <f t="shared" si="4"/>
        <v>1</v>
      </c>
      <c r="L266" t="b">
        <f>COUNTBLANK(metadata!B266:D266)=COLUMNS(metadata!B266:D266)</f>
        <v>1</v>
      </c>
      <c r="M266" t="str">
        <v/>
      </c>
      <c r="O266" t="b">
        <f ca="1"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P266" t="b">
        <f>AND(IF(metadata!C266="",FALSE,TRUE),EXACT(metadata!C266,"mouse gut metagenome"))</f>
        <v>0</v>
      </c>
      <c r="Q266" t="b">
        <f>AND(IF(metadata!D266="",FALSE,TRUE),EXACT(metadata!D266,"410661"))</f>
        <v>0</v>
      </c>
    </row>
    <row r="267" spans="1:17" x14ac:dyDescent="0.2">
      <c r="A267" s="4" t="str">
        <f ca="1">IF(B267=" "," ",HYPERLINK(CONCATENATE("#metadata!",ADDRESS(INDEX($J$2:$J$1001,MATCH(ROWS($H$2:H267),$H$2:$H$1001,0),0),1)),INDEX($M$2:$M$1001,MATCH(ROWS($H$2:H267),$H$2:$H$1001,0),0)))</f>
        <v xml:space="preserve"> </v>
      </c>
      <c r="B267" s="3" t="str">
        <f ca="1">IF(OR(INDEX($I$2:$I$1001,MATCH(ROWS($H$2:H267),$H$2:$H$1001,0),1)&gt;=100000,INDEX($O$1005:$Q$1005,1,MATCH(COLUMNS($O$1006:O1006),$O$1006:$Q$1006,0))&gt;=100000), " ",IF(INDEX($O$2:$Q$1001,MATCH(ROWS($H$2:H267),$H$2:$H$1001,0),MATCH(COLUMNS($O$1006:O1006),$O$1006:$Q$1006,0)), HYPERLINK("#",""), HYPERLINK(CONCATENATE("#metadata!", ADDRESS(INDEX($J$2:$J$1001,MATCH(ROWS($H$2:H267),$H$2:$H$1001,0),0), INDEX($O$1004:$Q$1004,1,MATCH(COLUMNS($O$1006:O1006),$O$1006:$Q$1006,0)))),"Fix")))</f>
        <v xml:space="preserve"> </v>
      </c>
      <c r="C267" s="3" t="str">
        <f ca="1">IF(OR(INDEX($I$2:$I$1001,MATCH(ROWS($H$2:H267),$H$2:$H$1001,0),1)&gt;=100000,INDEX($O$1005:$Q$1005,1,MATCH(COLUMNS($O$1006:P1006),$O$1006:$Q$1006,0))&gt;=100000), " ",IF(INDEX($O$2:$Q$1001,MATCH(ROWS($H$2:H267),$H$2:$H$1001,0),MATCH(COLUMNS($O$1006:P1006),$O$1006:$Q$1006,0)), HYPERLINK("#",""), HYPERLINK(CONCATENATE("#metadata!", ADDRESS(INDEX($J$2:$J$1001,MATCH(ROWS($H$2:H267),$H$2:$H$1001,0),0), INDEX($O$1004:$Q$1004,1,MATCH(COLUMNS($O$1006:P1006),$O$1006:$Q$1006,0)))),"Fix")))</f>
        <v xml:space="preserve"> </v>
      </c>
      <c r="D267" s="3" t="str">
        <f ca="1">IF(OR(INDEX($I$2:$I$1001,MATCH(ROWS($H$2:H267),$H$2:$H$1001,0),1)&gt;=100000,INDEX($O$1005:$Q$1005,1,MATCH(COLUMNS($O$1006:Q1006),$O$1006:$Q$1006,0))&gt;=100000), " ",IF(INDEX($O$2:$Q$1001,MATCH(ROWS($H$2:H267),$H$2:$H$1001,0),MATCH(COLUMNS($O$1006:Q1006),$O$1006:$Q$1006,0)), HYPERLINK("#",""), HYPERLINK(CONCATENATE("#metadata!", ADDRESS(INDEX($J$2:$J$1001,MATCH(ROWS($H$2:H267),$H$2:$H$1001,0),0), INDEX($O$1004:$Q$1004,1,MATCH(COLUMNS($O$1006:Q1006),$O$1006:$Q$1006,0)))),"Fix")))</f>
        <v xml:space="preserve"> </v>
      </c>
      <c r="H267">
        <v>266</v>
      </c>
      <c r="I267">
        <v>100267</v>
      </c>
      <c r="J267">
        <v>267</v>
      </c>
      <c r="K267" t="b">
        <f t="shared" si="4"/>
        <v>1</v>
      </c>
      <c r="L267" t="b">
        <f>COUNTBLANK(metadata!B267:D267)=COLUMNS(metadata!B267:D267)</f>
        <v>1</v>
      </c>
      <c r="M267" t="str">
        <v/>
      </c>
      <c r="O267" t="b">
        <f ca="1"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P267" t="b">
        <f>AND(IF(metadata!C267="",FALSE,TRUE),EXACT(metadata!C267,"mouse gut metagenome"))</f>
        <v>0</v>
      </c>
      <c r="Q267" t="b">
        <f>AND(IF(metadata!D267="",FALSE,TRUE),EXACT(metadata!D267,"410661"))</f>
        <v>0</v>
      </c>
    </row>
    <row r="268" spans="1:17" x14ac:dyDescent="0.2">
      <c r="A268" s="4" t="str">
        <f ca="1">IF(B268=" "," ",HYPERLINK(CONCATENATE("#metadata!",ADDRESS(INDEX($J$2:$J$1001,MATCH(ROWS($H$2:H268),$H$2:$H$1001,0),0),1)),INDEX($M$2:$M$1001,MATCH(ROWS($H$2:H268),$H$2:$H$1001,0),0)))</f>
        <v xml:space="preserve"> </v>
      </c>
      <c r="B268" s="3" t="str">
        <f ca="1">IF(OR(INDEX($I$2:$I$1001,MATCH(ROWS($H$2:H268),$H$2:$H$1001,0),1)&gt;=100000,INDEX($O$1005:$Q$1005,1,MATCH(COLUMNS($O$1006:O1006),$O$1006:$Q$1006,0))&gt;=100000), " ",IF(INDEX($O$2:$Q$1001,MATCH(ROWS($H$2:H268),$H$2:$H$1001,0),MATCH(COLUMNS($O$1006:O1006),$O$1006:$Q$1006,0)), HYPERLINK("#",""), HYPERLINK(CONCATENATE("#metadata!", ADDRESS(INDEX($J$2:$J$1001,MATCH(ROWS($H$2:H268),$H$2:$H$1001,0),0), INDEX($O$1004:$Q$1004,1,MATCH(COLUMNS($O$1006:O1006),$O$1006:$Q$1006,0)))),"Fix")))</f>
        <v xml:space="preserve"> </v>
      </c>
      <c r="C268" s="3" t="str">
        <f ca="1">IF(OR(INDEX($I$2:$I$1001,MATCH(ROWS($H$2:H268),$H$2:$H$1001,0),1)&gt;=100000,INDEX($O$1005:$Q$1005,1,MATCH(COLUMNS($O$1006:P1006),$O$1006:$Q$1006,0))&gt;=100000), " ",IF(INDEX($O$2:$Q$1001,MATCH(ROWS($H$2:H268),$H$2:$H$1001,0),MATCH(COLUMNS($O$1006:P1006),$O$1006:$Q$1006,0)), HYPERLINK("#",""), HYPERLINK(CONCATENATE("#metadata!", ADDRESS(INDEX($J$2:$J$1001,MATCH(ROWS($H$2:H268),$H$2:$H$1001,0),0), INDEX($O$1004:$Q$1004,1,MATCH(COLUMNS($O$1006:P1006),$O$1006:$Q$1006,0)))),"Fix")))</f>
        <v xml:space="preserve"> </v>
      </c>
      <c r="D268" s="3" t="str">
        <f ca="1">IF(OR(INDEX($I$2:$I$1001,MATCH(ROWS($H$2:H268),$H$2:$H$1001,0),1)&gt;=100000,INDEX($O$1005:$Q$1005,1,MATCH(COLUMNS($O$1006:Q1006),$O$1006:$Q$1006,0))&gt;=100000), " ",IF(INDEX($O$2:$Q$1001,MATCH(ROWS($H$2:H268),$H$2:$H$1001,0),MATCH(COLUMNS($O$1006:Q1006),$O$1006:$Q$1006,0)), HYPERLINK("#",""), HYPERLINK(CONCATENATE("#metadata!", ADDRESS(INDEX($J$2:$J$1001,MATCH(ROWS($H$2:H268),$H$2:$H$1001,0),0), INDEX($O$1004:$Q$1004,1,MATCH(COLUMNS($O$1006:Q1006),$O$1006:$Q$1006,0)))),"Fix")))</f>
        <v xml:space="preserve"> </v>
      </c>
      <c r="H268">
        <v>267</v>
      </c>
      <c r="I268">
        <v>100268</v>
      </c>
      <c r="J268">
        <v>268</v>
      </c>
      <c r="K268" t="b">
        <f t="shared" si="4"/>
        <v>1</v>
      </c>
      <c r="L268" t="b">
        <f>COUNTBLANK(metadata!B268:D268)=COLUMNS(metadata!B268:D268)</f>
        <v>1</v>
      </c>
      <c r="M268" t="str">
        <v/>
      </c>
      <c r="O268" t="b">
        <f ca="1"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P268" t="b">
        <f>AND(IF(metadata!C268="",FALSE,TRUE),EXACT(metadata!C268,"mouse gut metagenome"))</f>
        <v>0</v>
      </c>
      <c r="Q268" t="b">
        <f>AND(IF(metadata!D268="",FALSE,TRUE),EXACT(metadata!D268,"410661"))</f>
        <v>0</v>
      </c>
    </row>
    <row r="269" spans="1:17" x14ac:dyDescent="0.2">
      <c r="A269" s="4" t="str">
        <f ca="1">IF(B269=" "," ",HYPERLINK(CONCATENATE("#metadata!",ADDRESS(INDEX($J$2:$J$1001,MATCH(ROWS($H$2:H269),$H$2:$H$1001,0),0),1)),INDEX($M$2:$M$1001,MATCH(ROWS($H$2:H269),$H$2:$H$1001,0),0)))</f>
        <v xml:space="preserve"> </v>
      </c>
      <c r="B269" s="3" t="str">
        <f ca="1">IF(OR(INDEX($I$2:$I$1001,MATCH(ROWS($H$2:H269),$H$2:$H$1001,0),1)&gt;=100000,INDEX($O$1005:$Q$1005,1,MATCH(COLUMNS($O$1006:O1006),$O$1006:$Q$1006,0))&gt;=100000), " ",IF(INDEX($O$2:$Q$1001,MATCH(ROWS($H$2:H269),$H$2:$H$1001,0),MATCH(COLUMNS($O$1006:O1006),$O$1006:$Q$1006,0)), HYPERLINK("#",""), HYPERLINK(CONCATENATE("#metadata!", ADDRESS(INDEX($J$2:$J$1001,MATCH(ROWS($H$2:H269),$H$2:$H$1001,0),0), INDEX($O$1004:$Q$1004,1,MATCH(COLUMNS($O$1006:O1006),$O$1006:$Q$1006,0)))),"Fix")))</f>
        <v xml:space="preserve"> </v>
      </c>
      <c r="C269" s="3" t="str">
        <f ca="1">IF(OR(INDEX($I$2:$I$1001,MATCH(ROWS($H$2:H269),$H$2:$H$1001,0),1)&gt;=100000,INDEX($O$1005:$Q$1005,1,MATCH(COLUMNS($O$1006:P1006),$O$1006:$Q$1006,0))&gt;=100000), " ",IF(INDEX($O$2:$Q$1001,MATCH(ROWS($H$2:H269),$H$2:$H$1001,0),MATCH(COLUMNS($O$1006:P1006),$O$1006:$Q$1006,0)), HYPERLINK("#",""), HYPERLINK(CONCATENATE("#metadata!", ADDRESS(INDEX($J$2:$J$1001,MATCH(ROWS($H$2:H269),$H$2:$H$1001,0),0), INDEX($O$1004:$Q$1004,1,MATCH(COLUMNS($O$1006:P1006),$O$1006:$Q$1006,0)))),"Fix")))</f>
        <v xml:space="preserve"> </v>
      </c>
      <c r="D269" s="3" t="str">
        <f ca="1">IF(OR(INDEX($I$2:$I$1001,MATCH(ROWS($H$2:H269),$H$2:$H$1001,0),1)&gt;=100000,INDEX($O$1005:$Q$1005,1,MATCH(COLUMNS($O$1006:Q1006),$O$1006:$Q$1006,0))&gt;=100000), " ",IF(INDEX($O$2:$Q$1001,MATCH(ROWS($H$2:H269),$H$2:$H$1001,0),MATCH(COLUMNS($O$1006:Q1006),$O$1006:$Q$1006,0)), HYPERLINK("#",""), HYPERLINK(CONCATENATE("#metadata!", ADDRESS(INDEX($J$2:$J$1001,MATCH(ROWS($H$2:H269),$H$2:$H$1001,0),0), INDEX($O$1004:$Q$1004,1,MATCH(COLUMNS($O$1006:Q1006),$O$1006:$Q$1006,0)))),"Fix")))</f>
        <v xml:space="preserve"> </v>
      </c>
      <c r="H269">
        <v>268</v>
      </c>
      <c r="I269">
        <v>100269</v>
      </c>
      <c r="J269">
        <v>269</v>
      </c>
      <c r="K269" t="b">
        <f t="shared" si="4"/>
        <v>1</v>
      </c>
      <c r="L269" t="b">
        <f>COUNTBLANK(metadata!B269:D269)=COLUMNS(metadata!B269:D269)</f>
        <v>1</v>
      </c>
      <c r="M269" t="str">
        <v/>
      </c>
      <c r="O269" t="b">
        <f ca="1"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P269" t="b">
        <f>AND(IF(metadata!C269="",FALSE,TRUE),EXACT(metadata!C269,"mouse gut metagenome"))</f>
        <v>0</v>
      </c>
      <c r="Q269" t="b">
        <f>AND(IF(metadata!D269="",FALSE,TRUE),EXACT(metadata!D269,"410661"))</f>
        <v>0</v>
      </c>
    </row>
    <row r="270" spans="1:17" x14ac:dyDescent="0.2">
      <c r="A270" s="4" t="str">
        <f ca="1">IF(B270=" "," ",HYPERLINK(CONCATENATE("#metadata!",ADDRESS(INDEX($J$2:$J$1001,MATCH(ROWS($H$2:H270),$H$2:$H$1001,0),0),1)),INDEX($M$2:$M$1001,MATCH(ROWS($H$2:H270),$H$2:$H$1001,0),0)))</f>
        <v xml:space="preserve"> </v>
      </c>
      <c r="B270" s="3" t="str">
        <f ca="1">IF(OR(INDEX($I$2:$I$1001,MATCH(ROWS($H$2:H270),$H$2:$H$1001,0),1)&gt;=100000,INDEX($O$1005:$Q$1005,1,MATCH(COLUMNS($O$1006:O1006),$O$1006:$Q$1006,0))&gt;=100000), " ",IF(INDEX($O$2:$Q$1001,MATCH(ROWS($H$2:H270),$H$2:$H$1001,0),MATCH(COLUMNS($O$1006:O1006),$O$1006:$Q$1006,0)), HYPERLINK("#",""), HYPERLINK(CONCATENATE("#metadata!", ADDRESS(INDEX($J$2:$J$1001,MATCH(ROWS($H$2:H270),$H$2:$H$1001,0),0), INDEX($O$1004:$Q$1004,1,MATCH(COLUMNS($O$1006:O1006),$O$1006:$Q$1006,0)))),"Fix")))</f>
        <v xml:space="preserve"> </v>
      </c>
      <c r="C270" s="3" t="str">
        <f ca="1">IF(OR(INDEX($I$2:$I$1001,MATCH(ROWS($H$2:H270),$H$2:$H$1001,0),1)&gt;=100000,INDEX($O$1005:$Q$1005,1,MATCH(COLUMNS($O$1006:P1006),$O$1006:$Q$1006,0))&gt;=100000), " ",IF(INDEX($O$2:$Q$1001,MATCH(ROWS($H$2:H270),$H$2:$H$1001,0),MATCH(COLUMNS($O$1006:P1006),$O$1006:$Q$1006,0)), HYPERLINK("#",""), HYPERLINK(CONCATENATE("#metadata!", ADDRESS(INDEX($J$2:$J$1001,MATCH(ROWS($H$2:H270),$H$2:$H$1001,0),0), INDEX($O$1004:$Q$1004,1,MATCH(COLUMNS($O$1006:P1006),$O$1006:$Q$1006,0)))),"Fix")))</f>
        <v xml:space="preserve"> </v>
      </c>
      <c r="D270" s="3" t="str">
        <f ca="1">IF(OR(INDEX($I$2:$I$1001,MATCH(ROWS($H$2:H270),$H$2:$H$1001,0),1)&gt;=100000,INDEX($O$1005:$Q$1005,1,MATCH(COLUMNS($O$1006:Q1006),$O$1006:$Q$1006,0))&gt;=100000), " ",IF(INDEX($O$2:$Q$1001,MATCH(ROWS($H$2:H270),$H$2:$H$1001,0),MATCH(COLUMNS($O$1006:Q1006),$O$1006:$Q$1006,0)), HYPERLINK("#",""), HYPERLINK(CONCATENATE("#metadata!", ADDRESS(INDEX($J$2:$J$1001,MATCH(ROWS($H$2:H270),$H$2:$H$1001,0),0), INDEX($O$1004:$Q$1004,1,MATCH(COLUMNS($O$1006:Q1006),$O$1006:$Q$1006,0)))),"Fix")))</f>
        <v xml:space="preserve"> </v>
      </c>
      <c r="H270">
        <v>269</v>
      </c>
      <c r="I270">
        <v>100270</v>
      </c>
      <c r="J270">
        <v>270</v>
      </c>
      <c r="K270" t="b">
        <f t="shared" si="4"/>
        <v>1</v>
      </c>
      <c r="L270" t="b">
        <f>COUNTBLANK(metadata!B270:D270)=COLUMNS(metadata!B270:D270)</f>
        <v>1</v>
      </c>
      <c r="M270" t="str">
        <v/>
      </c>
      <c r="O270" t="b">
        <f ca="1"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P270" t="b">
        <f>AND(IF(metadata!C270="",FALSE,TRUE),EXACT(metadata!C270,"mouse gut metagenome"))</f>
        <v>0</v>
      </c>
      <c r="Q270" t="b">
        <f>AND(IF(metadata!D270="",FALSE,TRUE),EXACT(metadata!D270,"410661"))</f>
        <v>0</v>
      </c>
    </row>
    <row r="271" spans="1:17" x14ac:dyDescent="0.2">
      <c r="A271" s="4" t="str">
        <f ca="1">IF(B271=" "," ",HYPERLINK(CONCATENATE("#metadata!",ADDRESS(INDEX($J$2:$J$1001,MATCH(ROWS($H$2:H271),$H$2:$H$1001,0),0),1)),INDEX($M$2:$M$1001,MATCH(ROWS($H$2:H271),$H$2:$H$1001,0),0)))</f>
        <v xml:space="preserve"> </v>
      </c>
      <c r="B271" s="3" t="str">
        <f ca="1">IF(OR(INDEX($I$2:$I$1001,MATCH(ROWS($H$2:H271),$H$2:$H$1001,0),1)&gt;=100000,INDEX($O$1005:$Q$1005,1,MATCH(COLUMNS($O$1006:O1006),$O$1006:$Q$1006,0))&gt;=100000), " ",IF(INDEX($O$2:$Q$1001,MATCH(ROWS($H$2:H271),$H$2:$H$1001,0),MATCH(COLUMNS($O$1006:O1006),$O$1006:$Q$1006,0)), HYPERLINK("#",""), HYPERLINK(CONCATENATE("#metadata!", ADDRESS(INDEX($J$2:$J$1001,MATCH(ROWS($H$2:H271),$H$2:$H$1001,0),0), INDEX($O$1004:$Q$1004,1,MATCH(COLUMNS($O$1006:O1006),$O$1006:$Q$1006,0)))),"Fix")))</f>
        <v xml:space="preserve"> </v>
      </c>
      <c r="C271" s="3" t="str">
        <f ca="1">IF(OR(INDEX($I$2:$I$1001,MATCH(ROWS($H$2:H271),$H$2:$H$1001,0),1)&gt;=100000,INDEX($O$1005:$Q$1005,1,MATCH(COLUMNS($O$1006:P1006),$O$1006:$Q$1006,0))&gt;=100000), " ",IF(INDEX($O$2:$Q$1001,MATCH(ROWS($H$2:H271),$H$2:$H$1001,0),MATCH(COLUMNS($O$1006:P1006),$O$1006:$Q$1006,0)), HYPERLINK("#",""), HYPERLINK(CONCATENATE("#metadata!", ADDRESS(INDEX($J$2:$J$1001,MATCH(ROWS($H$2:H271),$H$2:$H$1001,0),0), INDEX($O$1004:$Q$1004,1,MATCH(COLUMNS($O$1006:P1006),$O$1006:$Q$1006,0)))),"Fix")))</f>
        <v xml:space="preserve"> </v>
      </c>
      <c r="D271" s="3" t="str">
        <f ca="1">IF(OR(INDEX($I$2:$I$1001,MATCH(ROWS($H$2:H271),$H$2:$H$1001,0),1)&gt;=100000,INDEX($O$1005:$Q$1005,1,MATCH(COLUMNS($O$1006:Q1006),$O$1006:$Q$1006,0))&gt;=100000), " ",IF(INDEX($O$2:$Q$1001,MATCH(ROWS($H$2:H271),$H$2:$H$1001,0),MATCH(COLUMNS($O$1006:Q1006),$O$1006:$Q$1006,0)), HYPERLINK("#",""), HYPERLINK(CONCATENATE("#metadata!", ADDRESS(INDEX($J$2:$J$1001,MATCH(ROWS($H$2:H271),$H$2:$H$1001,0),0), INDEX($O$1004:$Q$1004,1,MATCH(COLUMNS($O$1006:Q1006),$O$1006:$Q$1006,0)))),"Fix")))</f>
        <v xml:space="preserve"> </v>
      </c>
      <c r="H271">
        <v>270</v>
      </c>
      <c r="I271">
        <v>100271</v>
      </c>
      <c r="J271">
        <v>271</v>
      </c>
      <c r="K271" t="b">
        <f t="shared" si="4"/>
        <v>1</v>
      </c>
      <c r="L271" t="b">
        <f>COUNTBLANK(metadata!B271:D271)=COLUMNS(metadata!B271:D271)</f>
        <v>1</v>
      </c>
      <c r="M271" t="str">
        <v/>
      </c>
      <c r="O271" t="b">
        <f ca="1"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P271" t="b">
        <f>AND(IF(metadata!C271="",FALSE,TRUE),EXACT(metadata!C271,"mouse gut metagenome"))</f>
        <v>0</v>
      </c>
      <c r="Q271" t="b">
        <f>AND(IF(metadata!D271="",FALSE,TRUE),EXACT(metadata!D271,"410661"))</f>
        <v>0</v>
      </c>
    </row>
    <row r="272" spans="1:17" x14ac:dyDescent="0.2">
      <c r="A272" s="4" t="str">
        <f ca="1">IF(B272=" "," ",HYPERLINK(CONCATENATE("#metadata!",ADDRESS(INDEX($J$2:$J$1001,MATCH(ROWS($H$2:H272),$H$2:$H$1001,0),0),1)),INDEX($M$2:$M$1001,MATCH(ROWS($H$2:H272),$H$2:$H$1001,0),0)))</f>
        <v xml:space="preserve"> </v>
      </c>
      <c r="B272" s="3" t="str">
        <f ca="1">IF(OR(INDEX($I$2:$I$1001,MATCH(ROWS($H$2:H272),$H$2:$H$1001,0),1)&gt;=100000,INDEX($O$1005:$Q$1005,1,MATCH(COLUMNS($O$1006:O1006),$O$1006:$Q$1006,0))&gt;=100000), " ",IF(INDEX($O$2:$Q$1001,MATCH(ROWS($H$2:H272),$H$2:$H$1001,0),MATCH(COLUMNS($O$1006:O1006),$O$1006:$Q$1006,0)), HYPERLINK("#",""), HYPERLINK(CONCATENATE("#metadata!", ADDRESS(INDEX($J$2:$J$1001,MATCH(ROWS($H$2:H272),$H$2:$H$1001,0),0), INDEX($O$1004:$Q$1004,1,MATCH(COLUMNS($O$1006:O1006),$O$1006:$Q$1006,0)))),"Fix")))</f>
        <v xml:space="preserve"> </v>
      </c>
      <c r="C272" s="3" t="str">
        <f ca="1">IF(OR(INDEX($I$2:$I$1001,MATCH(ROWS($H$2:H272),$H$2:$H$1001,0),1)&gt;=100000,INDEX($O$1005:$Q$1005,1,MATCH(COLUMNS($O$1006:P1006),$O$1006:$Q$1006,0))&gt;=100000), " ",IF(INDEX($O$2:$Q$1001,MATCH(ROWS($H$2:H272),$H$2:$H$1001,0),MATCH(COLUMNS($O$1006:P1006),$O$1006:$Q$1006,0)), HYPERLINK("#",""), HYPERLINK(CONCATENATE("#metadata!", ADDRESS(INDEX($J$2:$J$1001,MATCH(ROWS($H$2:H272),$H$2:$H$1001,0),0), INDEX($O$1004:$Q$1004,1,MATCH(COLUMNS($O$1006:P1006),$O$1006:$Q$1006,0)))),"Fix")))</f>
        <v xml:space="preserve"> </v>
      </c>
      <c r="D272" s="3" t="str">
        <f ca="1">IF(OR(INDEX($I$2:$I$1001,MATCH(ROWS($H$2:H272),$H$2:$H$1001,0),1)&gt;=100000,INDEX($O$1005:$Q$1005,1,MATCH(COLUMNS($O$1006:Q1006),$O$1006:$Q$1006,0))&gt;=100000), " ",IF(INDEX($O$2:$Q$1001,MATCH(ROWS($H$2:H272),$H$2:$H$1001,0),MATCH(COLUMNS($O$1006:Q1006),$O$1006:$Q$1006,0)), HYPERLINK("#",""), HYPERLINK(CONCATENATE("#metadata!", ADDRESS(INDEX($J$2:$J$1001,MATCH(ROWS($H$2:H272),$H$2:$H$1001,0),0), INDEX($O$1004:$Q$1004,1,MATCH(COLUMNS($O$1006:Q1006),$O$1006:$Q$1006,0)))),"Fix")))</f>
        <v xml:space="preserve"> </v>
      </c>
      <c r="H272">
        <v>271</v>
      </c>
      <c r="I272">
        <v>100272</v>
      </c>
      <c r="J272">
        <v>272</v>
      </c>
      <c r="K272" t="b">
        <f t="shared" si="4"/>
        <v>1</v>
      </c>
      <c r="L272" t="b">
        <f>COUNTBLANK(metadata!B272:D272)=COLUMNS(metadata!B272:D272)</f>
        <v>1</v>
      </c>
      <c r="M272" t="str">
        <v/>
      </c>
      <c r="O272" t="b">
        <f ca="1"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P272" t="b">
        <f>AND(IF(metadata!C272="",FALSE,TRUE),EXACT(metadata!C272,"mouse gut metagenome"))</f>
        <v>0</v>
      </c>
      <c r="Q272" t="b">
        <f>AND(IF(metadata!D272="",FALSE,TRUE),EXACT(metadata!D272,"410661"))</f>
        <v>0</v>
      </c>
    </row>
    <row r="273" spans="1:17" x14ac:dyDescent="0.2">
      <c r="A273" s="4" t="str">
        <f ca="1">IF(B273=" "," ",HYPERLINK(CONCATENATE("#metadata!",ADDRESS(INDEX($J$2:$J$1001,MATCH(ROWS($H$2:H273),$H$2:$H$1001,0),0),1)),INDEX($M$2:$M$1001,MATCH(ROWS($H$2:H273),$H$2:$H$1001,0),0)))</f>
        <v xml:space="preserve"> </v>
      </c>
      <c r="B273" s="3" t="str">
        <f ca="1">IF(OR(INDEX($I$2:$I$1001,MATCH(ROWS($H$2:H273),$H$2:$H$1001,0),1)&gt;=100000,INDEX($O$1005:$Q$1005,1,MATCH(COLUMNS($O$1006:O1006),$O$1006:$Q$1006,0))&gt;=100000), " ",IF(INDEX($O$2:$Q$1001,MATCH(ROWS($H$2:H273),$H$2:$H$1001,0),MATCH(COLUMNS($O$1006:O1006),$O$1006:$Q$1006,0)), HYPERLINK("#",""), HYPERLINK(CONCATENATE("#metadata!", ADDRESS(INDEX($J$2:$J$1001,MATCH(ROWS($H$2:H273),$H$2:$H$1001,0),0), INDEX($O$1004:$Q$1004,1,MATCH(COLUMNS($O$1006:O1006),$O$1006:$Q$1006,0)))),"Fix")))</f>
        <v xml:space="preserve"> </v>
      </c>
      <c r="C273" s="3" t="str">
        <f ca="1">IF(OR(INDEX($I$2:$I$1001,MATCH(ROWS($H$2:H273),$H$2:$H$1001,0),1)&gt;=100000,INDEX($O$1005:$Q$1005,1,MATCH(COLUMNS($O$1006:P1006),$O$1006:$Q$1006,0))&gt;=100000), " ",IF(INDEX($O$2:$Q$1001,MATCH(ROWS($H$2:H273),$H$2:$H$1001,0),MATCH(COLUMNS($O$1006:P1006),$O$1006:$Q$1006,0)), HYPERLINK("#",""), HYPERLINK(CONCATENATE("#metadata!", ADDRESS(INDEX($J$2:$J$1001,MATCH(ROWS($H$2:H273),$H$2:$H$1001,0),0), INDEX($O$1004:$Q$1004,1,MATCH(COLUMNS($O$1006:P1006),$O$1006:$Q$1006,0)))),"Fix")))</f>
        <v xml:space="preserve"> </v>
      </c>
      <c r="D273" s="3" t="str">
        <f ca="1">IF(OR(INDEX($I$2:$I$1001,MATCH(ROWS($H$2:H273),$H$2:$H$1001,0),1)&gt;=100000,INDEX($O$1005:$Q$1005,1,MATCH(COLUMNS($O$1006:Q1006),$O$1006:$Q$1006,0))&gt;=100000), " ",IF(INDEX($O$2:$Q$1001,MATCH(ROWS($H$2:H273),$H$2:$H$1001,0),MATCH(COLUMNS($O$1006:Q1006),$O$1006:$Q$1006,0)), HYPERLINK("#",""), HYPERLINK(CONCATENATE("#metadata!", ADDRESS(INDEX($J$2:$J$1001,MATCH(ROWS($H$2:H273),$H$2:$H$1001,0),0), INDEX($O$1004:$Q$1004,1,MATCH(COLUMNS($O$1006:Q1006),$O$1006:$Q$1006,0)))),"Fix")))</f>
        <v xml:space="preserve"> </v>
      </c>
      <c r="H273">
        <v>272</v>
      </c>
      <c r="I273">
        <v>100273</v>
      </c>
      <c r="J273">
        <v>273</v>
      </c>
      <c r="K273" t="b">
        <f t="shared" si="4"/>
        <v>1</v>
      </c>
      <c r="L273" t="b">
        <f>COUNTBLANK(metadata!B273:D273)=COLUMNS(metadata!B273:D273)</f>
        <v>1</v>
      </c>
      <c r="M273" t="str">
        <v/>
      </c>
      <c r="O273" t="b">
        <f ca="1"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P273" t="b">
        <f>AND(IF(metadata!C273="",FALSE,TRUE),EXACT(metadata!C273,"mouse gut metagenome"))</f>
        <v>0</v>
      </c>
      <c r="Q273" t="b">
        <f>AND(IF(metadata!D273="",FALSE,TRUE),EXACT(metadata!D273,"410661"))</f>
        <v>0</v>
      </c>
    </row>
    <row r="274" spans="1:17" x14ac:dyDescent="0.2">
      <c r="A274" s="4" t="str">
        <f ca="1">IF(B274=" "," ",HYPERLINK(CONCATENATE("#metadata!",ADDRESS(INDEX($J$2:$J$1001,MATCH(ROWS($H$2:H274),$H$2:$H$1001,0),0),1)),INDEX($M$2:$M$1001,MATCH(ROWS($H$2:H274),$H$2:$H$1001,0),0)))</f>
        <v xml:space="preserve"> </v>
      </c>
      <c r="B274" s="3" t="str">
        <f ca="1">IF(OR(INDEX($I$2:$I$1001,MATCH(ROWS($H$2:H274),$H$2:$H$1001,0),1)&gt;=100000,INDEX($O$1005:$Q$1005,1,MATCH(COLUMNS($O$1006:O1006),$O$1006:$Q$1006,0))&gt;=100000), " ",IF(INDEX($O$2:$Q$1001,MATCH(ROWS($H$2:H274),$H$2:$H$1001,0),MATCH(COLUMNS($O$1006:O1006),$O$1006:$Q$1006,0)), HYPERLINK("#",""), HYPERLINK(CONCATENATE("#metadata!", ADDRESS(INDEX($J$2:$J$1001,MATCH(ROWS($H$2:H274),$H$2:$H$1001,0),0), INDEX($O$1004:$Q$1004,1,MATCH(COLUMNS($O$1006:O1006),$O$1006:$Q$1006,0)))),"Fix")))</f>
        <v xml:space="preserve"> </v>
      </c>
      <c r="C274" s="3" t="str">
        <f ca="1">IF(OR(INDEX($I$2:$I$1001,MATCH(ROWS($H$2:H274),$H$2:$H$1001,0),1)&gt;=100000,INDEX($O$1005:$Q$1005,1,MATCH(COLUMNS($O$1006:P1006),$O$1006:$Q$1006,0))&gt;=100000), " ",IF(INDEX($O$2:$Q$1001,MATCH(ROWS($H$2:H274),$H$2:$H$1001,0),MATCH(COLUMNS($O$1006:P1006),$O$1006:$Q$1006,0)), HYPERLINK("#",""), HYPERLINK(CONCATENATE("#metadata!", ADDRESS(INDEX($J$2:$J$1001,MATCH(ROWS($H$2:H274),$H$2:$H$1001,0),0), INDEX($O$1004:$Q$1004,1,MATCH(COLUMNS($O$1006:P1006),$O$1006:$Q$1006,0)))),"Fix")))</f>
        <v xml:space="preserve"> </v>
      </c>
      <c r="D274" s="3" t="str">
        <f ca="1">IF(OR(INDEX($I$2:$I$1001,MATCH(ROWS($H$2:H274),$H$2:$H$1001,0),1)&gt;=100000,INDEX($O$1005:$Q$1005,1,MATCH(COLUMNS($O$1006:Q1006),$O$1006:$Q$1006,0))&gt;=100000), " ",IF(INDEX($O$2:$Q$1001,MATCH(ROWS($H$2:H274),$H$2:$H$1001,0),MATCH(COLUMNS($O$1006:Q1006),$O$1006:$Q$1006,0)), HYPERLINK("#",""), HYPERLINK(CONCATENATE("#metadata!", ADDRESS(INDEX($J$2:$J$1001,MATCH(ROWS($H$2:H274),$H$2:$H$1001,0),0), INDEX($O$1004:$Q$1004,1,MATCH(COLUMNS($O$1006:Q1006),$O$1006:$Q$1006,0)))),"Fix")))</f>
        <v xml:space="preserve"> </v>
      </c>
      <c r="H274">
        <v>273</v>
      </c>
      <c r="I274">
        <v>100274</v>
      </c>
      <c r="J274">
        <v>274</v>
      </c>
      <c r="K274" t="b">
        <f t="shared" si="4"/>
        <v>1</v>
      </c>
      <c r="L274" t="b">
        <f>COUNTBLANK(metadata!B274:D274)=COLUMNS(metadata!B274:D274)</f>
        <v>1</v>
      </c>
      <c r="M274" t="str">
        <v/>
      </c>
      <c r="O274" t="b">
        <f ca="1"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P274" t="b">
        <f>AND(IF(metadata!C274="",FALSE,TRUE),EXACT(metadata!C274,"mouse gut metagenome"))</f>
        <v>0</v>
      </c>
      <c r="Q274" t="b">
        <f>AND(IF(metadata!D274="",FALSE,TRUE),EXACT(metadata!D274,"410661"))</f>
        <v>0</v>
      </c>
    </row>
    <row r="275" spans="1:17" x14ac:dyDescent="0.2">
      <c r="A275" s="4" t="str">
        <f ca="1">IF(B275=" "," ",HYPERLINK(CONCATENATE("#metadata!",ADDRESS(INDEX($J$2:$J$1001,MATCH(ROWS($H$2:H275),$H$2:$H$1001,0),0),1)),INDEX($M$2:$M$1001,MATCH(ROWS($H$2:H275),$H$2:$H$1001,0),0)))</f>
        <v xml:space="preserve"> </v>
      </c>
      <c r="B275" s="3" t="str">
        <f ca="1">IF(OR(INDEX($I$2:$I$1001,MATCH(ROWS($H$2:H275),$H$2:$H$1001,0),1)&gt;=100000,INDEX($O$1005:$Q$1005,1,MATCH(COLUMNS($O$1006:O1006),$O$1006:$Q$1006,0))&gt;=100000), " ",IF(INDEX($O$2:$Q$1001,MATCH(ROWS($H$2:H275),$H$2:$H$1001,0),MATCH(COLUMNS($O$1006:O1006),$O$1006:$Q$1006,0)), HYPERLINK("#",""), HYPERLINK(CONCATENATE("#metadata!", ADDRESS(INDEX($J$2:$J$1001,MATCH(ROWS($H$2:H275),$H$2:$H$1001,0),0), INDEX($O$1004:$Q$1004,1,MATCH(COLUMNS($O$1006:O1006),$O$1006:$Q$1006,0)))),"Fix")))</f>
        <v xml:space="preserve"> </v>
      </c>
      <c r="C275" s="3" t="str">
        <f ca="1">IF(OR(INDEX($I$2:$I$1001,MATCH(ROWS($H$2:H275),$H$2:$H$1001,0),1)&gt;=100000,INDEX($O$1005:$Q$1005,1,MATCH(COLUMNS($O$1006:P1006),$O$1006:$Q$1006,0))&gt;=100000), " ",IF(INDEX($O$2:$Q$1001,MATCH(ROWS($H$2:H275),$H$2:$H$1001,0),MATCH(COLUMNS($O$1006:P1006),$O$1006:$Q$1006,0)), HYPERLINK("#",""), HYPERLINK(CONCATENATE("#metadata!", ADDRESS(INDEX($J$2:$J$1001,MATCH(ROWS($H$2:H275),$H$2:$H$1001,0),0), INDEX($O$1004:$Q$1004,1,MATCH(COLUMNS($O$1006:P1006),$O$1006:$Q$1006,0)))),"Fix")))</f>
        <v xml:space="preserve"> </v>
      </c>
      <c r="D275" s="3" t="str">
        <f ca="1">IF(OR(INDEX($I$2:$I$1001,MATCH(ROWS($H$2:H275),$H$2:$H$1001,0),1)&gt;=100000,INDEX($O$1005:$Q$1005,1,MATCH(COLUMNS($O$1006:Q1006),$O$1006:$Q$1006,0))&gt;=100000), " ",IF(INDEX($O$2:$Q$1001,MATCH(ROWS($H$2:H275),$H$2:$H$1001,0),MATCH(COLUMNS($O$1006:Q1006),$O$1006:$Q$1006,0)), HYPERLINK("#",""), HYPERLINK(CONCATENATE("#metadata!", ADDRESS(INDEX($J$2:$J$1001,MATCH(ROWS($H$2:H275),$H$2:$H$1001,0),0), INDEX($O$1004:$Q$1004,1,MATCH(COLUMNS($O$1006:Q1006),$O$1006:$Q$1006,0)))),"Fix")))</f>
        <v xml:space="preserve"> </v>
      </c>
      <c r="H275">
        <v>274</v>
      </c>
      <c r="I275">
        <v>100275</v>
      </c>
      <c r="J275">
        <v>275</v>
      </c>
      <c r="K275" t="b">
        <f t="shared" si="4"/>
        <v>1</v>
      </c>
      <c r="L275" t="b">
        <f>COUNTBLANK(metadata!B275:D275)=COLUMNS(metadata!B275:D275)</f>
        <v>1</v>
      </c>
      <c r="M275" t="str">
        <v/>
      </c>
      <c r="O275" t="b">
        <f ca="1"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P275" t="b">
        <f>AND(IF(metadata!C275="",FALSE,TRUE),EXACT(metadata!C275,"mouse gut metagenome"))</f>
        <v>0</v>
      </c>
      <c r="Q275" t="b">
        <f>AND(IF(metadata!D275="",FALSE,TRUE),EXACT(metadata!D275,"410661"))</f>
        <v>0</v>
      </c>
    </row>
    <row r="276" spans="1:17" x14ac:dyDescent="0.2">
      <c r="A276" s="4" t="str">
        <f ca="1">IF(B276=" "," ",HYPERLINK(CONCATENATE("#metadata!",ADDRESS(INDEX($J$2:$J$1001,MATCH(ROWS($H$2:H276),$H$2:$H$1001,0),0),1)),INDEX($M$2:$M$1001,MATCH(ROWS($H$2:H276),$H$2:$H$1001,0),0)))</f>
        <v xml:space="preserve"> </v>
      </c>
      <c r="B276" s="3" t="str">
        <f ca="1">IF(OR(INDEX($I$2:$I$1001,MATCH(ROWS($H$2:H276),$H$2:$H$1001,0),1)&gt;=100000,INDEX($O$1005:$Q$1005,1,MATCH(COLUMNS($O$1006:O1006),$O$1006:$Q$1006,0))&gt;=100000), " ",IF(INDEX($O$2:$Q$1001,MATCH(ROWS($H$2:H276),$H$2:$H$1001,0),MATCH(COLUMNS($O$1006:O1006),$O$1006:$Q$1006,0)), HYPERLINK("#",""), HYPERLINK(CONCATENATE("#metadata!", ADDRESS(INDEX($J$2:$J$1001,MATCH(ROWS($H$2:H276),$H$2:$H$1001,0),0), INDEX($O$1004:$Q$1004,1,MATCH(COLUMNS($O$1006:O1006),$O$1006:$Q$1006,0)))),"Fix")))</f>
        <v xml:space="preserve"> </v>
      </c>
      <c r="C276" s="3" t="str">
        <f ca="1">IF(OR(INDEX($I$2:$I$1001,MATCH(ROWS($H$2:H276),$H$2:$H$1001,0),1)&gt;=100000,INDEX($O$1005:$Q$1005,1,MATCH(COLUMNS($O$1006:P1006),$O$1006:$Q$1006,0))&gt;=100000), " ",IF(INDEX($O$2:$Q$1001,MATCH(ROWS($H$2:H276),$H$2:$H$1001,0),MATCH(COLUMNS($O$1006:P1006),$O$1006:$Q$1006,0)), HYPERLINK("#",""), HYPERLINK(CONCATENATE("#metadata!", ADDRESS(INDEX($J$2:$J$1001,MATCH(ROWS($H$2:H276),$H$2:$H$1001,0),0), INDEX($O$1004:$Q$1004,1,MATCH(COLUMNS($O$1006:P1006),$O$1006:$Q$1006,0)))),"Fix")))</f>
        <v xml:space="preserve"> </v>
      </c>
      <c r="D276" s="3" t="str">
        <f ca="1">IF(OR(INDEX($I$2:$I$1001,MATCH(ROWS($H$2:H276),$H$2:$H$1001,0),1)&gt;=100000,INDEX($O$1005:$Q$1005,1,MATCH(COLUMNS($O$1006:Q1006),$O$1006:$Q$1006,0))&gt;=100000), " ",IF(INDEX($O$2:$Q$1001,MATCH(ROWS($H$2:H276),$H$2:$H$1001,0),MATCH(COLUMNS($O$1006:Q1006),$O$1006:$Q$1006,0)), HYPERLINK("#",""), HYPERLINK(CONCATENATE("#metadata!", ADDRESS(INDEX($J$2:$J$1001,MATCH(ROWS($H$2:H276),$H$2:$H$1001,0),0), INDEX($O$1004:$Q$1004,1,MATCH(COLUMNS($O$1006:Q1006),$O$1006:$Q$1006,0)))),"Fix")))</f>
        <v xml:space="preserve"> </v>
      </c>
      <c r="H276">
        <v>275</v>
      </c>
      <c r="I276">
        <v>100276</v>
      </c>
      <c r="J276">
        <v>276</v>
      </c>
      <c r="K276" t="b">
        <f t="shared" si="4"/>
        <v>1</v>
      </c>
      <c r="L276" t="b">
        <f>COUNTBLANK(metadata!B276:D276)=COLUMNS(metadata!B276:D276)</f>
        <v>1</v>
      </c>
      <c r="M276" t="str">
        <v/>
      </c>
      <c r="O276" t="b">
        <f ca="1"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P276" t="b">
        <f>AND(IF(metadata!C276="",FALSE,TRUE),EXACT(metadata!C276,"mouse gut metagenome"))</f>
        <v>0</v>
      </c>
      <c r="Q276" t="b">
        <f>AND(IF(metadata!D276="",FALSE,TRUE),EXACT(metadata!D276,"410661"))</f>
        <v>0</v>
      </c>
    </row>
    <row r="277" spans="1:17" x14ac:dyDescent="0.2">
      <c r="A277" s="4" t="str">
        <f ca="1">IF(B277=" "," ",HYPERLINK(CONCATENATE("#metadata!",ADDRESS(INDEX($J$2:$J$1001,MATCH(ROWS($H$2:H277),$H$2:$H$1001,0),0),1)),INDEX($M$2:$M$1001,MATCH(ROWS($H$2:H277),$H$2:$H$1001,0),0)))</f>
        <v xml:space="preserve"> </v>
      </c>
      <c r="B277" s="3" t="str">
        <f ca="1">IF(OR(INDEX($I$2:$I$1001,MATCH(ROWS($H$2:H277),$H$2:$H$1001,0),1)&gt;=100000,INDEX($O$1005:$Q$1005,1,MATCH(COLUMNS($O$1006:O1006),$O$1006:$Q$1006,0))&gt;=100000), " ",IF(INDEX($O$2:$Q$1001,MATCH(ROWS($H$2:H277),$H$2:$H$1001,0),MATCH(COLUMNS($O$1006:O1006),$O$1006:$Q$1006,0)), HYPERLINK("#",""), HYPERLINK(CONCATENATE("#metadata!", ADDRESS(INDEX($J$2:$J$1001,MATCH(ROWS($H$2:H277),$H$2:$H$1001,0),0), INDEX($O$1004:$Q$1004,1,MATCH(COLUMNS($O$1006:O1006),$O$1006:$Q$1006,0)))),"Fix")))</f>
        <v xml:space="preserve"> </v>
      </c>
      <c r="C277" s="3" t="str">
        <f ca="1">IF(OR(INDEX($I$2:$I$1001,MATCH(ROWS($H$2:H277),$H$2:$H$1001,0),1)&gt;=100000,INDEX($O$1005:$Q$1005,1,MATCH(COLUMNS($O$1006:P1006),$O$1006:$Q$1006,0))&gt;=100000), " ",IF(INDEX($O$2:$Q$1001,MATCH(ROWS($H$2:H277),$H$2:$H$1001,0),MATCH(COLUMNS($O$1006:P1006),$O$1006:$Q$1006,0)), HYPERLINK("#",""), HYPERLINK(CONCATENATE("#metadata!", ADDRESS(INDEX($J$2:$J$1001,MATCH(ROWS($H$2:H277),$H$2:$H$1001,0),0), INDEX($O$1004:$Q$1004,1,MATCH(COLUMNS($O$1006:P1006),$O$1006:$Q$1006,0)))),"Fix")))</f>
        <v xml:space="preserve"> </v>
      </c>
      <c r="D277" s="3" t="str">
        <f ca="1">IF(OR(INDEX($I$2:$I$1001,MATCH(ROWS($H$2:H277),$H$2:$H$1001,0),1)&gt;=100000,INDEX($O$1005:$Q$1005,1,MATCH(COLUMNS($O$1006:Q1006),$O$1006:$Q$1006,0))&gt;=100000), " ",IF(INDEX($O$2:$Q$1001,MATCH(ROWS($H$2:H277),$H$2:$H$1001,0),MATCH(COLUMNS($O$1006:Q1006),$O$1006:$Q$1006,0)), HYPERLINK("#",""), HYPERLINK(CONCATENATE("#metadata!", ADDRESS(INDEX($J$2:$J$1001,MATCH(ROWS($H$2:H277),$H$2:$H$1001,0),0), INDEX($O$1004:$Q$1004,1,MATCH(COLUMNS($O$1006:Q1006),$O$1006:$Q$1006,0)))),"Fix")))</f>
        <v xml:space="preserve"> </v>
      </c>
      <c r="H277">
        <v>276</v>
      </c>
      <c r="I277">
        <v>100277</v>
      </c>
      <c r="J277">
        <v>277</v>
      </c>
      <c r="K277" t="b">
        <f t="shared" si="4"/>
        <v>1</v>
      </c>
      <c r="L277" t="b">
        <f>COUNTBLANK(metadata!B277:D277)=COLUMNS(metadata!B277:D277)</f>
        <v>1</v>
      </c>
      <c r="M277" t="str">
        <v/>
      </c>
      <c r="O277" t="b">
        <f ca="1"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P277" t="b">
        <f>AND(IF(metadata!C277="",FALSE,TRUE),EXACT(metadata!C277,"mouse gut metagenome"))</f>
        <v>0</v>
      </c>
      <c r="Q277" t="b">
        <f>AND(IF(metadata!D277="",FALSE,TRUE),EXACT(metadata!D277,"410661"))</f>
        <v>0</v>
      </c>
    </row>
    <row r="278" spans="1:17" x14ac:dyDescent="0.2">
      <c r="A278" s="4" t="str">
        <f ca="1">IF(B278=" "," ",HYPERLINK(CONCATENATE("#metadata!",ADDRESS(INDEX($J$2:$J$1001,MATCH(ROWS($H$2:H278),$H$2:$H$1001,0),0),1)),INDEX($M$2:$M$1001,MATCH(ROWS($H$2:H278),$H$2:$H$1001,0),0)))</f>
        <v xml:space="preserve"> </v>
      </c>
      <c r="B278" s="3" t="str">
        <f ca="1">IF(OR(INDEX($I$2:$I$1001,MATCH(ROWS($H$2:H278),$H$2:$H$1001,0),1)&gt;=100000,INDEX($O$1005:$Q$1005,1,MATCH(COLUMNS($O$1006:O1006),$O$1006:$Q$1006,0))&gt;=100000), " ",IF(INDEX($O$2:$Q$1001,MATCH(ROWS($H$2:H278),$H$2:$H$1001,0),MATCH(COLUMNS($O$1006:O1006),$O$1006:$Q$1006,0)), HYPERLINK("#",""), HYPERLINK(CONCATENATE("#metadata!", ADDRESS(INDEX($J$2:$J$1001,MATCH(ROWS($H$2:H278),$H$2:$H$1001,0),0), INDEX($O$1004:$Q$1004,1,MATCH(COLUMNS($O$1006:O1006),$O$1006:$Q$1006,0)))),"Fix")))</f>
        <v xml:space="preserve"> </v>
      </c>
      <c r="C278" s="3" t="str">
        <f ca="1">IF(OR(INDEX($I$2:$I$1001,MATCH(ROWS($H$2:H278),$H$2:$H$1001,0),1)&gt;=100000,INDEX($O$1005:$Q$1005,1,MATCH(COLUMNS($O$1006:P1006),$O$1006:$Q$1006,0))&gt;=100000), " ",IF(INDEX($O$2:$Q$1001,MATCH(ROWS($H$2:H278),$H$2:$H$1001,0),MATCH(COLUMNS($O$1006:P1006),$O$1006:$Q$1006,0)), HYPERLINK("#",""), HYPERLINK(CONCATENATE("#metadata!", ADDRESS(INDEX($J$2:$J$1001,MATCH(ROWS($H$2:H278),$H$2:$H$1001,0),0), INDEX($O$1004:$Q$1004,1,MATCH(COLUMNS($O$1006:P1006),$O$1006:$Q$1006,0)))),"Fix")))</f>
        <v xml:space="preserve"> </v>
      </c>
      <c r="D278" s="3" t="str">
        <f ca="1">IF(OR(INDEX($I$2:$I$1001,MATCH(ROWS($H$2:H278),$H$2:$H$1001,0),1)&gt;=100000,INDEX($O$1005:$Q$1005,1,MATCH(COLUMNS($O$1006:Q1006),$O$1006:$Q$1006,0))&gt;=100000), " ",IF(INDEX($O$2:$Q$1001,MATCH(ROWS($H$2:H278),$H$2:$H$1001,0),MATCH(COLUMNS($O$1006:Q1006),$O$1006:$Q$1006,0)), HYPERLINK("#",""), HYPERLINK(CONCATENATE("#metadata!", ADDRESS(INDEX($J$2:$J$1001,MATCH(ROWS($H$2:H278),$H$2:$H$1001,0),0), INDEX($O$1004:$Q$1004,1,MATCH(COLUMNS($O$1006:Q1006),$O$1006:$Q$1006,0)))),"Fix")))</f>
        <v xml:space="preserve"> </v>
      </c>
      <c r="H278">
        <v>277</v>
      </c>
      <c r="I278">
        <v>100278</v>
      </c>
      <c r="J278">
        <v>278</v>
      </c>
      <c r="K278" t="b">
        <f t="shared" si="4"/>
        <v>1</v>
      </c>
      <c r="L278" t="b">
        <f>COUNTBLANK(metadata!B278:D278)=COLUMNS(metadata!B278:D278)</f>
        <v>1</v>
      </c>
      <c r="M278" t="str">
        <v/>
      </c>
      <c r="O278" t="b">
        <f ca="1"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P278" t="b">
        <f>AND(IF(metadata!C278="",FALSE,TRUE),EXACT(metadata!C278,"mouse gut metagenome"))</f>
        <v>0</v>
      </c>
      <c r="Q278" t="b">
        <f>AND(IF(metadata!D278="",FALSE,TRUE),EXACT(metadata!D278,"410661"))</f>
        <v>0</v>
      </c>
    </row>
    <row r="279" spans="1:17" x14ac:dyDescent="0.2">
      <c r="A279" s="4" t="str">
        <f ca="1">IF(B279=" "," ",HYPERLINK(CONCATENATE("#metadata!",ADDRESS(INDEX($J$2:$J$1001,MATCH(ROWS($H$2:H279),$H$2:$H$1001,0),0),1)),INDEX($M$2:$M$1001,MATCH(ROWS($H$2:H279),$H$2:$H$1001,0),0)))</f>
        <v xml:space="preserve"> </v>
      </c>
      <c r="B279" s="3" t="str">
        <f ca="1">IF(OR(INDEX($I$2:$I$1001,MATCH(ROWS($H$2:H279),$H$2:$H$1001,0),1)&gt;=100000,INDEX($O$1005:$Q$1005,1,MATCH(COLUMNS($O$1006:O1006),$O$1006:$Q$1006,0))&gt;=100000), " ",IF(INDEX($O$2:$Q$1001,MATCH(ROWS($H$2:H279),$H$2:$H$1001,0),MATCH(COLUMNS($O$1006:O1006),$O$1006:$Q$1006,0)), HYPERLINK("#",""), HYPERLINK(CONCATENATE("#metadata!", ADDRESS(INDEX($J$2:$J$1001,MATCH(ROWS($H$2:H279),$H$2:$H$1001,0),0), INDEX($O$1004:$Q$1004,1,MATCH(COLUMNS($O$1006:O1006),$O$1006:$Q$1006,0)))),"Fix")))</f>
        <v xml:space="preserve"> </v>
      </c>
      <c r="C279" s="3" t="str">
        <f ca="1">IF(OR(INDEX($I$2:$I$1001,MATCH(ROWS($H$2:H279),$H$2:$H$1001,0),1)&gt;=100000,INDEX($O$1005:$Q$1005,1,MATCH(COLUMNS($O$1006:P1006),$O$1006:$Q$1006,0))&gt;=100000), " ",IF(INDEX($O$2:$Q$1001,MATCH(ROWS($H$2:H279),$H$2:$H$1001,0),MATCH(COLUMNS($O$1006:P1006),$O$1006:$Q$1006,0)), HYPERLINK("#",""), HYPERLINK(CONCATENATE("#metadata!", ADDRESS(INDEX($J$2:$J$1001,MATCH(ROWS($H$2:H279),$H$2:$H$1001,0),0), INDEX($O$1004:$Q$1004,1,MATCH(COLUMNS($O$1006:P1006),$O$1006:$Q$1006,0)))),"Fix")))</f>
        <v xml:space="preserve"> </v>
      </c>
      <c r="D279" s="3" t="str">
        <f ca="1">IF(OR(INDEX($I$2:$I$1001,MATCH(ROWS($H$2:H279),$H$2:$H$1001,0),1)&gt;=100000,INDEX($O$1005:$Q$1005,1,MATCH(COLUMNS($O$1006:Q1006),$O$1006:$Q$1006,0))&gt;=100000), " ",IF(INDEX($O$2:$Q$1001,MATCH(ROWS($H$2:H279),$H$2:$H$1001,0),MATCH(COLUMNS($O$1006:Q1006),$O$1006:$Q$1006,0)), HYPERLINK("#",""), HYPERLINK(CONCATENATE("#metadata!", ADDRESS(INDEX($J$2:$J$1001,MATCH(ROWS($H$2:H279),$H$2:$H$1001,0),0), INDEX($O$1004:$Q$1004,1,MATCH(COLUMNS($O$1006:Q1006),$O$1006:$Q$1006,0)))),"Fix")))</f>
        <v xml:space="preserve"> </v>
      </c>
      <c r="H279">
        <v>278</v>
      </c>
      <c r="I279">
        <v>100279</v>
      </c>
      <c r="J279">
        <v>279</v>
      </c>
      <c r="K279" t="b">
        <f t="shared" si="4"/>
        <v>1</v>
      </c>
      <c r="L279" t="b">
        <f>COUNTBLANK(metadata!B279:D279)=COLUMNS(metadata!B279:D279)</f>
        <v>1</v>
      </c>
      <c r="M279" t="str">
        <v/>
      </c>
      <c r="O279" t="b">
        <f ca="1"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P279" t="b">
        <f>AND(IF(metadata!C279="",FALSE,TRUE),EXACT(metadata!C279,"mouse gut metagenome"))</f>
        <v>0</v>
      </c>
      <c r="Q279" t="b">
        <f>AND(IF(metadata!D279="",FALSE,TRUE),EXACT(metadata!D279,"410661"))</f>
        <v>0</v>
      </c>
    </row>
    <row r="280" spans="1:17" x14ac:dyDescent="0.2">
      <c r="A280" s="4" t="str">
        <f ca="1">IF(B280=" "," ",HYPERLINK(CONCATENATE("#metadata!",ADDRESS(INDEX($J$2:$J$1001,MATCH(ROWS($H$2:H280),$H$2:$H$1001,0),0),1)),INDEX($M$2:$M$1001,MATCH(ROWS($H$2:H280),$H$2:$H$1001,0),0)))</f>
        <v xml:space="preserve"> </v>
      </c>
      <c r="B280" s="3" t="str">
        <f ca="1">IF(OR(INDEX($I$2:$I$1001,MATCH(ROWS($H$2:H280),$H$2:$H$1001,0),1)&gt;=100000,INDEX($O$1005:$Q$1005,1,MATCH(COLUMNS($O$1006:O1006),$O$1006:$Q$1006,0))&gt;=100000), " ",IF(INDEX($O$2:$Q$1001,MATCH(ROWS($H$2:H280),$H$2:$H$1001,0),MATCH(COLUMNS($O$1006:O1006),$O$1006:$Q$1006,0)), HYPERLINK("#",""), HYPERLINK(CONCATENATE("#metadata!", ADDRESS(INDEX($J$2:$J$1001,MATCH(ROWS($H$2:H280),$H$2:$H$1001,0),0), INDEX($O$1004:$Q$1004,1,MATCH(COLUMNS($O$1006:O1006),$O$1006:$Q$1006,0)))),"Fix")))</f>
        <v xml:space="preserve"> </v>
      </c>
      <c r="C280" s="3" t="str">
        <f ca="1">IF(OR(INDEX($I$2:$I$1001,MATCH(ROWS($H$2:H280),$H$2:$H$1001,0),1)&gt;=100000,INDEX($O$1005:$Q$1005,1,MATCH(COLUMNS($O$1006:P1006),$O$1006:$Q$1006,0))&gt;=100000), " ",IF(INDEX($O$2:$Q$1001,MATCH(ROWS($H$2:H280),$H$2:$H$1001,0),MATCH(COLUMNS($O$1006:P1006),$O$1006:$Q$1006,0)), HYPERLINK("#",""), HYPERLINK(CONCATENATE("#metadata!", ADDRESS(INDEX($J$2:$J$1001,MATCH(ROWS($H$2:H280),$H$2:$H$1001,0),0), INDEX($O$1004:$Q$1004,1,MATCH(COLUMNS($O$1006:P1006),$O$1006:$Q$1006,0)))),"Fix")))</f>
        <v xml:space="preserve"> </v>
      </c>
      <c r="D280" s="3" t="str">
        <f ca="1">IF(OR(INDEX($I$2:$I$1001,MATCH(ROWS($H$2:H280),$H$2:$H$1001,0),1)&gt;=100000,INDEX($O$1005:$Q$1005,1,MATCH(COLUMNS($O$1006:Q1006),$O$1006:$Q$1006,0))&gt;=100000), " ",IF(INDEX($O$2:$Q$1001,MATCH(ROWS($H$2:H280),$H$2:$H$1001,0),MATCH(COLUMNS($O$1006:Q1006),$O$1006:$Q$1006,0)), HYPERLINK("#",""), HYPERLINK(CONCATENATE("#metadata!", ADDRESS(INDEX($J$2:$J$1001,MATCH(ROWS($H$2:H280),$H$2:$H$1001,0),0), INDEX($O$1004:$Q$1004,1,MATCH(COLUMNS($O$1006:Q1006),$O$1006:$Q$1006,0)))),"Fix")))</f>
        <v xml:space="preserve"> </v>
      </c>
      <c r="H280">
        <v>279</v>
      </c>
      <c r="I280">
        <v>100280</v>
      </c>
      <c r="J280">
        <v>280</v>
      </c>
      <c r="K280" t="b">
        <f t="shared" si="4"/>
        <v>1</v>
      </c>
      <c r="L280" t="b">
        <f>COUNTBLANK(metadata!B280:D280)=COLUMNS(metadata!B280:D280)</f>
        <v>1</v>
      </c>
      <c r="M280" t="str">
        <v/>
      </c>
      <c r="O280" t="b">
        <f ca="1"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P280" t="b">
        <f>AND(IF(metadata!C280="",FALSE,TRUE),EXACT(metadata!C280,"mouse gut metagenome"))</f>
        <v>0</v>
      </c>
      <c r="Q280" t="b">
        <f>AND(IF(metadata!D280="",FALSE,TRUE),EXACT(metadata!D280,"410661"))</f>
        <v>0</v>
      </c>
    </row>
    <row r="281" spans="1:17" x14ac:dyDescent="0.2">
      <c r="A281" s="4" t="str">
        <f ca="1">IF(B281=" "," ",HYPERLINK(CONCATENATE("#metadata!",ADDRESS(INDEX($J$2:$J$1001,MATCH(ROWS($H$2:H281),$H$2:$H$1001,0),0),1)),INDEX($M$2:$M$1001,MATCH(ROWS($H$2:H281),$H$2:$H$1001,0),0)))</f>
        <v xml:space="preserve"> </v>
      </c>
      <c r="B281" s="3" t="str">
        <f ca="1">IF(OR(INDEX($I$2:$I$1001,MATCH(ROWS($H$2:H281),$H$2:$H$1001,0),1)&gt;=100000,INDEX($O$1005:$Q$1005,1,MATCH(COLUMNS($O$1006:O1006),$O$1006:$Q$1006,0))&gt;=100000), " ",IF(INDEX($O$2:$Q$1001,MATCH(ROWS($H$2:H281),$H$2:$H$1001,0),MATCH(COLUMNS($O$1006:O1006),$O$1006:$Q$1006,0)), HYPERLINK("#",""), HYPERLINK(CONCATENATE("#metadata!", ADDRESS(INDEX($J$2:$J$1001,MATCH(ROWS($H$2:H281),$H$2:$H$1001,0),0), INDEX($O$1004:$Q$1004,1,MATCH(COLUMNS($O$1006:O1006),$O$1006:$Q$1006,0)))),"Fix")))</f>
        <v xml:space="preserve"> </v>
      </c>
      <c r="C281" s="3" t="str">
        <f ca="1">IF(OR(INDEX($I$2:$I$1001,MATCH(ROWS($H$2:H281),$H$2:$H$1001,0),1)&gt;=100000,INDEX($O$1005:$Q$1005,1,MATCH(COLUMNS($O$1006:P1006),$O$1006:$Q$1006,0))&gt;=100000), " ",IF(INDEX($O$2:$Q$1001,MATCH(ROWS($H$2:H281),$H$2:$H$1001,0),MATCH(COLUMNS($O$1006:P1006),$O$1006:$Q$1006,0)), HYPERLINK("#",""), HYPERLINK(CONCATENATE("#metadata!", ADDRESS(INDEX($J$2:$J$1001,MATCH(ROWS($H$2:H281),$H$2:$H$1001,0),0), INDEX($O$1004:$Q$1004,1,MATCH(COLUMNS($O$1006:P1006),$O$1006:$Q$1006,0)))),"Fix")))</f>
        <v xml:space="preserve"> </v>
      </c>
      <c r="D281" s="3" t="str">
        <f ca="1">IF(OR(INDEX($I$2:$I$1001,MATCH(ROWS($H$2:H281),$H$2:$H$1001,0),1)&gt;=100000,INDEX($O$1005:$Q$1005,1,MATCH(COLUMNS($O$1006:Q1006),$O$1006:$Q$1006,0))&gt;=100000), " ",IF(INDEX($O$2:$Q$1001,MATCH(ROWS($H$2:H281),$H$2:$H$1001,0),MATCH(COLUMNS($O$1006:Q1006),$O$1006:$Q$1006,0)), HYPERLINK("#",""), HYPERLINK(CONCATENATE("#metadata!", ADDRESS(INDEX($J$2:$J$1001,MATCH(ROWS($H$2:H281),$H$2:$H$1001,0),0), INDEX($O$1004:$Q$1004,1,MATCH(COLUMNS($O$1006:Q1006),$O$1006:$Q$1006,0)))),"Fix")))</f>
        <v xml:space="preserve"> </v>
      </c>
      <c r="H281">
        <v>280</v>
      </c>
      <c r="I281">
        <v>100281</v>
      </c>
      <c r="J281">
        <v>281</v>
      </c>
      <c r="K281" t="b">
        <f t="shared" si="4"/>
        <v>1</v>
      </c>
      <c r="L281" t="b">
        <f>COUNTBLANK(metadata!B281:D281)=COLUMNS(metadata!B281:D281)</f>
        <v>1</v>
      </c>
      <c r="M281" t="str">
        <v/>
      </c>
      <c r="O281" t="b">
        <f ca="1"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P281" t="b">
        <f>AND(IF(metadata!C281="",FALSE,TRUE),EXACT(metadata!C281,"mouse gut metagenome"))</f>
        <v>0</v>
      </c>
      <c r="Q281" t="b">
        <f>AND(IF(metadata!D281="",FALSE,TRUE),EXACT(metadata!D281,"410661"))</f>
        <v>0</v>
      </c>
    </row>
    <row r="282" spans="1:17" x14ac:dyDescent="0.2">
      <c r="A282" s="4" t="str">
        <f ca="1">IF(B282=" "," ",HYPERLINK(CONCATENATE("#metadata!",ADDRESS(INDEX($J$2:$J$1001,MATCH(ROWS($H$2:H282),$H$2:$H$1001,0),0),1)),INDEX($M$2:$M$1001,MATCH(ROWS($H$2:H282),$H$2:$H$1001,0),0)))</f>
        <v xml:space="preserve"> </v>
      </c>
      <c r="B282" s="3" t="str">
        <f ca="1">IF(OR(INDEX($I$2:$I$1001,MATCH(ROWS($H$2:H282),$H$2:$H$1001,0),1)&gt;=100000,INDEX($O$1005:$Q$1005,1,MATCH(COLUMNS($O$1006:O1006),$O$1006:$Q$1006,0))&gt;=100000), " ",IF(INDEX($O$2:$Q$1001,MATCH(ROWS($H$2:H282),$H$2:$H$1001,0),MATCH(COLUMNS($O$1006:O1006),$O$1006:$Q$1006,0)), HYPERLINK("#",""), HYPERLINK(CONCATENATE("#metadata!", ADDRESS(INDEX($J$2:$J$1001,MATCH(ROWS($H$2:H282),$H$2:$H$1001,0),0), INDEX($O$1004:$Q$1004,1,MATCH(COLUMNS($O$1006:O1006),$O$1006:$Q$1006,0)))),"Fix")))</f>
        <v xml:space="preserve"> </v>
      </c>
      <c r="C282" s="3" t="str">
        <f ca="1">IF(OR(INDEX($I$2:$I$1001,MATCH(ROWS($H$2:H282),$H$2:$H$1001,0),1)&gt;=100000,INDEX($O$1005:$Q$1005,1,MATCH(COLUMNS($O$1006:P1006),$O$1006:$Q$1006,0))&gt;=100000), " ",IF(INDEX($O$2:$Q$1001,MATCH(ROWS($H$2:H282),$H$2:$H$1001,0),MATCH(COLUMNS($O$1006:P1006),$O$1006:$Q$1006,0)), HYPERLINK("#",""), HYPERLINK(CONCATENATE("#metadata!", ADDRESS(INDEX($J$2:$J$1001,MATCH(ROWS($H$2:H282),$H$2:$H$1001,0),0), INDEX($O$1004:$Q$1004,1,MATCH(COLUMNS($O$1006:P1006),$O$1006:$Q$1006,0)))),"Fix")))</f>
        <v xml:space="preserve"> </v>
      </c>
      <c r="D282" s="3" t="str">
        <f ca="1">IF(OR(INDEX($I$2:$I$1001,MATCH(ROWS($H$2:H282),$H$2:$H$1001,0),1)&gt;=100000,INDEX($O$1005:$Q$1005,1,MATCH(COLUMNS($O$1006:Q1006),$O$1006:$Q$1006,0))&gt;=100000), " ",IF(INDEX($O$2:$Q$1001,MATCH(ROWS($H$2:H282),$H$2:$H$1001,0),MATCH(COLUMNS($O$1006:Q1006),$O$1006:$Q$1006,0)), HYPERLINK("#",""), HYPERLINK(CONCATENATE("#metadata!", ADDRESS(INDEX($J$2:$J$1001,MATCH(ROWS($H$2:H282),$H$2:$H$1001,0),0), INDEX($O$1004:$Q$1004,1,MATCH(COLUMNS($O$1006:Q1006),$O$1006:$Q$1006,0)))),"Fix")))</f>
        <v xml:space="preserve"> </v>
      </c>
      <c r="H282">
        <v>281</v>
      </c>
      <c r="I282">
        <v>100282</v>
      </c>
      <c r="J282">
        <v>282</v>
      </c>
      <c r="K282" t="b">
        <f t="shared" si="4"/>
        <v>1</v>
      </c>
      <c r="L282" t="b">
        <f>COUNTBLANK(metadata!B282:D282)=COLUMNS(metadata!B282:D282)</f>
        <v>1</v>
      </c>
      <c r="M282" t="str">
        <v/>
      </c>
      <c r="O282" t="b">
        <f ca="1"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P282" t="b">
        <f>AND(IF(metadata!C282="",FALSE,TRUE),EXACT(metadata!C282,"mouse gut metagenome"))</f>
        <v>0</v>
      </c>
      <c r="Q282" t="b">
        <f>AND(IF(metadata!D282="",FALSE,TRUE),EXACT(metadata!D282,"410661"))</f>
        <v>0</v>
      </c>
    </row>
    <row r="283" spans="1:17" x14ac:dyDescent="0.2">
      <c r="A283" s="4" t="str">
        <f ca="1">IF(B283=" "," ",HYPERLINK(CONCATENATE("#metadata!",ADDRESS(INDEX($J$2:$J$1001,MATCH(ROWS($H$2:H283),$H$2:$H$1001,0),0),1)),INDEX($M$2:$M$1001,MATCH(ROWS($H$2:H283),$H$2:$H$1001,0),0)))</f>
        <v xml:space="preserve"> </v>
      </c>
      <c r="B283" s="3" t="str">
        <f ca="1">IF(OR(INDEX($I$2:$I$1001,MATCH(ROWS($H$2:H283),$H$2:$H$1001,0),1)&gt;=100000,INDEX($O$1005:$Q$1005,1,MATCH(COLUMNS($O$1006:O1006),$O$1006:$Q$1006,0))&gt;=100000), " ",IF(INDEX($O$2:$Q$1001,MATCH(ROWS($H$2:H283),$H$2:$H$1001,0),MATCH(COLUMNS($O$1006:O1006),$O$1006:$Q$1006,0)), HYPERLINK("#",""), HYPERLINK(CONCATENATE("#metadata!", ADDRESS(INDEX($J$2:$J$1001,MATCH(ROWS($H$2:H283),$H$2:$H$1001,0),0), INDEX($O$1004:$Q$1004,1,MATCH(COLUMNS($O$1006:O1006),$O$1006:$Q$1006,0)))),"Fix")))</f>
        <v xml:space="preserve"> </v>
      </c>
      <c r="C283" s="3" t="str">
        <f ca="1">IF(OR(INDEX($I$2:$I$1001,MATCH(ROWS($H$2:H283),$H$2:$H$1001,0),1)&gt;=100000,INDEX($O$1005:$Q$1005,1,MATCH(COLUMNS($O$1006:P1006),$O$1006:$Q$1006,0))&gt;=100000), " ",IF(INDEX($O$2:$Q$1001,MATCH(ROWS($H$2:H283),$H$2:$H$1001,0),MATCH(COLUMNS($O$1006:P1006),$O$1006:$Q$1006,0)), HYPERLINK("#",""), HYPERLINK(CONCATENATE("#metadata!", ADDRESS(INDEX($J$2:$J$1001,MATCH(ROWS($H$2:H283),$H$2:$H$1001,0),0), INDEX($O$1004:$Q$1004,1,MATCH(COLUMNS($O$1006:P1006),$O$1006:$Q$1006,0)))),"Fix")))</f>
        <v xml:space="preserve"> </v>
      </c>
      <c r="D283" s="3" t="str">
        <f ca="1">IF(OR(INDEX($I$2:$I$1001,MATCH(ROWS($H$2:H283),$H$2:$H$1001,0),1)&gt;=100000,INDEX($O$1005:$Q$1005,1,MATCH(COLUMNS($O$1006:Q1006),$O$1006:$Q$1006,0))&gt;=100000), " ",IF(INDEX($O$2:$Q$1001,MATCH(ROWS($H$2:H283),$H$2:$H$1001,0),MATCH(COLUMNS($O$1006:Q1006),$O$1006:$Q$1006,0)), HYPERLINK("#",""), HYPERLINK(CONCATENATE("#metadata!", ADDRESS(INDEX($J$2:$J$1001,MATCH(ROWS($H$2:H283),$H$2:$H$1001,0),0), INDEX($O$1004:$Q$1004,1,MATCH(COLUMNS($O$1006:Q1006),$O$1006:$Q$1006,0)))),"Fix")))</f>
        <v xml:space="preserve"> </v>
      </c>
      <c r="H283">
        <v>282</v>
      </c>
      <c r="I283">
        <v>100283</v>
      </c>
      <c r="J283">
        <v>283</v>
      </c>
      <c r="K283" t="b">
        <f t="shared" si="4"/>
        <v>1</v>
      </c>
      <c r="L283" t="b">
        <f>COUNTBLANK(metadata!B283:D283)=COLUMNS(metadata!B283:D283)</f>
        <v>1</v>
      </c>
      <c r="M283" t="str">
        <v/>
      </c>
      <c r="O283" t="b">
        <f ca="1"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P283" t="b">
        <f>AND(IF(metadata!C283="",FALSE,TRUE),EXACT(metadata!C283,"mouse gut metagenome"))</f>
        <v>0</v>
      </c>
      <c r="Q283" t="b">
        <f>AND(IF(metadata!D283="",FALSE,TRUE),EXACT(metadata!D283,"410661"))</f>
        <v>0</v>
      </c>
    </row>
    <row r="284" spans="1:17" x14ac:dyDescent="0.2">
      <c r="A284" s="4" t="str">
        <f ca="1">IF(B284=" "," ",HYPERLINK(CONCATENATE("#metadata!",ADDRESS(INDEX($J$2:$J$1001,MATCH(ROWS($H$2:H284),$H$2:$H$1001,0),0),1)),INDEX($M$2:$M$1001,MATCH(ROWS($H$2:H284),$H$2:$H$1001,0),0)))</f>
        <v xml:space="preserve"> </v>
      </c>
      <c r="B284" s="3" t="str">
        <f ca="1">IF(OR(INDEX($I$2:$I$1001,MATCH(ROWS($H$2:H284),$H$2:$H$1001,0),1)&gt;=100000,INDEX($O$1005:$Q$1005,1,MATCH(COLUMNS($O$1006:O1006),$O$1006:$Q$1006,0))&gt;=100000), " ",IF(INDEX($O$2:$Q$1001,MATCH(ROWS($H$2:H284),$H$2:$H$1001,0),MATCH(COLUMNS($O$1006:O1006),$O$1006:$Q$1006,0)), HYPERLINK("#",""), HYPERLINK(CONCATENATE("#metadata!", ADDRESS(INDEX($J$2:$J$1001,MATCH(ROWS($H$2:H284),$H$2:$H$1001,0),0), INDEX($O$1004:$Q$1004,1,MATCH(COLUMNS($O$1006:O1006),$O$1006:$Q$1006,0)))),"Fix")))</f>
        <v xml:space="preserve"> </v>
      </c>
      <c r="C284" s="3" t="str">
        <f ca="1">IF(OR(INDEX($I$2:$I$1001,MATCH(ROWS($H$2:H284),$H$2:$H$1001,0),1)&gt;=100000,INDEX($O$1005:$Q$1005,1,MATCH(COLUMNS($O$1006:P1006),$O$1006:$Q$1006,0))&gt;=100000), " ",IF(INDEX($O$2:$Q$1001,MATCH(ROWS($H$2:H284),$H$2:$H$1001,0),MATCH(COLUMNS($O$1006:P1006),$O$1006:$Q$1006,0)), HYPERLINK("#",""), HYPERLINK(CONCATENATE("#metadata!", ADDRESS(INDEX($J$2:$J$1001,MATCH(ROWS($H$2:H284),$H$2:$H$1001,0),0), INDEX($O$1004:$Q$1004,1,MATCH(COLUMNS($O$1006:P1006),$O$1006:$Q$1006,0)))),"Fix")))</f>
        <v xml:space="preserve"> </v>
      </c>
      <c r="D284" s="3" t="str">
        <f ca="1">IF(OR(INDEX($I$2:$I$1001,MATCH(ROWS($H$2:H284),$H$2:$H$1001,0),1)&gt;=100000,INDEX($O$1005:$Q$1005,1,MATCH(COLUMNS($O$1006:Q1006),$O$1006:$Q$1006,0))&gt;=100000), " ",IF(INDEX($O$2:$Q$1001,MATCH(ROWS($H$2:H284),$H$2:$H$1001,0),MATCH(COLUMNS($O$1006:Q1006),$O$1006:$Q$1006,0)), HYPERLINK("#",""), HYPERLINK(CONCATENATE("#metadata!", ADDRESS(INDEX($J$2:$J$1001,MATCH(ROWS($H$2:H284),$H$2:$H$1001,0),0), INDEX($O$1004:$Q$1004,1,MATCH(COLUMNS($O$1006:Q1006),$O$1006:$Q$1006,0)))),"Fix")))</f>
        <v xml:space="preserve"> </v>
      </c>
      <c r="H284">
        <v>283</v>
      </c>
      <c r="I284">
        <v>100284</v>
      </c>
      <c r="J284">
        <v>284</v>
      </c>
      <c r="K284" t="b">
        <f t="shared" si="4"/>
        <v>1</v>
      </c>
      <c r="L284" t="b">
        <f>COUNTBLANK(metadata!B284:D284)=COLUMNS(metadata!B284:D284)</f>
        <v>1</v>
      </c>
      <c r="M284" t="str">
        <v/>
      </c>
      <c r="O284" t="b">
        <f ca="1"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P284" t="b">
        <f>AND(IF(metadata!C284="",FALSE,TRUE),EXACT(metadata!C284,"mouse gut metagenome"))</f>
        <v>0</v>
      </c>
      <c r="Q284" t="b">
        <f>AND(IF(metadata!D284="",FALSE,TRUE),EXACT(metadata!D284,"410661"))</f>
        <v>0</v>
      </c>
    </row>
    <row r="285" spans="1:17" x14ac:dyDescent="0.2">
      <c r="A285" s="4" t="str">
        <f ca="1">IF(B285=" "," ",HYPERLINK(CONCATENATE("#metadata!",ADDRESS(INDEX($J$2:$J$1001,MATCH(ROWS($H$2:H285),$H$2:$H$1001,0),0),1)),INDEX($M$2:$M$1001,MATCH(ROWS($H$2:H285),$H$2:$H$1001,0),0)))</f>
        <v xml:space="preserve"> </v>
      </c>
      <c r="B285" s="3" t="str">
        <f ca="1">IF(OR(INDEX($I$2:$I$1001,MATCH(ROWS($H$2:H285),$H$2:$H$1001,0),1)&gt;=100000,INDEX($O$1005:$Q$1005,1,MATCH(COLUMNS($O$1006:O1006),$O$1006:$Q$1006,0))&gt;=100000), " ",IF(INDEX($O$2:$Q$1001,MATCH(ROWS($H$2:H285),$H$2:$H$1001,0),MATCH(COLUMNS($O$1006:O1006),$O$1006:$Q$1006,0)), HYPERLINK("#",""), HYPERLINK(CONCATENATE("#metadata!", ADDRESS(INDEX($J$2:$J$1001,MATCH(ROWS($H$2:H285),$H$2:$H$1001,0),0), INDEX($O$1004:$Q$1004,1,MATCH(COLUMNS($O$1006:O1006),$O$1006:$Q$1006,0)))),"Fix")))</f>
        <v xml:space="preserve"> </v>
      </c>
      <c r="C285" s="3" t="str">
        <f ca="1">IF(OR(INDEX($I$2:$I$1001,MATCH(ROWS($H$2:H285),$H$2:$H$1001,0),1)&gt;=100000,INDEX($O$1005:$Q$1005,1,MATCH(COLUMNS($O$1006:P1006),$O$1006:$Q$1006,0))&gt;=100000), " ",IF(INDEX($O$2:$Q$1001,MATCH(ROWS($H$2:H285),$H$2:$H$1001,0),MATCH(COLUMNS($O$1006:P1006),$O$1006:$Q$1006,0)), HYPERLINK("#",""), HYPERLINK(CONCATENATE("#metadata!", ADDRESS(INDEX($J$2:$J$1001,MATCH(ROWS($H$2:H285),$H$2:$H$1001,0),0), INDEX($O$1004:$Q$1004,1,MATCH(COLUMNS($O$1006:P1006),$O$1006:$Q$1006,0)))),"Fix")))</f>
        <v xml:space="preserve"> </v>
      </c>
      <c r="D285" s="3" t="str">
        <f ca="1">IF(OR(INDEX($I$2:$I$1001,MATCH(ROWS($H$2:H285),$H$2:$H$1001,0),1)&gt;=100000,INDEX($O$1005:$Q$1005,1,MATCH(COLUMNS($O$1006:Q1006),$O$1006:$Q$1006,0))&gt;=100000), " ",IF(INDEX($O$2:$Q$1001,MATCH(ROWS($H$2:H285),$H$2:$H$1001,0),MATCH(COLUMNS($O$1006:Q1006),$O$1006:$Q$1006,0)), HYPERLINK("#",""), HYPERLINK(CONCATENATE("#metadata!", ADDRESS(INDEX($J$2:$J$1001,MATCH(ROWS($H$2:H285),$H$2:$H$1001,0),0), INDEX($O$1004:$Q$1004,1,MATCH(COLUMNS($O$1006:Q1006),$O$1006:$Q$1006,0)))),"Fix")))</f>
        <v xml:space="preserve"> </v>
      </c>
      <c r="H285">
        <v>284</v>
      </c>
      <c r="I285">
        <v>100285</v>
      </c>
      <c r="J285">
        <v>285</v>
      </c>
      <c r="K285" t="b">
        <f t="shared" si="4"/>
        <v>1</v>
      </c>
      <c r="L285" t="b">
        <f>COUNTBLANK(metadata!B285:D285)=COLUMNS(metadata!B285:D285)</f>
        <v>1</v>
      </c>
      <c r="M285" t="str">
        <v/>
      </c>
      <c r="O285" t="b">
        <f ca="1"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P285" t="b">
        <f>AND(IF(metadata!C285="",FALSE,TRUE),EXACT(metadata!C285,"mouse gut metagenome"))</f>
        <v>0</v>
      </c>
      <c r="Q285" t="b">
        <f>AND(IF(metadata!D285="",FALSE,TRUE),EXACT(metadata!D285,"410661"))</f>
        <v>0</v>
      </c>
    </row>
    <row r="286" spans="1:17" x14ac:dyDescent="0.2">
      <c r="A286" s="4" t="str">
        <f ca="1">IF(B286=" "," ",HYPERLINK(CONCATENATE("#metadata!",ADDRESS(INDEX($J$2:$J$1001,MATCH(ROWS($H$2:H286),$H$2:$H$1001,0),0),1)),INDEX($M$2:$M$1001,MATCH(ROWS($H$2:H286),$H$2:$H$1001,0),0)))</f>
        <v xml:space="preserve"> </v>
      </c>
      <c r="B286" s="3" t="str">
        <f ca="1">IF(OR(INDEX($I$2:$I$1001,MATCH(ROWS($H$2:H286),$H$2:$H$1001,0),1)&gt;=100000,INDEX($O$1005:$Q$1005,1,MATCH(COLUMNS($O$1006:O1006),$O$1006:$Q$1006,0))&gt;=100000), " ",IF(INDEX($O$2:$Q$1001,MATCH(ROWS($H$2:H286),$H$2:$H$1001,0),MATCH(COLUMNS($O$1006:O1006),$O$1006:$Q$1006,0)), HYPERLINK("#",""), HYPERLINK(CONCATENATE("#metadata!", ADDRESS(INDEX($J$2:$J$1001,MATCH(ROWS($H$2:H286),$H$2:$H$1001,0),0), INDEX($O$1004:$Q$1004,1,MATCH(COLUMNS($O$1006:O1006),$O$1006:$Q$1006,0)))),"Fix")))</f>
        <v xml:space="preserve"> </v>
      </c>
      <c r="C286" s="3" t="str">
        <f ca="1">IF(OR(INDEX($I$2:$I$1001,MATCH(ROWS($H$2:H286),$H$2:$H$1001,0),1)&gt;=100000,INDEX($O$1005:$Q$1005,1,MATCH(COLUMNS($O$1006:P1006),$O$1006:$Q$1006,0))&gt;=100000), " ",IF(INDEX($O$2:$Q$1001,MATCH(ROWS($H$2:H286),$H$2:$H$1001,0),MATCH(COLUMNS($O$1006:P1006),$O$1006:$Q$1006,0)), HYPERLINK("#",""), HYPERLINK(CONCATENATE("#metadata!", ADDRESS(INDEX($J$2:$J$1001,MATCH(ROWS($H$2:H286),$H$2:$H$1001,0),0), INDEX($O$1004:$Q$1004,1,MATCH(COLUMNS($O$1006:P1006),$O$1006:$Q$1006,0)))),"Fix")))</f>
        <v xml:space="preserve"> </v>
      </c>
      <c r="D286" s="3" t="str">
        <f ca="1">IF(OR(INDEX($I$2:$I$1001,MATCH(ROWS($H$2:H286),$H$2:$H$1001,0),1)&gt;=100000,INDEX($O$1005:$Q$1005,1,MATCH(COLUMNS($O$1006:Q1006),$O$1006:$Q$1006,0))&gt;=100000), " ",IF(INDEX($O$2:$Q$1001,MATCH(ROWS($H$2:H286),$H$2:$H$1001,0),MATCH(COLUMNS($O$1006:Q1006),$O$1006:$Q$1006,0)), HYPERLINK("#",""), HYPERLINK(CONCATENATE("#metadata!", ADDRESS(INDEX($J$2:$J$1001,MATCH(ROWS($H$2:H286),$H$2:$H$1001,0),0), INDEX($O$1004:$Q$1004,1,MATCH(COLUMNS($O$1006:Q1006),$O$1006:$Q$1006,0)))),"Fix")))</f>
        <v xml:space="preserve"> </v>
      </c>
      <c r="H286">
        <v>285</v>
      </c>
      <c r="I286">
        <v>100286</v>
      </c>
      <c r="J286">
        <v>286</v>
      </c>
      <c r="K286" t="b">
        <f t="shared" si="4"/>
        <v>1</v>
      </c>
      <c r="L286" t="b">
        <f>COUNTBLANK(metadata!B286:D286)=COLUMNS(metadata!B286:D286)</f>
        <v>1</v>
      </c>
      <c r="M286" t="str">
        <v/>
      </c>
      <c r="O286" t="b">
        <f ca="1"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P286" t="b">
        <f>AND(IF(metadata!C286="",FALSE,TRUE),EXACT(metadata!C286,"mouse gut metagenome"))</f>
        <v>0</v>
      </c>
      <c r="Q286" t="b">
        <f>AND(IF(metadata!D286="",FALSE,TRUE),EXACT(metadata!D286,"410661"))</f>
        <v>0</v>
      </c>
    </row>
    <row r="287" spans="1:17" x14ac:dyDescent="0.2">
      <c r="A287" s="4" t="str">
        <f ca="1">IF(B287=" "," ",HYPERLINK(CONCATENATE("#metadata!",ADDRESS(INDEX($J$2:$J$1001,MATCH(ROWS($H$2:H287),$H$2:$H$1001,0),0),1)),INDEX($M$2:$M$1001,MATCH(ROWS($H$2:H287),$H$2:$H$1001,0),0)))</f>
        <v xml:space="preserve"> </v>
      </c>
      <c r="B287" s="3" t="str">
        <f ca="1">IF(OR(INDEX($I$2:$I$1001,MATCH(ROWS($H$2:H287),$H$2:$H$1001,0),1)&gt;=100000,INDEX($O$1005:$Q$1005,1,MATCH(COLUMNS($O$1006:O1006),$O$1006:$Q$1006,0))&gt;=100000), " ",IF(INDEX($O$2:$Q$1001,MATCH(ROWS($H$2:H287),$H$2:$H$1001,0),MATCH(COLUMNS($O$1006:O1006),$O$1006:$Q$1006,0)), HYPERLINK("#",""), HYPERLINK(CONCATENATE("#metadata!", ADDRESS(INDEX($J$2:$J$1001,MATCH(ROWS($H$2:H287),$H$2:$H$1001,0),0), INDEX($O$1004:$Q$1004,1,MATCH(COLUMNS($O$1006:O1006),$O$1006:$Q$1006,0)))),"Fix")))</f>
        <v xml:space="preserve"> </v>
      </c>
      <c r="C287" s="3" t="str">
        <f ca="1">IF(OR(INDEX($I$2:$I$1001,MATCH(ROWS($H$2:H287),$H$2:$H$1001,0),1)&gt;=100000,INDEX($O$1005:$Q$1005,1,MATCH(COLUMNS($O$1006:P1006),$O$1006:$Q$1006,0))&gt;=100000), " ",IF(INDEX($O$2:$Q$1001,MATCH(ROWS($H$2:H287),$H$2:$H$1001,0),MATCH(COLUMNS($O$1006:P1006),$O$1006:$Q$1006,0)), HYPERLINK("#",""), HYPERLINK(CONCATENATE("#metadata!", ADDRESS(INDEX($J$2:$J$1001,MATCH(ROWS($H$2:H287),$H$2:$H$1001,0),0), INDEX($O$1004:$Q$1004,1,MATCH(COLUMNS($O$1006:P1006),$O$1006:$Q$1006,0)))),"Fix")))</f>
        <v xml:space="preserve"> </v>
      </c>
      <c r="D287" s="3" t="str">
        <f ca="1">IF(OR(INDEX($I$2:$I$1001,MATCH(ROWS($H$2:H287),$H$2:$H$1001,0),1)&gt;=100000,INDEX($O$1005:$Q$1005,1,MATCH(COLUMNS($O$1006:Q1006),$O$1006:$Q$1006,0))&gt;=100000), " ",IF(INDEX($O$2:$Q$1001,MATCH(ROWS($H$2:H287),$H$2:$H$1001,0),MATCH(COLUMNS($O$1006:Q1006),$O$1006:$Q$1006,0)), HYPERLINK("#",""), HYPERLINK(CONCATENATE("#metadata!", ADDRESS(INDEX($J$2:$J$1001,MATCH(ROWS($H$2:H287),$H$2:$H$1001,0),0), INDEX($O$1004:$Q$1004,1,MATCH(COLUMNS($O$1006:Q1006),$O$1006:$Q$1006,0)))),"Fix")))</f>
        <v xml:space="preserve"> </v>
      </c>
      <c r="H287">
        <v>286</v>
      </c>
      <c r="I287">
        <v>100287</v>
      </c>
      <c r="J287">
        <v>287</v>
      </c>
      <c r="K287" t="b">
        <f t="shared" si="4"/>
        <v>1</v>
      </c>
      <c r="L287" t="b">
        <f>COUNTBLANK(metadata!B287:D287)=COLUMNS(metadata!B287:D287)</f>
        <v>1</v>
      </c>
      <c r="M287" t="str">
        <v/>
      </c>
      <c r="O287" t="b">
        <f ca="1"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P287" t="b">
        <f>AND(IF(metadata!C287="",FALSE,TRUE),EXACT(metadata!C287,"mouse gut metagenome"))</f>
        <v>0</v>
      </c>
      <c r="Q287" t="b">
        <f>AND(IF(metadata!D287="",FALSE,TRUE),EXACT(metadata!D287,"410661"))</f>
        <v>0</v>
      </c>
    </row>
    <row r="288" spans="1:17" x14ac:dyDescent="0.2">
      <c r="A288" s="4" t="str">
        <f ca="1">IF(B288=" "," ",HYPERLINK(CONCATENATE("#metadata!",ADDRESS(INDEX($J$2:$J$1001,MATCH(ROWS($H$2:H288),$H$2:$H$1001,0),0),1)),INDEX($M$2:$M$1001,MATCH(ROWS($H$2:H288),$H$2:$H$1001,0),0)))</f>
        <v xml:space="preserve"> </v>
      </c>
      <c r="B288" s="3" t="str">
        <f ca="1">IF(OR(INDEX($I$2:$I$1001,MATCH(ROWS($H$2:H288),$H$2:$H$1001,0),1)&gt;=100000,INDEX($O$1005:$Q$1005,1,MATCH(COLUMNS($O$1006:O1006),$O$1006:$Q$1006,0))&gt;=100000), " ",IF(INDEX($O$2:$Q$1001,MATCH(ROWS($H$2:H288),$H$2:$H$1001,0),MATCH(COLUMNS($O$1006:O1006),$O$1006:$Q$1006,0)), HYPERLINK("#",""), HYPERLINK(CONCATENATE("#metadata!", ADDRESS(INDEX($J$2:$J$1001,MATCH(ROWS($H$2:H288),$H$2:$H$1001,0),0), INDEX($O$1004:$Q$1004,1,MATCH(COLUMNS($O$1006:O1006),$O$1006:$Q$1006,0)))),"Fix")))</f>
        <v xml:space="preserve"> </v>
      </c>
      <c r="C288" s="3" t="str">
        <f ca="1">IF(OR(INDEX($I$2:$I$1001,MATCH(ROWS($H$2:H288),$H$2:$H$1001,0),1)&gt;=100000,INDEX($O$1005:$Q$1005,1,MATCH(COLUMNS($O$1006:P1006),$O$1006:$Q$1006,0))&gt;=100000), " ",IF(INDEX($O$2:$Q$1001,MATCH(ROWS($H$2:H288),$H$2:$H$1001,0),MATCH(COLUMNS($O$1006:P1006),$O$1006:$Q$1006,0)), HYPERLINK("#",""), HYPERLINK(CONCATENATE("#metadata!", ADDRESS(INDEX($J$2:$J$1001,MATCH(ROWS($H$2:H288),$H$2:$H$1001,0),0), INDEX($O$1004:$Q$1004,1,MATCH(COLUMNS($O$1006:P1006),$O$1006:$Q$1006,0)))),"Fix")))</f>
        <v xml:space="preserve"> </v>
      </c>
      <c r="D288" s="3" t="str">
        <f ca="1">IF(OR(INDEX($I$2:$I$1001,MATCH(ROWS($H$2:H288),$H$2:$H$1001,0),1)&gt;=100000,INDEX($O$1005:$Q$1005,1,MATCH(COLUMNS($O$1006:Q1006),$O$1006:$Q$1006,0))&gt;=100000), " ",IF(INDEX($O$2:$Q$1001,MATCH(ROWS($H$2:H288),$H$2:$H$1001,0),MATCH(COLUMNS($O$1006:Q1006),$O$1006:$Q$1006,0)), HYPERLINK("#",""), HYPERLINK(CONCATENATE("#metadata!", ADDRESS(INDEX($J$2:$J$1001,MATCH(ROWS($H$2:H288),$H$2:$H$1001,0),0), INDEX($O$1004:$Q$1004,1,MATCH(COLUMNS($O$1006:Q1006),$O$1006:$Q$1006,0)))),"Fix")))</f>
        <v xml:space="preserve"> </v>
      </c>
      <c r="H288">
        <v>287</v>
      </c>
      <c r="I288">
        <v>100288</v>
      </c>
      <c r="J288">
        <v>288</v>
      </c>
      <c r="K288" t="b">
        <f t="shared" si="4"/>
        <v>1</v>
      </c>
      <c r="L288" t="b">
        <f>COUNTBLANK(metadata!B288:D288)=COLUMNS(metadata!B288:D288)</f>
        <v>1</v>
      </c>
      <c r="M288" t="str">
        <v/>
      </c>
      <c r="O288" t="b">
        <f ca="1"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P288" t="b">
        <f>AND(IF(metadata!C288="",FALSE,TRUE),EXACT(metadata!C288,"mouse gut metagenome"))</f>
        <v>0</v>
      </c>
      <c r="Q288" t="b">
        <f>AND(IF(metadata!D288="",FALSE,TRUE),EXACT(metadata!D288,"410661"))</f>
        <v>0</v>
      </c>
    </row>
    <row r="289" spans="1:17" x14ac:dyDescent="0.2">
      <c r="A289" s="4" t="str">
        <f ca="1">IF(B289=" "," ",HYPERLINK(CONCATENATE("#metadata!",ADDRESS(INDEX($J$2:$J$1001,MATCH(ROWS($H$2:H289),$H$2:$H$1001,0),0),1)),INDEX($M$2:$M$1001,MATCH(ROWS($H$2:H289),$H$2:$H$1001,0),0)))</f>
        <v xml:space="preserve"> </v>
      </c>
      <c r="B289" s="3" t="str">
        <f ca="1">IF(OR(INDEX($I$2:$I$1001,MATCH(ROWS($H$2:H289),$H$2:$H$1001,0),1)&gt;=100000,INDEX($O$1005:$Q$1005,1,MATCH(COLUMNS($O$1006:O1006),$O$1006:$Q$1006,0))&gt;=100000), " ",IF(INDEX($O$2:$Q$1001,MATCH(ROWS($H$2:H289),$H$2:$H$1001,0),MATCH(COLUMNS($O$1006:O1006),$O$1006:$Q$1006,0)), HYPERLINK("#",""), HYPERLINK(CONCATENATE("#metadata!", ADDRESS(INDEX($J$2:$J$1001,MATCH(ROWS($H$2:H289),$H$2:$H$1001,0),0), INDEX($O$1004:$Q$1004,1,MATCH(COLUMNS($O$1006:O1006),$O$1006:$Q$1006,0)))),"Fix")))</f>
        <v xml:space="preserve"> </v>
      </c>
      <c r="C289" s="3" t="str">
        <f ca="1">IF(OR(INDEX($I$2:$I$1001,MATCH(ROWS($H$2:H289),$H$2:$H$1001,0),1)&gt;=100000,INDEX($O$1005:$Q$1005,1,MATCH(COLUMNS($O$1006:P1006),$O$1006:$Q$1006,0))&gt;=100000), " ",IF(INDEX($O$2:$Q$1001,MATCH(ROWS($H$2:H289),$H$2:$H$1001,0),MATCH(COLUMNS($O$1006:P1006),$O$1006:$Q$1006,0)), HYPERLINK("#",""), HYPERLINK(CONCATENATE("#metadata!", ADDRESS(INDEX($J$2:$J$1001,MATCH(ROWS($H$2:H289),$H$2:$H$1001,0),0), INDEX($O$1004:$Q$1004,1,MATCH(COLUMNS($O$1006:P1006),$O$1006:$Q$1006,0)))),"Fix")))</f>
        <v xml:space="preserve"> </v>
      </c>
      <c r="D289" s="3" t="str">
        <f ca="1">IF(OR(INDEX($I$2:$I$1001,MATCH(ROWS($H$2:H289),$H$2:$H$1001,0),1)&gt;=100000,INDEX($O$1005:$Q$1005,1,MATCH(COLUMNS($O$1006:Q1006),$O$1006:$Q$1006,0))&gt;=100000), " ",IF(INDEX($O$2:$Q$1001,MATCH(ROWS($H$2:H289),$H$2:$H$1001,0),MATCH(COLUMNS($O$1006:Q1006),$O$1006:$Q$1006,0)), HYPERLINK("#",""), HYPERLINK(CONCATENATE("#metadata!", ADDRESS(INDEX($J$2:$J$1001,MATCH(ROWS($H$2:H289),$H$2:$H$1001,0),0), INDEX($O$1004:$Q$1004,1,MATCH(COLUMNS($O$1006:Q1006),$O$1006:$Q$1006,0)))),"Fix")))</f>
        <v xml:space="preserve"> </v>
      </c>
      <c r="H289">
        <v>288</v>
      </c>
      <c r="I289">
        <v>100289</v>
      </c>
      <c r="J289">
        <v>289</v>
      </c>
      <c r="K289" t="b">
        <f t="shared" si="4"/>
        <v>1</v>
      </c>
      <c r="L289" t="b">
        <f>COUNTBLANK(metadata!B289:D289)=COLUMNS(metadata!B289:D289)</f>
        <v>1</v>
      </c>
      <c r="M289" t="str">
        <v/>
      </c>
      <c r="O289" t="b">
        <f ca="1"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P289" t="b">
        <f>AND(IF(metadata!C289="",FALSE,TRUE),EXACT(metadata!C289,"mouse gut metagenome"))</f>
        <v>0</v>
      </c>
      <c r="Q289" t="b">
        <f>AND(IF(metadata!D289="",FALSE,TRUE),EXACT(metadata!D289,"410661"))</f>
        <v>0</v>
      </c>
    </row>
    <row r="290" spans="1:17" x14ac:dyDescent="0.2">
      <c r="A290" s="4" t="str">
        <f ca="1">IF(B290=" "," ",HYPERLINK(CONCATENATE("#metadata!",ADDRESS(INDEX($J$2:$J$1001,MATCH(ROWS($H$2:H290),$H$2:$H$1001,0),0),1)),INDEX($M$2:$M$1001,MATCH(ROWS($H$2:H290),$H$2:$H$1001,0),0)))</f>
        <v xml:space="preserve"> </v>
      </c>
      <c r="B290" s="3" t="str">
        <f ca="1">IF(OR(INDEX($I$2:$I$1001,MATCH(ROWS($H$2:H290),$H$2:$H$1001,0),1)&gt;=100000,INDEX($O$1005:$Q$1005,1,MATCH(COLUMNS($O$1006:O1006),$O$1006:$Q$1006,0))&gt;=100000), " ",IF(INDEX($O$2:$Q$1001,MATCH(ROWS($H$2:H290),$H$2:$H$1001,0),MATCH(COLUMNS($O$1006:O1006),$O$1006:$Q$1006,0)), HYPERLINK("#",""), HYPERLINK(CONCATENATE("#metadata!", ADDRESS(INDEX($J$2:$J$1001,MATCH(ROWS($H$2:H290),$H$2:$H$1001,0),0), INDEX($O$1004:$Q$1004,1,MATCH(COLUMNS($O$1006:O1006),$O$1006:$Q$1006,0)))),"Fix")))</f>
        <v xml:space="preserve"> </v>
      </c>
      <c r="C290" s="3" t="str">
        <f ca="1">IF(OR(INDEX($I$2:$I$1001,MATCH(ROWS($H$2:H290),$H$2:$H$1001,0),1)&gt;=100000,INDEX($O$1005:$Q$1005,1,MATCH(COLUMNS($O$1006:P1006),$O$1006:$Q$1006,0))&gt;=100000), " ",IF(INDEX($O$2:$Q$1001,MATCH(ROWS($H$2:H290),$H$2:$H$1001,0),MATCH(COLUMNS($O$1006:P1006),$O$1006:$Q$1006,0)), HYPERLINK("#",""), HYPERLINK(CONCATENATE("#metadata!", ADDRESS(INDEX($J$2:$J$1001,MATCH(ROWS($H$2:H290),$H$2:$H$1001,0),0), INDEX($O$1004:$Q$1004,1,MATCH(COLUMNS($O$1006:P1006),$O$1006:$Q$1006,0)))),"Fix")))</f>
        <v xml:space="preserve"> </v>
      </c>
      <c r="D290" s="3" t="str">
        <f ca="1">IF(OR(INDEX($I$2:$I$1001,MATCH(ROWS($H$2:H290),$H$2:$H$1001,0),1)&gt;=100000,INDEX($O$1005:$Q$1005,1,MATCH(COLUMNS($O$1006:Q1006),$O$1006:$Q$1006,0))&gt;=100000), " ",IF(INDEX($O$2:$Q$1001,MATCH(ROWS($H$2:H290),$H$2:$H$1001,0),MATCH(COLUMNS($O$1006:Q1006),$O$1006:$Q$1006,0)), HYPERLINK("#",""), HYPERLINK(CONCATENATE("#metadata!", ADDRESS(INDEX($J$2:$J$1001,MATCH(ROWS($H$2:H290),$H$2:$H$1001,0),0), INDEX($O$1004:$Q$1004,1,MATCH(COLUMNS($O$1006:Q1006),$O$1006:$Q$1006,0)))),"Fix")))</f>
        <v xml:space="preserve"> </v>
      </c>
      <c r="H290">
        <v>289</v>
      </c>
      <c r="I290">
        <v>100290</v>
      </c>
      <c r="J290">
        <v>290</v>
      </c>
      <c r="K290" t="b">
        <f t="shared" si="4"/>
        <v>1</v>
      </c>
      <c r="L290" t="b">
        <f>COUNTBLANK(metadata!B290:D290)=COLUMNS(metadata!B290:D290)</f>
        <v>1</v>
      </c>
      <c r="M290" t="str">
        <v/>
      </c>
      <c r="O290" t="b">
        <f ca="1"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P290" t="b">
        <f>AND(IF(metadata!C290="",FALSE,TRUE),EXACT(metadata!C290,"mouse gut metagenome"))</f>
        <v>0</v>
      </c>
      <c r="Q290" t="b">
        <f>AND(IF(metadata!D290="",FALSE,TRUE),EXACT(metadata!D290,"410661"))</f>
        <v>0</v>
      </c>
    </row>
    <row r="291" spans="1:17" x14ac:dyDescent="0.2">
      <c r="A291" s="4" t="str">
        <f ca="1">IF(B291=" "," ",HYPERLINK(CONCATENATE("#metadata!",ADDRESS(INDEX($J$2:$J$1001,MATCH(ROWS($H$2:H291),$H$2:$H$1001,0),0),1)),INDEX($M$2:$M$1001,MATCH(ROWS($H$2:H291),$H$2:$H$1001,0),0)))</f>
        <v xml:space="preserve"> </v>
      </c>
      <c r="B291" s="3" t="str">
        <f ca="1">IF(OR(INDEX($I$2:$I$1001,MATCH(ROWS($H$2:H291),$H$2:$H$1001,0),1)&gt;=100000,INDEX($O$1005:$Q$1005,1,MATCH(COLUMNS($O$1006:O1006),$O$1006:$Q$1006,0))&gt;=100000), " ",IF(INDEX($O$2:$Q$1001,MATCH(ROWS($H$2:H291),$H$2:$H$1001,0),MATCH(COLUMNS($O$1006:O1006),$O$1006:$Q$1006,0)), HYPERLINK("#",""), HYPERLINK(CONCATENATE("#metadata!", ADDRESS(INDEX($J$2:$J$1001,MATCH(ROWS($H$2:H291),$H$2:$H$1001,0),0), INDEX($O$1004:$Q$1004,1,MATCH(COLUMNS($O$1006:O1006),$O$1006:$Q$1006,0)))),"Fix")))</f>
        <v xml:space="preserve"> </v>
      </c>
      <c r="C291" s="3" t="str">
        <f ca="1">IF(OR(INDEX($I$2:$I$1001,MATCH(ROWS($H$2:H291),$H$2:$H$1001,0),1)&gt;=100000,INDEX($O$1005:$Q$1005,1,MATCH(COLUMNS($O$1006:P1006),$O$1006:$Q$1006,0))&gt;=100000), " ",IF(INDEX($O$2:$Q$1001,MATCH(ROWS($H$2:H291),$H$2:$H$1001,0),MATCH(COLUMNS($O$1006:P1006),$O$1006:$Q$1006,0)), HYPERLINK("#",""), HYPERLINK(CONCATENATE("#metadata!", ADDRESS(INDEX($J$2:$J$1001,MATCH(ROWS($H$2:H291),$H$2:$H$1001,0),0), INDEX($O$1004:$Q$1004,1,MATCH(COLUMNS($O$1006:P1006),$O$1006:$Q$1006,0)))),"Fix")))</f>
        <v xml:space="preserve"> </v>
      </c>
      <c r="D291" s="3" t="str">
        <f ca="1">IF(OR(INDEX($I$2:$I$1001,MATCH(ROWS($H$2:H291),$H$2:$H$1001,0),1)&gt;=100000,INDEX($O$1005:$Q$1005,1,MATCH(COLUMNS($O$1006:Q1006),$O$1006:$Q$1006,0))&gt;=100000), " ",IF(INDEX($O$2:$Q$1001,MATCH(ROWS($H$2:H291),$H$2:$H$1001,0),MATCH(COLUMNS($O$1006:Q1006),$O$1006:$Q$1006,0)), HYPERLINK("#",""), HYPERLINK(CONCATENATE("#metadata!", ADDRESS(INDEX($J$2:$J$1001,MATCH(ROWS($H$2:H291),$H$2:$H$1001,0),0), INDEX($O$1004:$Q$1004,1,MATCH(COLUMNS($O$1006:Q1006),$O$1006:$Q$1006,0)))),"Fix")))</f>
        <v xml:space="preserve"> </v>
      </c>
      <c r="H291">
        <v>290</v>
      </c>
      <c r="I291">
        <v>100291</v>
      </c>
      <c r="J291">
        <v>291</v>
      </c>
      <c r="K291" t="b">
        <f t="shared" si="4"/>
        <v>1</v>
      </c>
      <c r="L291" t="b">
        <f>COUNTBLANK(metadata!B291:D291)=COLUMNS(metadata!B291:D291)</f>
        <v>1</v>
      </c>
      <c r="M291" t="str">
        <v/>
      </c>
      <c r="O291" t="b">
        <f ca="1"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P291" t="b">
        <f>AND(IF(metadata!C291="",FALSE,TRUE),EXACT(metadata!C291,"mouse gut metagenome"))</f>
        <v>0</v>
      </c>
      <c r="Q291" t="b">
        <f>AND(IF(metadata!D291="",FALSE,TRUE),EXACT(metadata!D291,"410661"))</f>
        <v>0</v>
      </c>
    </row>
    <row r="292" spans="1:17" x14ac:dyDescent="0.2">
      <c r="A292" s="4" t="str">
        <f ca="1">IF(B292=" "," ",HYPERLINK(CONCATENATE("#metadata!",ADDRESS(INDEX($J$2:$J$1001,MATCH(ROWS($H$2:H292),$H$2:$H$1001,0),0),1)),INDEX($M$2:$M$1001,MATCH(ROWS($H$2:H292),$H$2:$H$1001,0),0)))</f>
        <v xml:space="preserve"> </v>
      </c>
      <c r="B292" s="3" t="str">
        <f ca="1">IF(OR(INDEX($I$2:$I$1001,MATCH(ROWS($H$2:H292),$H$2:$H$1001,0),1)&gt;=100000,INDEX($O$1005:$Q$1005,1,MATCH(COLUMNS($O$1006:O1006),$O$1006:$Q$1006,0))&gt;=100000), " ",IF(INDEX($O$2:$Q$1001,MATCH(ROWS($H$2:H292),$H$2:$H$1001,0),MATCH(COLUMNS($O$1006:O1006),$O$1006:$Q$1006,0)), HYPERLINK("#",""), HYPERLINK(CONCATENATE("#metadata!", ADDRESS(INDEX($J$2:$J$1001,MATCH(ROWS($H$2:H292),$H$2:$H$1001,0),0), INDEX($O$1004:$Q$1004,1,MATCH(COLUMNS($O$1006:O1006),$O$1006:$Q$1006,0)))),"Fix")))</f>
        <v xml:space="preserve"> </v>
      </c>
      <c r="C292" s="3" t="str">
        <f ca="1">IF(OR(INDEX($I$2:$I$1001,MATCH(ROWS($H$2:H292),$H$2:$H$1001,0),1)&gt;=100000,INDEX($O$1005:$Q$1005,1,MATCH(COLUMNS($O$1006:P1006),$O$1006:$Q$1006,0))&gt;=100000), " ",IF(INDEX($O$2:$Q$1001,MATCH(ROWS($H$2:H292),$H$2:$H$1001,0),MATCH(COLUMNS($O$1006:P1006),$O$1006:$Q$1006,0)), HYPERLINK("#",""), HYPERLINK(CONCATENATE("#metadata!", ADDRESS(INDEX($J$2:$J$1001,MATCH(ROWS($H$2:H292),$H$2:$H$1001,0),0), INDEX($O$1004:$Q$1004,1,MATCH(COLUMNS($O$1006:P1006),$O$1006:$Q$1006,0)))),"Fix")))</f>
        <v xml:space="preserve"> </v>
      </c>
      <c r="D292" s="3" t="str">
        <f ca="1">IF(OR(INDEX($I$2:$I$1001,MATCH(ROWS($H$2:H292),$H$2:$H$1001,0),1)&gt;=100000,INDEX($O$1005:$Q$1005,1,MATCH(COLUMNS($O$1006:Q1006),$O$1006:$Q$1006,0))&gt;=100000), " ",IF(INDEX($O$2:$Q$1001,MATCH(ROWS($H$2:H292),$H$2:$H$1001,0),MATCH(COLUMNS($O$1006:Q1006),$O$1006:$Q$1006,0)), HYPERLINK("#",""), HYPERLINK(CONCATENATE("#metadata!", ADDRESS(INDEX($J$2:$J$1001,MATCH(ROWS($H$2:H292),$H$2:$H$1001,0),0), INDEX($O$1004:$Q$1004,1,MATCH(COLUMNS($O$1006:Q1006),$O$1006:$Q$1006,0)))),"Fix")))</f>
        <v xml:space="preserve"> </v>
      </c>
      <c r="H292">
        <v>291</v>
      </c>
      <c r="I292">
        <v>100292</v>
      </c>
      <c r="J292">
        <v>292</v>
      </c>
      <c r="K292" t="b">
        <f t="shared" si="4"/>
        <v>1</v>
      </c>
      <c r="L292" t="b">
        <f>COUNTBLANK(metadata!B292:D292)=COLUMNS(metadata!B292:D292)</f>
        <v>1</v>
      </c>
      <c r="M292" t="str">
        <v/>
      </c>
      <c r="O292" t="b">
        <f ca="1"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P292" t="b">
        <f>AND(IF(metadata!C292="",FALSE,TRUE),EXACT(metadata!C292,"mouse gut metagenome"))</f>
        <v>0</v>
      </c>
      <c r="Q292" t="b">
        <f>AND(IF(metadata!D292="",FALSE,TRUE),EXACT(metadata!D292,"410661"))</f>
        <v>0</v>
      </c>
    </row>
    <row r="293" spans="1:17" x14ac:dyDescent="0.2">
      <c r="A293" s="4" t="str">
        <f ca="1">IF(B293=" "," ",HYPERLINK(CONCATENATE("#metadata!",ADDRESS(INDEX($J$2:$J$1001,MATCH(ROWS($H$2:H293),$H$2:$H$1001,0),0),1)),INDEX($M$2:$M$1001,MATCH(ROWS($H$2:H293),$H$2:$H$1001,0),0)))</f>
        <v xml:space="preserve"> </v>
      </c>
      <c r="B293" s="3" t="str">
        <f ca="1">IF(OR(INDEX($I$2:$I$1001,MATCH(ROWS($H$2:H293),$H$2:$H$1001,0),1)&gt;=100000,INDEX($O$1005:$Q$1005,1,MATCH(COLUMNS($O$1006:O1006),$O$1006:$Q$1006,0))&gt;=100000), " ",IF(INDEX($O$2:$Q$1001,MATCH(ROWS($H$2:H293),$H$2:$H$1001,0),MATCH(COLUMNS($O$1006:O1006),$O$1006:$Q$1006,0)), HYPERLINK("#",""), HYPERLINK(CONCATENATE("#metadata!", ADDRESS(INDEX($J$2:$J$1001,MATCH(ROWS($H$2:H293),$H$2:$H$1001,0),0), INDEX($O$1004:$Q$1004,1,MATCH(COLUMNS($O$1006:O1006),$O$1006:$Q$1006,0)))),"Fix")))</f>
        <v xml:space="preserve"> </v>
      </c>
      <c r="C293" s="3" t="str">
        <f ca="1">IF(OR(INDEX($I$2:$I$1001,MATCH(ROWS($H$2:H293),$H$2:$H$1001,0),1)&gt;=100000,INDEX($O$1005:$Q$1005,1,MATCH(COLUMNS($O$1006:P1006),$O$1006:$Q$1006,0))&gt;=100000), " ",IF(INDEX($O$2:$Q$1001,MATCH(ROWS($H$2:H293),$H$2:$H$1001,0),MATCH(COLUMNS($O$1006:P1006),$O$1006:$Q$1006,0)), HYPERLINK("#",""), HYPERLINK(CONCATENATE("#metadata!", ADDRESS(INDEX($J$2:$J$1001,MATCH(ROWS($H$2:H293),$H$2:$H$1001,0),0), INDEX($O$1004:$Q$1004,1,MATCH(COLUMNS($O$1006:P1006),$O$1006:$Q$1006,0)))),"Fix")))</f>
        <v xml:space="preserve"> </v>
      </c>
      <c r="D293" s="3" t="str">
        <f ca="1">IF(OR(INDEX($I$2:$I$1001,MATCH(ROWS($H$2:H293),$H$2:$H$1001,0),1)&gt;=100000,INDEX($O$1005:$Q$1005,1,MATCH(COLUMNS($O$1006:Q1006),$O$1006:$Q$1006,0))&gt;=100000), " ",IF(INDEX($O$2:$Q$1001,MATCH(ROWS($H$2:H293),$H$2:$H$1001,0),MATCH(COLUMNS($O$1006:Q1006),$O$1006:$Q$1006,0)), HYPERLINK("#",""), HYPERLINK(CONCATENATE("#metadata!", ADDRESS(INDEX($J$2:$J$1001,MATCH(ROWS($H$2:H293),$H$2:$H$1001,0),0), INDEX($O$1004:$Q$1004,1,MATCH(COLUMNS($O$1006:Q1006),$O$1006:$Q$1006,0)))),"Fix")))</f>
        <v xml:space="preserve"> </v>
      </c>
      <c r="H293">
        <v>292</v>
      </c>
      <c r="I293">
        <v>100293</v>
      </c>
      <c r="J293">
        <v>293</v>
      </c>
      <c r="K293" t="b">
        <f t="shared" si="4"/>
        <v>1</v>
      </c>
      <c r="L293" t="b">
        <f>COUNTBLANK(metadata!B293:D293)=COLUMNS(metadata!B293:D293)</f>
        <v>1</v>
      </c>
      <c r="M293" t="str">
        <v/>
      </c>
      <c r="O293" t="b">
        <f ca="1"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P293" t="b">
        <f>AND(IF(metadata!C293="",FALSE,TRUE),EXACT(metadata!C293,"mouse gut metagenome"))</f>
        <v>0</v>
      </c>
      <c r="Q293" t="b">
        <f>AND(IF(metadata!D293="",FALSE,TRUE),EXACT(metadata!D293,"410661"))</f>
        <v>0</v>
      </c>
    </row>
    <row r="294" spans="1:17" x14ac:dyDescent="0.2">
      <c r="A294" s="4" t="str">
        <f ca="1">IF(B294=" "," ",HYPERLINK(CONCATENATE("#metadata!",ADDRESS(INDEX($J$2:$J$1001,MATCH(ROWS($H$2:H294),$H$2:$H$1001,0),0),1)),INDEX($M$2:$M$1001,MATCH(ROWS($H$2:H294),$H$2:$H$1001,0),0)))</f>
        <v xml:space="preserve"> </v>
      </c>
      <c r="B294" s="3" t="str">
        <f ca="1">IF(OR(INDEX($I$2:$I$1001,MATCH(ROWS($H$2:H294),$H$2:$H$1001,0),1)&gt;=100000,INDEX($O$1005:$Q$1005,1,MATCH(COLUMNS($O$1006:O1006),$O$1006:$Q$1006,0))&gt;=100000), " ",IF(INDEX($O$2:$Q$1001,MATCH(ROWS($H$2:H294),$H$2:$H$1001,0),MATCH(COLUMNS($O$1006:O1006),$O$1006:$Q$1006,0)), HYPERLINK("#",""), HYPERLINK(CONCATENATE("#metadata!", ADDRESS(INDEX($J$2:$J$1001,MATCH(ROWS($H$2:H294),$H$2:$H$1001,0),0), INDEX($O$1004:$Q$1004,1,MATCH(COLUMNS($O$1006:O1006),$O$1006:$Q$1006,0)))),"Fix")))</f>
        <v xml:space="preserve"> </v>
      </c>
      <c r="C294" s="3" t="str">
        <f ca="1">IF(OR(INDEX($I$2:$I$1001,MATCH(ROWS($H$2:H294),$H$2:$H$1001,0),1)&gt;=100000,INDEX($O$1005:$Q$1005,1,MATCH(COLUMNS($O$1006:P1006),$O$1006:$Q$1006,0))&gt;=100000), " ",IF(INDEX($O$2:$Q$1001,MATCH(ROWS($H$2:H294),$H$2:$H$1001,0),MATCH(COLUMNS($O$1006:P1006),$O$1006:$Q$1006,0)), HYPERLINK("#",""), HYPERLINK(CONCATENATE("#metadata!", ADDRESS(INDEX($J$2:$J$1001,MATCH(ROWS($H$2:H294),$H$2:$H$1001,0),0), INDEX($O$1004:$Q$1004,1,MATCH(COLUMNS($O$1006:P1006),$O$1006:$Q$1006,0)))),"Fix")))</f>
        <v xml:space="preserve"> </v>
      </c>
      <c r="D294" s="3" t="str">
        <f ca="1">IF(OR(INDEX($I$2:$I$1001,MATCH(ROWS($H$2:H294),$H$2:$H$1001,0),1)&gt;=100000,INDEX($O$1005:$Q$1005,1,MATCH(COLUMNS($O$1006:Q1006),$O$1006:$Q$1006,0))&gt;=100000), " ",IF(INDEX($O$2:$Q$1001,MATCH(ROWS($H$2:H294),$H$2:$H$1001,0),MATCH(COLUMNS($O$1006:Q1006),$O$1006:$Q$1006,0)), HYPERLINK("#",""), HYPERLINK(CONCATENATE("#metadata!", ADDRESS(INDEX($J$2:$J$1001,MATCH(ROWS($H$2:H294),$H$2:$H$1001,0),0), INDEX($O$1004:$Q$1004,1,MATCH(COLUMNS($O$1006:Q1006),$O$1006:$Q$1006,0)))),"Fix")))</f>
        <v xml:space="preserve"> </v>
      </c>
      <c r="H294">
        <v>293</v>
      </c>
      <c r="I294">
        <v>100294</v>
      </c>
      <c r="J294">
        <v>294</v>
      </c>
      <c r="K294" t="b">
        <f t="shared" si="4"/>
        <v>1</v>
      </c>
      <c r="L294" t="b">
        <f>COUNTBLANK(metadata!B294:D294)=COLUMNS(metadata!B294:D294)</f>
        <v>1</v>
      </c>
      <c r="M294" t="str">
        <v/>
      </c>
      <c r="O294" t="b">
        <f ca="1"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P294" t="b">
        <f>AND(IF(metadata!C294="",FALSE,TRUE),EXACT(metadata!C294,"mouse gut metagenome"))</f>
        <v>0</v>
      </c>
      <c r="Q294" t="b">
        <f>AND(IF(metadata!D294="",FALSE,TRUE),EXACT(metadata!D294,"410661"))</f>
        <v>0</v>
      </c>
    </row>
    <row r="295" spans="1:17" x14ac:dyDescent="0.2">
      <c r="A295" s="4" t="str">
        <f ca="1">IF(B295=" "," ",HYPERLINK(CONCATENATE("#metadata!",ADDRESS(INDEX($J$2:$J$1001,MATCH(ROWS($H$2:H295),$H$2:$H$1001,0),0),1)),INDEX($M$2:$M$1001,MATCH(ROWS($H$2:H295),$H$2:$H$1001,0),0)))</f>
        <v xml:space="preserve"> </v>
      </c>
      <c r="B295" s="3" t="str">
        <f ca="1">IF(OR(INDEX($I$2:$I$1001,MATCH(ROWS($H$2:H295),$H$2:$H$1001,0),1)&gt;=100000,INDEX($O$1005:$Q$1005,1,MATCH(COLUMNS($O$1006:O1006),$O$1006:$Q$1006,0))&gt;=100000), " ",IF(INDEX($O$2:$Q$1001,MATCH(ROWS($H$2:H295),$H$2:$H$1001,0),MATCH(COLUMNS($O$1006:O1006),$O$1006:$Q$1006,0)), HYPERLINK("#",""), HYPERLINK(CONCATENATE("#metadata!", ADDRESS(INDEX($J$2:$J$1001,MATCH(ROWS($H$2:H295),$H$2:$H$1001,0),0), INDEX($O$1004:$Q$1004,1,MATCH(COLUMNS($O$1006:O1006),$O$1006:$Q$1006,0)))),"Fix")))</f>
        <v xml:space="preserve"> </v>
      </c>
      <c r="C295" s="3" t="str">
        <f ca="1">IF(OR(INDEX($I$2:$I$1001,MATCH(ROWS($H$2:H295),$H$2:$H$1001,0),1)&gt;=100000,INDEX($O$1005:$Q$1005,1,MATCH(COLUMNS($O$1006:P1006),$O$1006:$Q$1006,0))&gt;=100000), " ",IF(INDEX($O$2:$Q$1001,MATCH(ROWS($H$2:H295),$H$2:$H$1001,0),MATCH(COLUMNS($O$1006:P1006),$O$1006:$Q$1006,0)), HYPERLINK("#",""), HYPERLINK(CONCATENATE("#metadata!", ADDRESS(INDEX($J$2:$J$1001,MATCH(ROWS($H$2:H295),$H$2:$H$1001,0),0), INDEX($O$1004:$Q$1004,1,MATCH(COLUMNS($O$1006:P1006),$O$1006:$Q$1006,0)))),"Fix")))</f>
        <v xml:space="preserve"> </v>
      </c>
      <c r="D295" s="3" t="str">
        <f ca="1">IF(OR(INDEX($I$2:$I$1001,MATCH(ROWS($H$2:H295),$H$2:$H$1001,0),1)&gt;=100000,INDEX($O$1005:$Q$1005,1,MATCH(COLUMNS($O$1006:Q1006),$O$1006:$Q$1006,0))&gt;=100000), " ",IF(INDEX($O$2:$Q$1001,MATCH(ROWS($H$2:H295),$H$2:$H$1001,0),MATCH(COLUMNS($O$1006:Q1006),$O$1006:$Q$1006,0)), HYPERLINK("#",""), HYPERLINK(CONCATENATE("#metadata!", ADDRESS(INDEX($J$2:$J$1001,MATCH(ROWS($H$2:H295),$H$2:$H$1001,0),0), INDEX($O$1004:$Q$1004,1,MATCH(COLUMNS($O$1006:Q1006),$O$1006:$Q$1006,0)))),"Fix")))</f>
        <v xml:space="preserve"> </v>
      </c>
      <c r="H295">
        <v>294</v>
      </c>
      <c r="I295">
        <v>100295</v>
      </c>
      <c r="J295">
        <v>295</v>
      </c>
      <c r="K295" t="b">
        <f t="shared" si="4"/>
        <v>1</v>
      </c>
      <c r="L295" t="b">
        <f>COUNTBLANK(metadata!B295:D295)=COLUMNS(metadata!B295:D295)</f>
        <v>1</v>
      </c>
      <c r="M295" t="str">
        <v/>
      </c>
      <c r="O295" t="b">
        <f ca="1"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P295" t="b">
        <f>AND(IF(metadata!C295="",FALSE,TRUE),EXACT(metadata!C295,"mouse gut metagenome"))</f>
        <v>0</v>
      </c>
      <c r="Q295" t="b">
        <f>AND(IF(metadata!D295="",FALSE,TRUE),EXACT(metadata!D295,"410661"))</f>
        <v>0</v>
      </c>
    </row>
    <row r="296" spans="1:17" x14ac:dyDescent="0.2">
      <c r="A296" s="4" t="str">
        <f ca="1">IF(B296=" "," ",HYPERLINK(CONCATENATE("#metadata!",ADDRESS(INDEX($J$2:$J$1001,MATCH(ROWS($H$2:H296),$H$2:$H$1001,0),0),1)),INDEX($M$2:$M$1001,MATCH(ROWS($H$2:H296),$H$2:$H$1001,0),0)))</f>
        <v xml:space="preserve"> </v>
      </c>
      <c r="B296" s="3" t="str">
        <f ca="1">IF(OR(INDEX($I$2:$I$1001,MATCH(ROWS($H$2:H296),$H$2:$H$1001,0),1)&gt;=100000,INDEX($O$1005:$Q$1005,1,MATCH(COLUMNS($O$1006:O1006),$O$1006:$Q$1006,0))&gt;=100000), " ",IF(INDEX($O$2:$Q$1001,MATCH(ROWS($H$2:H296),$H$2:$H$1001,0),MATCH(COLUMNS($O$1006:O1006),$O$1006:$Q$1006,0)), HYPERLINK("#",""), HYPERLINK(CONCATENATE("#metadata!", ADDRESS(INDEX($J$2:$J$1001,MATCH(ROWS($H$2:H296),$H$2:$H$1001,0),0), INDEX($O$1004:$Q$1004,1,MATCH(COLUMNS($O$1006:O1006),$O$1006:$Q$1006,0)))),"Fix")))</f>
        <v xml:space="preserve"> </v>
      </c>
      <c r="C296" s="3" t="str">
        <f ca="1">IF(OR(INDEX($I$2:$I$1001,MATCH(ROWS($H$2:H296),$H$2:$H$1001,0),1)&gt;=100000,INDEX($O$1005:$Q$1005,1,MATCH(COLUMNS($O$1006:P1006),$O$1006:$Q$1006,0))&gt;=100000), " ",IF(INDEX($O$2:$Q$1001,MATCH(ROWS($H$2:H296),$H$2:$H$1001,0),MATCH(COLUMNS($O$1006:P1006),$O$1006:$Q$1006,0)), HYPERLINK("#",""), HYPERLINK(CONCATENATE("#metadata!", ADDRESS(INDEX($J$2:$J$1001,MATCH(ROWS($H$2:H296),$H$2:$H$1001,0),0), INDEX($O$1004:$Q$1004,1,MATCH(COLUMNS($O$1006:P1006),$O$1006:$Q$1006,0)))),"Fix")))</f>
        <v xml:space="preserve"> </v>
      </c>
      <c r="D296" s="3" t="str">
        <f ca="1">IF(OR(INDEX($I$2:$I$1001,MATCH(ROWS($H$2:H296),$H$2:$H$1001,0),1)&gt;=100000,INDEX($O$1005:$Q$1005,1,MATCH(COLUMNS($O$1006:Q1006),$O$1006:$Q$1006,0))&gt;=100000), " ",IF(INDEX($O$2:$Q$1001,MATCH(ROWS($H$2:H296),$H$2:$H$1001,0),MATCH(COLUMNS($O$1006:Q1006),$O$1006:$Q$1006,0)), HYPERLINK("#",""), HYPERLINK(CONCATENATE("#metadata!", ADDRESS(INDEX($J$2:$J$1001,MATCH(ROWS($H$2:H296),$H$2:$H$1001,0),0), INDEX($O$1004:$Q$1004,1,MATCH(COLUMNS($O$1006:Q1006),$O$1006:$Q$1006,0)))),"Fix")))</f>
        <v xml:space="preserve"> </v>
      </c>
      <c r="H296">
        <v>295</v>
      </c>
      <c r="I296">
        <v>100296</v>
      </c>
      <c r="J296">
        <v>296</v>
      </c>
      <c r="K296" t="b">
        <f t="shared" si="4"/>
        <v>1</v>
      </c>
      <c r="L296" t="b">
        <f>COUNTBLANK(metadata!B296:D296)=COLUMNS(metadata!B296:D296)</f>
        <v>1</v>
      </c>
      <c r="M296" t="str">
        <v/>
      </c>
      <c r="O296" t="b">
        <f ca="1"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P296" t="b">
        <f>AND(IF(metadata!C296="",FALSE,TRUE),EXACT(metadata!C296,"mouse gut metagenome"))</f>
        <v>0</v>
      </c>
      <c r="Q296" t="b">
        <f>AND(IF(metadata!D296="",FALSE,TRUE),EXACT(metadata!D296,"410661"))</f>
        <v>0</v>
      </c>
    </row>
    <row r="297" spans="1:17" x14ac:dyDescent="0.2">
      <c r="A297" s="4" t="str">
        <f ca="1">IF(B297=" "," ",HYPERLINK(CONCATENATE("#metadata!",ADDRESS(INDEX($J$2:$J$1001,MATCH(ROWS($H$2:H297),$H$2:$H$1001,0),0),1)),INDEX($M$2:$M$1001,MATCH(ROWS($H$2:H297),$H$2:$H$1001,0),0)))</f>
        <v xml:space="preserve"> </v>
      </c>
      <c r="B297" s="3" t="str">
        <f ca="1">IF(OR(INDEX($I$2:$I$1001,MATCH(ROWS($H$2:H297),$H$2:$H$1001,0),1)&gt;=100000,INDEX($O$1005:$Q$1005,1,MATCH(COLUMNS($O$1006:O1006),$O$1006:$Q$1006,0))&gt;=100000), " ",IF(INDEX($O$2:$Q$1001,MATCH(ROWS($H$2:H297),$H$2:$H$1001,0),MATCH(COLUMNS($O$1006:O1006),$O$1006:$Q$1006,0)), HYPERLINK("#",""), HYPERLINK(CONCATENATE("#metadata!", ADDRESS(INDEX($J$2:$J$1001,MATCH(ROWS($H$2:H297),$H$2:$H$1001,0),0), INDEX($O$1004:$Q$1004,1,MATCH(COLUMNS($O$1006:O1006),$O$1006:$Q$1006,0)))),"Fix")))</f>
        <v xml:space="preserve"> </v>
      </c>
      <c r="C297" s="3" t="str">
        <f ca="1">IF(OR(INDEX($I$2:$I$1001,MATCH(ROWS($H$2:H297),$H$2:$H$1001,0),1)&gt;=100000,INDEX($O$1005:$Q$1005,1,MATCH(COLUMNS($O$1006:P1006),$O$1006:$Q$1006,0))&gt;=100000), " ",IF(INDEX($O$2:$Q$1001,MATCH(ROWS($H$2:H297),$H$2:$H$1001,0),MATCH(COLUMNS($O$1006:P1006),$O$1006:$Q$1006,0)), HYPERLINK("#",""), HYPERLINK(CONCATENATE("#metadata!", ADDRESS(INDEX($J$2:$J$1001,MATCH(ROWS($H$2:H297),$H$2:$H$1001,0),0), INDEX($O$1004:$Q$1004,1,MATCH(COLUMNS($O$1006:P1006),$O$1006:$Q$1006,0)))),"Fix")))</f>
        <v xml:space="preserve"> </v>
      </c>
      <c r="D297" s="3" t="str">
        <f ca="1">IF(OR(INDEX($I$2:$I$1001,MATCH(ROWS($H$2:H297),$H$2:$H$1001,0),1)&gt;=100000,INDEX($O$1005:$Q$1005,1,MATCH(COLUMNS($O$1006:Q1006),$O$1006:$Q$1006,0))&gt;=100000), " ",IF(INDEX($O$2:$Q$1001,MATCH(ROWS($H$2:H297),$H$2:$H$1001,0),MATCH(COLUMNS($O$1006:Q1006),$O$1006:$Q$1006,0)), HYPERLINK("#",""), HYPERLINK(CONCATENATE("#metadata!", ADDRESS(INDEX($J$2:$J$1001,MATCH(ROWS($H$2:H297),$H$2:$H$1001,0),0), INDEX($O$1004:$Q$1004,1,MATCH(COLUMNS($O$1006:Q1006),$O$1006:$Q$1006,0)))),"Fix")))</f>
        <v xml:space="preserve"> </v>
      </c>
      <c r="H297">
        <v>296</v>
      </c>
      <c r="I297">
        <v>100297</v>
      </c>
      <c r="J297">
        <v>297</v>
      </c>
      <c r="K297" t="b">
        <f t="shared" si="4"/>
        <v>1</v>
      </c>
      <c r="L297" t="b">
        <f>COUNTBLANK(metadata!B297:D297)=COLUMNS(metadata!B297:D297)</f>
        <v>1</v>
      </c>
      <c r="M297" t="str">
        <v/>
      </c>
      <c r="O297" t="b">
        <f ca="1"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P297" t="b">
        <f>AND(IF(metadata!C297="",FALSE,TRUE),EXACT(metadata!C297,"mouse gut metagenome"))</f>
        <v>0</v>
      </c>
      <c r="Q297" t="b">
        <f>AND(IF(metadata!D297="",FALSE,TRUE),EXACT(metadata!D297,"410661"))</f>
        <v>0</v>
      </c>
    </row>
    <row r="298" spans="1:17" x14ac:dyDescent="0.2">
      <c r="A298" s="4" t="str">
        <f ca="1">IF(B298=" "," ",HYPERLINK(CONCATENATE("#metadata!",ADDRESS(INDEX($J$2:$J$1001,MATCH(ROWS($H$2:H298),$H$2:$H$1001,0),0),1)),INDEX($M$2:$M$1001,MATCH(ROWS($H$2:H298),$H$2:$H$1001,0),0)))</f>
        <v xml:space="preserve"> </v>
      </c>
      <c r="B298" s="3" t="str">
        <f ca="1">IF(OR(INDEX($I$2:$I$1001,MATCH(ROWS($H$2:H298),$H$2:$H$1001,0),1)&gt;=100000,INDEX($O$1005:$Q$1005,1,MATCH(COLUMNS($O$1006:O1006),$O$1006:$Q$1006,0))&gt;=100000), " ",IF(INDEX($O$2:$Q$1001,MATCH(ROWS($H$2:H298),$H$2:$H$1001,0),MATCH(COLUMNS($O$1006:O1006),$O$1006:$Q$1006,0)), HYPERLINK("#",""), HYPERLINK(CONCATENATE("#metadata!", ADDRESS(INDEX($J$2:$J$1001,MATCH(ROWS($H$2:H298),$H$2:$H$1001,0),0), INDEX($O$1004:$Q$1004,1,MATCH(COLUMNS($O$1006:O1006),$O$1006:$Q$1006,0)))),"Fix")))</f>
        <v xml:space="preserve"> </v>
      </c>
      <c r="C298" s="3" t="str">
        <f ca="1">IF(OR(INDEX($I$2:$I$1001,MATCH(ROWS($H$2:H298),$H$2:$H$1001,0),1)&gt;=100000,INDEX($O$1005:$Q$1005,1,MATCH(COLUMNS($O$1006:P1006),$O$1006:$Q$1006,0))&gt;=100000), " ",IF(INDEX($O$2:$Q$1001,MATCH(ROWS($H$2:H298),$H$2:$H$1001,0),MATCH(COLUMNS($O$1006:P1006),$O$1006:$Q$1006,0)), HYPERLINK("#",""), HYPERLINK(CONCATENATE("#metadata!", ADDRESS(INDEX($J$2:$J$1001,MATCH(ROWS($H$2:H298),$H$2:$H$1001,0),0), INDEX($O$1004:$Q$1004,1,MATCH(COLUMNS($O$1006:P1006),$O$1006:$Q$1006,0)))),"Fix")))</f>
        <v xml:space="preserve"> </v>
      </c>
      <c r="D298" s="3" t="str">
        <f ca="1">IF(OR(INDEX($I$2:$I$1001,MATCH(ROWS($H$2:H298),$H$2:$H$1001,0),1)&gt;=100000,INDEX($O$1005:$Q$1005,1,MATCH(COLUMNS($O$1006:Q1006),$O$1006:$Q$1006,0))&gt;=100000), " ",IF(INDEX($O$2:$Q$1001,MATCH(ROWS($H$2:H298),$H$2:$H$1001,0),MATCH(COLUMNS($O$1006:Q1006),$O$1006:$Q$1006,0)), HYPERLINK("#",""), HYPERLINK(CONCATENATE("#metadata!", ADDRESS(INDEX($J$2:$J$1001,MATCH(ROWS($H$2:H298),$H$2:$H$1001,0),0), INDEX($O$1004:$Q$1004,1,MATCH(COLUMNS($O$1006:Q1006),$O$1006:$Q$1006,0)))),"Fix")))</f>
        <v xml:space="preserve"> </v>
      </c>
      <c r="H298">
        <v>297</v>
      </c>
      <c r="I298">
        <v>100298</v>
      </c>
      <c r="J298">
        <v>298</v>
      </c>
      <c r="K298" t="b">
        <f t="shared" si="4"/>
        <v>1</v>
      </c>
      <c r="L298" t="b">
        <f>COUNTBLANK(metadata!B298:D298)=COLUMNS(metadata!B298:D298)</f>
        <v>1</v>
      </c>
      <c r="M298" t="str">
        <v/>
      </c>
      <c r="O298" t="b">
        <f ca="1"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P298" t="b">
        <f>AND(IF(metadata!C298="",FALSE,TRUE),EXACT(metadata!C298,"mouse gut metagenome"))</f>
        <v>0</v>
      </c>
      <c r="Q298" t="b">
        <f>AND(IF(metadata!D298="",FALSE,TRUE),EXACT(metadata!D298,"410661"))</f>
        <v>0</v>
      </c>
    </row>
    <row r="299" spans="1:17" x14ac:dyDescent="0.2">
      <c r="A299" s="4" t="str">
        <f ca="1">IF(B299=" "," ",HYPERLINK(CONCATENATE("#metadata!",ADDRESS(INDEX($J$2:$J$1001,MATCH(ROWS($H$2:H299),$H$2:$H$1001,0),0),1)),INDEX($M$2:$M$1001,MATCH(ROWS($H$2:H299),$H$2:$H$1001,0),0)))</f>
        <v xml:space="preserve"> </v>
      </c>
      <c r="B299" s="3" t="str">
        <f ca="1">IF(OR(INDEX($I$2:$I$1001,MATCH(ROWS($H$2:H299),$H$2:$H$1001,0),1)&gt;=100000,INDEX($O$1005:$Q$1005,1,MATCH(COLUMNS($O$1006:O1006),$O$1006:$Q$1006,0))&gt;=100000), " ",IF(INDEX($O$2:$Q$1001,MATCH(ROWS($H$2:H299),$H$2:$H$1001,0),MATCH(COLUMNS($O$1006:O1006),$O$1006:$Q$1006,0)), HYPERLINK("#",""), HYPERLINK(CONCATENATE("#metadata!", ADDRESS(INDEX($J$2:$J$1001,MATCH(ROWS($H$2:H299),$H$2:$H$1001,0),0), INDEX($O$1004:$Q$1004,1,MATCH(COLUMNS($O$1006:O1006),$O$1006:$Q$1006,0)))),"Fix")))</f>
        <v xml:space="preserve"> </v>
      </c>
      <c r="C299" s="3" t="str">
        <f ca="1">IF(OR(INDEX($I$2:$I$1001,MATCH(ROWS($H$2:H299),$H$2:$H$1001,0),1)&gt;=100000,INDEX($O$1005:$Q$1005,1,MATCH(COLUMNS($O$1006:P1006),$O$1006:$Q$1006,0))&gt;=100000), " ",IF(INDEX($O$2:$Q$1001,MATCH(ROWS($H$2:H299),$H$2:$H$1001,0),MATCH(COLUMNS($O$1006:P1006),$O$1006:$Q$1006,0)), HYPERLINK("#",""), HYPERLINK(CONCATENATE("#metadata!", ADDRESS(INDEX($J$2:$J$1001,MATCH(ROWS($H$2:H299),$H$2:$H$1001,0),0), INDEX($O$1004:$Q$1004,1,MATCH(COLUMNS($O$1006:P1006),$O$1006:$Q$1006,0)))),"Fix")))</f>
        <v xml:space="preserve"> </v>
      </c>
      <c r="D299" s="3" t="str">
        <f ca="1">IF(OR(INDEX($I$2:$I$1001,MATCH(ROWS($H$2:H299),$H$2:$H$1001,0),1)&gt;=100000,INDEX($O$1005:$Q$1005,1,MATCH(COLUMNS($O$1006:Q1006),$O$1006:$Q$1006,0))&gt;=100000), " ",IF(INDEX($O$2:$Q$1001,MATCH(ROWS($H$2:H299),$H$2:$H$1001,0),MATCH(COLUMNS($O$1006:Q1006),$O$1006:$Q$1006,0)), HYPERLINK("#",""), HYPERLINK(CONCATENATE("#metadata!", ADDRESS(INDEX($J$2:$J$1001,MATCH(ROWS($H$2:H299),$H$2:$H$1001,0),0), INDEX($O$1004:$Q$1004,1,MATCH(COLUMNS($O$1006:Q1006),$O$1006:$Q$1006,0)))),"Fix")))</f>
        <v xml:space="preserve"> </v>
      </c>
      <c r="H299">
        <v>298</v>
      </c>
      <c r="I299">
        <v>100299</v>
      </c>
      <c r="J299">
        <v>299</v>
      </c>
      <c r="K299" t="b">
        <f t="shared" si="4"/>
        <v>1</v>
      </c>
      <c r="L299" t="b">
        <f>COUNTBLANK(metadata!B299:D299)=COLUMNS(metadata!B299:D299)</f>
        <v>1</v>
      </c>
      <c r="M299" t="str">
        <v/>
      </c>
      <c r="O299" t="b">
        <f ca="1"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P299" t="b">
        <f>AND(IF(metadata!C299="",FALSE,TRUE),EXACT(metadata!C299,"mouse gut metagenome"))</f>
        <v>0</v>
      </c>
      <c r="Q299" t="b">
        <f>AND(IF(metadata!D299="",FALSE,TRUE),EXACT(metadata!D299,"410661"))</f>
        <v>0</v>
      </c>
    </row>
    <row r="300" spans="1:17" x14ac:dyDescent="0.2">
      <c r="A300" s="4" t="str">
        <f ca="1">IF(B300=" "," ",HYPERLINK(CONCATENATE("#metadata!",ADDRESS(INDEX($J$2:$J$1001,MATCH(ROWS($H$2:H300),$H$2:$H$1001,0),0),1)),INDEX($M$2:$M$1001,MATCH(ROWS($H$2:H300),$H$2:$H$1001,0),0)))</f>
        <v xml:space="preserve"> </v>
      </c>
      <c r="B300" s="3" t="str">
        <f ca="1">IF(OR(INDEX($I$2:$I$1001,MATCH(ROWS($H$2:H300),$H$2:$H$1001,0),1)&gt;=100000,INDEX($O$1005:$Q$1005,1,MATCH(COLUMNS($O$1006:O1006),$O$1006:$Q$1006,0))&gt;=100000), " ",IF(INDEX($O$2:$Q$1001,MATCH(ROWS($H$2:H300),$H$2:$H$1001,0),MATCH(COLUMNS($O$1006:O1006),$O$1006:$Q$1006,0)), HYPERLINK("#",""), HYPERLINK(CONCATENATE("#metadata!", ADDRESS(INDEX($J$2:$J$1001,MATCH(ROWS($H$2:H300),$H$2:$H$1001,0),0), INDEX($O$1004:$Q$1004,1,MATCH(COLUMNS($O$1006:O1006),$O$1006:$Q$1006,0)))),"Fix")))</f>
        <v xml:space="preserve"> </v>
      </c>
      <c r="C300" s="3" t="str">
        <f ca="1">IF(OR(INDEX($I$2:$I$1001,MATCH(ROWS($H$2:H300),$H$2:$H$1001,0),1)&gt;=100000,INDEX($O$1005:$Q$1005,1,MATCH(COLUMNS($O$1006:P1006),$O$1006:$Q$1006,0))&gt;=100000), " ",IF(INDEX($O$2:$Q$1001,MATCH(ROWS($H$2:H300),$H$2:$H$1001,0),MATCH(COLUMNS($O$1006:P1006),$O$1006:$Q$1006,0)), HYPERLINK("#",""), HYPERLINK(CONCATENATE("#metadata!", ADDRESS(INDEX($J$2:$J$1001,MATCH(ROWS($H$2:H300),$H$2:$H$1001,0),0), INDEX($O$1004:$Q$1004,1,MATCH(COLUMNS($O$1006:P1006),$O$1006:$Q$1006,0)))),"Fix")))</f>
        <v xml:space="preserve"> </v>
      </c>
      <c r="D300" s="3" t="str">
        <f ca="1">IF(OR(INDEX($I$2:$I$1001,MATCH(ROWS($H$2:H300),$H$2:$H$1001,0),1)&gt;=100000,INDEX($O$1005:$Q$1005,1,MATCH(COLUMNS($O$1006:Q1006),$O$1006:$Q$1006,0))&gt;=100000), " ",IF(INDEX($O$2:$Q$1001,MATCH(ROWS($H$2:H300),$H$2:$H$1001,0),MATCH(COLUMNS($O$1006:Q1006),$O$1006:$Q$1006,0)), HYPERLINK("#",""), HYPERLINK(CONCATENATE("#metadata!", ADDRESS(INDEX($J$2:$J$1001,MATCH(ROWS($H$2:H300),$H$2:$H$1001,0),0), INDEX($O$1004:$Q$1004,1,MATCH(COLUMNS($O$1006:Q1006),$O$1006:$Q$1006,0)))),"Fix")))</f>
        <v xml:space="preserve"> </v>
      </c>
      <c r="H300">
        <v>299</v>
      </c>
      <c r="I300">
        <v>100300</v>
      </c>
      <c r="J300">
        <v>300</v>
      </c>
      <c r="K300" t="b">
        <f t="shared" si="4"/>
        <v>1</v>
      </c>
      <c r="L300" t="b">
        <f>COUNTBLANK(metadata!B300:D300)=COLUMNS(metadata!B300:D300)</f>
        <v>1</v>
      </c>
      <c r="M300" t="str">
        <v/>
      </c>
      <c r="O300" t="b">
        <f ca="1"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P300" t="b">
        <f>AND(IF(metadata!C300="",FALSE,TRUE),EXACT(metadata!C300,"mouse gut metagenome"))</f>
        <v>0</v>
      </c>
      <c r="Q300" t="b">
        <f>AND(IF(metadata!D300="",FALSE,TRUE),EXACT(metadata!D300,"410661"))</f>
        <v>0</v>
      </c>
    </row>
    <row r="301" spans="1:17" x14ac:dyDescent="0.2">
      <c r="A301" s="4" t="str">
        <f ca="1">IF(B301=" "," ",HYPERLINK(CONCATENATE("#metadata!",ADDRESS(INDEX($J$2:$J$1001,MATCH(ROWS($H$2:H301),$H$2:$H$1001,0),0),1)),INDEX($M$2:$M$1001,MATCH(ROWS($H$2:H301),$H$2:$H$1001,0),0)))</f>
        <v xml:space="preserve"> </v>
      </c>
      <c r="B301" s="3" t="str">
        <f ca="1">IF(OR(INDEX($I$2:$I$1001,MATCH(ROWS($H$2:H301),$H$2:$H$1001,0),1)&gt;=100000,INDEX($O$1005:$Q$1005,1,MATCH(COLUMNS($O$1006:O1006),$O$1006:$Q$1006,0))&gt;=100000), " ",IF(INDEX($O$2:$Q$1001,MATCH(ROWS($H$2:H301),$H$2:$H$1001,0),MATCH(COLUMNS($O$1006:O1006),$O$1006:$Q$1006,0)), HYPERLINK("#",""), HYPERLINK(CONCATENATE("#metadata!", ADDRESS(INDEX($J$2:$J$1001,MATCH(ROWS($H$2:H301),$H$2:$H$1001,0),0), INDEX($O$1004:$Q$1004,1,MATCH(COLUMNS($O$1006:O1006),$O$1006:$Q$1006,0)))),"Fix")))</f>
        <v xml:space="preserve"> </v>
      </c>
      <c r="C301" s="3" t="str">
        <f ca="1">IF(OR(INDEX($I$2:$I$1001,MATCH(ROWS($H$2:H301),$H$2:$H$1001,0),1)&gt;=100000,INDEX($O$1005:$Q$1005,1,MATCH(COLUMNS($O$1006:P1006),$O$1006:$Q$1006,0))&gt;=100000), " ",IF(INDEX($O$2:$Q$1001,MATCH(ROWS($H$2:H301),$H$2:$H$1001,0),MATCH(COLUMNS($O$1006:P1006),$O$1006:$Q$1006,0)), HYPERLINK("#",""), HYPERLINK(CONCATENATE("#metadata!", ADDRESS(INDEX($J$2:$J$1001,MATCH(ROWS($H$2:H301),$H$2:$H$1001,0),0), INDEX($O$1004:$Q$1004,1,MATCH(COLUMNS($O$1006:P1006),$O$1006:$Q$1006,0)))),"Fix")))</f>
        <v xml:space="preserve"> </v>
      </c>
      <c r="D301" s="3" t="str">
        <f ca="1">IF(OR(INDEX($I$2:$I$1001,MATCH(ROWS($H$2:H301),$H$2:$H$1001,0),1)&gt;=100000,INDEX($O$1005:$Q$1005,1,MATCH(COLUMNS($O$1006:Q1006),$O$1006:$Q$1006,0))&gt;=100000), " ",IF(INDEX($O$2:$Q$1001,MATCH(ROWS($H$2:H301),$H$2:$H$1001,0),MATCH(COLUMNS($O$1006:Q1006),$O$1006:$Q$1006,0)), HYPERLINK("#",""), HYPERLINK(CONCATENATE("#metadata!", ADDRESS(INDEX($J$2:$J$1001,MATCH(ROWS($H$2:H301),$H$2:$H$1001,0),0), INDEX($O$1004:$Q$1004,1,MATCH(COLUMNS($O$1006:Q1006),$O$1006:$Q$1006,0)))),"Fix")))</f>
        <v xml:space="preserve"> </v>
      </c>
      <c r="H301">
        <v>300</v>
      </c>
      <c r="I301">
        <v>100301</v>
      </c>
      <c r="J301">
        <v>301</v>
      </c>
      <c r="K301" t="b">
        <f t="shared" si="4"/>
        <v>1</v>
      </c>
      <c r="L301" t="b">
        <f>COUNTBLANK(metadata!B301:D301)=COLUMNS(metadata!B301:D301)</f>
        <v>1</v>
      </c>
      <c r="M301" t="str">
        <v/>
      </c>
      <c r="O301" t="b">
        <f ca="1"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P301" t="b">
        <f>AND(IF(metadata!C301="",FALSE,TRUE),EXACT(metadata!C301,"mouse gut metagenome"))</f>
        <v>0</v>
      </c>
      <c r="Q301" t="b">
        <f>AND(IF(metadata!D301="",FALSE,TRUE),EXACT(metadata!D301,"410661"))</f>
        <v>0</v>
      </c>
    </row>
    <row r="302" spans="1:17" x14ac:dyDescent="0.2">
      <c r="A302" s="4" t="str">
        <f ca="1">IF(B302=" "," ",HYPERLINK(CONCATENATE("#metadata!",ADDRESS(INDEX($J$2:$J$1001,MATCH(ROWS($H$2:H302),$H$2:$H$1001,0),0),1)),INDEX($M$2:$M$1001,MATCH(ROWS($H$2:H302),$H$2:$H$1001,0),0)))</f>
        <v xml:space="preserve"> </v>
      </c>
      <c r="B302" s="3" t="str">
        <f ca="1">IF(OR(INDEX($I$2:$I$1001,MATCH(ROWS($H$2:H302),$H$2:$H$1001,0),1)&gt;=100000,INDEX($O$1005:$Q$1005,1,MATCH(COLUMNS($O$1006:O1006),$O$1006:$Q$1006,0))&gt;=100000), " ",IF(INDEX($O$2:$Q$1001,MATCH(ROWS($H$2:H302),$H$2:$H$1001,0),MATCH(COLUMNS($O$1006:O1006),$O$1006:$Q$1006,0)), HYPERLINK("#",""), HYPERLINK(CONCATENATE("#metadata!", ADDRESS(INDEX($J$2:$J$1001,MATCH(ROWS($H$2:H302),$H$2:$H$1001,0),0), INDEX($O$1004:$Q$1004,1,MATCH(COLUMNS($O$1006:O1006),$O$1006:$Q$1006,0)))),"Fix")))</f>
        <v xml:space="preserve"> </v>
      </c>
      <c r="C302" s="3" t="str">
        <f ca="1">IF(OR(INDEX($I$2:$I$1001,MATCH(ROWS($H$2:H302),$H$2:$H$1001,0),1)&gt;=100000,INDEX($O$1005:$Q$1005,1,MATCH(COLUMNS($O$1006:P1006),$O$1006:$Q$1006,0))&gt;=100000), " ",IF(INDEX($O$2:$Q$1001,MATCH(ROWS($H$2:H302),$H$2:$H$1001,0),MATCH(COLUMNS($O$1006:P1006),$O$1006:$Q$1006,0)), HYPERLINK("#",""), HYPERLINK(CONCATENATE("#metadata!", ADDRESS(INDEX($J$2:$J$1001,MATCH(ROWS($H$2:H302),$H$2:$H$1001,0),0), INDEX($O$1004:$Q$1004,1,MATCH(COLUMNS($O$1006:P1006),$O$1006:$Q$1006,0)))),"Fix")))</f>
        <v xml:space="preserve"> </v>
      </c>
      <c r="D302" s="3" t="str">
        <f ca="1">IF(OR(INDEX($I$2:$I$1001,MATCH(ROWS($H$2:H302),$H$2:$H$1001,0),1)&gt;=100000,INDEX($O$1005:$Q$1005,1,MATCH(COLUMNS($O$1006:Q1006),$O$1006:$Q$1006,0))&gt;=100000), " ",IF(INDEX($O$2:$Q$1001,MATCH(ROWS($H$2:H302),$H$2:$H$1001,0),MATCH(COLUMNS($O$1006:Q1006),$O$1006:$Q$1006,0)), HYPERLINK("#",""), HYPERLINK(CONCATENATE("#metadata!", ADDRESS(INDEX($J$2:$J$1001,MATCH(ROWS($H$2:H302),$H$2:$H$1001,0),0), INDEX($O$1004:$Q$1004,1,MATCH(COLUMNS($O$1006:Q1006),$O$1006:$Q$1006,0)))),"Fix")))</f>
        <v xml:space="preserve"> </v>
      </c>
      <c r="H302">
        <v>301</v>
      </c>
      <c r="I302">
        <v>100302</v>
      </c>
      <c r="J302">
        <v>302</v>
      </c>
      <c r="K302" t="b">
        <f t="shared" si="4"/>
        <v>1</v>
      </c>
      <c r="L302" t="b">
        <f>COUNTBLANK(metadata!B302:D302)=COLUMNS(metadata!B302:D302)</f>
        <v>1</v>
      </c>
      <c r="M302" t="str">
        <v/>
      </c>
      <c r="O302" t="b">
        <f ca="1"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P302" t="b">
        <f>AND(IF(metadata!C302="",FALSE,TRUE),EXACT(metadata!C302,"mouse gut metagenome"))</f>
        <v>0</v>
      </c>
      <c r="Q302" t="b">
        <f>AND(IF(metadata!D302="",FALSE,TRUE),EXACT(metadata!D302,"410661"))</f>
        <v>0</v>
      </c>
    </row>
    <row r="303" spans="1:17" x14ac:dyDescent="0.2">
      <c r="A303" s="4" t="str">
        <f ca="1">IF(B303=" "," ",HYPERLINK(CONCATENATE("#metadata!",ADDRESS(INDEX($J$2:$J$1001,MATCH(ROWS($H$2:H303),$H$2:$H$1001,0),0),1)),INDEX($M$2:$M$1001,MATCH(ROWS($H$2:H303),$H$2:$H$1001,0),0)))</f>
        <v xml:space="preserve"> </v>
      </c>
      <c r="B303" s="3" t="str">
        <f ca="1">IF(OR(INDEX($I$2:$I$1001,MATCH(ROWS($H$2:H303),$H$2:$H$1001,0),1)&gt;=100000,INDEX($O$1005:$Q$1005,1,MATCH(COLUMNS($O$1006:O1006),$O$1006:$Q$1006,0))&gt;=100000), " ",IF(INDEX($O$2:$Q$1001,MATCH(ROWS($H$2:H303),$H$2:$H$1001,0),MATCH(COLUMNS($O$1006:O1006),$O$1006:$Q$1006,0)), HYPERLINK("#",""), HYPERLINK(CONCATENATE("#metadata!", ADDRESS(INDEX($J$2:$J$1001,MATCH(ROWS($H$2:H303),$H$2:$H$1001,0),0), INDEX($O$1004:$Q$1004,1,MATCH(COLUMNS($O$1006:O1006),$O$1006:$Q$1006,0)))),"Fix")))</f>
        <v xml:space="preserve"> </v>
      </c>
      <c r="C303" s="3" t="str">
        <f ca="1">IF(OR(INDEX($I$2:$I$1001,MATCH(ROWS($H$2:H303),$H$2:$H$1001,0),1)&gt;=100000,INDEX($O$1005:$Q$1005,1,MATCH(COLUMNS($O$1006:P1006),$O$1006:$Q$1006,0))&gt;=100000), " ",IF(INDEX($O$2:$Q$1001,MATCH(ROWS($H$2:H303),$H$2:$H$1001,0),MATCH(COLUMNS($O$1006:P1006),$O$1006:$Q$1006,0)), HYPERLINK("#",""), HYPERLINK(CONCATENATE("#metadata!", ADDRESS(INDEX($J$2:$J$1001,MATCH(ROWS($H$2:H303),$H$2:$H$1001,0),0), INDEX($O$1004:$Q$1004,1,MATCH(COLUMNS($O$1006:P1006),$O$1006:$Q$1006,0)))),"Fix")))</f>
        <v xml:space="preserve"> </v>
      </c>
      <c r="D303" s="3" t="str">
        <f ca="1">IF(OR(INDEX($I$2:$I$1001,MATCH(ROWS($H$2:H303),$H$2:$H$1001,0),1)&gt;=100000,INDEX($O$1005:$Q$1005,1,MATCH(COLUMNS($O$1006:Q1006),$O$1006:$Q$1006,0))&gt;=100000), " ",IF(INDEX($O$2:$Q$1001,MATCH(ROWS($H$2:H303),$H$2:$H$1001,0),MATCH(COLUMNS($O$1006:Q1006),$O$1006:$Q$1006,0)), HYPERLINK("#",""), HYPERLINK(CONCATENATE("#metadata!", ADDRESS(INDEX($J$2:$J$1001,MATCH(ROWS($H$2:H303),$H$2:$H$1001,0),0), INDEX($O$1004:$Q$1004,1,MATCH(COLUMNS($O$1006:Q1006),$O$1006:$Q$1006,0)))),"Fix")))</f>
        <v xml:space="preserve"> </v>
      </c>
      <c r="H303">
        <v>302</v>
      </c>
      <c r="I303">
        <v>100303</v>
      </c>
      <c r="J303">
        <v>303</v>
      </c>
      <c r="K303" t="b">
        <f t="shared" si="4"/>
        <v>1</v>
      </c>
      <c r="L303" t="b">
        <f>COUNTBLANK(metadata!B303:D303)=COLUMNS(metadata!B303:D303)</f>
        <v>1</v>
      </c>
      <c r="M303" t="str">
        <v/>
      </c>
      <c r="O303" t="b">
        <f ca="1"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P303" t="b">
        <f>AND(IF(metadata!C303="",FALSE,TRUE),EXACT(metadata!C303,"mouse gut metagenome"))</f>
        <v>0</v>
      </c>
      <c r="Q303" t="b">
        <f>AND(IF(metadata!D303="",FALSE,TRUE),EXACT(metadata!D303,"410661"))</f>
        <v>0</v>
      </c>
    </row>
    <row r="304" spans="1:17" x14ac:dyDescent="0.2">
      <c r="A304" s="4" t="str">
        <f ca="1">IF(B304=" "," ",HYPERLINK(CONCATENATE("#metadata!",ADDRESS(INDEX($J$2:$J$1001,MATCH(ROWS($H$2:H304),$H$2:$H$1001,0),0),1)),INDEX($M$2:$M$1001,MATCH(ROWS($H$2:H304),$H$2:$H$1001,0),0)))</f>
        <v xml:space="preserve"> </v>
      </c>
      <c r="B304" s="3" t="str">
        <f ca="1">IF(OR(INDEX($I$2:$I$1001,MATCH(ROWS($H$2:H304),$H$2:$H$1001,0),1)&gt;=100000,INDEX($O$1005:$Q$1005,1,MATCH(COLUMNS($O$1006:O1006),$O$1006:$Q$1006,0))&gt;=100000), " ",IF(INDEX($O$2:$Q$1001,MATCH(ROWS($H$2:H304),$H$2:$H$1001,0),MATCH(COLUMNS($O$1006:O1006),$O$1006:$Q$1006,0)), HYPERLINK("#",""), HYPERLINK(CONCATENATE("#metadata!", ADDRESS(INDEX($J$2:$J$1001,MATCH(ROWS($H$2:H304),$H$2:$H$1001,0),0), INDEX($O$1004:$Q$1004,1,MATCH(COLUMNS($O$1006:O1006),$O$1006:$Q$1006,0)))),"Fix")))</f>
        <v xml:space="preserve"> </v>
      </c>
      <c r="C304" s="3" t="str">
        <f ca="1">IF(OR(INDEX($I$2:$I$1001,MATCH(ROWS($H$2:H304),$H$2:$H$1001,0),1)&gt;=100000,INDEX($O$1005:$Q$1005,1,MATCH(COLUMNS($O$1006:P1006),$O$1006:$Q$1006,0))&gt;=100000), " ",IF(INDEX($O$2:$Q$1001,MATCH(ROWS($H$2:H304),$H$2:$H$1001,0),MATCH(COLUMNS($O$1006:P1006),$O$1006:$Q$1006,0)), HYPERLINK("#",""), HYPERLINK(CONCATENATE("#metadata!", ADDRESS(INDEX($J$2:$J$1001,MATCH(ROWS($H$2:H304),$H$2:$H$1001,0),0), INDEX($O$1004:$Q$1004,1,MATCH(COLUMNS($O$1006:P1006),$O$1006:$Q$1006,0)))),"Fix")))</f>
        <v xml:space="preserve"> </v>
      </c>
      <c r="D304" s="3" t="str">
        <f ca="1">IF(OR(INDEX($I$2:$I$1001,MATCH(ROWS($H$2:H304),$H$2:$H$1001,0),1)&gt;=100000,INDEX($O$1005:$Q$1005,1,MATCH(COLUMNS($O$1006:Q1006),$O$1006:$Q$1006,0))&gt;=100000), " ",IF(INDEX($O$2:$Q$1001,MATCH(ROWS($H$2:H304),$H$2:$H$1001,0),MATCH(COLUMNS($O$1006:Q1006),$O$1006:$Q$1006,0)), HYPERLINK("#",""), HYPERLINK(CONCATENATE("#metadata!", ADDRESS(INDEX($J$2:$J$1001,MATCH(ROWS($H$2:H304),$H$2:$H$1001,0),0), INDEX($O$1004:$Q$1004,1,MATCH(COLUMNS($O$1006:Q1006),$O$1006:$Q$1006,0)))),"Fix")))</f>
        <v xml:space="preserve"> </v>
      </c>
      <c r="H304">
        <v>303</v>
      </c>
      <c r="I304">
        <v>100304</v>
      </c>
      <c r="J304">
        <v>304</v>
      </c>
      <c r="K304" t="b">
        <f t="shared" si="4"/>
        <v>1</v>
      </c>
      <c r="L304" t="b">
        <f>COUNTBLANK(metadata!B304:D304)=COLUMNS(metadata!B304:D304)</f>
        <v>1</v>
      </c>
      <c r="M304" t="str">
        <v/>
      </c>
      <c r="O304" t="b">
        <f ca="1"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P304" t="b">
        <f>AND(IF(metadata!C304="",FALSE,TRUE),EXACT(metadata!C304,"mouse gut metagenome"))</f>
        <v>0</v>
      </c>
      <c r="Q304" t="b">
        <f>AND(IF(metadata!D304="",FALSE,TRUE),EXACT(metadata!D304,"410661"))</f>
        <v>0</v>
      </c>
    </row>
    <row r="305" spans="1:17" x14ac:dyDescent="0.2">
      <c r="A305" s="4" t="str">
        <f ca="1">IF(B305=" "," ",HYPERLINK(CONCATENATE("#metadata!",ADDRESS(INDEX($J$2:$J$1001,MATCH(ROWS($H$2:H305),$H$2:$H$1001,0),0),1)),INDEX($M$2:$M$1001,MATCH(ROWS($H$2:H305),$H$2:$H$1001,0),0)))</f>
        <v xml:space="preserve"> </v>
      </c>
      <c r="B305" s="3" t="str">
        <f ca="1">IF(OR(INDEX($I$2:$I$1001,MATCH(ROWS($H$2:H305),$H$2:$H$1001,0),1)&gt;=100000,INDEX($O$1005:$Q$1005,1,MATCH(COLUMNS($O$1006:O1006),$O$1006:$Q$1006,0))&gt;=100000), " ",IF(INDEX($O$2:$Q$1001,MATCH(ROWS($H$2:H305),$H$2:$H$1001,0),MATCH(COLUMNS($O$1006:O1006),$O$1006:$Q$1006,0)), HYPERLINK("#",""), HYPERLINK(CONCATENATE("#metadata!", ADDRESS(INDEX($J$2:$J$1001,MATCH(ROWS($H$2:H305),$H$2:$H$1001,0),0), INDEX($O$1004:$Q$1004,1,MATCH(COLUMNS($O$1006:O1006),$O$1006:$Q$1006,0)))),"Fix")))</f>
        <v xml:space="preserve"> </v>
      </c>
      <c r="C305" s="3" t="str">
        <f ca="1">IF(OR(INDEX($I$2:$I$1001,MATCH(ROWS($H$2:H305),$H$2:$H$1001,0),1)&gt;=100000,INDEX($O$1005:$Q$1005,1,MATCH(COLUMNS($O$1006:P1006),$O$1006:$Q$1006,0))&gt;=100000), " ",IF(INDEX($O$2:$Q$1001,MATCH(ROWS($H$2:H305),$H$2:$H$1001,0),MATCH(COLUMNS($O$1006:P1006),$O$1006:$Q$1006,0)), HYPERLINK("#",""), HYPERLINK(CONCATENATE("#metadata!", ADDRESS(INDEX($J$2:$J$1001,MATCH(ROWS($H$2:H305),$H$2:$H$1001,0),0), INDEX($O$1004:$Q$1004,1,MATCH(COLUMNS($O$1006:P1006),$O$1006:$Q$1006,0)))),"Fix")))</f>
        <v xml:space="preserve"> </v>
      </c>
      <c r="D305" s="3" t="str">
        <f ca="1">IF(OR(INDEX($I$2:$I$1001,MATCH(ROWS($H$2:H305),$H$2:$H$1001,0),1)&gt;=100000,INDEX($O$1005:$Q$1005,1,MATCH(COLUMNS($O$1006:Q1006),$O$1006:$Q$1006,0))&gt;=100000), " ",IF(INDEX($O$2:$Q$1001,MATCH(ROWS($H$2:H305),$H$2:$H$1001,0),MATCH(COLUMNS($O$1006:Q1006),$O$1006:$Q$1006,0)), HYPERLINK("#",""), HYPERLINK(CONCATENATE("#metadata!", ADDRESS(INDEX($J$2:$J$1001,MATCH(ROWS($H$2:H305),$H$2:$H$1001,0),0), INDEX($O$1004:$Q$1004,1,MATCH(COLUMNS($O$1006:Q1006),$O$1006:$Q$1006,0)))),"Fix")))</f>
        <v xml:space="preserve"> </v>
      </c>
      <c r="H305">
        <v>304</v>
      </c>
      <c r="I305">
        <v>100305</v>
      </c>
      <c r="J305">
        <v>305</v>
      </c>
      <c r="K305" t="b">
        <f t="shared" si="4"/>
        <v>1</v>
      </c>
      <c r="L305" t="b">
        <f>COUNTBLANK(metadata!B305:D305)=COLUMNS(metadata!B305:D305)</f>
        <v>1</v>
      </c>
      <c r="M305" t="str">
        <v/>
      </c>
      <c r="O305" t="b">
        <f ca="1"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P305" t="b">
        <f>AND(IF(metadata!C305="",FALSE,TRUE),EXACT(metadata!C305,"mouse gut metagenome"))</f>
        <v>0</v>
      </c>
      <c r="Q305" t="b">
        <f>AND(IF(metadata!D305="",FALSE,TRUE),EXACT(metadata!D305,"410661"))</f>
        <v>0</v>
      </c>
    </row>
    <row r="306" spans="1:17" x14ac:dyDescent="0.2">
      <c r="A306" s="4" t="str">
        <f ca="1">IF(B306=" "," ",HYPERLINK(CONCATENATE("#metadata!",ADDRESS(INDEX($J$2:$J$1001,MATCH(ROWS($H$2:H306),$H$2:$H$1001,0),0),1)),INDEX($M$2:$M$1001,MATCH(ROWS($H$2:H306),$H$2:$H$1001,0),0)))</f>
        <v xml:space="preserve"> </v>
      </c>
      <c r="B306" s="3" t="str">
        <f ca="1">IF(OR(INDEX($I$2:$I$1001,MATCH(ROWS($H$2:H306),$H$2:$H$1001,0),1)&gt;=100000,INDEX($O$1005:$Q$1005,1,MATCH(COLUMNS($O$1006:O1006),$O$1006:$Q$1006,0))&gt;=100000), " ",IF(INDEX($O$2:$Q$1001,MATCH(ROWS($H$2:H306),$H$2:$H$1001,0),MATCH(COLUMNS($O$1006:O1006),$O$1006:$Q$1006,0)), HYPERLINK("#",""), HYPERLINK(CONCATENATE("#metadata!", ADDRESS(INDEX($J$2:$J$1001,MATCH(ROWS($H$2:H306),$H$2:$H$1001,0),0), INDEX($O$1004:$Q$1004,1,MATCH(COLUMNS($O$1006:O1006),$O$1006:$Q$1006,0)))),"Fix")))</f>
        <v xml:space="preserve"> </v>
      </c>
      <c r="C306" s="3" t="str">
        <f ca="1">IF(OR(INDEX($I$2:$I$1001,MATCH(ROWS($H$2:H306),$H$2:$H$1001,0),1)&gt;=100000,INDEX($O$1005:$Q$1005,1,MATCH(COLUMNS($O$1006:P1006),$O$1006:$Q$1006,0))&gt;=100000), " ",IF(INDEX($O$2:$Q$1001,MATCH(ROWS($H$2:H306),$H$2:$H$1001,0),MATCH(COLUMNS($O$1006:P1006),$O$1006:$Q$1006,0)), HYPERLINK("#",""), HYPERLINK(CONCATENATE("#metadata!", ADDRESS(INDEX($J$2:$J$1001,MATCH(ROWS($H$2:H306),$H$2:$H$1001,0),0), INDEX($O$1004:$Q$1004,1,MATCH(COLUMNS($O$1006:P1006),$O$1006:$Q$1006,0)))),"Fix")))</f>
        <v xml:space="preserve"> </v>
      </c>
      <c r="D306" s="3" t="str">
        <f ca="1">IF(OR(INDEX($I$2:$I$1001,MATCH(ROWS($H$2:H306),$H$2:$H$1001,0),1)&gt;=100000,INDEX($O$1005:$Q$1005,1,MATCH(COLUMNS($O$1006:Q1006),$O$1006:$Q$1006,0))&gt;=100000), " ",IF(INDEX($O$2:$Q$1001,MATCH(ROWS($H$2:H306),$H$2:$H$1001,0),MATCH(COLUMNS($O$1006:Q1006),$O$1006:$Q$1006,0)), HYPERLINK("#",""), HYPERLINK(CONCATENATE("#metadata!", ADDRESS(INDEX($J$2:$J$1001,MATCH(ROWS($H$2:H306),$H$2:$H$1001,0),0), INDEX($O$1004:$Q$1004,1,MATCH(COLUMNS($O$1006:Q1006),$O$1006:$Q$1006,0)))),"Fix")))</f>
        <v xml:space="preserve"> </v>
      </c>
      <c r="H306">
        <v>305</v>
      </c>
      <c r="I306">
        <v>100306</v>
      </c>
      <c r="J306">
        <v>306</v>
      </c>
      <c r="K306" t="b">
        <f t="shared" si="4"/>
        <v>1</v>
      </c>
      <c r="L306" t="b">
        <f>COUNTBLANK(metadata!B306:D306)=COLUMNS(metadata!B306:D306)</f>
        <v>1</v>
      </c>
      <c r="M306" t="str">
        <v/>
      </c>
      <c r="O306" t="b">
        <f ca="1"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P306" t="b">
        <f>AND(IF(metadata!C306="",FALSE,TRUE),EXACT(metadata!C306,"mouse gut metagenome"))</f>
        <v>0</v>
      </c>
      <c r="Q306" t="b">
        <f>AND(IF(metadata!D306="",FALSE,TRUE),EXACT(metadata!D306,"410661"))</f>
        <v>0</v>
      </c>
    </row>
    <row r="307" spans="1:17" x14ac:dyDescent="0.2">
      <c r="A307" s="4" t="str">
        <f ca="1">IF(B307=" "," ",HYPERLINK(CONCATENATE("#metadata!",ADDRESS(INDEX($J$2:$J$1001,MATCH(ROWS($H$2:H307),$H$2:$H$1001,0),0),1)),INDEX($M$2:$M$1001,MATCH(ROWS($H$2:H307),$H$2:$H$1001,0),0)))</f>
        <v xml:space="preserve"> </v>
      </c>
      <c r="B307" s="3" t="str">
        <f ca="1">IF(OR(INDEX($I$2:$I$1001,MATCH(ROWS($H$2:H307),$H$2:$H$1001,0),1)&gt;=100000,INDEX($O$1005:$Q$1005,1,MATCH(COLUMNS($O$1006:O1006),$O$1006:$Q$1006,0))&gt;=100000), " ",IF(INDEX($O$2:$Q$1001,MATCH(ROWS($H$2:H307),$H$2:$H$1001,0),MATCH(COLUMNS($O$1006:O1006),$O$1006:$Q$1006,0)), HYPERLINK("#",""), HYPERLINK(CONCATENATE("#metadata!", ADDRESS(INDEX($J$2:$J$1001,MATCH(ROWS($H$2:H307),$H$2:$H$1001,0),0), INDEX($O$1004:$Q$1004,1,MATCH(COLUMNS($O$1006:O1006),$O$1006:$Q$1006,0)))),"Fix")))</f>
        <v xml:space="preserve"> </v>
      </c>
      <c r="C307" s="3" t="str">
        <f ca="1">IF(OR(INDEX($I$2:$I$1001,MATCH(ROWS($H$2:H307),$H$2:$H$1001,0),1)&gt;=100000,INDEX($O$1005:$Q$1005,1,MATCH(COLUMNS($O$1006:P1006),$O$1006:$Q$1006,0))&gt;=100000), " ",IF(INDEX($O$2:$Q$1001,MATCH(ROWS($H$2:H307),$H$2:$H$1001,0),MATCH(COLUMNS($O$1006:P1006),$O$1006:$Q$1006,0)), HYPERLINK("#",""), HYPERLINK(CONCATENATE("#metadata!", ADDRESS(INDEX($J$2:$J$1001,MATCH(ROWS($H$2:H307),$H$2:$H$1001,0),0), INDEX($O$1004:$Q$1004,1,MATCH(COLUMNS($O$1006:P1006),$O$1006:$Q$1006,0)))),"Fix")))</f>
        <v xml:space="preserve"> </v>
      </c>
      <c r="D307" s="3" t="str">
        <f ca="1">IF(OR(INDEX($I$2:$I$1001,MATCH(ROWS($H$2:H307),$H$2:$H$1001,0),1)&gt;=100000,INDEX($O$1005:$Q$1005,1,MATCH(COLUMNS($O$1006:Q1006),$O$1006:$Q$1006,0))&gt;=100000), " ",IF(INDEX($O$2:$Q$1001,MATCH(ROWS($H$2:H307),$H$2:$H$1001,0),MATCH(COLUMNS($O$1006:Q1006),$O$1006:$Q$1006,0)), HYPERLINK("#",""), HYPERLINK(CONCATENATE("#metadata!", ADDRESS(INDEX($J$2:$J$1001,MATCH(ROWS($H$2:H307),$H$2:$H$1001,0),0), INDEX($O$1004:$Q$1004,1,MATCH(COLUMNS($O$1006:Q1006),$O$1006:$Q$1006,0)))),"Fix")))</f>
        <v xml:space="preserve"> </v>
      </c>
      <c r="H307">
        <v>306</v>
      </c>
      <c r="I307">
        <v>100307</v>
      </c>
      <c r="J307">
        <v>307</v>
      </c>
      <c r="K307" t="b">
        <f t="shared" si="4"/>
        <v>1</v>
      </c>
      <c r="L307" t="b">
        <f>COUNTBLANK(metadata!B307:D307)=COLUMNS(metadata!B307:D307)</f>
        <v>1</v>
      </c>
      <c r="M307" t="str">
        <v/>
      </c>
      <c r="O307" t="b">
        <f ca="1"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P307" t="b">
        <f>AND(IF(metadata!C307="",FALSE,TRUE),EXACT(metadata!C307,"mouse gut metagenome"))</f>
        <v>0</v>
      </c>
      <c r="Q307" t="b">
        <f>AND(IF(metadata!D307="",FALSE,TRUE),EXACT(metadata!D307,"410661"))</f>
        <v>0</v>
      </c>
    </row>
    <row r="308" spans="1:17" x14ac:dyDescent="0.2">
      <c r="A308" s="4" t="str">
        <f ca="1">IF(B308=" "," ",HYPERLINK(CONCATENATE("#metadata!",ADDRESS(INDEX($J$2:$J$1001,MATCH(ROWS($H$2:H308),$H$2:$H$1001,0),0),1)),INDEX($M$2:$M$1001,MATCH(ROWS($H$2:H308),$H$2:$H$1001,0),0)))</f>
        <v xml:space="preserve"> </v>
      </c>
      <c r="B308" s="3" t="str">
        <f ca="1">IF(OR(INDEX($I$2:$I$1001,MATCH(ROWS($H$2:H308),$H$2:$H$1001,0),1)&gt;=100000,INDEX($O$1005:$Q$1005,1,MATCH(COLUMNS($O$1006:O1006),$O$1006:$Q$1006,0))&gt;=100000), " ",IF(INDEX($O$2:$Q$1001,MATCH(ROWS($H$2:H308),$H$2:$H$1001,0),MATCH(COLUMNS($O$1006:O1006),$O$1006:$Q$1006,0)), HYPERLINK("#",""), HYPERLINK(CONCATENATE("#metadata!", ADDRESS(INDEX($J$2:$J$1001,MATCH(ROWS($H$2:H308),$H$2:$H$1001,0),0), INDEX($O$1004:$Q$1004,1,MATCH(COLUMNS($O$1006:O1006),$O$1006:$Q$1006,0)))),"Fix")))</f>
        <v xml:space="preserve"> </v>
      </c>
      <c r="C308" s="3" t="str">
        <f ca="1">IF(OR(INDEX($I$2:$I$1001,MATCH(ROWS($H$2:H308),$H$2:$H$1001,0),1)&gt;=100000,INDEX($O$1005:$Q$1005,1,MATCH(COLUMNS($O$1006:P1006),$O$1006:$Q$1006,0))&gt;=100000), " ",IF(INDEX($O$2:$Q$1001,MATCH(ROWS($H$2:H308),$H$2:$H$1001,0),MATCH(COLUMNS($O$1006:P1006),$O$1006:$Q$1006,0)), HYPERLINK("#",""), HYPERLINK(CONCATENATE("#metadata!", ADDRESS(INDEX($J$2:$J$1001,MATCH(ROWS($H$2:H308),$H$2:$H$1001,0),0), INDEX($O$1004:$Q$1004,1,MATCH(COLUMNS($O$1006:P1006),$O$1006:$Q$1006,0)))),"Fix")))</f>
        <v xml:space="preserve"> </v>
      </c>
      <c r="D308" s="3" t="str">
        <f ca="1">IF(OR(INDEX($I$2:$I$1001,MATCH(ROWS($H$2:H308),$H$2:$H$1001,0),1)&gt;=100000,INDEX($O$1005:$Q$1005,1,MATCH(COLUMNS($O$1006:Q1006),$O$1006:$Q$1006,0))&gt;=100000), " ",IF(INDEX($O$2:$Q$1001,MATCH(ROWS($H$2:H308),$H$2:$H$1001,0),MATCH(COLUMNS($O$1006:Q1006),$O$1006:$Q$1006,0)), HYPERLINK("#",""), HYPERLINK(CONCATENATE("#metadata!", ADDRESS(INDEX($J$2:$J$1001,MATCH(ROWS($H$2:H308),$H$2:$H$1001,0),0), INDEX($O$1004:$Q$1004,1,MATCH(COLUMNS($O$1006:Q1006),$O$1006:$Q$1006,0)))),"Fix")))</f>
        <v xml:space="preserve"> </v>
      </c>
      <c r="H308">
        <v>307</v>
      </c>
      <c r="I308">
        <v>100308</v>
      </c>
      <c r="J308">
        <v>308</v>
      </c>
      <c r="K308" t="b">
        <f t="shared" si="4"/>
        <v>1</v>
      </c>
      <c r="L308" t="b">
        <f>COUNTBLANK(metadata!B308:D308)=COLUMNS(metadata!B308:D308)</f>
        <v>1</v>
      </c>
      <c r="M308" t="str">
        <v/>
      </c>
      <c r="O308" t="b">
        <f ca="1"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P308" t="b">
        <f>AND(IF(metadata!C308="",FALSE,TRUE),EXACT(metadata!C308,"mouse gut metagenome"))</f>
        <v>0</v>
      </c>
      <c r="Q308" t="b">
        <f>AND(IF(metadata!D308="",FALSE,TRUE),EXACT(metadata!D308,"410661"))</f>
        <v>0</v>
      </c>
    </row>
    <row r="309" spans="1:17" x14ac:dyDescent="0.2">
      <c r="A309" s="4" t="str">
        <f ca="1">IF(B309=" "," ",HYPERLINK(CONCATENATE("#metadata!",ADDRESS(INDEX($J$2:$J$1001,MATCH(ROWS($H$2:H309),$H$2:$H$1001,0),0),1)),INDEX($M$2:$M$1001,MATCH(ROWS($H$2:H309),$H$2:$H$1001,0),0)))</f>
        <v xml:space="preserve"> </v>
      </c>
      <c r="B309" s="3" t="str">
        <f ca="1">IF(OR(INDEX($I$2:$I$1001,MATCH(ROWS($H$2:H309),$H$2:$H$1001,0),1)&gt;=100000,INDEX($O$1005:$Q$1005,1,MATCH(COLUMNS($O$1006:O1006),$O$1006:$Q$1006,0))&gt;=100000), " ",IF(INDEX($O$2:$Q$1001,MATCH(ROWS($H$2:H309),$H$2:$H$1001,0),MATCH(COLUMNS($O$1006:O1006),$O$1006:$Q$1006,0)), HYPERLINK("#",""), HYPERLINK(CONCATENATE("#metadata!", ADDRESS(INDEX($J$2:$J$1001,MATCH(ROWS($H$2:H309),$H$2:$H$1001,0),0), INDEX($O$1004:$Q$1004,1,MATCH(COLUMNS($O$1006:O1006),$O$1006:$Q$1006,0)))),"Fix")))</f>
        <v xml:space="preserve"> </v>
      </c>
      <c r="C309" s="3" t="str">
        <f ca="1">IF(OR(INDEX($I$2:$I$1001,MATCH(ROWS($H$2:H309),$H$2:$H$1001,0),1)&gt;=100000,INDEX($O$1005:$Q$1005,1,MATCH(COLUMNS($O$1006:P1006),$O$1006:$Q$1006,0))&gt;=100000), " ",IF(INDEX($O$2:$Q$1001,MATCH(ROWS($H$2:H309),$H$2:$H$1001,0),MATCH(COLUMNS($O$1006:P1006),$O$1006:$Q$1006,0)), HYPERLINK("#",""), HYPERLINK(CONCATENATE("#metadata!", ADDRESS(INDEX($J$2:$J$1001,MATCH(ROWS($H$2:H309),$H$2:$H$1001,0),0), INDEX($O$1004:$Q$1004,1,MATCH(COLUMNS($O$1006:P1006),$O$1006:$Q$1006,0)))),"Fix")))</f>
        <v xml:space="preserve"> </v>
      </c>
      <c r="D309" s="3" t="str">
        <f ca="1">IF(OR(INDEX($I$2:$I$1001,MATCH(ROWS($H$2:H309),$H$2:$H$1001,0),1)&gt;=100000,INDEX($O$1005:$Q$1005,1,MATCH(COLUMNS($O$1006:Q1006),$O$1006:$Q$1006,0))&gt;=100000), " ",IF(INDEX($O$2:$Q$1001,MATCH(ROWS($H$2:H309),$H$2:$H$1001,0),MATCH(COLUMNS($O$1006:Q1006),$O$1006:$Q$1006,0)), HYPERLINK("#",""), HYPERLINK(CONCATENATE("#metadata!", ADDRESS(INDEX($J$2:$J$1001,MATCH(ROWS($H$2:H309),$H$2:$H$1001,0),0), INDEX($O$1004:$Q$1004,1,MATCH(COLUMNS($O$1006:Q1006),$O$1006:$Q$1006,0)))),"Fix")))</f>
        <v xml:space="preserve"> </v>
      </c>
      <c r="H309">
        <v>308</v>
      </c>
      <c r="I309">
        <v>100309</v>
      </c>
      <c r="J309">
        <v>309</v>
      </c>
      <c r="K309" t="b">
        <f t="shared" si="4"/>
        <v>1</v>
      </c>
      <c r="L309" t="b">
        <f>COUNTBLANK(metadata!B309:D309)=COLUMNS(metadata!B309:D309)</f>
        <v>1</v>
      </c>
      <c r="M309" t="str">
        <v/>
      </c>
      <c r="O309" t="b">
        <f ca="1"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P309" t="b">
        <f>AND(IF(metadata!C309="",FALSE,TRUE),EXACT(metadata!C309,"mouse gut metagenome"))</f>
        <v>0</v>
      </c>
      <c r="Q309" t="b">
        <f>AND(IF(metadata!D309="",FALSE,TRUE),EXACT(metadata!D309,"410661"))</f>
        <v>0</v>
      </c>
    </row>
    <row r="310" spans="1:17" x14ac:dyDescent="0.2">
      <c r="A310" s="4" t="str">
        <f ca="1">IF(B310=" "," ",HYPERLINK(CONCATENATE("#metadata!",ADDRESS(INDEX($J$2:$J$1001,MATCH(ROWS($H$2:H310),$H$2:$H$1001,0),0),1)),INDEX($M$2:$M$1001,MATCH(ROWS($H$2:H310),$H$2:$H$1001,0),0)))</f>
        <v xml:space="preserve"> </v>
      </c>
      <c r="B310" s="3" t="str">
        <f ca="1">IF(OR(INDEX($I$2:$I$1001,MATCH(ROWS($H$2:H310),$H$2:$H$1001,0),1)&gt;=100000,INDEX($O$1005:$Q$1005,1,MATCH(COLUMNS($O$1006:O1006),$O$1006:$Q$1006,0))&gt;=100000), " ",IF(INDEX($O$2:$Q$1001,MATCH(ROWS($H$2:H310),$H$2:$H$1001,0),MATCH(COLUMNS($O$1006:O1006),$O$1006:$Q$1006,0)), HYPERLINK("#",""), HYPERLINK(CONCATENATE("#metadata!", ADDRESS(INDEX($J$2:$J$1001,MATCH(ROWS($H$2:H310),$H$2:$H$1001,0),0), INDEX($O$1004:$Q$1004,1,MATCH(COLUMNS($O$1006:O1006),$O$1006:$Q$1006,0)))),"Fix")))</f>
        <v xml:space="preserve"> </v>
      </c>
      <c r="C310" s="3" t="str">
        <f ca="1">IF(OR(INDEX($I$2:$I$1001,MATCH(ROWS($H$2:H310),$H$2:$H$1001,0),1)&gt;=100000,INDEX($O$1005:$Q$1005,1,MATCH(COLUMNS($O$1006:P1006),$O$1006:$Q$1006,0))&gt;=100000), " ",IF(INDEX($O$2:$Q$1001,MATCH(ROWS($H$2:H310),$H$2:$H$1001,0),MATCH(COLUMNS($O$1006:P1006),$O$1006:$Q$1006,0)), HYPERLINK("#",""), HYPERLINK(CONCATENATE("#metadata!", ADDRESS(INDEX($J$2:$J$1001,MATCH(ROWS($H$2:H310),$H$2:$H$1001,0),0), INDEX($O$1004:$Q$1004,1,MATCH(COLUMNS($O$1006:P1006),$O$1006:$Q$1006,0)))),"Fix")))</f>
        <v xml:space="preserve"> </v>
      </c>
      <c r="D310" s="3" t="str">
        <f ca="1">IF(OR(INDEX($I$2:$I$1001,MATCH(ROWS($H$2:H310),$H$2:$H$1001,0),1)&gt;=100000,INDEX($O$1005:$Q$1005,1,MATCH(COLUMNS($O$1006:Q1006),$O$1006:$Q$1006,0))&gt;=100000), " ",IF(INDEX($O$2:$Q$1001,MATCH(ROWS($H$2:H310),$H$2:$H$1001,0),MATCH(COLUMNS($O$1006:Q1006),$O$1006:$Q$1006,0)), HYPERLINK("#",""), HYPERLINK(CONCATENATE("#metadata!", ADDRESS(INDEX($J$2:$J$1001,MATCH(ROWS($H$2:H310),$H$2:$H$1001,0),0), INDEX($O$1004:$Q$1004,1,MATCH(COLUMNS($O$1006:Q1006),$O$1006:$Q$1006,0)))),"Fix")))</f>
        <v xml:space="preserve"> </v>
      </c>
      <c r="H310">
        <v>309</v>
      </c>
      <c r="I310">
        <v>100310</v>
      </c>
      <c r="J310">
        <v>310</v>
      </c>
      <c r="K310" t="b">
        <f t="shared" si="4"/>
        <v>1</v>
      </c>
      <c r="L310" t="b">
        <f>COUNTBLANK(metadata!B310:D310)=COLUMNS(metadata!B310:D310)</f>
        <v>1</v>
      </c>
      <c r="M310" t="str">
        <v/>
      </c>
      <c r="O310" t="b">
        <f ca="1"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P310" t="b">
        <f>AND(IF(metadata!C310="",FALSE,TRUE),EXACT(metadata!C310,"mouse gut metagenome"))</f>
        <v>0</v>
      </c>
      <c r="Q310" t="b">
        <f>AND(IF(metadata!D310="",FALSE,TRUE),EXACT(metadata!D310,"410661"))</f>
        <v>0</v>
      </c>
    </row>
    <row r="311" spans="1:17" x14ac:dyDescent="0.2">
      <c r="A311" s="4" t="str">
        <f ca="1">IF(B311=" "," ",HYPERLINK(CONCATENATE("#metadata!",ADDRESS(INDEX($J$2:$J$1001,MATCH(ROWS($H$2:H311),$H$2:$H$1001,0),0),1)),INDEX($M$2:$M$1001,MATCH(ROWS($H$2:H311),$H$2:$H$1001,0),0)))</f>
        <v xml:space="preserve"> </v>
      </c>
      <c r="B311" s="3" t="str">
        <f ca="1">IF(OR(INDEX($I$2:$I$1001,MATCH(ROWS($H$2:H311),$H$2:$H$1001,0),1)&gt;=100000,INDEX($O$1005:$Q$1005,1,MATCH(COLUMNS($O$1006:O1006),$O$1006:$Q$1006,0))&gt;=100000), " ",IF(INDEX($O$2:$Q$1001,MATCH(ROWS($H$2:H311),$H$2:$H$1001,0),MATCH(COLUMNS($O$1006:O1006),$O$1006:$Q$1006,0)), HYPERLINK("#",""), HYPERLINK(CONCATENATE("#metadata!", ADDRESS(INDEX($J$2:$J$1001,MATCH(ROWS($H$2:H311),$H$2:$H$1001,0),0), INDEX($O$1004:$Q$1004,1,MATCH(COLUMNS($O$1006:O1006),$O$1006:$Q$1006,0)))),"Fix")))</f>
        <v xml:space="preserve"> </v>
      </c>
      <c r="C311" s="3" t="str">
        <f ca="1">IF(OR(INDEX($I$2:$I$1001,MATCH(ROWS($H$2:H311),$H$2:$H$1001,0),1)&gt;=100000,INDEX($O$1005:$Q$1005,1,MATCH(COLUMNS($O$1006:P1006),$O$1006:$Q$1006,0))&gt;=100000), " ",IF(INDEX($O$2:$Q$1001,MATCH(ROWS($H$2:H311),$H$2:$H$1001,0),MATCH(COLUMNS($O$1006:P1006),$O$1006:$Q$1006,0)), HYPERLINK("#",""), HYPERLINK(CONCATENATE("#metadata!", ADDRESS(INDEX($J$2:$J$1001,MATCH(ROWS($H$2:H311),$H$2:$H$1001,0),0), INDEX($O$1004:$Q$1004,1,MATCH(COLUMNS($O$1006:P1006),$O$1006:$Q$1006,0)))),"Fix")))</f>
        <v xml:space="preserve"> </v>
      </c>
      <c r="D311" s="3" t="str">
        <f ca="1">IF(OR(INDEX($I$2:$I$1001,MATCH(ROWS($H$2:H311),$H$2:$H$1001,0),1)&gt;=100000,INDEX($O$1005:$Q$1005,1,MATCH(COLUMNS($O$1006:Q1006),$O$1006:$Q$1006,0))&gt;=100000), " ",IF(INDEX($O$2:$Q$1001,MATCH(ROWS($H$2:H311),$H$2:$H$1001,0),MATCH(COLUMNS($O$1006:Q1006),$O$1006:$Q$1006,0)), HYPERLINK("#",""), HYPERLINK(CONCATENATE("#metadata!", ADDRESS(INDEX($J$2:$J$1001,MATCH(ROWS($H$2:H311),$H$2:$H$1001,0),0), INDEX($O$1004:$Q$1004,1,MATCH(COLUMNS($O$1006:Q1006),$O$1006:$Q$1006,0)))),"Fix")))</f>
        <v xml:space="preserve"> </v>
      </c>
      <c r="H311">
        <v>310</v>
      </c>
      <c r="I311">
        <v>100311</v>
      </c>
      <c r="J311">
        <v>311</v>
      </c>
      <c r="K311" t="b">
        <f t="shared" si="4"/>
        <v>1</v>
      </c>
      <c r="L311" t="b">
        <f>COUNTBLANK(metadata!B311:D311)=COLUMNS(metadata!B311:D311)</f>
        <v>1</v>
      </c>
      <c r="M311" t="str">
        <v/>
      </c>
      <c r="O311" t="b">
        <f ca="1"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P311" t="b">
        <f>AND(IF(metadata!C311="",FALSE,TRUE),EXACT(metadata!C311,"mouse gut metagenome"))</f>
        <v>0</v>
      </c>
      <c r="Q311" t="b">
        <f>AND(IF(metadata!D311="",FALSE,TRUE),EXACT(metadata!D311,"410661"))</f>
        <v>0</v>
      </c>
    </row>
    <row r="312" spans="1:17" x14ac:dyDescent="0.2">
      <c r="A312" s="4" t="str">
        <f ca="1">IF(B312=" "," ",HYPERLINK(CONCATENATE("#metadata!",ADDRESS(INDEX($J$2:$J$1001,MATCH(ROWS($H$2:H312),$H$2:$H$1001,0),0),1)),INDEX($M$2:$M$1001,MATCH(ROWS($H$2:H312),$H$2:$H$1001,0),0)))</f>
        <v xml:space="preserve"> </v>
      </c>
      <c r="B312" s="3" t="str">
        <f ca="1">IF(OR(INDEX($I$2:$I$1001,MATCH(ROWS($H$2:H312),$H$2:$H$1001,0),1)&gt;=100000,INDEX($O$1005:$Q$1005,1,MATCH(COLUMNS($O$1006:O1006),$O$1006:$Q$1006,0))&gt;=100000), " ",IF(INDEX($O$2:$Q$1001,MATCH(ROWS($H$2:H312),$H$2:$H$1001,0),MATCH(COLUMNS($O$1006:O1006),$O$1006:$Q$1006,0)), HYPERLINK("#",""), HYPERLINK(CONCATENATE("#metadata!", ADDRESS(INDEX($J$2:$J$1001,MATCH(ROWS($H$2:H312),$H$2:$H$1001,0),0), INDEX($O$1004:$Q$1004,1,MATCH(COLUMNS($O$1006:O1006),$O$1006:$Q$1006,0)))),"Fix")))</f>
        <v xml:space="preserve"> </v>
      </c>
      <c r="C312" s="3" t="str">
        <f ca="1">IF(OR(INDEX($I$2:$I$1001,MATCH(ROWS($H$2:H312),$H$2:$H$1001,0),1)&gt;=100000,INDEX($O$1005:$Q$1005,1,MATCH(COLUMNS($O$1006:P1006),$O$1006:$Q$1006,0))&gt;=100000), " ",IF(INDEX($O$2:$Q$1001,MATCH(ROWS($H$2:H312),$H$2:$H$1001,0),MATCH(COLUMNS($O$1006:P1006),$O$1006:$Q$1006,0)), HYPERLINK("#",""), HYPERLINK(CONCATENATE("#metadata!", ADDRESS(INDEX($J$2:$J$1001,MATCH(ROWS($H$2:H312),$H$2:$H$1001,0),0), INDEX($O$1004:$Q$1004,1,MATCH(COLUMNS($O$1006:P1006),$O$1006:$Q$1006,0)))),"Fix")))</f>
        <v xml:space="preserve"> </v>
      </c>
      <c r="D312" s="3" t="str">
        <f ca="1">IF(OR(INDEX($I$2:$I$1001,MATCH(ROWS($H$2:H312),$H$2:$H$1001,0),1)&gt;=100000,INDEX($O$1005:$Q$1005,1,MATCH(COLUMNS($O$1006:Q1006),$O$1006:$Q$1006,0))&gt;=100000), " ",IF(INDEX($O$2:$Q$1001,MATCH(ROWS($H$2:H312),$H$2:$H$1001,0),MATCH(COLUMNS($O$1006:Q1006),$O$1006:$Q$1006,0)), HYPERLINK("#",""), HYPERLINK(CONCATENATE("#metadata!", ADDRESS(INDEX($J$2:$J$1001,MATCH(ROWS($H$2:H312),$H$2:$H$1001,0),0), INDEX($O$1004:$Q$1004,1,MATCH(COLUMNS($O$1006:Q1006),$O$1006:$Q$1006,0)))),"Fix")))</f>
        <v xml:space="preserve"> </v>
      </c>
      <c r="H312">
        <v>311</v>
      </c>
      <c r="I312">
        <v>100312</v>
      </c>
      <c r="J312">
        <v>312</v>
      </c>
      <c r="K312" t="b">
        <f t="shared" si="4"/>
        <v>1</v>
      </c>
      <c r="L312" t="b">
        <f>COUNTBLANK(metadata!B312:D312)=COLUMNS(metadata!B312:D312)</f>
        <v>1</v>
      </c>
      <c r="M312" t="str">
        <v/>
      </c>
      <c r="O312" t="b">
        <f ca="1"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P312" t="b">
        <f>AND(IF(metadata!C312="",FALSE,TRUE),EXACT(metadata!C312,"mouse gut metagenome"))</f>
        <v>0</v>
      </c>
      <c r="Q312" t="b">
        <f>AND(IF(metadata!D312="",FALSE,TRUE),EXACT(metadata!D312,"410661"))</f>
        <v>0</v>
      </c>
    </row>
    <row r="313" spans="1:17" x14ac:dyDescent="0.2">
      <c r="A313" s="4" t="str">
        <f ca="1">IF(B313=" "," ",HYPERLINK(CONCATENATE("#metadata!",ADDRESS(INDEX($J$2:$J$1001,MATCH(ROWS($H$2:H313),$H$2:$H$1001,0),0),1)),INDEX($M$2:$M$1001,MATCH(ROWS($H$2:H313),$H$2:$H$1001,0),0)))</f>
        <v xml:space="preserve"> </v>
      </c>
      <c r="B313" s="3" t="str">
        <f ca="1">IF(OR(INDEX($I$2:$I$1001,MATCH(ROWS($H$2:H313),$H$2:$H$1001,0),1)&gt;=100000,INDEX($O$1005:$Q$1005,1,MATCH(COLUMNS($O$1006:O1006),$O$1006:$Q$1006,0))&gt;=100000), " ",IF(INDEX($O$2:$Q$1001,MATCH(ROWS($H$2:H313),$H$2:$H$1001,0),MATCH(COLUMNS($O$1006:O1006),$O$1006:$Q$1006,0)), HYPERLINK("#",""), HYPERLINK(CONCATENATE("#metadata!", ADDRESS(INDEX($J$2:$J$1001,MATCH(ROWS($H$2:H313),$H$2:$H$1001,0),0), INDEX($O$1004:$Q$1004,1,MATCH(COLUMNS($O$1006:O1006),$O$1006:$Q$1006,0)))),"Fix")))</f>
        <v xml:space="preserve"> </v>
      </c>
      <c r="C313" s="3" t="str">
        <f ca="1">IF(OR(INDEX($I$2:$I$1001,MATCH(ROWS($H$2:H313),$H$2:$H$1001,0),1)&gt;=100000,INDEX($O$1005:$Q$1005,1,MATCH(COLUMNS($O$1006:P1006),$O$1006:$Q$1006,0))&gt;=100000), " ",IF(INDEX($O$2:$Q$1001,MATCH(ROWS($H$2:H313),$H$2:$H$1001,0),MATCH(COLUMNS($O$1006:P1006),$O$1006:$Q$1006,0)), HYPERLINK("#",""), HYPERLINK(CONCATENATE("#metadata!", ADDRESS(INDEX($J$2:$J$1001,MATCH(ROWS($H$2:H313),$H$2:$H$1001,0),0), INDEX($O$1004:$Q$1004,1,MATCH(COLUMNS($O$1006:P1006),$O$1006:$Q$1006,0)))),"Fix")))</f>
        <v xml:space="preserve"> </v>
      </c>
      <c r="D313" s="3" t="str">
        <f ca="1">IF(OR(INDEX($I$2:$I$1001,MATCH(ROWS($H$2:H313),$H$2:$H$1001,0),1)&gt;=100000,INDEX($O$1005:$Q$1005,1,MATCH(COLUMNS($O$1006:Q1006),$O$1006:$Q$1006,0))&gt;=100000), " ",IF(INDEX($O$2:$Q$1001,MATCH(ROWS($H$2:H313),$H$2:$H$1001,0),MATCH(COLUMNS($O$1006:Q1006),$O$1006:$Q$1006,0)), HYPERLINK("#",""), HYPERLINK(CONCATENATE("#metadata!", ADDRESS(INDEX($J$2:$J$1001,MATCH(ROWS($H$2:H313),$H$2:$H$1001,0),0), INDEX($O$1004:$Q$1004,1,MATCH(COLUMNS($O$1006:Q1006),$O$1006:$Q$1006,0)))),"Fix")))</f>
        <v xml:space="preserve"> </v>
      </c>
      <c r="H313">
        <v>312</v>
      </c>
      <c r="I313">
        <v>100313</v>
      </c>
      <c r="J313">
        <v>313</v>
      </c>
      <c r="K313" t="b">
        <f t="shared" si="4"/>
        <v>1</v>
      </c>
      <c r="L313" t="b">
        <f>COUNTBLANK(metadata!B313:D313)=COLUMNS(metadata!B313:D313)</f>
        <v>1</v>
      </c>
      <c r="M313" t="str">
        <v/>
      </c>
      <c r="O313" t="b">
        <f ca="1"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P313" t="b">
        <f>AND(IF(metadata!C313="",FALSE,TRUE),EXACT(metadata!C313,"mouse gut metagenome"))</f>
        <v>0</v>
      </c>
      <c r="Q313" t="b">
        <f>AND(IF(metadata!D313="",FALSE,TRUE),EXACT(metadata!D313,"410661"))</f>
        <v>0</v>
      </c>
    </row>
    <row r="314" spans="1:17" x14ac:dyDescent="0.2">
      <c r="A314" s="4" t="str">
        <f ca="1">IF(B314=" "," ",HYPERLINK(CONCATENATE("#metadata!",ADDRESS(INDEX($J$2:$J$1001,MATCH(ROWS($H$2:H314),$H$2:$H$1001,0),0),1)),INDEX($M$2:$M$1001,MATCH(ROWS($H$2:H314),$H$2:$H$1001,0),0)))</f>
        <v xml:space="preserve"> </v>
      </c>
      <c r="B314" s="3" t="str">
        <f ca="1">IF(OR(INDEX($I$2:$I$1001,MATCH(ROWS($H$2:H314),$H$2:$H$1001,0),1)&gt;=100000,INDEX($O$1005:$Q$1005,1,MATCH(COLUMNS($O$1006:O1006),$O$1006:$Q$1006,0))&gt;=100000), " ",IF(INDEX($O$2:$Q$1001,MATCH(ROWS($H$2:H314),$H$2:$H$1001,0),MATCH(COLUMNS($O$1006:O1006),$O$1006:$Q$1006,0)), HYPERLINK("#",""), HYPERLINK(CONCATENATE("#metadata!", ADDRESS(INDEX($J$2:$J$1001,MATCH(ROWS($H$2:H314),$H$2:$H$1001,0),0), INDEX($O$1004:$Q$1004,1,MATCH(COLUMNS($O$1006:O1006),$O$1006:$Q$1006,0)))),"Fix")))</f>
        <v xml:space="preserve"> </v>
      </c>
      <c r="C314" s="3" t="str">
        <f ca="1">IF(OR(INDEX($I$2:$I$1001,MATCH(ROWS($H$2:H314),$H$2:$H$1001,0),1)&gt;=100000,INDEX($O$1005:$Q$1005,1,MATCH(COLUMNS($O$1006:P1006),$O$1006:$Q$1006,0))&gt;=100000), " ",IF(INDEX($O$2:$Q$1001,MATCH(ROWS($H$2:H314),$H$2:$H$1001,0),MATCH(COLUMNS($O$1006:P1006),$O$1006:$Q$1006,0)), HYPERLINK("#",""), HYPERLINK(CONCATENATE("#metadata!", ADDRESS(INDEX($J$2:$J$1001,MATCH(ROWS($H$2:H314),$H$2:$H$1001,0),0), INDEX($O$1004:$Q$1004,1,MATCH(COLUMNS($O$1006:P1006),$O$1006:$Q$1006,0)))),"Fix")))</f>
        <v xml:space="preserve"> </v>
      </c>
      <c r="D314" s="3" t="str">
        <f ca="1">IF(OR(INDEX($I$2:$I$1001,MATCH(ROWS($H$2:H314),$H$2:$H$1001,0),1)&gt;=100000,INDEX($O$1005:$Q$1005,1,MATCH(COLUMNS($O$1006:Q1006),$O$1006:$Q$1006,0))&gt;=100000), " ",IF(INDEX($O$2:$Q$1001,MATCH(ROWS($H$2:H314),$H$2:$H$1001,0),MATCH(COLUMNS($O$1006:Q1006),$O$1006:$Q$1006,0)), HYPERLINK("#",""), HYPERLINK(CONCATENATE("#metadata!", ADDRESS(INDEX($J$2:$J$1001,MATCH(ROWS($H$2:H314),$H$2:$H$1001,0),0), INDEX($O$1004:$Q$1004,1,MATCH(COLUMNS($O$1006:Q1006),$O$1006:$Q$1006,0)))),"Fix")))</f>
        <v xml:space="preserve"> </v>
      </c>
      <c r="H314">
        <v>313</v>
      </c>
      <c r="I314">
        <v>100314</v>
      </c>
      <c r="J314">
        <v>314</v>
      </c>
      <c r="K314" t="b">
        <f t="shared" si="4"/>
        <v>1</v>
      </c>
      <c r="L314" t="b">
        <f>COUNTBLANK(metadata!B314:D314)=COLUMNS(metadata!B314:D314)</f>
        <v>1</v>
      </c>
      <c r="M314" t="str">
        <v/>
      </c>
      <c r="O314" t="b">
        <f ca="1"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P314" t="b">
        <f>AND(IF(metadata!C314="",FALSE,TRUE),EXACT(metadata!C314,"mouse gut metagenome"))</f>
        <v>0</v>
      </c>
      <c r="Q314" t="b">
        <f>AND(IF(metadata!D314="",FALSE,TRUE),EXACT(metadata!D314,"410661"))</f>
        <v>0</v>
      </c>
    </row>
    <row r="315" spans="1:17" x14ac:dyDescent="0.2">
      <c r="A315" s="4" t="str">
        <f ca="1">IF(B315=" "," ",HYPERLINK(CONCATENATE("#metadata!",ADDRESS(INDEX($J$2:$J$1001,MATCH(ROWS($H$2:H315),$H$2:$H$1001,0),0),1)),INDEX($M$2:$M$1001,MATCH(ROWS($H$2:H315),$H$2:$H$1001,0),0)))</f>
        <v xml:space="preserve"> </v>
      </c>
      <c r="B315" s="3" t="str">
        <f ca="1">IF(OR(INDEX($I$2:$I$1001,MATCH(ROWS($H$2:H315),$H$2:$H$1001,0),1)&gt;=100000,INDEX($O$1005:$Q$1005,1,MATCH(COLUMNS($O$1006:O1006),$O$1006:$Q$1006,0))&gt;=100000), " ",IF(INDEX($O$2:$Q$1001,MATCH(ROWS($H$2:H315),$H$2:$H$1001,0),MATCH(COLUMNS($O$1006:O1006),$O$1006:$Q$1006,0)), HYPERLINK("#",""), HYPERLINK(CONCATENATE("#metadata!", ADDRESS(INDEX($J$2:$J$1001,MATCH(ROWS($H$2:H315),$H$2:$H$1001,0),0), INDEX($O$1004:$Q$1004,1,MATCH(COLUMNS($O$1006:O1006),$O$1006:$Q$1006,0)))),"Fix")))</f>
        <v xml:space="preserve"> </v>
      </c>
      <c r="C315" s="3" t="str">
        <f ca="1">IF(OR(INDEX($I$2:$I$1001,MATCH(ROWS($H$2:H315),$H$2:$H$1001,0),1)&gt;=100000,INDEX($O$1005:$Q$1005,1,MATCH(COLUMNS($O$1006:P1006),$O$1006:$Q$1006,0))&gt;=100000), " ",IF(INDEX($O$2:$Q$1001,MATCH(ROWS($H$2:H315),$H$2:$H$1001,0),MATCH(COLUMNS($O$1006:P1006),$O$1006:$Q$1006,0)), HYPERLINK("#",""), HYPERLINK(CONCATENATE("#metadata!", ADDRESS(INDEX($J$2:$J$1001,MATCH(ROWS($H$2:H315),$H$2:$H$1001,0),0), INDEX($O$1004:$Q$1004,1,MATCH(COLUMNS($O$1006:P1006),$O$1006:$Q$1006,0)))),"Fix")))</f>
        <v xml:space="preserve"> </v>
      </c>
      <c r="D315" s="3" t="str">
        <f ca="1">IF(OR(INDEX($I$2:$I$1001,MATCH(ROWS($H$2:H315),$H$2:$H$1001,0),1)&gt;=100000,INDEX($O$1005:$Q$1005,1,MATCH(COLUMNS($O$1006:Q1006),$O$1006:$Q$1006,0))&gt;=100000), " ",IF(INDEX($O$2:$Q$1001,MATCH(ROWS($H$2:H315),$H$2:$H$1001,0),MATCH(COLUMNS($O$1006:Q1006),$O$1006:$Q$1006,0)), HYPERLINK("#",""), HYPERLINK(CONCATENATE("#metadata!", ADDRESS(INDEX($J$2:$J$1001,MATCH(ROWS($H$2:H315),$H$2:$H$1001,0),0), INDEX($O$1004:$Q$1004,1,MATCH(COLUMNS($O$1006:Q1006),$O$1006:$Q$1006,0)))),"Fix")))</f>
        <v xml:space="preserve"> </v>
      </c>
      <c r="H315">
        <v>314</v>
      </c>
      <c r="I315">
        <v>100315</v>
      </c>
      <c r="J315">
        <v>315</v>
      </c>
      <c r="K315" t="b">
        <f t="shared" si="4"/>
        <v>1</v>
      </c>
      <c r="L315" t="b">
        <f>COUNTBLANK(metadata!B315:D315)=COLUMNS(metadata!B315:D315)</f>
        <v>1</v>
      </c>
      <c r="M315" t="str">
        <v/>
      </c>
      <c r="O315" t="b">
        <f ca="1"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P315" t="b">
        <f>AND(IF(metadata!C315="",FALSE,TRUE),EXACT(metadata!C315,"mouse gut metagenome"))</f>
        <v>0</v>
      </c>
      <c r="Q315" t="b">
        <f>AND(IF(metadata!D315="",FALSE,TRUE),EXACT(metadata!D315,"410661"))</f>
        <v>0</v>
      </c>
    </row>
    <row r="316" spans="1:17" x14ac:dyDescent="0.2">
      <c r="A316" s="4" t="str">
        <f ca="1">IF(B316=" "," ",HYPERLINK(CONCATENATE("#metadata!",ADDRESS(INDEX($J$2:$J$1001,MATCH(ROWS($H$2:H316),$H$2:$H$1001,0),0),1)),INDEX($M$2:$M$1001,MATCH(ROWS($H$2:H316),$H$2:$H$1001,0),0)))</f>
        <v xml:space="preserve"> </v>
      </c>
      <c r="B316" s="3" t="str">
        <f ca="1">IF(OR(INDEX($I$2:$I$1001,MATCH(ROWS($H$2:H316),$H$2:$H$1001,0),1)&gt;=100000,INDEX($O$1005:$Q$1005,1,MATCH(COLUMNS($O$1006:O1006),$O$1006:$Q$1006,0))&gt;=100000), " ",IF(INDEX($O$2:$Q$1001,MATCH(ROWS($H$2:H316),$H$2:$H$1001,0),MATCH(COLUMNS($O$1006:O1006),$O$1006:$Q$1006,0)), HYPERLINK("#",""), HYPERLINK(CONCATENATE("#metadata!", ADDRESS(INDEX($J$2:$J$1001,MATCH(ROWS($H$2:H316),$H$2:$H$1001,0),0), INDEX($O$1004:$Q$1004,1,MATCH(COLUMNS($O$1006:O1006),$O$1006:$Q$1006,0)))),"Fix")))</f>
        <v xml:space="preserve"> </v>
      </c>
      <c r="C316" s="3" t="str">
        <f ca="1">IF(OR(INDEX($I$2:$I$1001,MATCH(ROWS($H$2:H316),$H$2:$H$1001,0),1)&gt;=100000,INDEX($O$1005:$Q$1005,1,MATCH(COLUMNS($O$1006:P1006),$O$1006:$Q$1006,0))&gt;=100000), " ",IF(INDEX($O$2:$Q$1001,MATCH(ROWS($H$2:H316),$H$2:$H$1001,0),MATCH(COLUMNS($O$1006:P1006),$O$1006:$Q$1006,0)), HYPERLINK("#",""), HYPERLINK(CONCATENATE("#metadata!", ADDRESS(INDEX($J$2:$J$1001,MATCH(ROWS($H$2:H316),$H$2:$H$1001,0),0), INDEX($O$1004:$Q$1004,1,MATCH(COLUMNS($O$1006:P1006),$O$1006:$Q$1006,0)))),"Fix")))</f>
        <v xml:space="preserve"> </v>
      </c>
      <c r="D316" s="3" t="str">
        <f ca="1">IF(OR(INDEX($I$2:$I$1001,MATCH(ROWS($H$2:H316),$H$2:$H$1001,0),1)&gt;=100000,INDEX($O$1005:$Q$1005,1,MATCH(COLUMNS($O$1006:Q1006),$O$1006:$Q$1006,0))&gt;=100000), " ",IF(INDEX($O$2:$Q$1001,MATCH(ROWS($H$2:H316),$H$2:$H$1001,0),MATCH(COLUMNS($O$1006:Q1006),$O$1006:$Q$1006,0)), HYPERLINK("#",""), HYPERLINK(CONCATENATE("#metadata!", ADDRESS(INDEX($J$2:$J$1001,MATCH(ROWS($H$2:H316),$H$2:$H$1001,0),0), INDEX($O$1004:$Q$1004,1,MATCH(COLUMNS($O$1006:Q1006),$O$1006:$Q$1006,0)))),"Fix")))</f>
        <v xml:space="preserve"> </v>
      </c>
      <c r="H316">
        <v>315</v>
      </c>
      <c r="I316">
        <v>100316</v>
      </c>
      <c r="J316">
        <v>316</v>
      </c>
      <c r="K316" t="b">
        <f t="shared" si="4"/>
        <v>1</v>
      </c>
      <c r="L316" t="b">
        <f>COUNTBLANK(metadata!B316:D316)=COLUMNS(metadata!B316:D316)</f>
        <v>1</v>
      </c>
      <c r="M316" t="str">
        <v/>
      </c>
      <c r="O316" t="b">
        <f ca="1"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P316" t="b">
        <f>AND(IF(metadata!C316="",FALSE,TRUE),EXACT(metadata!C316,"mouse gut metagenome"))</f>
        <v>0</v>
      </c>
      <c r="Q316" t="b">
        <f>AND(IF(metadata!D316="",FALSE,TRUE),EXACT(metadata!D316,"410661"))</f>
        <v>0</v>
      </c>
    </row>
    <row r="317" spans="1:17" x14ac:dyDescent="0.2">
      <c r="A317" s="4" t="str">
        <f ca="1">IF(B317=" "," ",HYPERLINK(CONCATENATE("#metadata!",ADDRESS(INDEX($J$2:$J$1001,MATCH(ROWS($H$2:H317),$H$2:$H$1001,0),0),1)),INDEX($M$2:$M$1001,MATCH(ROWS($H$2:H317),$H$2:$H$1001,0),0)))</f>
        <v xml:space="preserve"> </v>
      </c>
      <c r="B317" s="3" t="str">
        <f ca="1">IF(OR(INDEX($I$2:$I$1001,MATCH(ROWS($H$2:H317),$H$2:$H$1001,0),1)&gt;=100000,INDEX($O$1005:$Q$1005,1,MATCH(COLUMNS($O$1006:O1006),$O$1006:$Q$1006,0))&gt;=100000), " ",IF(INDEX($O$2:$Q$1001,MATCH(ROWS($H$2:H317),$H$2:$H$1001,0),MATCH(COLUMNS($O$1006:O1006),$O$1006:$Q$1006,0)), HYPERLINK("#",""), HYPERLINK(CONCATENATE("#metadata!", ADDRESS(INDEX($J$2:$J$1001,MATCH(ROWS($H$2:H317),$H$2:$H$1001,0),0), INDEX($O$1004:$Q$1004,1,MATCH(COLUMNS($O$1006:O1006),$O$1006:$Q$1006,0)))),"Fix")))</f>
        <v xml:space="preserve"> </v>
      </c>
      <c r="C317" s="3" t="str">
        <f ca="1">IF(OR(INDEX($I$2:$I$1001,MATCH(ROWS($H$2:H317),$H$2:$H$1001,0),1)&gt;=100000,INDEX($O$1005:$Q$1005,1,MATCH(COLUMNS($O$1006:P1006),$O$1006:$Q$1006,0))&gt;=100000), " ",IF(INDEX($O$2:$Q$1001,MATCH(ROWS($H$2:H317),$H$2:$H$1001,0),MATCH(COLUMNS($O$1006:P1006),$O$1006:$Q$1006,0)), HYPERLINK("#",""), HYPERLINK(CONCATENATE("#metadata!", ADDRESS(INDEX($J$2:$J$1001,MATCH(ROWS($H$2:H317),$H$2:$H$1001,0),0), INDEX($O$1004:$Q$1004,1,MATCH(COLUMNS($O$1006:P1006),$O$1006:$Q$1006,0)))),"Fix")))</f>
        <v xml:space="preserve"> </v>
      </c>
      <c r="D317" s="3" t="str">
        <f ca="1">IF(OR(INDEX($I$2:$I$1001,MATCH(ROWS($H$2:H317),$H$2:$H$1001,0),1)&gt;=100000,INDEX($O$1005:$Q$1005,1,MATCH(COLUMNS($O$1006:Q1006),$O$1006:$Q$1006,0))&gt;=100000), " ",IF(INDEX($O$2:$Q$1001,MATCH(ROWS($H$2:H317),$H$2:$H$1001,0),MATCH(COLUMNS($O$1006:Q1006),$O$1006:$Q$1006,0)), HYPERLINK("#",""), HYPERLINK(CONCATENATE("#metadata!", ADDRESS(INDEX($J$2:$J$1001,MATCH(ROWS($H$2:H317),$H$2:$H$1001,0),0), INDEX($O$1004:$Q$1004,1,MATCH(COLUMNS($O$1006:Q1006),$O$1006:$Q$1006,0)))),"Fix")))</f>
        <v xml:space="preserve"> </v>
      </c>
      <c r="H317">
        <v>316</v>
      </c>
      <c r="I317">
        <v>100317</v>
      </c>
      <c r="J317">
        <v>317</v>
      </c>
      <c r="K317" t="b">
        <f t="shared" si="4"/>
        <v>1</v>
      </c>
      <c r="L317" t="b">
        <f>COUNTBLANK(metadata!B317:D317)=COLUMNS(metadata!B317:D317)</f>
        <v>1</v>
      </c>
      <c r="M317" t="str">
        <v/>
      </c>
      <c r="O317" t="b">
        <f ca="1"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P317" t="b">
        <f>AND(IF(metadata!C317="",FALSE,TRUE),EXACT(metadata!C317,"mouse gut metagenome"))</f>
        <v>0</v>
      </c>
      <c r="Q317" t="b">
        <f>AND(IF(metadata!D317="",FALSE,TRUE),EXACT(metadata!D317,"410661"))</f>
        <v>0</v>
      </c>
    </row>
    <row r="318" spans="1:17" x14ac:dyDescent="0.2">
      <c r="A318" s="4" t="str">
        <f ca="1">IF(B318=" "," ",HYPERLINK(CONCATENATE("#metadata!",ADDRESS(INDEX($J$2:$J$1001,MATCH(ROWS($H$2:H318),$H$2:$H$1001,0),0),1)),INDEX($M$2:$M$1001,MATCH(ROWS($H$2:H318),$H$2:$H$1001,0),0)))</f>
        <v xml:space="preserve"> </v>
      </c>
      <c r="B318" s="3" t="str">
        <f ca="1">IF(OR(INDEX($I$2:$I$1001,MATCH(ROWS($H$2:H318),$H$2:$H$1001,0),1)&gt;=100000,INDEX($O$1005:$Q$1005,1,MATCH(COLUMNS($O$1006:O1006),$O$1006:$Q$1006,0))&gt;=100000), " ",IF(INDEX($O$2:$Q$1001,MATCH(ROWS($H$2:H318),$H$2:$H$1001,0),MATCH(COLUMNS($O$1006:O1006),$O$1006:$Q$1006,0)), HYPERLINK("#",""), HYPERLINK(CONCATENATE("#metadata!", ADDRESS(INDEX($J$2:$J$1001,MATCH(ROWS($H$2:H318),$H$2:$H$1001,0),0), INDEX($O$1004:$Q$1004,1,MATCH(COLUMNS($O$1006:O1006),$O$1006:$Q$1006,0)))),"Fix")))</f>
        <v xml:space="preserve"> </v>
      </c>
      <c r="C318" s="3" t="str">
        <f ca="1">IF(OR(INDEX($I$2:$I$1001,MATCH(ROWS($H$2:H318),$H$2:$H$1001,0),1)&gt;=100000,INDEX($O$1005:$Q$1005,1,MATCH(COLUMNS($O$1006:P1006),$O$1006:$Q$1006,0))&gt;=100000), " ",IF(INDEX($O$2:$Q$1001,MATCH(ROWS($H$2:H318),$H$2:$H$1001,0),MATCH(COLUMNS($O$1006:P1006),$O$1006:$Q$1006,0)), HYPERLINK("#",""), HYPERLINK(CONCATENATE("#metadata!", ADDRESS(INDEX($J$2:$J$1001,MATCH(ROWS($H$2:H318),$H$2:$H$1001,0),0), INDEX($O$1004:$Q$1004,1,MATCH(COLUMNS($O$1006:P1006),$O$1006:$Q$1006,0)))),"Fix")))</f>
        <v xml:space="preserve"> </v>
      </c>
      <c r="D318" s="3" t="str">
        <f ca="1">IF(OR(INDEX($I$2:$I$1001,MATCH(ROWS($H$2:H318),$H$2:$H$1001,0),1)&gt;=100000,INDEX($O$1005:$Q$1005,1,MATCH(COLUMNS($O$1006:Q1006),$O$1006:$Q$1006,0))&gt;=100000), " ",IF(INDEX($O$2:$Q$1001,MATCH(ROWS($H$2:H318),$H$2:$H$1001,0),MATCH(COLUMNS($O$1006:Q1006),$O$1006:$Q$1006,0)), HYPERLINK("#",""), HYPERLINK(CONCATENATE("#metadata!", ADDRESS(INDEX($J$2:$J$1001,MATCH(ROWS($H$2:H318),$H$2:$H$1001,0),0), INDEX($O$1004:$Q$1004,1,MATCH(COLUMNS($O$1006:Q1006),$O$1006:$Q$1006,0)))),"Fix")))</f>
        <v xml:space="preserve"> </v>
      </c>
      <c r="H318">
        <v>317</v>
      </c>
      <c r="I318">
        <v>100318</v>
      </c>
      <c r="J318">
        <v>318</v>
      </c>
      <c r="K318" t="b">
        <f t="shared" si="4"/>
        <v>1</v>
      </c>
      <c r="L318" t="b">
        <f>COUNTBLANK(metadata!B318:D318)=COLUMNS(metadata!B318:D318)</f>
        <v>1</v>
      </c>
      <c r="M318" t="str">
        <v/>
      </c>
      <c r="O318" t="b">
        <f ca="1"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P318" t="b">
        <f>AND(IF(metadata!C318="",FALSE,TRUE),EXACT(metadata!C318,"mouse gut metagenome"))</f>
        <v>0</v>
      </c>
      <c r="Q318" t="b">
        <f>AND(IF(metadata!D318="",FALSE,TRUE),EXACT(metadata!D318,"410661"))</f>
        <v>0</v>
      </c>
    </row>
    <row r="319" spans="1:17" x14ac:dyDescent="0.2">
      <c r="A319" s="4" t="str">
        <f ca="1">IF(B319=" "," ",HYPERLINK(CONCATENATE("#metadata!",ADDRESS(INDEX($J$2:$J$1001,MATCH(ROWS($H$2:H319),$H$2:$H$1001,0),0),1)),INDEX($M$2:$M$1001,MATCH(ROWS($H$2:H319),$H$2:$H$1001,0),0)))</f>
        <v xml:space="preserve"> </v>
      </c>
      <c r="B319" s="3" t="str">
        <f ca="1">IF(OR(INDEX($I$2:$I$1001,MATCH(ROWS($H$2:H319),$H$2:$H$1001,0),1)&gt;=100000,INDEX($O$1005:$Q$1005,1,MATCH(COLUMNS($O$1006:O1006),$O$1006:$Q$1006,0))&gt;=100000), " ",IF(INDEX($O$2:$Q$1001,MATCH(ROWS($H$2:H319),$H$2:$H$1001,0),MATCH(COLUMNS($O$1006:O1006),$O$1006:$Q$1006,0)), HYPERLINK("#",""), HYPERLINK(CONCATENATE("#metadata!", ADDRESS(INDEX($J$2:$J$1001,MATCH(ROWS($H$2:H319),$H$2:$H$1001,0),0), INDEX($O$1004:$Q$1004,1,MATCH(COLUMNS($O$1006:O1006),$O$1006:$Q$1006,0)))),"Fix")))</f>
        <v xml:space="preserve"> </v>
      </c>
      <c r="C319" s="3" t="str">
        <f ca="1">IF(OR(INDEX($I$2:$I$1001,MATCH(ROWS($H$2:H319),$H$2:$H$1001,0),1)&gt;=100000,INDEX($O$1005:$Q$1005,1,MATCH(COLUMNS($O$1006:P1006),$O$1006:$Q$1006,0))&gt;=100000), " ",IF(INDEX($O$2:$Q$1001,MATCH(ROWS($H$2:H319),$H$2:$H$1001,0),MATCH(COLUMNS($O$1006:P1006),$O$1006:$Q$1006,0)), HYPERLINK("#",""), HYPERLINK(CONCATENATE("#metadata!", ADDRESS(INDEX($J$2:$J$1001,MATCH(ROWS($H$2:H319),$H$2:$H$1001,0),0), INDEX($O$1004:$Q$1004,1,MATCH(COLUMNS($O$1006:P1006),$O$1006:$Q$1006,0)))),"Fix")))</f>
        <v xml:space="preserve"> </v>
      </c>
      <c r="D319" s="3" t="str">
        <f ca="1">IF(OR(INDEX($I$2:$I$1001,MATCH(ROWS($H$2:H319),$H$2:$H$1001,0),1)&gt;=100000,INDEX($O$1005:$Q$1005,1,MATCH(COLUMNS($O$1006:Q1006),$O$1006:$Q$1006,0))&gt;=100000), " ",IF(INDEX($O$2:$Q$1001,MATCH(ROWS($H$2:H319),$H$2:$H$1001,0),MATCH(COLUMNS($O$1006:Q1006),$O$1006:$Q$1006,0)), HYPERLINK("#",""), HYPERLINK(CONCATENATE("#metadata!", ADDRESS(INDEX($J$2:$J$1001,MATCH(ROWS($H$2:H319),$H$2:$H$1001,0),0), INDEX($O$1004:$Q$1004,1,MATCH(COLUMNS($O$1006:Q1006),$O$1006:$Q$1006,0)))),"Fix")))</f>
        <v xml:space="preserve"> </v>
      </c>
      <c r="H319">
        <v>318</v>
      </c>
      <c r="I319">
        <v>100319</v>
      </c>
      <c r="J319">
        <v>319</v>
      </c>
      <c r="K319" t="b">
        <f t="shared" si="4"/>
        <v>1</v>
      </c>
      <c r="L319" t="b">
        <f>COUNTBLANK(metadata!B319:D319)=COLUMNS(metadata!B319:D319)</f>
        <v>1</v>
      </c>
      <c r="M319" t="str">
        <v/>
      </c>
      <c r="O319" t="b">
        <f ca="1"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P319" t="b">
        <f>AND(IF(metadata!C319="",FALSE,TRUE),EXACT(metadata!C319,"mouse gut metagenome"))</f>
        <v>0</v>
      </c>
      <c r="Q319" t="b">
        <f>AND(IF(metadata!D319="",FALSE,TRUE),EXACT(metadata!D319,"410661"))</f>
        <v>0</v>
      </c>
    </row>
    <row r="320" spans="1:17" x14ac:dyDescent="0.2">
      <c r="A320" s="4" t="str">
        <f ca="1">IF(B320=" "," ",HYPERLINK(CONCATENATE("#metadata!",ADDRESS(INDEX($J$2:$J$1001,MATCH(ROWS($H$2:H320),$H$2:$H$1001,0),0),1)),INDEX($M$2:$M$1001,MATCH(ROWS($H$2:H320),$H$2:$H$1001,0),0)))</f>
        <v xml:space="preserve"> </v>
      </c>
      <c r="B320" s="3" t="str">
        <f ca="1">IF(OR(INDEX($I$2:$I$1001,MATCH(ROWS($H$2:H320),$H$2:$H$1001,0),1)&gt;=100000,INDEX($O$1005:$Q$1005,1,MATCH(COLUMNS($O$1006:O1006),$O$1006:$Q$1006,0))&gt;=100000), " ",IF(INDEX($O$2:$Q$1001,MATCH(ROWS($H$2:H320),$H$2:$H$1001,0),MATCH(COLUMNS($O$1006:O1006),$O$1006:$Q$1006,0)), HYPERLINK("#",""), HYPERLINK(CONCATENATE("#metadata!", ADDRESS(INDEX($J$2:$J$1001,MATCH(ROWS($H$2:H320),$H$2:$H$1001,0),0), INDEX($O$1004:$Q$1004,1,MATCH(COLUMNS($O$1006:O1006),$O$1006:$Q$1006,0)))),"Fix")))</f>
        <v xml:space="preserve"> </v>
      </c>
      <c r="C320" s="3" t="str">
        <f ca="1">IF(OR(INDEX($I$2:$I$1001,MATCH(ROWS($H$2:H320),$H$2:$H$1001,0),1)&gt;=100000,INDEX($O$1005:$Q$1005,1,MATCH(COLUMNS($O$1006:P1006),$O$1006:$Q$1006,0))&gt;=100000), " ",IF(INDEX($O$2:$Q$1001,MATCH(ROWS($H$2:H320),$H$2:$H$1001,0),MATCH(COLUMNS($O$1006:P1006),$O$1006:$Q$1006,0)), HYPERLINK("#",""), HYPERLINK(CONCATENATE("#metadata!", ADDRESS(INDEX($J$2:$J$1001,MATCH(ROWS($H$2:H320),$H$2:$H$1001,0),0), INDEX($O$1004:$Q$1004,1,MATCH(COLUMNS($O$1006:P1006),$O$1006:$Q$1006,0)))),"Fix")))</f>
        <v xml:space="preserve"> </v>
      </c>
      <c r="D320" s="3" t="str">
        <f ca="1">IF(OR(INDEX($I$2:$I$1001,MATCH(ROWS($H$2:H320),$H$2:$H$1001,0),1)&gt;=100000,INDEX($O$1005:$Q$1005,1,MATCH(COLUMNS($O$1006:Q1006),$O$1006:$Q$1006,0))&gt;=100000), " ",IF(INDEX($O$2:$Q$1001,MATCH(ROWS($H$2:H320),$H$2:$H$1001,0),MATCH(COLUMNS($O$1006:Q1006),$O$1006:$Q$1006,0)), HYPERLINK("#",""), HYPERLINK(CONCATENATE("#metadata!", ADDRESS(INDEX($J$2:$J$1001,MATCH(ROWS($H$2:H320),$H$2:$H$1001,0),0), INDEX($O$1004:$Q$1004,1,MATCH(COLUMNS($O$1006:Q1006),$O$1006:$Q$1006,0)))),"Fix")))</f>
        <v xml:space="preserve"> </v>
      </c>
      <c r="H320">
        <v>319</v>
      </c>
      <c r="I320">
        <v>100320</v>
      </c>
      <c r="J320">
        <v>320</v>
      </c>
      <c r="K320" t="b">
        <f t="shared" si="4"/>
        <v>1</v>
      </c>
      <c r="L320" t="b">
        <f>COUNTBLANK(metadata!B320:D320)=COLUMNS(metadata!B320:D320)</f>
        <v>1</v>
      </c>
      <c r="M320" t="str">
        <v/>
      </c>
      <c r="O320" t="b">
        <f ca="1"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P320" t="b">
        <f>AND(IF(metadata!C320="",FALSE,TRUE),EXACT(metadata!C320,"mouse gut metagenome"))</f>
        <v>0</v>
      </c>
      <c r="Q320" t="b">
        <f>AND(IF(metadata!D320="",FALSE,TRUE),EXACT(metadata!D320,"410661"))</f>
        <v>0</v>
      </c>
    </row>
    <row r="321" spans="1:17" x14ac:dyDescent="0.2">
      <c r="A321" s="4" t="str">
        <f ca="1">IF(B321=" "," ",HYPERLINK(CONCATENATE("#metadata!",ADDRESS(INDEX($J$2:$J$1001,MATCH(ROWS($H$2:H321),$H$2:$H$1001,0),0),1)),INDEX($M$2:$M$1001,MATCH(ROWS($H$2:H321),$H$2:$H$1001,0),0)))</f>
        <v xml:space="preserve"> </v>
      </c>
      <c r="B321" s="3" t="str">
        <f ca="1">IF(OR(INDEX($I$2:$I$1001,MATCH(ROWS($H$2:H321),$H$2:$H$1001,0),1)&gt;=100000,INDEX($O$1005:$Q$1005,1,MATCH(COLUMNS($O$1006:O1006),$O$1006:$Q$1006,0))&gt;=100000), " ",IF(INDEX($O$2:$Q$1001,MATCH(ROWS($H$2:H321),$H$2:$H$1001,0),MATCH(COLUMNS($O$1006:O1006),$O$1006:$Q$1006,0)), HYPERLINK("#",""), HYPERLINK(CONCATENATE("#metadata!", ADDRESS(INDEX($J$2:$J$1001,MATCH(ROWS($H$2:H321),$H$2:$H$1001,0),0), INDEX($O$1004:$Q$1004,1,MATCH(COLUMNS($O$1006:O1006),$O$1006:$Q$1006,0)))),"Fix")))</f>
        <v xml:space="preserve"> </v>
      </c>
      <c r="C321" s="3" t="str">
        <f ca="1">IF(OR(INDEX($I$2:$I$1001,MATCH(ROWS($H$2:H321),$H$2:$H$1001,0),1)&gt;=100000,INDEX($O$1005:$Q$1005,1,MATCH(COLUMNS($O$1006:P1006),$O$1006:$Q$1006,0))&gt;=100000), " ",IF(INDEX($O$2:$Q$1001,MATCH(ROWS($H$2:H321),$H$2:$H$1001,0),MATCH(COLUMNS($O$1006:P1006),$O$1006:$Q$1006,0)), HYPERLINK("#",""), HYPERLINK(CONCATENATE("#metadata!", ADDRESS(INDEX($J$2:$J$1001,MATCH(ROWS($H$2:H321),$H$2:$H$1001,0),0), INDEX($O$1004:$Q$1004,1,MATCH(COLUMNS($O$1006:P1006),$O$1006:$Q$1006,0)))),"Fix")))</f>
        <v xml:space="preserve"> </v>
      </c>
      <c r="D321" s="3" t="str">
        <f ca="1">IF(OR(INDEX($I$2:$I$1001,MATCH(ROWS($H$2:H321),$H$2:$H$1001,0),1)&gt;=100000,INDEX($O$1005:$Q$1005,1,MATCH(COLUMNS($O$1006:Q1006),$O$1006:$Q$1006,0))&gt;=100000), " ",IF(INDEX($O$2:$Q$1001,MATCH(ROWS($H$2:H321),$H$2:$H$1001,0),MATCH(COLUMNS($O$1006:Q1006),$O$1006:$Q$1006,0)), HYPERLINK("#",""), HYPERLINK(CONCATENATE("#metadata!", ADDRESS(INDEX($J$2:$J$1001,MATCH(ROWS($H$2:H321),$H$2:$H$1001,0),0), INDEX($O$1004:$Q$1004,1,MATCH(COLUMNS($O$1006:Q1006),$O$1006:$Q$1006,0)))),"Fix")))</f>
        <v xml:space="preserve"> </v>
      </c>
      <c r="H321">
        <v>320</v>
      </c>
      <c r="I321">
        <v>100321</v>
      </c>
      <c r="J321">
        <v>321</v>
      </c>
      <c r="K321" t="b">
        <f t="shared" si="4"/>
        <v>1</v>
      </c>
      <c r="L321" t="b">
        <f>COUNTBLANK(metadata!B321:D321)=COLUMNS(metadata!B321:D321)</f>
        <v>1</v>
      </c>
      <c r="M321" t="str">
        <v/>
      </c>
      <c r="O321" t="b">
        <f ca="1"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P321" t="b">
        <f>AND(IF(metadata!C321="",FALSE,TRUE),EXACT(metadata!C321,"mouse gut metagenome"))</f>
        <v>0</v>
      </c>
      <c r="Q321" t="b">
        <f>AND(IF(metadata!D321="",FALSE,TRUE),EXACT(metadata!D321,"410661"))</f>
        <v>0</v>
      </c>
    </row>
    <row r="322" spans="1:17" x14ac:dyDescent="0.2">
      <c r="A322" s="4" t="str">
        <f ca="1">IF(B322=" "," ",HYPERLINK(CONCATENATE("#metadata!",ADDRESS(INDEX($J$2:$J$1001,MATCH(ROWS($H$2:H322),$H$2:$H$1001,0),0),1)),INDEX($M$2:$M$1001,MATCH(ROWS($H$2:H322),$H$2:$H$1001,0),0)))</f>
        <v xml:space="preserve"> </v>
      </c>
      <c r="B322" s="3" t="str">
        <f ca="1">IF(OR(INDEX($I$2:$I$1001,MATCH(ROWS($H$2:H322),$H$2:$H$1001,0),1)&gt;=100000,INDEX($O$1005:$Q$1005,1,MATCH(COLUMNS($O$1006:O1006),$O$1006:$Q$1006,0))&gt;=100000), " ",IF(INDEX($O$2:$Q$1001,MATCH(ROWS($H$2:H322),$H$2:$H$1001,0),MATCH(COLUMNS($O$1006:O1006),$O$1006:$Q$1006,0)), HYPERLINK("#",""), HYPERLINK(CONCATENATE("#metadata!", ADDRESS(INDEX($J$2:$J$1001,MATCH(ROWS($H$2:H322),$H$2:$H$1001,0),0), INDEX($O$1004:$Q$1004,1,MATCH(COLUMNS($O$1006:O1006),$O$1006:$Q$1006,0)))),"Fix")))</f>
        <v xml:space="preserve"> </v>
      </c>
      <c r="C322" s="3" t="str">
        <f ca="1">IF(OR(INDEX($I$2:$I$1001,MATCH(ROWS($H$2:H322),$H$2:$H$1001,0),1)&gt;=100000,INDEX($O$1005:$Q$1005,1,MATCH(COLUMNS($O$1006:P1006),$O$1006:$Q$1006,0))&gt;=100000), " ",IF(INDEX($O$2:$Q$1001,MATCH(ROWS($H$2:H322),$H$2:$H$1001,0),MATCH(COLUMNS($O$1006:P1006),$O$1006:$Q$1006,0)), HYPERLINK("#",""), HYPERLINK(CONCATENATE("#metadata!", ADDRESS(INDEX($J$2:$J$1001,MATCH(ROWS($H$2:H322),$H$2:$H$1001,0),0), INDEX($O$1004:$Q$1004,1,MATCH(COLUMNS($O$1006:P1006),$O$1006:$Q$1006,0)))),"Fix")))</f>
        <v xml:space="preserve"> </v>
      </c>
      <c r="D322" s="3" t="str">
        <f ca="1">IF(OR(INDEX($I$2:$I$1001,MATCH(ROWS($H$2:H322),$H$2:$H$1001,0),1)&gt;=100000,INDEX($O$1005:$Q$1005,1,MATCH(COLUMNS($O$1006:Q1006),$O$1006:$Q$1006,0))&gt;=100000), " ",IF(INDEX($O$2:$Q$1001,MATCH(ROWS($H$2:H322),$H$2:$H$1001,0),MATCH(COLUMNS($O$1006:Q1006),$O$1006:$Q$1006,0)), HYPERLINK("#",""), HYPERLINK(CONCATENATE("#metadata!", ADDRESS(INDEX($J$2:$J$1001,MATCH(ROWS($H$2:H322),$H$2:$H$1001,0),0), INDEX($O$1004:$Q$1004,1,MATCH(COLUMNS($O$1006:Q1006),$O$1006:$Q$1006,0)))),"Fix")))</f>
        <v xml:space="preserve"> </v>
      </c>
      <c r="H322">
        <v>321</v>
      </c>
      <c r="I322">
        <v>100322</v>
      </c>
      <c r="J322">
        <v>322</v>
      </c>
      <c r="K322" t="b">
        <f t="shared" ref="K322:K385" si="5">IF(L322,TRUE,AND(O322:Q322))</f>
        <v>1</v>
      </c>
      <c r="L322" t="b">
        <f>COUNTBLANK(metadata!B322:D322)=COLUMNS(metadata!B322:D322)</f>
        <v>1</v>
      </c>
      <c r="M322" t="str">
        <v/>
      </c>
      <c r="O322" t="b">
        <f ca="1"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P322" t="b">
        <f>AND(IF(metadata!C322="",FALSE,TRUE),EXACT(metadata!C322,"mouse gut metagenome"))</f>
        <v>0</v>
      </c>
      <c r="Q322" t="b">
        <f>AND(IF(metadata!D322="",FALSE,TRUE),EXACT(metadata!D322,"410661"))</f>
        <v>0</v>
      </c>
    </row>
    <row r="323" spans="1:17" x14ac:dyDescent="0.2">
      <c r="A323" s="4" t="str">
        <f ca="1">IF(B323=" "," ",HYPERLINK(CONCATENATE("#metadata!",ADDRESS(INDEX($J$2:$J$1001,MATCH(ROWS($H$2:H323),$H$2:$H$1001,0),0),1)),INDEX($M$2:$M$1001,MATCH(ROWS($H$2:H323),$H$2:$H$1001,0),0)))</f>
        <v xml:space="preserve"> </v>
      </c>
      <c r="B323" s="3" t="str">
        <f ca="1">IF(OR(INDEX($I$2:$I$1001,MATCH(ROWS($H$2:H323),$H$2:$H$1001,0),1)&gt;=100000,INDEX($O$1005:$Q$1005,1,MATCH(COLUMNS($O$1006:O1006),$O$1006:$Q$1006,0))&gt;=100000), " ",IF(INDEX($O$2:$Q$1001,MATCH(ROWS($H$2:H323),$H$2:$H$1001,0),MATCH(COLUMNS($O$1006:O1006),$O$1006:$Q$1006,0)), HYPERLINK("#",""), HYPERLINK(CONCATENATE("#metadata!", ADDRESS(INDEX($J$2:$J$1001,MATCH(ROWS($H$2:H323),$H$2:$H$1001,0),0), INDEX($O$1004:$Q$1004,1,MATCH(COLUMNS($O$1006:O1006),$O$1006:$Q$1006,0)))),"Fix")))</f>
        <v xml:space="preserve"> </v>
      </c>
      <c r="C323" s="3" t="str">
        <f ca="1">IF(OR(INDEX($I$2:$I$1001,MATCH(ROWS($H$2:H323),$H$2:$H$1001,0),1)&gt;=100000,INDEX($O$1005:$Q$1005,1,MATCH(COLUMNS($O$1006:P1006),$O$1006:$Q$1006,0))&gt;=100000), " ",IF(INDEX($O$2:$Q$1001,MATCH(ROWS($H$2:H323),$H$2:$H$1001,0),MATCH(COLUMNS($O$1006:P1006),$O$1006:$Q$1006,0)), HYPERLINK("#",""), HYPERLINK(CONCATENATE("#metadata!", ADDRESS(INDEX($J$2:$J$1001,MATCH(ROWS($H$2:H323),$H$2:$H$1001,0),0), INDEX($O$1004:$Q$1004,1,MATCH(COLUMNS($O$1006:P1006),$O$1006:$Q$1006,0)))),"Fix")))</f>
        <v xml:space="preserve"> </v>
      </c>
      <c r="D323" s="3" t="str">
        <f ca="1">IF(OR(INDEX($I$2:$I$1001,MATCH(ROWS($H$2:H323),$H$2:$H$1001,0),1)&gt;=100000,INDEX($O$1005:$Q$1005,1,MATCH(COLUMNS($O$1006:Q1006),$O$1006:$Q$1006,0))&gt;=100000), " ",IF(INDEX($O$2:$Q$1001,MATCH(ROWS($H$2:H323),$H$2:$H$1001,0),MATCH(COLUMNS($O$1006:Q1006),$O$1006:$Q$1006,0)), HYPERLINK("#",""), HYPERLINK(CONCATENATE("#metadata!", ADDRESS(INDEX($J$2:$J$1001,MATCH(ROWS($H$2:H323),$H$2:$H$1001,0),0), INDEX($O$1004:$Q$1004,1,MATCH(COLUMNS($O$1006:Q1006),$O$1006:$Q$1006,0)))),"Fix")))</f>
        <v xml:space="preserve"> </v>
      </c>
      <c r="H323">
        <v>322</v>
      </c>
      <c r="I323">
        <v>100323</v>
      </c>
      <c r="J323">
        <v>323</v>
      </c>
      <c r="K323" t="b">
        <f t="shared" si="5"/>
        <v>1</v>
      </c>
      <c r="L323" t="b">
        <f>COUNTBLANK(metadata!B323:D323)=COLUMNS(metadata!B323:D323)</f>
        <v>1</v>
      </c>
      <c r="M323" t="str">
        <v/>
      </c>
      <c r="O323" t="b">
        <f ca="1"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P323" t="b">
        <f>AND(IF(metadata!C323="",FALSE,TRUE),EXACT(metadata!C323,"mouse gut metagenome"))</f>
        <v>0</v>
      </c>
      <c r="Q323" t="b">
        <f>AND(IF(metadata!D323="",FALSE,TRUE),EXACT(metadata!D323,"410661"))</f>
        <v>0</v>
      </c>
    </row>
    <row r="324" spans="1:17" x14ac:dyDescent="0.2">
      <c r="A324" s="4" t="str">
        <f ca="1">IF(B324=" "," ",HYPERLINK(CONCATENATE("#metadata!",ADDRESS(INDEX($J$2:$J$1001,MATCH(ROWS($H$2:H324),$H$2:$H$1001,0),0),1)),INDEX($M$2:$M$1001,MATCH(ROWS($H$2:H324),$H$2:$H$1001,0),0)))</f>
        <v xml:space="preserve"> </v>
      </c>
      <c r="B324" s="3" t="str">
        <f ca="1">IF(OR(INDEX($I$2:$I$1001,MATCH(ROWS($H$2:H324),$H$2:$H$1001,0),1)&gt;=100000,INDEX($O$1005:$Q$1005,1,MATCH(COLUMNS($O$1006:O1006),$O$1006:$Q$1006,0))&gt;=100000), " ",IF(INDEX($O$2:$Q$1001,MATCH(ROWS($H$2:H324),$H$2:$H$1001,0),MATCH(COLUMNS($O$1006:O1006),$O$1006:$Q$1006,0)), HYPERLINK("#",""), HYPERLINK(CONCATENATE("#metadata!", ADDRESS(INDEX($J$2:$J$1001,MATCH(ROWS($H$2:H324),$H$2:$H$1001,0),0), INDEX($O$1004:$Q$1004,1,MATCH(COLUMNS($O$1006:O1006),$O$1006:$Q$1006,0)))),"Fix")))</f>
        <v xml:space="preserve"> </v>
      </c>
      <c r="C324" s="3" t="str">
        <f ca="1">IF(OR(INDEX($I$2:$I$1001,MATCH(ROWS($H$2:H324),$H$2:$H$1001,0),1)&gt;=100000,INDEX($O$1005:$Q$1005,1,MATCH(COLUMNS($O$1006:P1006),$O$1006:$Q$1006,0))&gt;=100000), " ",IF(INDEX($O$2:$Q$1001,MATCH(ROWS($H$2:H324),$H$2:$H$1001,0),MATCH(COLUMNS($O$1006:P1006),$O$1006:$Q$1006,0)), HYPERLINK("#",""), HYPERLINK(CONCATENATE("#metadata!", ADDRESS(INDEX($J$2:$J$1001,MATCH(ROWS($H$2:H324),$H$2:$H$1001,0),0), INDEX($O$1004:$Q$1004,1,MATCH(COLUMNS($O$1006:P1006),$O$1006:$Q$1006,0)))),"Fix")))</f>
        <v xml:space="preserve"> </v>
      </c>
      <c r="D324" s="3" t="str">
        <f ca="1">IF(OR(INDEX($I$2:$I$1001,MATCH(ROWS($H$2:H324),$H$2:$H$1001,0),1)&gt;=100000,INDEX($O$1005:$Q$1005,1,MATCH(COLUMNS($O$1006:Q1006),$O$1006:$Q$1006,0))&gt;=100000), " ",IF(INDEX($O$2:$Q$1001,MATCH(ROWS($H$2:H324),$H$2:$H$1001,0),MATCH(COLUMNS($O$1006:Q1006),$O$1006:$Q$1006,0)), HYPERLINK("#",""), HYPERLINK(CONCATENATE("#metadata!", ADDRESS(INDEX($J$2:$J$1001,MATCH(ROWS($H$2:H324),$H$2:$H$1001,0),0), INDEX($O$1004:$Q$1004,1,MATCH(COLUMNS($O$1006:Q1006),$O$1006:$Q$1006,0)))),"Fix")))</f>
        <v xml:space="preserve"> </v>
      </c>
      <c r="H324">
        <v>323</v>
      </c>
      <c r="I324">
        <v>100324</v>
      </c>
      <c r="J324">
        <v>324</v>
      </c>
      <c r="K324" t="b">
        <f t="shared" si="5"/>
        <v>1</v>
      </c>
      <c r="L324" t="b">
        <f>COUNTBLANK(metadata!B324:D324)=COLUMNS(metadata!B324:D324)</f>
        <v>1</v>
      </c>
      <c r="M324" t="str">
        <v/>
      </c>
      <c r="O324" t="b">
        <f ca="1"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P324" t="b">
        <f>AND(IF(metadata!C324="",FALSE,TRUE),EXACT(metadata!C324,"mouse gut metagenome"))</f>
        <v>0</v>
      </c>
      <c r="Q324" t="b">
        <f>AND(IF(metadata!D324="",FALSE,TRUE),EXACT(metadata!D324,"410661"))</f>
        <v>0</v>
      </c>
    </row>
    <row r="325" spans="1:17" x14ac:dyDescent="0.2">
      <c r="A325" s="4" t="str">
        <f ca="1">IF(B325=" "," ",HYPERLINK(CONCATENATE("#metadata!",ADDRESS(INDEX($J$2:$J$1001,MATCH(ROWS($H$2:H325),$H$2:$H$1001,0),0),1)),INDEX($M$2:$M$1001,MATCH(ROWS($H$2:H325),$H$2:$H$1001,0),0)))</f>
        <v xml:space="preserve"> </v>
      </c>
      <c r="B325" s="3" t="str">
        <f ca="1">IF(OR(INDEX($I$2:$I$1001,MATCH(ROWS($H$2:H325),$H$2:$H$1001,0),1)&gt;=100000,INDEX($O$1005:$Q$1005,1,MATCH(COLUMNS($O$1006:O1006),$O$1006:$Q$1006,0))&gt;=100000), " ",IF(INDEX($O$2:$Q$1001,MATCH(ROWS($H$2:H325),$H$2:$H$1001,0),MATCH(COLUMNS($O$1006:O1006),$O$1006:$Q$1006,0)), HYPERLINK("#",""), HYPERLINK(CONCATENATE("#metadata!", ADDRESS(INDEX($J$2:$J$1001,MATCH(ROWS($H$2:H325),$H$2:$H$1001,0),0), INDEX($O$1004:$Q$1004,1,MATCH(COLUMNS($O$1006:O1006),$O$1006:$Q$1006,0)))),"Fix")))</f>
        <v xml:space="preserve"> </v>
      </c>
      <c r="C325" s="3" t="str">
        <f ca="1">IF(OR(INDEX($I$2:$I$1001,MATCH(ROWS($H$2:H325),$H$2:$H$1001,0),1)&gt;=100000,INDEX($O$1005:$Q$1005,1,MATCH(COLUMNS($O$1006:P1006),$O$1006:$Q$1006,0))&gt;=100000), " ",IF(INDEX($O$2:$Q$1001,MATCH(ROWS($H$2:H325),$H$2:$H$1001,0),MATCH(COLUMNS($O$1006:P1006),$O$1006:$Q$1006,0)), HYPERLINK("#",""), HYPERLINK(CONCATENATE("#metadata!", ADDRESS(INDEX($J$2:$J$1001,MATCH(ROWS($H$2:H325),$H$2:$H$1001,0),0), INDEX($O$1004:$Q$1004,1,MATCH(COLUMNS($O$1006:P1006),$O$1006:$Q$1006,0)))),"Fix")))</f>
        <v xml:space="preserve"> </v>
      </c>
      <c r="D325" s="3" t="str">
        <f ca="1">IF(OR(INDEX($I$2:$I$1001,MATCH(ROWS($H$2:H325),$H$2:$H$1001,0),1)&gt;=100000,INDEX($O$1005:$Q$1005,1,MATCH(COLUMNS($O$1006:Q1006),$O$1006:$Q$1006,0))&gt;=100000), " ",IF(INDEX($O$2:$Q$1001,MATCH(ROWS($H$2:H325),$H$2:$H$1001,0),MATCH(COLUMNS($O$1006:Q1006),$O$1006:$Q$1006,0)), HYPERLINK("#",""), HYPERLINK(CONCATENATE("#metadata!", ADDRESS(INDEX($J$2:$J$1001,MATCH(ROWS($H$2:H325),$H$2:$H$1001,0),0), INDEX($O$1004:$Q$1004,1,MATCH(COLUMNS($O$1006:Q1006),$O$1006:$Q$1006,0)))),"Fix")))</f>
        <v xml:space="preserve"> </v>
      </c>
      <c r="H325">
        <v>324</v>
      </c>
      <c r="I325">
        <v>100325</v>
      </c>
      <c r="J325">
        <v>325</v>
      </c>
      <c r="K325" t="b">
        <f t="shared" si="5"/>
        <v>1</v>
      </c>
      <c r="L325" t="b">
        <f>COUNTBLANK(metadata!B325:D325)=COLUMNS(metadata!B325:D325)</f>
        <v>1</v>
      </c>
      <c r="M325" t="str">
        <v/>
      </c>
      <c r="O325" t="b">
        <f ca="1"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P325" t="b">
        <f>AND(IF(metadata!C325="",FALSE,TRUE),EXACT(metadata!C325,"mouse gut metagenome"))</f>
        <v>0</v>
      </c>
      <c r="Q325" t="b">
        <f>AND(IF(metadata!D325="",FALSE,TRUE),EXACT(metadata!D325,"410661"))</f>
        <v>0</v>
      </c>
    </row>
    <row r="326" spans="1:17" x14ac:dyDescent="0.2">
      <c r="A326" s="4" t="str">
        <f ca="1">IF(B326=" "," ",HYPERLINK(CONCATENATE("#metadata!",ADDRESS(INDEX($J$2:$J$1001,MATCH(ROWS($H$2:H326),$H$2:$H$1001,0),0),1)),INDEX($M$2:$M$1001,MATCH(ROWS($H$2:H326),$H$2:$H$1001,0),0)))</f>
        <v xml:space="preserve"> </v>
      </c>
      <c r="B326" s="3" t="str">
        <f ca="1">IF(OR(INDEX($I$2:$I$1001,MATCH(ROWS($H$2:H326),$H$2:$H$1001,0),1)&gt;=100000,INDEX($O$1005:$Q$1005,1,MATCH(COLUMNS($O$1006:O1006),$O$1006:$Q$1006,0))&gt;=100000), " ",IF(INDEX($O$2:$Q$1001,MATCH(ROWS($H$2:H326),$H$2:$H$1001,0),MATCH(COLUMNS($O$1006:O1006),$O$1006:$Q$1006,0)), HYPERLINK("#",""), HYPERLINK(CONCATENATE("#metadata!", ADDRESS(INDEX($J$2:$J$1001,MATCH(ROWS($H$2:H326),$H$2:$H$1001,0),0), INDEX($O$1004:$Q$1004,1,MATCH(COLUMNS($O$1006:O1006),$O$1006:$Q$1006,0)))),"Fix")))</f>
        <v xml:space="preserve"> </v>
      </c>
      <c r="C326" s="3" t="str">
        <f ca="1">IF(OR(INDEX($I$2:$I$1001,MATCH(ROWS($H$2:H326),$H$2:$H$1001,0),1)&gt;=100000,INDEX($O$1005:$Q$1005,1,MATCH(COLUMNS($O$1006:P1006),$O$1006:$Q$1006,0))&gt;=100000), " ",IF(INDEX($O$2:$Q$1001,MATCH(ROWS($H$2:H326),$H$2:$H$1001,0),MATCH(COLUMNS($O$1006:P1006),$O$1006:$Q$1006,0)), HYPERLINK("#",""), HYPERLINK(CONCATENATE("#metadata!", ADDRESS(INDEX($J$2:$J$1001,MATCH(ROWS($H$2:H326),$H$2:$H$1001,0),0), INDEX($O$1004:$Q$1004,1,MATCH(COLUMNS($O$1006:P1006),$O$1006:$Q$1006,0)))),"Fix")))</f>
        <v xml:space="preserve"> </v>
      </c>
      <c r="D326" s="3" t="str">
        <f ca="1">IF(OR(INDEX($I$2:$I$1001,MATCH(ROWS($H$2:H326),$H$2:$H$1001,0),1)&gt;=100000,INDEX($O$1005:$Q$1005,1,MATCH(COLUMNS($O$1006:Q1006),$O$1006:$Q$1006,0))&gt;=100000), " ",IF(INDEX($O$2:$Q$1001,MATCH(ROWS($H$2:H326),$H$2:$H$1001,0),MATCH(COLUMNS($O$1006:Q1006),$O$1006:$Q$1006,0)), HYPERLINK("#",""), HYPERLINK(CONCATENATE("#metadata!", ADDRESS(INDEX($J$2:$J$1001,MATCH(ROWS($H$2:H326),$H$2:$H$1001,0),0), INDEX($O$1004:$Q$1004,1,MATCH(COLUMNS($O$1006:Q1006),$O$1006:$Q$1006,0)))),"Fix")))</f>
        <v xml:space="preserve"> </v>
      </c>
      <c r="H326">
        <v>325</v>
      </c>
      <c r="I326">
        <v>100326</v>
      </c>
      <c r="J326">
        <v>326</v>
      </c>
      <c r="K326" t="b">
        <f t="shared" si="5"/>
        <v>1</v>
      </c>
      <c r="L326" t="b">
        <f>COUNTBLANK(metadata!B326:D326)=COLUMNS(metadata!B326:D326)</f>
        <v>1</v>
      </c>
      <c r="M326" t="str">
        <v/>
      </c>
      <c r="O326" t="b">
        <f ca="1"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P326" t="b">
        <f>AND(IF(metadata!C326="",FALSE,TRUE),EXACT(metadata!C326,"mouse gut metagenome"))</f>
        <v>0</v>
      </c>
      <c r="Q326" t="b">
        <f>AND(IF(metadata!D326="",FALSE,TRUE),EXACT(metadata!D326,"410661"))</f>
        <v>0</v>
      </c>
    </row>
    <row r="327" spans="1:17" x14ac:dyDescent="0.2">
      <c r="A327" s="4" t="str">
        <f ca="1">IF(B327=" "," ",HYPERLINK(CONCATENATE("#metadata!",ADDRESS(INDEX($J$2:$J$1001,MATCH(ROWS($H$2:H327),$H$2:$H$1001,0),0),1)),INDEX($M$2:$M$1001,MATCH(ROWS($H$2:H327),$H$2:$H$1001,0),0)))</f>
        <v xml:space="preserve"> </v>
      </c>
      <c r="B327" s="3" t="str">
        <f ca="1">IF(OR(INDEX($I$2:$I$1001,MATCH(ROWS($H$2:H327),$H$2:$H$1001,0),1)&gt;=100000,INDEX($O$1005:$Q$1005,1,MATCH(COLUMNS($O$1006:O1006),$O$1006:$Q$1006,0))&gt;=100000), " ",IF(INDEX($O$2:$Q$1001,MATCH(ROWS($H$2:H327),$H$2:$H$1001,0),MATCH(COLUMNS($O$1006:O1006),$O$1006:$Q$1006,0)), HYPERLINK("#",""), HYPERLINK(CONCATENATE("#metadata!", ADDRESS(INDEX($J$2:$J$1001,MATCH(ROWS($H$2:H327),$H$2:$H$1001,0),0), INDEX($O$1004:$Q$1004,1,MATCH(COLUMNS($O$1006:O1006),$O$1006:$Q$1006,0)))),"Fix")))</f>
        <v xml:space="preserve"> </v>
      </c>
      <c r="C327" s="3" t="str">
        <f ca="1">IF(OR(INDEX($I$2:$I$1001,MATCH(ROWS($H$2:H327),$H$2:$H$1001,0),1)&gt;=100000,INDEX($O$1005:$Q$1005,1,MATCH(COLUMNS($O$1006:P1006),$O$1006:$Q$1006,0))&gt;=100000), " ",IF(INDEX($O$2:$Q$1001,MATCH(ROWS($H$2:H327),$H$2:$H$1001,0),MATCH(COLUMNS($O$1006:P1006),$O$1006:$Q$1006,0)), HYPERLINK("#",""), HYPERLINK(CONCATENATE("#metadata!", ADDRESS(INDEX($J$2:$J$1001,MATCH(ROWS($H$2:H327),$H$2:$H$1001,0),0), INDEX($O$1004:$Q$1004,1,MATCH(COLUMNS($O$1006:P1006),$O$1006:$Q$1006,0)))),"Fix")))</f>
        <v xml:space="preserve"> </v>
      </c>
      <c r="D327" s="3" t="str">
        <f ca="1">IF(OR(INDEX($I$2:$I$1001,MATCH(ROWS($H$2:H327),$H$2:$H$1001,0),1)&gt;=100000,INDEX($O$1005:$Q$1005,1,MATCH(COLUMNS($O$1006:Q1006),$O$1006:$Q$1006,0))&gt;=100000), " ",IF(INDEX($O$2:$Q$1001,MATCH(ROWS($H$2:H327),$H$2:$H$1001,0),MATCH(COLUMNS($O$1006:Q1006),$O$1006:$Q$1006,0)), HYPERLINK("#",""), HYPERLINK(CONCATENATE("#metadata!", ADDRESS(INDEX($J$2:$J$1001,MATCH(ROWS($H$2:H327),$H$2:$H$1001,0),0), INDEX($O$1004:$Q$1004,1,MATCH(COLUMNS($O$1006:Q1006),$O$1006:$Q$1006,0)))),"Fix")))</f>
        <v xml:space="preserve"> </v>
      </c>
      <c r="H327">
        <v>326</v>
      </c>
      <c r="I327">
        <v>100327</v>
      </c>
      <c r="J327">
        <v>327</v>
      </c>
      <c r="K327" t="b">
        <f t="shared" si="5"/>
        <v>1</v>
      </c>
      <c r="L327" t="b">
        <f>COUNTBLANK(metadata!B327:D327)=COLUMNS(metadata!B327:D327)</f>
        <v>1</v>
      </c>
      <c r="M327" t="str">
        <v/>
      </c>
      <c r="O327" t="b">
        <f ca="1"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P327" t="b">
        <f>AND(IF(metadata!C327="",FALSE,TRUE),EXACT(metadata!C327,"mouse gut metagenome"))</f>
        <v>0</v>
      </c>
      <c r="Q327" t="b">
        <f>AND(IF(metadata!D327="",FALSE,TRUE),EXACT(metadata!D327,"410661"))</f>
        <v>0</v>
      </c>
    </row>
    <row r="328" spans="1:17" x14ac:dyDescent="0.2">
      <c r="A328" s="4" t="str">
        <f ca="1">IF(B328=" "," ",HYPERLINK(CONCATENATE("#metadata!",ADDRESS(INDEX($J$2:$J$1001,MATCH(ROWS($H$2:H328),$H$2:$H$1001,0),0),1)),INDEX($M$2:$M$1001,MATCH(ROWS($H$2:H328),$H$2:$H$1001,0),0)))</f>
        <v xml:space="preserve"> </v>
      </c>
      <c r="B328" s="3" t="str">
        <f ca="1">IF(OR(INDEX($I$2:$I$1001,MATCH(ROWS($H$2:H328),$H$2:$H$1001,0),1)&gt;=100000,INDEX($O$1005:$Q$1005,1,MATCH(COLUMNS($O$1006:O1006),$O$1006:$Q$1006,0))&gt;=100000), " ",IF(INDEX($O$2:$Q$1001,MATCH(ROWS($H$2:H328),$H$2:$H$1001,0),MATCH(COLUMNS($O$1006:O1006),$O$1006:$Q$1006,0)), HYPERLINK("#",""), HYPERLINK(CONCATENATE("#metadata!", ADDRESS(INDEX($J$2:$J$1001,MATCH(ROWS($H$2:H328),$H$2:$H$1001,0),0), INDEX($O$1004:$Q$1004,1,MATCH(COLUMNS($O$1006:O1006),$O$1006:$Q$1006,0)))),"Fix")))</f>
        <v xml:space="preserve"> </v>
      </c>
      <c r="C328" s="3" t="str">
        <f ca="1">IF(OR(INDEX($I$2:$I$1001,MATCH(ROWS($H$2:H328),$H$2:$H$1001,0),1)&gt;=100000,INDEX($O$1005:$Q$1005,1,MATCH(COLUMNS($O$1006:P1006),$O$1006:$Q$1006,0))&gt;=100000), " ",IF(INDEX($O$2:$Q$1001,MATCH(ROWS($H$2:H328),$H$2:$H$1001,0),MATCH(COLUMNS($O$1006:P1006),$O$1006:$Q$1006,0)), HYPERLINK("#",""), HYPERLINK(CONCATENATE("#metadata!", ADDRESS(INDEX($J$2:$J$1001,MATCH(ROWS($H$2:H328),$H$2:$H$1001,0),0), INDEX($O$1004:$Q$1004,1,MATCH(COLUMNS($O$1006:P1006),$O$1006:$Q$1006,0)))),"Fix")))</f>
        <v xml:space="preserve"> </v>
      </c>
      <c r="D328" s="3" t="str">
        <f ca="1">IF(OR(INDEX($I$2:$I$1001,MATCH(ROWS($H$2:H328),$H$2:$H$1001,0),1)&gt;=100000,INDEX($O$1005:$Q$1005,1,MATCH(COLUMNS($O$1006:Q1006),$O$1006:$Q$1006,0))&gt;=100000), " ",IF(INDEX($O$2:$Q$1001,MATCH(ROWS($H$2:H328),$H$2:$H$1001,0),MATCH(COLUMNS($O$1006:Q1006),$O$1006:$Q$1006,0)), HYPERLINK("#",""), HYPERLINK(CONCATENATE("#metadata!", ADDRESS(INDEX($J$2:$J$1001,MATCH(ROWS($H$2:H328),$H$2:$H$1001,0),0), INDEX($O$1004:$Q$1004,1,MATCH(COLUMNS($O$1006:Q1006),$O$1006:$Q$1006,0)))),"Fix")))</f>
        <v xml:space="preserve"> </v>
      </c>
      <c r="H328">
        <v>327</v>
      </c>
      <c r="I328">
        <v>100328</v>
      </c>
      <c r="J328">
        <v>328</v>
      </c>
      <c r="K328" t="b">
        <f t="shared" si="5"/>
        <v>1</v>
      </c>
      <c r="L328" t="b">
        <f>COUNTBLANK(metadata!B328:D328)=COLUMNS(metadata!B328:D328)</f>
        <v>1</v>
      </c>
      <c r="M328" t="str">
        <v/>
      </c>
      <c r="O328" t="b">
        <f ca="1"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P328" t="b">
        <f>AND(IF(metadata!C328="",FALSE,TRUE),EXACT(metadata!C328,"mouse gut metagenome"))</f>
        <v>0</v>
      </c>
      <c r="Q328" t="b">
        <f>AND(IF(metadata!D328="",FALSE,TRUE),EXACT(metadata!D328,"410661"))</f>
        <v>0</v>
      </c>
    </row>
    <row r="329" spans="1:17" x14ac:dyDescent="0.2">
      <c r="A329" s="4" t="str">
        <f ca="1">IF(B329=" "," ",HYPERLINK(CONCATENATE("#metadata!",ADDRESS(INDEX($J$2:$J$1001,MATCH(ROWS($H$2:H329),$H$2:$H$1001,0),0),1)),INDEX($M$2:$M$1001,MATCH(ROWS($H$2:H329),$H$2:$H$1001,0),0)))</f>
        <v xml:space="preserve"> </v>
      </c>
      <c r="B329" s="3" t="str">
        <f ca="1">IF(OR(INDEX($I$2:$I$1001,MATCH(ROWS($H$2:H329),$H$2:$H$1001,0),1)&gt;=100000,INDEX($O$1005:$Q$1005,1,MATCH(COLUMNS($O$1006:O1006),$O$1006:$Q$1006,0))&gt;=100000), " ",IF(INDEX($O$2:$Q$1001,MATCH(ROWS($H$2:H329),$H$2:$H$1001,0),MATCH(COLUMNS($O$1006:O1006),$O$1006:$Q$1006,0)), HYPERLINK("#",""), HYPERLINK(CONCATENATE("#metadata!", ADDRESS(INDEX($J$2:$J$1001,MATCH(ROWS($H$2:H329),$H$2:$H$1001,0),0), INDEX($O$1004:$Q$1004,1,MATCH(COLUMNS($O$1006:O1006),$O$1006:$Q$1006,0)))),"Fix")))</f>
        <v xml:space="preserve"> </v>
      </c>
      <c r="C329" s="3" t="str">
        <f ca="1">IF(OR(INDEX($I$2:$I$1001,MATCH(ROWS($H$2:H329),$H$2:$H$1001,0),1)&gt;=100000,INDEX($O$1005:$Q$1005,1,MATCH(COLUMNS($O$1006:P1006),$O$1006:$Q$1006,0))&gt;=100000), " ",IF(INDEX($O$2:$Q$1001,MATCH(ROWS($H$2:H329),$H$2:$H$1001,0),MATCH(COLUMNS($O$1006:P1006),$O$1006:$Q$1006,0)), HYPERLINK("#",""), HYPERLINK(CONCATENATE("#metadata!", ADDRESS(INDEX($J$2:$J$1001,MATCH(ROWS($H$2:H329),$H$2:$H$1001,0),0), INDEX($O$1004:$Q$1004,1,MATCH(COLUMNS($O$1006:P1006),$O$1006:$Q$1006,0)))),"Fix")))</f>
        <v xml:space="preserve"> </v>
      </c>
      <c r="D329" s="3" t="str">
        <f ca="1">IF(OR(INDEX($I$2:$I$1001,MATCH(ROWS($H$2:H329),$H$2:$H$1001,0),1)&gt;=100000,INDEX($O$1005:$Q$1005,1,MATCH(COLUMNS($O$1006:Q1006),$O$1006:$Q$1006,0))&gt;=100000), " ",IF(INDEX($O$2:$Q$1001,MATCH(ROWS($H$2:H329),$H$2:$H$1001,0),MATCH(COLUMNS($O$1006:Q1006),$O$1006:$Q$1006,0)), HYPERLINK("#",""), HYPERLINK(CONCATENATE("#metadata!", ADDRESS(INDEX($J$2:$J$1001,MATCH(ROWS($H$2:H329),$H$2:$H$1001,0),0), INDEX($O$1004:$Q$1004,1,MATCH(COLUMNS($O$1006:Q1006),$O$1006:$Q$1006,0)))),"Fix")))</f>
        <v xml:space="preserve"> </v>
      </c>
      <c r="H329">
        <v>328</v>
      </c>
      <c r="I329">
        <v>100329</v>
      </c>
      <c r="J329">
        <v>329</v>
      </c>
      <c r="K329" t="b">
        <f t="shared" si="5"/>
        <v>1</v>
      </c>
      <c r="L329" t="b">
        <f>COUNTBLANK(metadata!B329:D329)=COLUMNS(metadata!B329:D329)</f>
        <v>1</v>
      </c>
      <c r="M329" t="str">
        <v/>
      </c>
      <c r="O329" t="b">
        <f ca="1"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P329" t="b">
        <f>AND(IF(metadata!C329="",FALSE,TRUE),EXACT(metadata!C329,"mouse gut metagenome"))</f>
        <v>0</v>
      </c>
      <c r="Q329" t="b">
        <f>AND(IF(metadata!D329="",FALSE,TRUE),EXACT(metadata!D329,"410661"))</f>
        <v>0</v>
      </c>
    </row>
    <row r="330" spans="1:17" x14ac:dyDescent="0.2">
      <c r="A330" s="4" t="str">
        <f ca="1">IF(B330=" "," ",HYPERLINK(CONCATENATE("#metadata!",ADDRESS(INDEX($J$2:$J$1001,MATCH(ROWS($H$2:H330),$H$2:$H$1001,0),0),1)),INDEX($M$2:$M$1001,MATCH(ROWS($H$2:H330),$H$2:$H$1001,0),0)))</f>
        <v xml:space="preserve"> </v>
      </c>
      <c r="B330" s="3" t="str">
        <f ca="1">IF(OR(INDEX($I$2:$I$1001,MATCH(ROWS($H$2:H330),$H$2:$H$1001,0),1)&gt;=100000,INDEX($O$1005:$Q$1005,1,MATCH(COLUMNS($O$1006:O1006),$O$1006:$Q$1006,0))&gt;=100000), " ",IF(INDEX($O$2:$Q$1001,MATCH(ROWS($H$2:H330),$H$2:$H$1001,0),MATCH(COLUMNS($O$1006:O1006),$O$1006:$Q$1006,0)), HYPERLINK("#",""), HYPERLINK(CONCATENATE("#metadata!", ADDRESS(INDEX($J$2:$J$1001,MATCH(ROWS($H$2:H330),$H$2:$H$1001,0),0), INDEX($O$1004:$Q$1004,1,MATCH(COLUMNS($O$1006:O1006),$O$1006:$Q$1006,0)))),"Fix")))</f>
        <v xml:space="preserve"> </v>
      </c>
      <c r="C330" s="3" t="str">
        <f ca="1">IF(OR(INDEX($I$2:$I$1001,MATCH(ROWS($H$2:H330),$H$2:$H$1001,0),1)&gt;=100000,INDEX($O$1005:$Q$1005,1,MATCH(COLUMNS($O$1006:P1006),$O$1006:$Q$1006,0))&gt;=100000), " ",IF(INDEX($O$2:$Q$1001,MATCH(ROWS($H$2:H330),$H$2:$H$1001,0),MATCH(COLUMNS($O$1006:P1006),$O$1006:$Q$1006,0)), HYPERLINK("#",""), HYPERLINK(CONCATENATE("#metadata!", ADDRESS(INDEX($J$2:$J$1001,MATCH(ROWS($H$2:H330),$H$2:$H$1001,0),0), INDEX($O$1004:$Q$1004,1,MATCH(COLUMNS($O$1006:P1006),$O$1006:$Q$1006,0)))),"Fix")))</f>
        <v xml:space="preserve"> </v>
      </c>
      <c r="D330" s="3" t="str">
        <f ca="1">IF(OR(INDEX($I$2:$I$1001,MATCH(ROWS($H$2:H330),$H$2:$H$1001,0),1)&gt;=100000,INDEX($O$1005:$Q$1005,1,MATCH(COLUMNS($O$1006:Q1006),$O$1006:$Q$1006,0))&gt;=100000), " ",IF(INDEX($O$2:$Q$1001,MATCH(ROWS($H$2:H330),$H$2:$H$1001,0),MATCH(COLUMNS($O$1006:Q1006),$O$1006:$Q$1006,0)), HYPERLINK("#",""), HYPERLINK(CONCATENATE("#metadata!", ADDRESS(INDEX($J$2:$J$1001,MATCH(ROWS($H$2:H330),$H$2:$H$1001,0),0), INDEX($O$1004:$Q$1004,1,MATCH(COLUMNS($O$1006:Q1006),$O$1006:$Q$1006,0)))),"Fix")))</f>
        <v xml:space="preserve"> </v>
      </c>
      <c r="H330">
        <v>329</v>
      </c>
      <c r="I330">
        <v>100330</v>
      </c>
      <c r="J330">
        <v>330</v>
      </c>
      <c r="K330" t="b">
        <f t="shared" si="5"/>
        <v>1</v>
      </c>
      <c r="L330" t="b">
        <f>COUNTBLANK(metadata!B330:D330)=COLUMNS(metadata!B330:D330)</f>
        <v>1</v>
      </c>
      <c r="M330" t="str">
        <v/>
      </c>
      <c r="O330" t="b">
        <f ca="1"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P330" t="b">
        <f>AND(IF(metadata!C330="",FALSE,TRUE),EXACT(metadata!C330,"mouse gut metagenome"))</f>
        <v>0</v>
      </c>
      <c r="Q330" t="b">
        <f>AND(IF(metadata!D330="",FALSE,TRUE),EXACT(metadata!D330,"410661"))</f>
        <v>0</v>
      </c>
    </row>
    <row r="331" spans="1:17" x14ac:dyDescent="0.2">
      <c r="A331" s="4" t="str">
        <f ca="1">IF(B331=" "," ",HYPERLINK(CONCATENATE("#metadata!",ADDRESS(INDEX($J$2:$J$1001,MATCH(ROWS($H$2:H331),$H$2:$H$1001,0),0),1)),INDEX($M$2:$M$1001,MATCH(ROWS($H$2:H331),$H$2:$H$1001,0),0)))</f>
        <v xml:space="preserve"> </v>
      </c>
      <c r="B331" s="3" t="str">
        <f ca="1">IF(OR(INDEX($I$2:$I$1001,MATCH(ROWS($H$2:H331),$H$2:$H$1001,0),1)&gt;=100000,INDEX($O$1005:$Q$1005,1,MATCH(COLUMNS($O$1006:O1006),$O$1006:$Q$1006,0))&gt;=100000), " ",IF(INDEX($O$2:$Q$1001,MATCH(ROWS($H$2:H331),$H$2:$H$1001,0),MATCH(COLUMNS($O$1006:O1006),$O$1006:$Q$1006,0)), HYPERLINK("#",""), HYPERLINK(CONCATENATE("#metadata!", ADDRESS(INDEX($J$2:$J$1001,MATCH(ROWS($H$2:H331),$H$2:$H$1001,0),0), INDEX($O$1004:$Q$1004,1,MATCH(COLUMNS($O$1006:O1006),$O$1006:$Q$1006,0)))),"Fix")))</f>
        <v xml:space="preserve"> </v>
      </c>
      <c r="C331" s="3" t="str">
        <f ca="1">IF(OR(INDEX($I$2:$I$1001,MATCH(ROWS($H$2:H331),$H$2:$H$1001,0),1)&gt;=100000,INDEX($O$1005:$Q$1005,1,MATCH(COLUMNS($O$1006:P1006),$O$1006:$Q$1006,0))&gt;=100000), " ",IF(INDEX($O$2:$Q$1001,MATCH(ROWS($H$2:H331),$H$2:$H$1001,0),MATCH(COLUMNS($O$1006:P1006),$O$1006:$Q$1006,0)), HYPERLINK("#",""), HYPERLINK(CONCATENATE("#metadata!", ADDRESS(INDEX($J$2:$J$1001,MATCH(ROWS($H$2:H331),$H$2:$H$1001,0),0), INDEX($O$1004:$Q$1004,1,MATCH(COLUMNS($O$1006:P1006),$O$1006:$Q$1006,0)))),"Fix")))</f>
        <v xml:space="preserve"> </v>
      </c>
      <c r="D331" s="3" t="str">
        <f ca="1">IF(OR(INDEX($I$2:$I$1001,MATCH(ROWS($H$2:H331),$H$2:$H$1001,0),1)&gt;=100000,INDEX($O$1005:$Q$1005,1,MATCH(COLUMNS($O$1006:Q1006),$O$1006:$Q$1006,0))&gt;=100000), " ",IF(INDEX($O$2:$Q$1001,MATCH(ROWS($H$2:H331),$H$2:$H$1001,0),MATCH(COLUMNS($O$1006:Q1006),$O$1006:$Q$1006,0)), HYPERLINK("#",""), HYPERLINK(CONCATENATE("#metadata!", ADDRESS(INDEX($J$2:$J$1001,MATCH(ROWS($H$2:H331),$H$2:$H$1001,0),0), INDEX($O$1004:$Q$1004,1,MATCH(COLUMNS($O$1006:Q1006),$O$1006:$Q$1006,0)))),"Fix")))</f>
        <v xml:space="preserve"> </v>
      </c>
      <c r="H331">
        <v>330</v>
      </c>
      <c r="I331">
        <v>100331</v>
      </c>
      <c r="J331">
        <v>331</v>
      </c>
      <c r="K331" t="b">
        <f t="shared" si="5"/>
        <v>1</v>
      </c>
      <c r="L331" t="b">
        <f>COUNTBLANK(metadata!B331:D331)=COLUMNS(metadata!B331:D331)</f>
        <v>1</v>
      </c>
      <c r="M331" t="str">
        <v/>
      </c>
      <c r="O331" t="b">
        <f ca="1"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P331" t="b">
        <f>AND(IF(metadata!C331="",FALSE,TRUE),EXACT(metadata!C331,"mouse gut metagenome"))</f>
        <v>0</v>
      </c>
      <c r="Q331" t="b">
        <f>AND(IF(metadata!D331="",FALSE,TRUE),EXACT(metadata!D331,"410661"))</f>
        <v>0</v>
      </c>
    </row>
    <row r="332" spans="1:17" x14ac:dyDescent="0.2">
      <c r="A332" s="4" t="str">
        <f ca="1">IF(B332=" "," ",HYPERLINK(CONCATENATE("#metadata!",ADDRESS(INDEX($J$2:$J$1001,MATCH(ROWS($H$2:H332),$H$2:$H$1001,0),0),1)),INDEX($M$2:$M$1001,MATCH(ROWS($H$2:H332),$H$2:$H$1001,0),0)))</f>
        <v xml:space="preserve"> </v>
      </c>
      <c r="B332" s="3" t="str">
        <f ca="1">IF(OR(INDEX($I$2:$I$1001,MATCH(ROWS($H$2:H332),$H$2:$H$1001,0),1)&gt;=100000,INDEX($O$1005:$Q$1005,1,MATCH(COLUMNS($O$1006:O1006),$O$1006:$Q$1006,0))&gt;=100000), " ",IF(INDEX($O$2:$Q$1001,MATCH(ROWS($H$2:H332),$H$2:$H$1001,0),MATCH(COLUMNS($O$1006:O1006),$O$1006:$Q$1006,0)), HYPERLINK("#",""), HYPERLINK(CONCATENATE("#metadata!", ADDRESS(INDEX($J$2:$J$1001,MATCH(ROWS($H$2:H332),$H$2:$H$1001,0),0), INDEX($O$1004:$Q$1004,1,MATCH(COLUMNS($O$1006:O1006),$O$1006:$Q$1006,0)))),"Fix")))</f>
        <v xml:space="preserve"> </v>
      </c>
      <c r="C332" s="3" t="str">
        <f ca="1">IF(OR(INDEX($I$2:$I$1001,MATCH(ROWS($H$2:H332),$H$2:$H$1001,0),1)&gt;=100000,INDEX($O$1005:$Q$1005,1,MATCH(COLUMNS($O$1006:P1006),$O$1006:$Q$1006,0))&gt;=100000), " ",IF(INDEX($O$2:$Q$1001,MATCH(ROWS($H$2:H332),$H$2:$H$1001,0),MATCH(COLUMNS($O$1006:P1006),$O$1006:$Q$1006,0)), HYPERLINK("#",""), HYPERLINK(CONCATENATE("#metadata!", ADDRESS(INDEX($J$2:$J$1001,MATCH(ROWS($H$2:H332),$H$2:$H$1001,0),0), INDEX($O$1004:$Q$1004,1,MATCH(COLUMNS($O$1006:P1006),$O$1006:$Q$1006,0)))),"Fix")))</f>
        <v xml:space="preserve"> </v>
      </c>
      <c r="D332" s="3" t="str">
        <f ca="1">IF(OR(INDEX($I$2:$I$1001,MATCH(ROWS($H$2:H332),$H$2:$H$1001,0),1)&gt;=100000,INDEX($O$1005:$Q$1005,1,MATCH(COLUMNS($O$1006:Q1006),$O$1006:$Q$1006,0))&gt;=100000), " ",IF(INDEX($O$2:$Q$1001,MATCH(ROWS($H$2:H332),$H$2:$H$1001,0),MATCH(COLUMNS($O$1006:Q1006),$O$1006:$Q$1006,0)), HYPERLINK("#",""), HYPERLINK(CONCATENATE("#metadata!", ADDRESS(INDEX($J$2:$J$1001,MATCH(ROWS($H$2:H332),$H$2:$H$1001,0),0), INDEX($O$1004:$Q$1004,1,MATCH(COLUMNS($O$1006:Q1006),$O$1006:$Q$1006,0)))),"Fix")))</f>
        <v xml:space="preserve"> </v>
      </c>
      <c r="H332">
        <v>331</v>
      </c>
      <c r="I332">
        <v>100332</v>
      </c>
      <c r="J332">
        <v>332</v>
      </c>
      <c r="K332" t="b">
        <f t="shared" si="5"/>
        <v>1</v>
      </c>
      <c r="L332" t="b">
        <f>COUNTBLANK(metadata!B332:D332)=COLUMNS(metadata!B332:D332)</f>
        <v>1</v>
      </c>
      <c r="M332" t="str">
        <v/>
      </c>
      <c r="O332" t="b">
        <f ca="1"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P332" t="b">
        <f>AND(IF(metadata!C332="",FALSE,TRUE),EXACT(metadata!C332,"mouse gut metagenome"))</f>
        <v>0</v>
      </c>
      <c r="Q332" t="b">
        <f>AND(IF(metadata!D332="",FALSE,TRUE),EXACT(metadata!D332,"410661"))</f>
        <v>0</v>
      </c>
    </row>
    <row r="333" spans="1:17" x14ac:dyDescent="0.2">
      <c r="A333" s="4" t="str">
        <f ca="1">IF(B333=" "," ",HYPERLINK(CONCATENATE("#metadata!",ADDRESS(INDEX($J$2:$J$1001,MATCH(ROWS($H$2:H333),$H$2:$H$1001,0),0),1)),INDEX($M$2:$M$1001,MATCH(ROWS($H$2:H333),$H$2:$H$1001,0),0)))</f>
        <v xml:space="preserve"> </v>
      </c>
      <c r="B333" s="3" t="str">
        <f ca="1">IF(OR(INDEX($I$2:$I$1001,MATCH(ROWS($H$2:H333),$H$2:$H$1001,0),1)&gt;=100000,INDEX($O$1005:$Q$1005,1,MATCH(COLUMNS($O$1006:O1006),$O$1006:$Q$1006,0))&gt;=100000), " ",IF(INDEX($O$2:$Q$1001,MATCH(ROWS($H$2:H333),$H$2:$H$1001,0),MATCH(COLUMNS($O$1006:O1006),$O$1006:$Q$1006,0)), HYPERLINK("#",""), HYPERLINK(CONCATENATE("#metadata!", ADDRESS(INDEX($J$2:$J$1001,MATCH(ROWS($H$2:H333),$H$2:$H$1001,0),0), INDEX($O$1004:$Q$1004,1,MATCH(COLUMNS($O$1006:O1006),$O$1006:$Q$1006,0)))),"Fix")))</f>
        <v xml:space="preserve"> </v>
      </c>
      <c r="C333" s="3" t="str">
        <f ca="1">IF(OR(INDEX($I$2:$I$1001,MATCH(ROWS($H$2:H333),$H$2:$H$1001,0),1)&gt;=100000,INDEX($O$1005:$Q$1005,1,MATCH(COLUMNS($O$1006:P1006),$O$1006:$Q$1006,0))&gt;=100000), " ",IF(INDEX($O$2:$Q$1001,MATCH(ROWS($H$2:H333),$H$2:$H$1001,0),MATCH(COLUMNS($O$1006:P1006),$O$1006:$Q$1006,0)), HYPERLINK("#",""), HYPERLINK(CONCATENATE("#metadata!", ADDRESS(INDEX($J$2:$J$1001,MATCH(ROWS($H$2:H333),$H$2:$H$1001,0),0), INDEX($O$1004:$Q$1004,1,MATCH(COLUMNS($O$1006:P1006),$O$1006:$Q$1006,0)))),"Fix")))</f>
        <v xml:space="preserve"> </v>
      </c>
      <c r="D333" s="3" t="str">
        <f ca="1">IF(OR(INDEX($I$2:$I$1001,MATCH(ROWS($H$2:H333),$H$2:$H$1001,0),1)&gt;=100000,INDEX($O$1005:$Q$1005,1,MATCH(COLUMNS($O$1006:Q1006),$O$1006:$Q$1006,0))&gt;=100000), " ",IF(INDEX($O$2:$Q$1001,MATCH(ROWS($H$2:H333),$H$2:$H$1001,0),MATCH(COLUMNS($O$1006:Q1006),$O$1006:$Q$1006,0)), HYPERLINK("#",""), HYPERLINK(CONCATENATE("#metadata!", ADDRESS(INDEX($J$2:$J$1001,MATCH(ROWS($H$2:H333),$H$2:$H$1001,0),0), INDEX($O$1004:$Q$1004,1,MATCH(COLUMNS($O$1006:Q1006),$O$1006:$Q$1006,0)))),"Fix")))</f>
        <v xml:space="preserve"> </v>
      </c>
      <c r="H333">
        <v>332</v>
      </c>
      <c r="I333">
        <v>100333</v>
      </c>
      <c r="J333">
        <v>333</v>
      </c>
      <c r="K333" t="b">
        <f t="shared" si="5"/>
        <v>1</v>
      </c>
      <c r="L333" t="b">
        <f>COUNTBLANK(metadata!B333:D333)=COLUMNS(metadata!B333:D333)</f>
        <v>1</v>
      </c>
      <c r="M333" t="str">
        <v/>
      </c>
      <c r="O333" t="b">
        <f ca="1"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P333" t="b">
        <f>AND(IF(metadata!C333="",FALSE,TRUE),EXACT(metadata!C333,"mouse gut metagenome"))</f>
        <v>0</v>
      </c>
      <c r="Q333" t="b">
        <f>AND(IF(metadata!D333="",FALSE,TRUE),EXACT(metadata!D333,"410661"))</f>
        <v>0</v>
      </c>
    </row>
    <row r="334" spans="1:17" x14ac:dyDescent="0.2">
      <c r="A334" s="4" t="str">
        <f ca="1">IF(B334=" "," ",HYPERLINK(CONCATENATE("#metadata!",ADDRESS(INDEX($J$2:$J$1001,MATCH(ROWS($H$2:H334),$H$2:$H$1001,0),0),1)),INDEX($M$2:$M$1001,MATCH(ROWS($H$2:H334),$H$2:$H$1001,0),0)))</f>
        <v xml:space="preserve"> </v>
      </c>
      <c r="B334" s="3" t="str">
        <f ca="1">IF(OR(INDEX($I$2:$I$1001,MATCH(ROWS($H$2:H334),$H$2:$H$1001,0),1)&gt;=100000,INDEX($O$1005:$Q$1005,1,MATCH(COLUMNS($O$1006:O1006),$O$1006:$Q$1006,0))&gt;=100000), " ",IF(INDEX($O$2:$Q$1001,MATCH(ROWS($H$2:H334),$H$2:$H$1001,0),MATCH(COLUMNS($O$1006:O1006),$O$1006:$Q$1006,0)), HYPERLINK("#",""), HYPERLINK(CONCATENATE("#metadata!", ADDRESS(INDEX($J$2:$J$1001,MATCH(ROWS($H$2:H334),$H$2:$H$1001,0),0), INDEX($O$1004:$Q$1004,1,MATCH(COLUMNS($O$1006:O1006),$O$1006:$Q$1006,0)))),"Fix")))</f>
        <v xml:space="preserve"> </v>
      </c>
      <c r="C334" s="3" t="str">
        <f ca="1">IF(OR(INDEX($I$2:$I$1001,MATCH(ROWS($H$2:H334),$H$2:$H$1001,0),1)&gt;=100000,INDEX($O$1005:$Q$1005,1,MATCH(COLUMNS($O$1006:P1006),$O$1006:$Q$1006,0))&gt;=100000), " ",IF(INDEX($O$2:$Q$1001,MATCH(ROWS($H$2:H334),$H$2:$H$1001,0),MATCH(COLUMNS($O$1006:P1006),$O$1006:$Q$1006,0)), HYPERLINK("#",""), HYPERLINK(CONCATENATE("#metadata!", ADDRESS(INDEX($J$2:$J$1001,MATCH(ROWS($H$2:H334),$H$2:$H$1001,0),0), INDEX($O$1004:$Q$1004,1,MATCH(COLUMNS($O$1006:P1006),$O$1006:$Q$1006,0)))),"Fix")))</f>
        <v xml:space="preserve"> </v>
      </c>
      <c r="D334" s="3" t="str">
        <f ca="1">IF(OR(INDEX($I$2:$I$1001,MATCH(ROWS($H$2:H334),$H$2:$H$1001,0),1)&gt;=100000,INDEX($O$1005:$Q$1005,1,MATCH(COLUMNS($O$1006:Q1006),$O$1006:$Q$1006,0))&gt;=100000), " ",IF(INDEX($O$2:$Q$1001,MATCH(ROWS($H$2:H334),$H$2:$H$1001,0),MATCH(COLUMNS($O$1006:Q1006),$O$1006:$Q$1006,0)), HYPERLINK("#",""), HYPERLINK(CONCATENATE("#metadata!", ADDRESS(INDEX($J$2:$J$1001,MATCH(ROWS($H$2:H334),$H$2:$H$1001,0),0), INDEX($O$1004:$Q$1004,1,MATCH(COLUMNS($O$1006:Q1006),$O$1006:$Q$1006,0)))),"Fix")))</f>
        <v xml:space="preserve"> </v>
      </c>
      <c r="H334">
        <v>333</v>
      </c>
      <c r="I334">
        <v>100334</v>
      </c>
      <c r="J334">
        <v>334</v>
      </c>
      <c r="K334" t="b">
        <f t="shared" si="5"/>
        <v>1</v>
      </c>
      <c r="L334" t="b">
        <f>COUNTBLANK(metadata!B334:D334)=COLUMNS(metadata!B334:D334)</f>
        <v>1</v>
      </c>
      <c r="M334" t="str">
        <v/>
      </c>
      <c r="O334" t="b">
        <f ca="1"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P334" t="b">
        <f>AND(IF(metadata!C334="",FALSE,TRUE),EXACT(metadata!C334,"mouse gut metagenome"))</f>
        <v>0</v>
      </c>
      <c r="Q334" t="b">
        <f>AND(IF(metadata!D334="",FALSE,TRUE),EXACT(metadata!D334,"410661"))</f>
        <v>0</v>
      </c>
    </row>
    <row r="335" spans="1:17" x14ac:dyDescent="0.2">
      <c r="A335" s="4" t="str">
        <f ca="1">IF(B335=" "," ",HYPERLINK(CONCATENATE("#metadata!",ADDRESS(INDEX($J$2:$J$1001,MATCH(ROWS($H$2:H335),$H$2:$H$1001,0),0),1)),INDEX($M$2:$M$1001,MATCH(ROWS($H$2:H335),$H$2:$H$1001,0),0)))</f>
        <v xml:space="preserve"> </v>
      </c>
      <c r="B335" s="3" t="str">
        <f ca="1">IF(OR(INDEX($I$2:$I$1001,MATCH(ROWS($H$2:H335),$H$2:$H$1001,0),1)&gt;=100000,INDEX($O$1005:$Q$1005,1,MATCH(COLUMNS($O$1006:O1006),$O$1006:$Q$1006,0))&gt;=100000), " ",IF(INDEX($O$2:$Q$1001,MATCH(ROWS($H$2:H335),$H$2:$H$1001,0),MATCH(COLUMNS($O$1006:O1006),$O$1006:$Q$1006,0)), HYPERLINK("#",""), HYPERLINK(CONCATENATE("#metadata!", ADDRESS(INDEX($J$2:$J$1001,MATCH(ROWS($H$2:H335),$H$2:$H$1001,0),0), INDEX($O$1004:$Q$1004,1,MATCH(COLUMNS($O$1006:O1006),$O$1006:$Q$1006,0)))),"Fix")))</f>
        <v xml:space="preserve"> </v>
      </c>
      <c r="C335" s="3" t="str">
        <f ca="1">IF(OR(INDEX($I$2:$I$1001,MATCH(ROWS($H$2:H335),$H$2:$H$1001,0),1)&gt;=100000,INDEX($O$1005:$Q$1005,1,MATCH(COLUMNS($O$1006:P1006),$O$1006:$Q$1006,0))&gt;=100000), " ",IF(INDEX($O$2:$Q$1001,MATCH(ROWS($H$2:H335),$H$2:$H$1001,0),MATCH(COLUMNS($O$1006:P1006),$O$1006:$Q$1006,0)), HYPERLINK("#",""), HYPERLINK(CONCATENATE("#metadata!", ADDRESS(INDEX($J$2:$J$1001,MATCH(ROWS($H$2:H335),$H$2:$H$1001,0),0), INDEX($O$1004:$Q$1004,1,MATCH(COLUMNS($O$1006:P1006),$O$1006:$Q$1006,0)))),"Fix")))</f>
        <v xml:space="preserve"> </v>
      </c>
      <c r="D335" s="3" t="str">
        <f ca="1">IF(OR(INDEX($I$2:$I$1001,MATCH(ROWS($H$2:H335),$H$2:$H$1001,0),1)&gt;=100000,INDEX($O$1005:$Q$1005,1,MATCH(COLUMNS($O$1006:Q1006),$O$1006:$Q$1006,0))&gt;=100000), " ",IF(INDEX($O$2:$Q$1001,MATCH(ROWS($H$2:H335),$H$2:$H$1001,0),MATCH(COLUMNS($O$1006:Q1006),$O$1006:$Q$1006,0)), HYPERLINK("#",""), HYPERLINK(CONCATENATE("#metadata!", ADDRESS(INDEX($J$2:$J$1001,MATCH(ROWS($H$2:H335),$H$2:$H$1001,0),0), INDEX($O$1004:$Q$1004,1,MATCH(COLUMNS($O$1006:Q1006),$O$1006:$Q$1006,0)))),"Fix")))</f>
        <v xml:space="preserve"> </v>
      </c>
      <c r="H335">
        <v>334</v>
      </c>
      <c r="I335">
        <v>100335</v>
      </c>
      <c r="J335">
        <v>335</v>
      </c>
      <c r="K335" t="b">
        <f t="shared" si="5"/>
        <v>1</v>
      </c>
      <c r="L335" t="b">
        <f>COUNTBLANK(metadata!B335:D335)=COLUMNS(metadata!B335:D335)</f>
        <v>1</v>
      </c>
      <c r="M335" t="str">
        <v/>
      </c>
      <c r="O335" t="b">
        <f ca="1"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P335" t="b">
        <f>AND(IF(metadata!C335="",FALSE,TRUE),EXACT(metadata!C335,"mouse gut metagenome"))</f>
        <v>0</v>
      </c>
      <c r="Q335" t="b">
        <f>AND(IF(metadata!D335="",FALSE,TRUE),EXACT(metadata!D335,"410661"))</f>
        <v>0</v>
      </c>
    </row>
    <row r="336" spans="1:17" x14ac:dyDescent="0.2">
      <c r="A336" s="4" t="str">
        <f ca="1">IF(B336=" "," ",HYPERLINK(CONCATENATE("#metadata!",ADDRESS(INDEX($J$2:$J$1001,MATCH(ROWS($H$2:H336),$H$2:$H$1001,0),0),1)),INDEX($M$2:$M$1001,MATCH(ROWS($H$2:H336),$H$2:$H$1001,0),0)))</f>
        <v xml:space="preserve"> </v>
      </c>
      <c r="B336" s="3" t="str">
        <f ca="1">IF(OR(INDEX($I$2:$I$1001,MATCH(ROWS($H$2:H336),$H$2:$H$1001,0),1)&gt;=100000,INDEX($O$1005:$Q$1005,1,MATCH(COLUMNS($O$1006:O1006),$O$1006:$Q$1006,0))&gt;=100000), " ",IF(INDEX($O$2:$Q$1001,MATCH(ROWS($H$2:H336),$H$2:$H$1001,0),MATCH(COLUMNS($O$1006:O1006),$O$1006:$Q$1006,0)), HYPERLINK("#",""), HYPERLINK(CONCATENATE("#metadata!", ADDRESS(INDEX($J$2:$J$1001,MATCH(ROWS($H$2:H336),$H$2:$H$1001,0),0), INDEX($O$1004:$Q$1004,1,MATCH(COLUMNS($O$1006:O1006),$O$1006:$Q$1006,0)))),"Fix")))</f>
        <v xml:space="preserve"> </v>
      </c>
      <c r="C336" s="3" t="str">
        <f ca="1">IF(OR(INDEX($I$2:$I$1001,MATCH(ROWS($H$2:H336),$H$2:$H$1001,0),1)&gt;=100000,INDEX($O$1005:$Q$1005,1,MATCH(COLUMNS($O$1006:P1006),$O$1006:$Q$1006,0))&gt;=100000), " ",IF(INDEX($O$2:$Q$1001,MATCH(ROWS($H$2:H336),$H$2:$H$1001,0),MATCH(COLUMNS($O$1006:P1006),$O$1006:$Q$1006,0)), HYPERLINK("#",""), HYPERLINK(CONCATENATE("#metadata!", ADDRESS(INDEX($J$2:$J$1001,MATCH(ROWS($H$2:H336),$H$2:$H$1001,0),0), INDEX($O$1004:$Q$1004,1,MATCH(COLUMNS($O$1006:P1006),$O$1006:$Q$1006,0)))),"Fix")))</f>
        <v xml:space="preserve"> </v>
      </c>
      <c r="D336" s="3" t="str">
        <f ca="1">IF(OR(INDEX($I$2:$I$1001,MATCH(ROWS($H$2:H336),$H$2:$H$1001,0),1)&gt;=100000,INDEX($O$1005:$Q$1005,1,MATCH(COLUMNS($O$1006:Q1006),$O$1006:$Q$1006,0))&gt;=100000), " ",IF(INDEX($O$2:$Q$1001,MATCH(ROWS($H$2:H336),$H$2:$H$1001,0),MATCH(COLUMNS($O$1006:Q1006),$O$1006:$Q$1006,0)), HYPERLINK("#",""), HYPERLINK(CONCATENATE("#metadata!", ADDRESS(INDEX($J$2:$J$1001,MATCH(ROWS($H$2:H336),$H$2:$H$1001,0),0), INDEX($O$1004:$Q$1004,1,MATCH(COLUMNS($O$1006:Q1006),$O$1006:$Q$1006,0)))),"Fix")))</f>
        <v xml:space="preserve"> </v>
      </c>
      <c r="H336">
        <v>335</v>
      </c>
      <c r="I336">
        <v>100336</v>
      </c>
      <c r="J336">
        <v>336</v>
      </c>
      <c r="K336" t="b">
        <f t="shared" si="5"/>
        <v>1</v>
      </c>
      <c r="L336" t="b">
        <f>COUNTBLANK(metadata!B336:D336)=COLUMNS(metadata!B336:D336)</f>
        <v>1</v>
      </c>
      <c r="M336" t="str">
        <v/>
      </c>
      <c r="O336" t="b">
        <f ca="1"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P336" t="b">
        <f>AND(IF(metadata!C336="",FALSE,TRUE),EXACT(metadata!C336,"mouse gut metagenome"))</f>
        <v>0</v>
      </c>
      <c r="Q336" t="b">
        <f>AND(IF(metadata!D336="",FALSE,TRUE),EXACT(metadata!D336,"410661"))</f>
        <v>0</v>
      </c>
    </row>
    <row r="337" spans="1:17" x14ac:dyDescent="0.2">
      <c r="A337" s="4" t="str">
        <f ca="1">IF(B337=" "," ",HYPERLINK(CONCATENATE("#metadata!",ADDRESS(INDEX($J$2:$J$1001,MATCH(ROWS($H$2:H337),$H$2:$H$1001,0),0),1)),INDEX($M$2:$M$1001,MATCH(ROWS($H$2:H337),$H$2:$H$1001,0),0)))</f>
        <v xml:space="preserve"> </v>
      </c>
      <c r="B337" s="3" t="str">
        <f ca="1">IF(OR(INDEX($I$2:$I$1001,MATCH(ROWS($H$2:H337),$H$2:$H$1001,0),1)&gt;=100000,INDEX($O$1005:$Q$1005,1,MATCH(COLUMNS($O$1006:O1006),$O$1006:$Q$1006,0))&gt;=100000), " ",IF(INDEX($O$2:$Q$1001,MATCH(ROWS($H$2:H337),$H$2:$H$1001,0),MATCH(COLUMNS($O$1006:O1006),$O$1006:$Q$1006,0)), HYPERLINK("#",""), HYPERLINK(CONCATENATE("#metadata!", ADDRESS(INDEX($J$2:$J$1001,MATCH(ROWS($H$2:H337),$H$2:$H$1001,0),0), INDEX($O$1004:$Q$1004,1,MATCH(COLUMNS($O$1006:O1006),$O$1006:$Q$1006,0)))),"Fix")))</f>
        <v xml:space="preserve"> </v>
      </c>
      <c r="C337" s="3" t="str">
        <f ca="1">IF(OR(INDEX($I$2:$I$1001,MATCH(ROWS($H$2:H337),$H$2:$H$1001,0),1)&gt;=100000,INDEX($O$1005:$Q$1005,1,MATCH(COLUMNS($O$1006:P1006),$O$1006:$Q$1006,0))&gt;=100000), " ",IF(INDEX($O$2:$Q$1001,MATCH(ROWS($H$2:H337),$H$2:$H$1001,0),MATCH(COLUMNS($O$1006:P1006),$O$1006:$Q$1006,0)), HYPERLINK("#",""), HYPERLINK(CONCATENATE("#metadata!", ADDRESS(INDEX($J$2:$J$1001,MATCH(ROWS($H$2:H337),$H$2:$H$1001,0),0), INDEX($O$1004:$Q$1004,1,MATCH(COLUMNS($O$1006:P1006),$O$1006:$Q$1006,0)))),"Fix")))</f>
        <v xml:space="preserve"> </v>
      </c>
      <c r="D337" s="3" t="str">
        <f ca="1">IF(OR(INDEX($I$2:$I$1001,MATCH(ROWS($H$2:H337),$H$2:$H$1001,0),1)&gt;=100000,INDEX($O$1005:$Q$1005,1,MATCH(COLUMNS($O$1006:Q1006),$O$1006:$Q$1006,0))&gt;=100000), " ",IF(INDEX($O$2:$Q$1001,MATCH(ROWS($H$2:H337),$H$2:$H$1001,0),MATCH(COLUMNS($O$1006:Q1006),$O$1006:$Q$1006,0)), HYPERLINK("#",""), HYPERLINK(CONCATENATE("#metadata!", ADDRESS(INDEX($J$2:$J$1001,MATCH(ROWS($H$2:H337),$H$2:$H$1001,0),0), INDEX($O$1004:$Q$1004,1,MATCH(COLUMNS($O$1006:Q1006),$O$1006:$Q$1006,0)))),"Fix")))</f>
        <v xml:space="preserve"> </v>
      </c>
      <c r="H337">
        <v>336</v>
      </c>
      <c r="I337">
        <v>100337</v>
      </c>
      <c r="J337">
        <v>337</v>
      </c>
      <c r="K337" t="b">
        <f t="shared" si="5"/>
        <v>1</v>
      </c>
      <c r="L337" t="b">
        <f>COUNTBLANK(metadata!B337:D337)=COLUMNS(metadata!B337:D337)</f>
        <v>1</v>
      </c>
      <c r="M337" t="str">
        <v/>
      </c>
      <c r="O337" t="b">
        <f ca="1"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P337" t="b">
        <f>AND(IF(metadata!C337="",FALSE,TRUE),EXACT(metadata!C337,"mouse gut metagenome"))</f>
        <v>0</v>
      </c>
      <c r="Q337" t="b">
        <f>AND(IF(metadata!D337="",FALSE,TRUE),EXACT(metadata!D337,"410661"))</f>
        <v>0</v>
      </c>
    </row>
    <row r="338" spans="1:17" x14ac:dyDescent="0.2">
      <c r="A338" s="4" t="str">
        <f ca="1">IF(B338=" "," ",HYPERLINK(CONCATENATE("#metadata!",ADDRESS(INDEX($J$2:$J$1001,MATCH(ROWS($H$2:H338),$H$2:$H$1001,0),0),1)),INDEX($M$2:$M$1001,MATCH(ROWS($H$2:H338),$H$2:$H$1001,0),0)))</f>
        <v xml:space="preserve"> </v>
      </c>
      <c r="B338" s="3" t="str">
        <f ca="1">IF(OR(INDEX($I$2:$I$1001,MATCH(ROWS($H$2:H338),$H$2:$H$1001,0),1)&gt;=100000,INDEX($O$1005:$Q$1005,1,MATCH(COLUMNS($O$1006:O1006),$O$1006:$Q$1006,0))&gt;=100000), " ",IF(INDEX($O$2:$Q$1001,MATCH(ROWS($H$2:H338),$H$2:$H$1001,0),MATCH(COLUMNS($O$1006:O1006),$O$1006:$Q$1006,0)), HYPERLINK("#",""), HYPERLINK(CONCATENATE("#metadata!", ADDRESS(INDEX($J$2:$J$1001,MATCH(ROWS($H$2:H338),$H$2:$H$1001,0),0), INDEX($O$1004:$Q$1004,1,MATCH(COLUMNS($O$1006:O1006),$O$1006:$Q$1006,0)))),"Fix")))</f>
        <v xml:space="preserve"> </v>
      </c>
      <c r="C338" s="3" t="str">
        <f ca="1">IF(OR(INDEX($I$2:$I$1001,MATCH(ROWS($H$2:H338),$H$2:$H$1001,0),1)&gt;=100000,INDEX($O$1005:$Q$1005,1,MATCH(COLUMNS($O$1006:P1006),$O$1006:$Q$1006,0))&gt;=100000), " ",IF(INDEX($O$2:$Q$1001,MATCH(ROWS($H$2:H338),$H$2:$H$1001,0),MATCH(COLUMNS($O$1006:P1006),$O$1006:$Q$1006,0)), HYPERLINK("#",""), HYPERLINK(CONCATENATE("#metadata!", ADDRESS(INDEX($J$2:$J$1001,MATCH(ROWS($H$2:H338),$H$2:$H$1001,0),0), INDEX($O$1004:$Q$1004,1,MATCH(COLUMNS($O$1006:P1006),$O$1006:$Q$1006,0)))),"Fix")))</f>
        <v xml:space="preserve"> </v>
      </c>
      <c r="D338" s="3" t="str">
        <f ca="1">IF(OR(INDEX($I$2:$I$1001,MATCH(ROWS($H$2:H338),$H$2:$H$1001,0),1)&gt;=100000,INDEX($O$1005:$Q$1005,1,MATCH(COLUMNS($O$1006:Q1006),$O$1006:$Q$1006,0))&gt;=100000), " ",IF(INDEX($O$2:$Q$1001,MATCH(ROWS($H$2:H338),$H$2:$H$1001,0),MATCH(COLUMNS($O$1006:Q1006),$O$1006:$Q$1006,0)), HYPERLINK("#",""), HYPERLINK(CONCATENATE("#metadata!", ADDRESS(INDEX($J$2:$J$1001,MATCH(ROWS($H$2:H338),$H$2:$H$1001,0),0), INDEX($O$1004:$Q$1004,1,MATCH(COLUMNS($O$1006:Q1006),$O$1006:$Q$1006,0)))),"Fix")))</f>
        <v xml:space="preserve"> </v>
      </c>
      <c r="H338">
        <v>337</v>
      </c>
      <c r="I338">
        <v>100338</v>
      </c>
      <c r="J338">
        <v>338</v>
      </c>
      <c r="K338" t="b">
        <f t="shared" si="5"/>
        <v>1</v>
      </c>
      <c r="L338" t="b">
        <f>COUNTBLANK(metadata!B338:D338)=COLUMNS(metadata!B338:D338)</f>
        <v>1</v>
      </c>
      <c r="M338" t="str">
        <v/>
      </c>
      <c r="O338" t="b">
        <f ca="1"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P338" t="b">
        <f>AND(IF(metadata!C338="",FALSE,TRUE),EXACT(metadata!C338,"mouse gut metagenome"))</f>
        <v>0</v>
      </c>
      <c r="Q338" t="b">
        <f>AND(IF(metadata!D338="",FALSE,TRUE),EXACT(metadata!D338,"410661"))</f>
        <v>0</v>
      </c>
    </row>
    <row r="339" spans="1:17" x14ac:dyDescent="0.2">
      <c r="A339" s="4" t="str">
        <f ca="1">IF(B339=" "," ",HYPERLINK(CONCATENATE("#metadata!",ADDRESS(INDEX($J$2:$J$1001,MATCH(ROWS($H$2:H339),$H$2:$H$1001,0),0),1)),INDEX($M$2:$M$1001,MATCH(ROWS($H$2:H339),$H$2:$H$1001,0),0)))</f>
        <v xml:space="preserve"> </v>
      </c>
      <c r="B339" s="3" t="str">
        <f ca="1">IF(OR(INDEX($I$2:$I$1001,MATCH(ROWS($H$2:H339),$H$2:$H$1001,0),1)&gt;=100000,INDEX($O$1005:$Q$1005,1,MATCH(COLUMNS($O$1006:O1006),$O$1006:$Q$1006,0))&gt;=100000), " ",IF(INDEX($O$2:$Q$1001,MATCH(ROWS($H$2:H339),$H$2:$H$1001,0),MATCH(COLUMNS($O$1006:O1006),$O$1006:$Q$1006,0)), HYPERLINK("#",""), HYPERLINK(CONCATENATE("#metadata!", ADDRESS(INDEX($J$2:$J$1001,MATCH(ROWS($H$2:H339),$H$2:$H$1001,0),0), INDEX($O$1004:$Q$1004,1,MATCH(COLUMNS($O$1006:O1006),$O$1006:$Q$1006,0)))),"Fix")))</f>
        <v xml:space="preserve"> </v>
      </c>
      <c r="C339" s="3" t="str">
        <f ca="1">IF(OR(INDEX($I$2:$I$1001,MATCH(ROWS($H$2:H339),$H$2:$H$1001,0),1)&gt;=100000,INDEX($O$1005:$Q$1005,1,MATCH(COLUMNS($O$1006:P1006),$O$1006:$Q$1006,0))&gt;=100000), " ",IF(INDEX($O$2:$Q$1001,MATCH(ROWS($H$2:H339),$H$2:$H$1001,0),MATCH(COLUMNS($O$1006:P1006),$O$1006:$Q$1006,0)), HYPERLINK("#",""), HYPERLINK(CONCATENATE("#metadata!", ADDRESS(INDEX($J$2:$J$1001,MATCH(ROWS($H$2:H339),$H$2:$H$1001,0),0), INDEX($O$1004:$Q$1004,1,MATCH(COLUMNS($O$1006:P1006),$O$1006:$Q$1006,0)))),"Fix")))</f>
        <v xml:space="preserve"> </v>
      </c>
      <c r="D339" s="3" t="str">
        <f ca="1">IF(OR(INDEX($I$2:$I$1001,MATCH(ROWS($H$2:H339),$H$2:$H$1001,0),1)&gt;=100000,INDEX($O$1005:$Q$1005,1,MATCH(COLUMNS($O$1006:Q1006),$O$1006:$Q$1006,0))&gt;=100000), " ",IF(INDEX($O$2:$Q$1001,MATCH(ROWS($H$2:H339),$H$2:$H$1001,0),MATCH(COLUMNS($O$1006:Q1006),$O$1006:$Q$1006,0)), HYPERLINK("#",""), HYPERLINK(CONCATENATE("#metadata!", ADDRESS(INDEX($J$2:$J$1001,MATCH(ROWS($H$2:H339),$H$2:$H$1001,0),0), INDEX($O$1004:$Q$1004,1,MATCH(COLUMNS($O$1006:Q1006),$O$1006:$Q$1006,0)))),"Fix")))</f>
        <v xml:space="preserve"> </v>
      </c>
      <c r="H339">
        <v>338</v>
      </c>
      <c r="I339">
        <v>100339</v>
      </c>
      <c r="J339">
        <v>339</v>
      </c>
      <c r="K339" t="b">
        <f t="shared" si="5"/>
        <v>1</v>
      </c>
      <c r="L339" t="b">
        <f>COUNTBLANK(metadata!B339:D339)=COLUMNS(metadata!B339:D339)</f>
        <v>1</v>
      </c>
      <c r="M339" t="str">
        <v/>
      </c>
      <c r="O339" t="b">
        <f ca="1"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P339" t="b">
        <f>AND(IF(metadata!C339="",FALSE,TRUE),EXACT(metadata!C339,"mouse gut metagenome"))</f>
        <v>0</v>
      </c>
      <c r="Q339" t="b">
        <f>AND(IF(metadata!D339="",FALSE,TRUE),EXACT(metadata!D339,"410661"))</f>
        <v>0</v>
      </c>
    </row>
    <row r="340" spans="1:17" x14ac:dyDescent="0.2">
      <c r="A340" s="4" t="str">
        <f ca="1">IF(B340=" "," ",HYPERLINK(CONCATENATE("#metadata!",ADDRESS(INDEX($J$2:$J$1001,MATCH(ROWS($H$2:H340),$H$2:$H$1001,0),0),1)),INDEX($M$2:$M$1001,MATCH(ROWS($H$2:H340),$H$2:$H$1001,0),0)))</f>
        <v xml:space="preserve"> </v>
      </c>
      <c r="B340" s="3" t="str">
        <f ca="1">IF(OR(INDEX($I$2:$I$1001,MATCH(ROWS($H$2:H340),$H$2:$H$1001,0),1)&gt;=100000,INDEX($O$1005:$Q$1005,1,MATCH(COLUMNS($O$1006:O1006),$O$1006:$Q$1006,0))&gt;=100000), " ",IF(INDEX($O$2:$Q$1001,MATCH(ROWS($H$2:H340),$H$2:$H$1001,0),MATCH(COLUMNS($O$1006:O1006),$O$1006:$Q$1006,0)), HYPERLINK("#",""), HYPERLINK(CONCATENATE("#metadata!", ADDRESS(INDEX($J$2:$J$1001,MATCH(ROWS($H$2:H340),$H$2:$H$1001,0),0), INDEX($O$1004:$Q$1004,1,MATCH(COLUMNS($O$1006:O1006),$O$1006:$Q$1006,0)))),"Fix")))</f>
        <v xml:space="preserve"> </v>
      </c>
      <c r="C340" s="3" t="str">
        <f ca="1">IF(OR(INDEX($I$2:$I$1001,MATCH(ROWS($H$2:H340),$H$2:$H$1001,0),1)&gt;=100000,INDEX($O$1005:$Q$1005,1,MATCH(COLUMNS($O$1006:P1006),$O$1006:$Q$1006,0))&gt;=100000), " ",IF(INDEX($O$2:$Q$1001,MATCH(ROWS($H$2:H340),$H$2:$H$1001,0),MATCH(COLUMNS($O$1006:P1006),$O$1006:$Q$1006,0)), HYPERLINK("#",""), HYPERLINK(CONCATENATE("#metadata!", ADDRESS(INDEX($J$2:$J$1001,MATCH(ROWS($H$2:H340),$H$2:$H$1001,0),0), INDEX($O$1004:$Q$1004,1,MATCH(COLUMNS($O$1006:P1006),$O$1006:$Q$1006,0)))),"Fix")))</f>
        <v xml:space="preserve"> </v>
      </c>
      <c r="D340" s="3" t="str">
        <f ca="1">IF(OR(INDEX($I$2:$I$1001,MATCH(ROWS($H$2:H340),$H$2:$H$1001,0),1)&gt;=100000,INDEX($O$1005:$Q$1005,1,MATCH(COLUMNS($O$1006:Q1006),$O$1006:$Q$1006,0))&gt;=100000), " ",IF(INDEX($O$2:$Q$1001,MATCH(ROWS($H$2:H340),$H$2:$H$1001,0),MATCH(COLUMNS($O$1006:Q1006),$O$1006:$Q$1006,0)), HYPERLINK("#",""), HYPERLINK(CONCATENATE("#metadata!", ADDRESS(INDEX($J$2:$J$1001,MATCH(ROWS($H$2:H340),$H$2:$H$1001,0),0), INDEX($O$1004:$Q$1004,1,MATCH(COLUMNS($O$1006:Q1006),$O$1006:$Q$1006,0)))),"Fix")))</f>
        <v xml:space="preserve"> </v>
      </c>
      <c r="H340">
        <v>339</v>
      </c>
      <c r="I340">
        <v>100340</v>
      </c>
      <c r="J340">
        <v>340</v>
      </c>
      <c r="K340" t="b">
        <f t="shared" si="5"/>
        <v>1</v>
      </c>
      <c r="L340" t="b">
        <f>COUNTBLANK(metadata!B340:D340)=COLUMNS(metadata!B340:D340)</f>
        <v>1</v>
      </c>
      <c r="M340" t="str">
        <v/>
      </c>
      <c r="O340" t="b">
        <f ca="1"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P340" t="b">
        <f>AND(IF(metadata!C340="",FALSE,TRUE),EXACT(metadata!C340,"mouse gut metagenome"))</f>
        <v>0</v>
      </c>
      <c r="Q340" t="b">
        <f>AND(IF(metadata!D340="",FALSE,TRUE),EXACT(metadata!D340,"410661"))</f>
        <v>0</v>
      </c>
    </row>
    <row r="341" spans="1:17" x14ac:dyDescent="0.2">
      <c r="A341" s="4" t="str">
        <f ca="1">IF(B341=" "," ",HYPERLINK(CONCATENATE("#metadata!",ADDRESS(INDEX($J$2:$J$1001,MATCH(ROWS($H$2:H341),$H$2:$H$1001,0),0),1)),INDEX($M$2:$M$1001,MATCH(ROWS($H$2:H341),$H$2:$H$1001,0),0)))</f>
        <v xml:space="preserve"> </v>
      </c>
      <c r="B341" s="3" t="str">
        <f ca="1">IF(OR(INDEX($I$2:$I$1001,MATCH(ROWS($H$2:H341),$H$2:$H$1001,0),1)&gt;=100000,INDEX($O$1005:$Q$1005,1,MATCH(COLUMNS($O$1006:O1006),$O$1006:$Q$1006,0))&gt;=100000), " ",IF(INDEX($O$2:$Q$1001,MATCH(ROWS($H$2:H341),$H$2:$H$1001,0),MATCH(COLUMNS($O$1006:O1006),$O$1006:$Q$1006,0)), HYPERLINK("#",""), HYPERLINK(CONCATENATE("#metadata!", ADDRESS(INDEX($J$2:$J$1001,MATCH(ROWS($H$2:H341),$H$2:$H$1001,0),0), INDEX($O$1004:$Q$1004,1,MATCH(COLUMNS($O$1006:O1006),$O$1006:$Q$1006,0)))),"Fix")))</f>
        <v xml:space="preserve"> </v>
      </c>
      <c r="C341" s="3" t="str">
        <f ca="1">IF(OR(INDEX($I$2:$I$1001,MATCH(ROWS($H$2:H341),$H$2:$H$1001,0),1)&gt;=100000,INDEX($O$1005:$Q$1005,1,MATCH(COLUMNS($O$1006:P1006),$O$1006:$Q$1006,0))&gt;=100000), " ",IF(INDEX($O$2:$Q$1001,MATCH(ROWS($H$2:H341),$H$2:$H$1001,0),MATCH(COLUMNS($O$1006:P1006),$O$1006:$Q$1006,0)), HYPERLINK("#",""), HYPERLINK(CONCATENATE("#metadata!", ADDRESS(INDEX($J$2:$J$1001,MATCH(ROWS($H$2:H341),$H$2:$H$1001,0),0), INDEX($O$1004:$Q$1004,1,MATCH(COLUMNS($O$1006:P1006),$O$1006:$Q$1006,0)))),"Fix")))</f>
        <v xml:space="preserve"> </v>
      </c>
      <c r="D341" s="3" t="str">
        <f ca="1">IF(OR(INDEX($I$2:$I$1001,MATCH(ROWS($H$2:H341),$H$2:$H$1001,0),1)&gt;=100000,INDEX($O$1005:$Q$1005,1,MATCH(COLUMNS($O$1006:Q1006),$O$1006:$Q$1006,0))&gt;=100000), " ",IF(INDEX($O$2:$Q$1001,MATCH(ROWS($H$2:H341),$H$2:$H$1001,0),MATCH(COLUMNS($O$1006:Q1006),$O$1006:$Q$1006,0)), HYPERLINK("#",""), HYPERLINK(CONCATENATE("#metadata!", ADDRESS(INDEX($J$2:$J$1001,MATCH(ROWS($H$2:H341),$H$2:$H$1001,0),0), INDEX($O$1004:$Q$1004,1,MATCH(COLUMNS($O$1006:Q1006),$O$1006:$Q$1006,0)))),"Fix")))</f>
        <v xml:space="preserve"> </v>
      </c>
      <c r="H341">
        <v>340</v>
      </c>
      <c r="I341">
        <v>100341</v>
      </c>
      <c r="J341">
        <v>341</v>
      </c>
      <c r="K341" t="b">
        <f t="shared" si="5"/>
        <v>1</v>
      </c>
      <c r="L341" t="b">
        <f>COUNTBLANK(metadata!B341:D341)=COLUMNS(metadata!B341:D341)</f>
        <v>1</v>
      </c>
      <c r="M341" t="str">
        <v/>
      </c>
      <c r="O341" t="b">
        <f ca="1"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P341" t="b">
        <f>AND(IF(metadata!C341="",FALSE,TRUE),EXACT(metadata!C341,"mouse gut metagenome"))</f>
        <v>0</v>
      </c>
      <c r="Q341" t="b">
        <f>AND(IF(metadata!D341="",FALSE,TRUE),EXACT(metadata!D341,"410661"))</f>
        <v>0</v>
      </c>
    </row>
    <row r="342" spans="1:17" x14ac:dyDescent="0.2">
      <c r="A342" s="4" t="str">
        <f ca="1">IF(B342=" "," ",HYPERLINK(CONCATENATE("#metadata!",ADDRESS(INDEX($J$2:$J$1001,MATCH(ROWS($H$2:H342),$H$2:$H$1001,0),0),1)),INDEX($M$2:$M$1001,MATCH(ROWS($H$2:H342),$H$2:$H$1001,0),0)))</f>
        <v xml:space="preserve"> </v>
      </c>
      <c r="B342" s="3" t="str">
        <f ca="1">IF(OR(INDEX($I$2:$I$1001,MATCH(ROWS($H$2:H342),$H$2:$H$1001,0),1)&gt;=100000,INDEX($O$1005:$Q$1005,1,MATCH(COLUMNS($O$1006:O1006),$O$1006:$Q$1006,0))&gt;=100000), " ",IF(INDEX($O$2:$Q$1001,MATCH(ROWS($H$2:H342),$H$2:$H$1001,0),MATCH(COLUMNS($O$1006:O1006),$O$1006:$Q$1006,0)), HYPERLINK("#",""), HYPERLINK(CONCATENATE("#metadata!", ADDRESS(INDEX($J$2:$J$1001,MATCH(ROWS($H$2:H342),$H$2:$H$1001,0),0), INDEX($O$1004:$Q$1004,1,MATCH(COLUMNS($O$1006:O1006),$O$1006:$Q$1006,0)))),"Fix")))</f>
        <v xml:space="preserve"> </v>
      </c>
      <c r="C342" s="3" t="str">
        <f ca="1">IF(OR(INDEX($I$2:$I$1001,MATCH(ROWS($H$2:H342),$H$2:$H$1001,0),1)&gt;=100000,INDEX($O$1005:$Q$1005,1,MATCH(COLUMNS($O$1006:P1006),$O$1006:$Q$1006,0))&gt;=100000), " ",IF(INDEX($O$2:$Q$1001,MATCH(ROWS($H$2:H342),$H$2:$H$1001,0),MATCH(COLUMNS($O$1006:P1006),$O$1006:$Q$1006,0)), HYPERLINK("#",""), HYPERLINK(CONCATENATE("#metadata!", ADDRESS(INDEX($J$2:$J$1001,MATCH(ROWS($H$2:H342),$H$2:$H$1001,0),0), INDEX($O$1004:$Q$1004,1,MATCH(COLUMNS($O$1006:P1006),$O$1006:$Q$1006,0)))),"Fix")))</f>
        <v xml:space="preserve"> </v>
      </c>
      <c r="D342" s="3" t="str">
        <f ca="1">IF(OR(INDEX($I$2:$I$1001,MATCH(ROWS($H$2:H342),$H$2:$H$1001,0),1)&gt;=100000,INDEX($O$1005:$Q$1005,1,MATCH(COLUMNS($O$1006:Q1006),$O$1006:$Q$1006,0))&gt;=100000), " ",IF(INDEX($O$2:$Q$1001,MATCH(ROWS($H$2:H342),$H$2:$H$1001,0),MATCH(COLUMNS($O$1006:Q1006),$O$1006:$Q$1006,0)), HYPERLINK("#",""), HYPERLINK(CONCATENATE("#metadata!", ADDRESS(INDEX($J$2:$J$1001,MATCH(ROWS($H$2:H342),$H$2:$H$1001,0),0), INDEX($O$1004:$Q$1004,1,MATCH(COLUMNS($O$1006:Q1006),$O$1006:$Q$1006,0)))),"Fix")))</f>
        <v xml:space="preserve"> </v>
      </c>
      <c r="H342">
        <v>341</v>
      </c>
      <c r="I342">
        <v>100342</v>
      </c>
      <c r="J342">
        <v>342</v>
      </c>
      <c r="K342" t="b">
        <f t="shared" si="5"/>
        <v>1</v>
      </c>
      <c r="L342" t="b">
        <f>COUNTBLANK(metadata!B342:D342)=COLUMNS(metadata!B342:D342)</f>
        <v>1</v>
      </c>
      <c r="M342" t="str">
        <v/>
      </c>
      <c r="O342" t="b">
        <f ca="1"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P342" t="b">
        <f>AND(IF(metadata!C342="",FALSE,TRUE),EXACT(metadata!C342,"mouse gut metagenome"))</f>
        <v>0</v>
      </c>
      <c r="Q342" t="b">
        <f>AND(IF(metadata!D342="",FALSE,TRUE),EXACT(metadata!D342,"410661"))</f>
        <v>0</v>
      </c>
    </row>
    <row r="343" spans="1:17" x14ac:dyDescent="0.2">
      <c r="A343" s="4" t="str">
        <f ca="1">IF(B343=" "," ",HYPERLINK(CONCATENATE("#metadata!",ADDRESS(INDEX($J$2:$J$1001,MATCH(ROWS($H$2:H343),$H$2:$H$1001,0),0),1)),INDEX($M$2:$M$1001,MATCH(ROWS($H$2:H343),$H$2:$H$1001,0),0)))</f>
        <v xml:space="preserve"> </v>
      </c>
      <c r="B343" s="3" t="str">
        <f ca="1">IF(OR(INDEX($I$2:$I$1001,MATCH(ROWS($H$2:H343),$H$2:$H$1001,0),1)&gt;=100000,INDEX($O$1005:$Q$1005,1,MATCH(COLUMNS($O$1006:O1006),$O$1006:$Q$1006,0))&gt;=100000), " ",IF(INDEX($O$2:$Q$1001,MATCH(ROWS($H$2:H343),$H$2:$H$1001,0),MATCH(COLUMNS($O$1006:O1006),$O$1006:$Q$1006,0)), HYPERLINK("#",""), HYPERLINK(CONCATENATE("#metadata!", ADDRESS(INDEX($J$2:$J$1001,MATCH(ROWS($H$2:H343),$H$2:$H$1001,0),0), INDEX($O$1004:$Q$1004,1,MATCH(COLUMNS($O$1006:O1006),$O$1006:$Q$1006,0)))),"Fix")))</f>
        <v xml:space="preserve"> </v>
      </c>
      <c r="C343" s="3" t="str">
        <f ca="1">IF(OR(INDEX($I$2:$I$1001,MATCH(ROWS($H$2:H343),$H$2:$H$1001,0),1)&gt;=100000,INDEX($O$1005:$Q$1005,1,MATCH(COLUMNS($O$1006:P1006),$O$1006:$Q$1006,0))&gt;=100000), " ",IF(INDEX($O$2:$Q$1001,MATCH(ROWS($H$2:H343),$H$2:$H$1001,0),MATCH(COLUMNS($O$1006:P1006),$O$1006:$Q$1006,0)), HYPERLINK("#",""), HYPERLINK(CONCATENATE("#metadata!", ADDRESS(INDEX($J$2:$J$1001,MATCH(ROWS($H$2:H343),$H$2:$H$1001,0),0), INDEX($O$1004:$Q$1004,1,MATCH(COLUMNS($O$1006:P1006),$O$1006:$Q$1006,0)))),"Fix")))</f>
        <v xml:space="preserve"> </v>
      </c>
      <c r="D343" s="3" t="str">
        <f ca="1">IF(OR(INDEX($I$2:$I$1001,MATCH(ROWS($H$2:H343),$H$2:$H$1001,0),1)&gt;=100000,INDEX($O$1005:$Q$1005,1,MATCH(COLUMNS($O$1006:Q1006),$O$1006:$Q$1006,0))&gt;=100000), " ",IF(INDEX($O$2:$Q$1001,MATCH(ROWS($H$2:H343),$H$2:$H$1001,0),MATCH(COLUMNS($O$1006:Q1006),$O$1006:$Q$1006,0)), HYPERLINK("#",""), HYPERLINK(CONCATENATE("#metadata!", ADDRESS(INDEX($J$2:$J$1001,MATCH(ROWS($H$2:H343),$H$2:$H$1001,0),0), INDEX($O$1004:$Q$1004,1,MATCH(COLUMNS($O$1006:Q1006),$O$1006:$Q$1006,0)))),"Fix")))</f>
        <v xml:space="preserve"> </v>
      </c>
      <c r="H343">
        <v>342</v>
      </c>
      <c r="I343">
        <v>100343</v>
      </c>
      <c r="J343">
        <v>343</v>
      </c>
      <c r="K343" t="b">
        <f t="shared" si="5"/>
        <v>1</v>
      </c>
      <c r="L343" t="b">
        <f>COUNTBLANK(metadata!B343:D343)=COLUMNS(metadata!B343:D343)</f>
        <v>1</v>
      </c>
      <c r="M343" t="str">
        <v/>
      </c>
      <c r="O343" t="b">
        <f ca="1"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P343" t="b">
        <f>AND(IF(metadata!C343="",FALSE,TRUE),EXACT(metadata!C343,"mouse gut metagenome"))</f>
        <v>0</v>
      </c>
      <c r="Q343" t="b">
        <f>AND(IF(metadata!D343="",FALSE,TRUE),EXACT(metadata!D343,"410661"))</f>
        <v>0</v>
      </c>
    </row>
    <row r="344" spans="1:17" x14ac:dyDescent="0.2">
      <c r="A344" s="4" t="str">
        <f ca="1">IF(B344=" "," ",HYPERLINK(CONCATENATE("#metadata!",ADDRESS(INDEX($J$2:$J$1001,MATCH(ROWS($H$2:H344),$H$2:$H$1001,0),0),1)),INDEX($M$2:$M$1001,MATCH(ROWS($H$2:H344),$H$2:$H$1001,0),0)))</f>
        <v xml:space="preserve"> </v>
      </c>
      <c r="B344" s="3" t="str">
        <f ca="1">IF(OR(INDEX($I$2:$I$1001,MATCH(ROWS($H$2:H344),$H$2:$H$1001,0),1)&gt;=100000,INDEX($O$1005:$Q$1005,1,MATCH(COLUMNS($O$1006:O1006),$O$1006:$Q$1006,0))&gt;=100000), " ",IF(INDEX($O$2:$Q$1001,MATCH(ROWS($H$2:H344),$H$2:$H$1001,0),MATCH(COLUMNS($O$1006:O1006),$O$1006:$Q$1006,0)), HYPERLINK("#",""), HYPERLINK(CONCATENATE("#metadata!", ADDRESS(INDEX($J$2:$J$1001,MATCH(ROWS($H$2:H344),$H$2:$H$1001,0),0), INDEX($O$1004:$Q$1004,1,MATCH(COLUMNS($O$1006:O1006),$O$1006:$Q$1006,0)))),"Fix")))</f>
        <v xml:space="preserve"> </v>
      </c>
      <c r="C344" s="3" t="str">
        <f ca="1">IF(OR(INDEX($I$2:$I$1001,MATCH(ROWS($H$2:H344),$H$2:$H$1001,0),1)&gt;=100000,INDEX($O$1005:$Q$1005,1,MATCH(COLUMNS($O$1006:P1006),$O$1006:$Q$1006,0))&gt;=100000), " ",IF(INDEX($O$2:$Q$1001,MATCH(ROWS($H$2:H344),$H$2:$H$1001,0),MATCH(COLUMNS($O$1006:P1006),$O$1006:$Q$1006,0)), HYPERLINK("#",""), HYPERLINK(CONCATENATE("#metadata!", ADDRESS(INDEX($J$2:$J$1001,MATCH(ROWS($H$2:H344),$H$2:$H$1001,0),0), INDEX($O$1004:$Q$1004,1,MATCH(COLUMNS($O$1006:P1006),$O$1006:$Q$1006,0)))),"Fix")))</f>
        <v xml:space="preserve"> </v>
      </c>
      <c r="D344" s="3" t="str">
        <f ca="1">IF(OR(INDEX($I$2:$I$1001,MATCH(ROWS($H$2:H344),$H$2:$H$1001,0),1)&gt;=100000,INDEX($O$1005:$Q$1005,1,MATCH(COLUMNS($O$1006:Q1006),$O$1006:$Q$1006,0))&gt;=100000), " ",IF(INDEX($O$2:$Q$1001,MATCH(ROWS($H$2:H344),$H$2:$H$1001,0),MATCH(COLUMNS($O$1006:Q1006),$O$1006:$Q$1006,0)), HYPERLINK("#",""), HYPERLINK(CONCATENATE("#metadata!", ADDRESS(INDEX($J$2:$J$1001,MATCH(ROWS($H$2:H344),$H$2:$H$1001,0),0), INDEX($O$1004:$Q$1004,1,MATCH(COLUMNS($O$1006:Q1006),$O$1006:$Q$1006,0)))),"Fix")))</f>
        <v xml:space="preserve"> </v>
      </c>
      <c r="H344">
        <v>343</v>
      </c>
      <c r="I344">
        <v>100344</v>
      </c>
      <c r="J344">
        <v>344</v>
      </c>
      <c r="K344" t="b">
        <f t="shared" si="5"/>
        <v>1</v>
      </c>
      <c r="L344" t="b">
        <f>COUNTBLANK(metadata!B344:D344)=COLUMNS(metadata!B344:D344)</f>
        <v>1</v>
      </c>
      <c r="M344" t="str">
        <v/>
      </c>
      <c r="O344" t="b">
        <f ca="1"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P344" t="b">
        <f>AND(IF(metadata!C344="",FALSE,TRUE),EXACT(metadata!C344,"mouse gut metagenome"))</f>
        <v>0</v>
      </c>
      <c r="Q344" t="b">
        <f>AND(IF(metadata!D344="",FALSE,TRUE),EXACT(metadata!D344,"410661"))</f>
        <v>0</v>
      </c>
    </row>
    <row r="345" spans="1:17" x14ac:dyDescent="0.2">
      <c r="A345" s="4" t="str">
        <f ca="1">IF(B345=" "," ",HYPERLINK(CONCATENATE("#metadata!",ADDRESS(INDEX($J$2:$J$1001,MATCH(ROWS($H$2:H345),$H$2:$H$1001,0),0),1)),INDEX($M$2:$M$1001,MATCH(ROWS($H$2:H345),$H$2:$H$1001,0),0)))</f>
        <v xml:space="preserve"> </v>
      </c>
      <c r="B345" s="3" t="str">
        <f ca="1">IF(OR(INDEX($I$2:$I$1001,MATCH(ROWS($H$2:H345),$H$2:$H$1001,0),1)&gt;=100000,INDEX($O$1005:$Q$1005,1,MATCH(COLUMNS($O$1006:O1006),$O$1006:$Q$1006,0))&gt;=100000), " ",IF(INDEX($O$2:$Q$1001,MATCH(ROWS($H$2:H345),$H$2:$H$1001,0),MATCH(COLUMNS($O$1006:O1006),$O$1006:$Q$1006,0)), HYPERLINK("#",""), HYPERLINK(CONCATENATE("#metadata!", ADDRESS(INDEX($J$2:$J$1001,MATCH(ROWS($H$2:H345),$H$2:$H$1001,0),0), INDEX($O$1004:$Q$1004,1,MATCH(COLUMNS($O$1006:O1006),$O$1006:$Q$1006,0)))),"Fix")))</f>
        <v xml:space="preserve"> </v>
      </c>
      <c r="C345" s="3" t="str">
        <f ca="1">IF(OR(INDEX($I$2:$I$1001,MATCH(ROWS($H$2:H345),$H$2:$H$1001,0),1)&gt;=100000,INDEX($O$1005:$Q$1005,1,MATCH(COLUMNS($O$1006:P1006),$O$1006:$Q$1006,0))&gt;=100000), " ",IF(INDEX($O$2:$Q$1001,MATCH(ROWS($H$2:H345),$H$2:$H$1001,0),MATCH(COLUMNS($O$1006:P1006),$O$1006:$Q$1006,0)), HYPERLINK("#",""), HYPERLINK(CONCATENATE("#metadata!", ADDRESS(INDEX($J$2:$J$1001,MATCH(ROWS($H$2:H345),$H$2:$H$1001,0),0), INDEX($O$1004:$Q$1004,1,MATCH(COLUMNS($O$1006:P1006),$O$1006:$Q$1006,0)))),"Fix")))</f>
        <v xml:space="preserve"> </v>
      </c>
      <c r="D345" s="3" t="str">
        <f ca="1">IF(OR(INDEX($I$2:$I$1001,MATCH(ROWS($H$2:H345),$H$2:$H$1001,0),1)&gt;=100000,INDEX($O$1005:$Q$1005,1,MATCH(COLUMNS($O$1006:Q1006),$O$1006:$Q$1006,0))&gt;=100000), " ",IF(INDEX($O$2:$Q$1001,MATCH(ROWS($H$2:H345),$H$2:$H$1001,0),MATCH(COLUMNS($O$1006:Q1006),$O$1006:$Q$1006,0)), HYPERLINK("#",""), HYPERLINK(CONCATENATE("#metadata!", ADDRESS(INDEX($J$2:$J$1001,MATCH(ROWS($H$2:H345),$H$2:$H$1001,0),0), INDEX($O$1004:$Q$1004,1,MATCH(COLUMNS($O$1006:Q1006),$O$1006:$Q$1006,0)))),"Fix")))</f>
        <v xml:space="preserve"> </v>
      </c>
      <c r="H345">
        <v>344</v>
      </c>
      <c r="I345">
        <v>100345</v>
      </c>
      <c r="J345">
        <v>345</v>
      </c>
      <c r="K345" t="b">
        <f t="shared" si="5"/>
        <v>1</v>
      </c>
      <c r="L345" t="b">
        <f>COUNTBLANK(metadata!B345:D345)=COLUMNS(metadata!B345:D345)</f>
        <v>1</v>
      </c>
      <c r="M345" t="str">
        <v/>
      </c>
      <c r="O345" t="b">
        <f ca="1"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P345" t="b">
        <f>AND(IF(metadata!C345="",FALSE,TRUE),EXACT(metadata!C345,"mouse gut metagenome"))</f>
        <v>0</v>
      </c>
      <c r="Q345" t="b">
        <f>AND(IF(metadata!D345="",FALSE,TRUE),EXACT(metadata!D345,"410661"))</f>
        <v>0</v>
      </c>
    </row>
    <row r="346" spans="1:17" x14ac:dyDescent="0.2">
      <c r="A346" s="4" t="str">
        <f ca="1">IF(B346=" "," ",HYPERLINK(CONCATENATE("#metadata!",ADDRESS(INDEX($J$2:$J$1001,MATCH(ROWS($H$2:H346),$H$2:$H$1001,0),0),1)),INDEX($M$2:$M$1001,MATCH(ROWS($H$2:H346),$H$2:$H$1001,0),0)))</f>
        <v xml:space="preserve"> </v>
      </c>
      <c r="B346" s="3" t="str">
        <f ca="1">IF(OR(INDEX($I$2:$I$1001,MATCH(ROWS($H$2:H346),$H$2:$H$1001,0),1)&gt;=100000,INDEX($O$1005:$Q$1005,1,MATCH(COLUMNS($O$1006:O1006),$O$1006:$Q$1006,0))&gt;=100000), " ",IF(INDEX($O$2:$Q$1001,MATCH(ROWS($H$2:H346),$H$2:$H$1001,0),MATCH(COLUMNS($O$1006:O1006),$O$1006:$Q$1006,0)), HYPERLINK("#",""), HYPERLINK(CONCATENATE("#metadata!", ADDRESS(INDEX($J$2:$J$1001,MATCH(ROWS($H$2:H346),$H$2:$H$1001,0),0), INDEX($O$1004:$Q$1004,1,MATCH(COLUMNS($O$1006:O1006),$O$1006:$Q$1006,0)))),"Fix")))</f>
        <v xml:space="preserve"> </v>
      </c>
      <c r="C346" s="3" t="str">
        <f ca="1">IF(OR(INDEX($I$2:$I$1001,MATCH(ROWS($H$2:H346),$H$2:$H$1001,0),1)&gt;=100000,INDEX($O$1005:$Q$1005,1,MATCH(COLUMNS($O$1006:P1006),$O$1006:$Q$1006,0))&gt;=100000), " ",IF(INDEX($O$2:$Q$1001,MATCH(ROWS($H$2:H346),$H$2:$H$1001,0),MATCH(COLUMNS($O$1006:P1006),$O$1006:$Q$1006,0)), HYPERLINK("#",""), HYPERLINK(CONCATENATE("#metadata!", ADDRESS(INDEX($J$2:$J$1001,MATCH(ROWS($H$2:H346),$H$2:$H$1001,0),0), INDEX($O$1004:$Q$1004,1,MATCH(COLUMNS($O$1006:P1006),$O$1006:$Q$1006,0)))),"Fix")))</f>
        <v xml:space="preserve"> </v>
      </c>
      <c r="D346" s="3" t="str">
        <f ca="1">IF(OR(INDEX($I$2:$I$1001,MATCH(ROWS($H$2:H346),$H$2:$H$1001,0),1)&gt;=100000,INDEX($O$1005:$Q$1005,1,MATCH(COLUMNS($O$1006:Q1006),$O$1006:$Q$1006,0))&gt;=100000), " ",IF(INDEX($O$2:$Q$1001,MATCH(ROWS($H$2:H346),$H$2:$H$1001,0),MATCH(COLUMNS($O$1006:Q1006),$O$1006:$Q$1006,0)), HYPERLINK("#",""), HYPERLINK(CONCATENATE("#metadata!", ADDRESS(INDEX($J$2:$J$1001,MATCH(ROWS($H$2:H346),$H$2:$H$1001,0),0), INDEX($O$1004:$Q$1004,1,MATCH(COLUMNS($O$1006:Q1006),$O$1006:$Q$1006,0)))),"Fix")))</f>
        <v xml:space="preserve"> </v>
      </c>
      <c r="H346">
        <v>345</v>
      </c>
      <c r="I346">
        <v>100346</v>
      </c>
      <c r="J346">
        <v>346</v>
      </c>
      <c r="K346" t="b">
        <f t="shared" si="5"/>
        <v>1</v>
      </c>
      <c r="L346" t="b">
        <f>COUNTBLANK(metadata!B346:D346)=COLUMNS(metadata!B346:D346)</f>
        <v>1</v>
      </c>
      <c r="M346" t="str">
        <v/>
      </c>
      <c r="O346" t="b">
        <f ca="1"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P346" t="b">
        <f>AND(IF(metadata!C346="",FALSE,TRUE),EXACT(metadata!C346,"mouse gut metagenome"))</f>
        <v>0</v>
      </c>
      <c r="Q346" t="b">
        <f>AND(IF(metadata!D346="",FALSE,TRUE),EXACT(metadata!D346,"410661"))</f>
        <v>0</v>
      </c>
    </row>
    <row r="347" spans="1:17" x14ac:dyDescent="0.2">
      <c r="A347" s="4" t="str">
        <f ca="1">IF(B347=" "," ",HYPERLINK(CONCATENATE("#metadata!",ADDRESS(INDEX($J$2:$J$1001,MATCH(ROWS($H$2:H347),$H$2:$H$1001,0),0),1)),INDEX($M$2:$M$1001,MATCH(ROWS($H$2:H347),$H$2:$H$1001,0),0)))</f>
        <v xml:space="preserve"> </v>
      </c>
      <c r="B347" s="3" t="str">
        <f ca="1">IF(OR(INDEX($I$2:$I$1001,MATCH(ROWS($H$2:H347),$H$2:$H$1001,0),1)&gt;=100000,INDEX($O$1005:$Q$1005,1,MATCH(COLUMNS($O$1006:O1006),$O$1006:$Q$1006,0))&gt;=100000), " ",IF(INDEX($O$2:$Q$1001,MATCH(ROWS($H$2:H347),$H$2:$H$1001,0),MATCH(COLUMNS($O$1006:O1006),$O$1006:$Q$1006,0)), HYPERLINK("#",""), HYPERLINK(CONCATENATE("#metadata!", ADDRESS(INDEX($J$2:$J$1001,MATCH(ROWS($H$2:H347),$H$2:$H$1001,0),0), INDEX($O$1004:$Q$1004,1,MATCH(COLUMNS($O$1006:O1006),$O$1006:$Q$1006,0)))),"Fix")))</f>
        <v xml:space="preserve"> </v>
      </c>
      <c r="C347" s="3" t="str">
        <f ca="1">IF(OR(INDEX($I$2:$I$1001,MATCH(ROWS($H$2:H347),$H$2:$H$1001,0),1)&gt;=100000,INDEX($O$1005:$Q$1005,1,MATCH(COLUMNS($O$1006:P1006),$O$1006:$Q$1006,0))&gt;=100000), " ",IF(INDEX($O$2:$Q$1001,MATCH(ROWS($H$2:H347),$H$2:$H$1001,0),MATCH(COLUMNS($O$1006:P1006),$O$1006:$Q$1006,0)), HYPERLINK("#",""), HYPERLINK(CONCATENATE("#metadata!", ADDRESS(INDEX($J$2:$J$1001,MATCH(ROWS($H$2:H347),$H$2:$H$1001,0),0), INDEX($O$1004:$Q$1004,1,MATCH(COLUMNS($O$1006:P1006),$O$1006:$Q$1006,0)))),"Fix")))</f>
        <v xml:space="preserve"> </v>
      </c>
      <c r="D347" s="3" t="str">
        <f ca="1">IF(OR(INDEX($I$2:$I$1001,MATCH(ROWS($H$2:H347),$H$2:$H$1001,0),1)&gt;=100000,INDEX($O$1005:$Q$1005,1,MATCH(COLUMNS($O$1006:Q1006),$O$1006:$Q$1006,0))&gt;=100000), " ",IF(INDEX($O$2:$Q$1001,MATCH(ROWS($H$2:H347),$H$2:$H$1001,0),MATCH(COLUMNS($O$1006:Q1006),$O$1006:$Q$1006,0)), HYPERLINK("#",""), HYPERLINK(CONCATENATE("#metadata!", ADDRESS(INDEX($J$2:$J$1001,MATCH(ROWS($H$2:H347),$H$2:$H$1001,0),0), INDEX($O$1004:$Q$1004,1,MATCH(COLUMNS($O$1006:Q1006),$O$1006:$Q$1006,0)))),"Fix")))</f>
        <v xml:space="preserve"> </v>
      </c>
      <c r="H347">
        <v>346</v>
      </c>
      <c r="I347">
        <v>100347</v>
      </c>
      <c r="J347">
        <v>347</v>
      </c>
      <c r="K347" t="b">
        <f t="shared" si="5"/>
        <v>1</v>
      </c>
      <c r="L347" t="b">
        <f>COUNTBLANK(metadata!B347:D347)=COLUMNS(metadata!B347:D347)</f>
        <v>1</v>
      </c>
      <c r="M347" t="str">
        <v/>
      </c>
      <c r="O347" t="b">
        <f ca="1"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P347" t="b">
        <f>AND(IF(metadata!C347="",FALSE,TRUE),EXACT(metadata!C347,"mouse gut metagenome"))</f>
        <v>0</v>
      </c>
      <c r="Q347" t="b">
        <f>AND(IF(metadata!D347="",FALSE,TRUE),EXACT(metadata!D347,"410661"))</f>
        <v>0</v>
      </c>
    </row>
    <row r="348" spans="1:17" x14ac:dyDescent="0.2">
      <c r="A348" s="4" t="str">
        <f ca="1">IF(B348=" "," ",HYPERLINK(CONCATENATE("#metadata!",ADDRESS(INDEX($J$2:$J$1001,MATCH(ROWS($H$2:H348),$H$2:$H$1001,0),0),1)),INDEX($M$2:$M$1001,MATCH(ROWS($H$2:H348),$H$2:$H$1001,0),0)))</f>
        <v xml:space="preserve"> </v>
      </c>
      <c r="B348" s="3" t="str">
        <f ca="1">IF(OR(INDEX($I$2:$I$1001,MATCH(ROWS($H$2:H348),$H$2:$H$1001,0),1)&gt;=100000,INDEX($O$1005:$Q$1005,1,MATCH(COLUMNS($O$1006:O1006),$O$1006:$Q$1006,0))&gt;=100000), " ",IF(INDEX($O$2:$Q$1001,MATCH(ROWS($H$2:H348),$H$2:$H$1001,0),MATCH(COLUMNS($O$1006:O1006),$O$1006:$Q$1006,0)), HYPERLINK("#",""), HYPERLINK(CONCATENATE("#metadata!", ADDRESS(INDEX($J$2:$J$1001,MATCH(ROWS($H$2:H348),$H$2:$H$1001,0),0), INDEX($O$1004:$Q$1004,1,MATCH(COLUMNS($O$1006:O1006),$O$1006:$Q$1006,0)))),"Fix")))</f>
        <v xml:space="preserve"> </v>
      </c>
      <c r="C348" s="3" t="str">
        <f ca="1">IF(OR(INDEX($I$2:$I$1001,MATCH(ROWS($H$2:H348),$H$2:$H$1001,0),1)&gt;=100000,INDEX($O$1005:$Q$1005,1,MATCH(COLUMNS($O$1006:P1006),$O$1006:$Q$1006,0))&gt;=100000), " ",IF(INDEX($O$2:$Q$1001,MATCH(ROWS($H$2:H348),$H$2:$H$1001,0),MATCH(COLUMNS($O$1006:P1006),$O$1006:$Q$1006,0)), HYPERLINK("#",""), HYPERLINK(CONCATENATE("#metadata!", ADDRESS(INDEX($J$2:$J$1001,MATCH(ROWS($H$2:H348),$H$2:$H$1001,0),0), INDEX($O$1004:$Q$1004,1,MATCH(COLUMNS($O$1006:P1006),$O$1006:$Q$1006,0)))),"Fix")))</f>
        <v xml:space="preserve"> </v>
      </c>
      <c r="D348" s="3" t="str">
        <f ca="1">IF(OR(INDEX($I$2:$I$1001,MATCH(ROWS($H$2:H348),$H$2:$H$1001,0),1)&gt;=100000,INDEX($O$1005:$Q$1005,1,MATCH(COLUMNS($O$1006:Q1006),$O$1006:$Q$1006,0))&gt;=100000), " ",IF(INDEX($O$2:$Q$1001,MATCH(ROWS($H$2:H348),$H$2:$H$1001,0),MATCH(COLUMNS($O$1006:Q1006),$O$1006:$Q$1006,0)), HYPERLINK("#",""), HYPERLINK(CONCATENATE("#metadata!", ADDRESS(INDEX($J$2:$J$1001,MATCH(ROWS($H$2:H348),$H$2:$H$1001,0),0), INDEX($O$1004:$Q$1004,1,MATCH(COLUMNS($O$1006:Q1006),$O$1006:$Q$1006,0)))),"Fix")))</f>
        <v xml:space="preserve"> </v>
      </c>
      <c r="H348">
        <v>347</v>
      </c>
      <c r="I348">
        <v>100348</v>
      </c>
      <c r="J348">
        <v>348</v>
      </c>
      <c r="K348" t="b">
        <f t="shared" si="5"/>
        <v>1</v>
      </c>
      <c r="L348" t="b">
        <f>COUNTBLANK(metadata!B348:D348)=COLUMNS(metadata!B348:D348)</f>
        <v>1</v>
      </c>
      <c r="M348" t="str">
        <v/>
      </c>
      <c r="O348" t="b">
        <f ca="1"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P348" t="b">
        <f>AND(IF(metadata!C348="",FALSE,TRUE),EXACT(metadata!C348,"mouse gut metagenome"))</f>
        <v>0</v>
      </c>
      <c r="Q348" t="b">
        <f>AND(IF(metadata!D348="",FALSE,TRUE),EXACT(metadata!D348,"410661"))</f>
        <v>0</v>
      </c>
    </row>
    <row r="349" spans="1:17" x14ac:dyDescent="0.2">
      <c r="A349" s="4" t="str">
        <f ca="1">IF(B349=" "," ",HYPERLINK(CONCATENATE("#metadata!",ADDRESS(INDEX($J$2:$J$1001,MATCH(ROWS($H$2:H349),$H$2:$H$1001,0),0),1)),INDEX($M$2:$M$1001,MATCH(ROWS($H$2:H349),$H$2:$H$1001,0),0)))</f>
        <v xml:space="preserve"> </v>
      </c>
      <c r="B349" s="3" t="str">
        <f ca="1">IF(OR(INDEX($I$2:$I$1001,MATCH(ROWS($H$2:H349),$H$2:$H$1001,0),1)&gt;=100000,INDEX($O$1005:$Q$1005,1,MATCH(COLUMNS($O$1006:O1006),$O$1006:$Q$1006,0))&gt;=100000), " ",IF(INDEX($O$2:$Q$1001,MATCH(ROWS($H$2:H349),$H$2:$H$1001,0),MATCH(COLUMNS($O$1006:O1006),$O$1006:$Q$1006,0)), HYPERLINK("#",""), HYPERLINK(CONCATENATE("#metadata!", ADDRESS(INDEX($J$2:$J$1001,MATCH(ROWS($H$2:H349),$H$2:$H$1001,0),0), INDEX($O$1004:$Q$1004,1,MATCH(COLUMNS($O$1006:O1006),$O$1006:$Q$1006,0)))),"Fix")))</f>
        <v xml:space="preserve"> </v>
      </c>
      <c r="C349" s="3" t="str">
        <f ca="1">IF(OR(INDEX($I$2:$I$1001,MATCH(ROWS($H$2:H349),$H$2:$H$1001,0),1)&gt;=100000,INDEX($O$1005:$Q$1005,1,MATCH(COLUMNS($O$1006:P1006),$O$1006:$Q$1006,0))&gt;=100000), " ",IF(INDEX($O$2:$Q$1001,MATCH(ROWS($H$2:H349),$H$2:$H$1001,0),MATCH(COLUMNS($O$1006:P1006),$O$1006:$Q$1006,0)), HYPERLINK("#",""), HYPERLINK(CONCATENATE("#metadata!", ADDRESS(INDEX($J$2:$J$1001,MATCH(ROWS($H$2:H349),$H$2:$H$1001,0),0), INDEX($O$1004:$Q$1004,1,MATCH(COLUMNS($O$1006:P1006),$O$1006:$Q$1006,0)))),"Fix")))</f>
        <v xml:space="preserve"> </v>
      </c>
      <c r="D349" s="3" t="str">
        <f ca="1">IF(OR(INDEX($I$2:$I$1001,MATCH(ROWS($H$2:H349),$H$2:$H$1001,0),1)&gt;=100000,INDEX($O$1005:$Q$1005,1,MATCH(COLUMNS($O$1006:Q1006),$O$1006:$Q$1006,0))&gt;=100000), " ",IF(INDEX($O$2:$Q$1001,MATCH(ROWS($H$2:H349),$H$2:$H$1001,0),MATCH(COLUMNS($O$1006:Q1006),$O$1006:$Q$1006,0)), HYPERLINK("#",""), HYPERLINK(CONCATENATE("#metadata!", ADDRESS(INDEX($J$2:$J$1001,MATCH(ROWS($H$2:H349),$H$2:$H$1001,0),0), INDEX($O$1004:$Q$1004,1,MATCH(COLUMNS($O$1006:Q1006),$O$1006:$Q$1006,0)))),"Fix")))</f>
        <v xml:space="preserve"> </v>
      </c>
      <c r="H349">
        <v>348</v>
      </c>
      <c r="I349">
        <v>100349</v>
      </c>
      <c r="J349">
        <v>349</v>
      </c>
      <c r="K349" t="b">
        <f t="shared" si="5"/>
        <v>1</v>
      </c>
      <c r="L349" t="b">
        <f>COUNTBLANK(metadata!B349:D349)=COLUMNS(metadata!B349:D349)</f>
        <v>1</v>
      </c>
      <c r="M349" t="str">
        <v/>
      </c>
      <c r="O349" t="b">
        <f ca="1"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P349" t="b">
        <f>AND(IF(metadata!C349="",FALSE,TRUE),EXACT(metadata!C349,"mouse gut metagenome"))</f>
        <v>0</v>
      </c>
      <c r="Q349" t="b">
        <f>AND(IF(metadata!D349="",FALSE,TRUE),EXACT(metadata!D349,"410661"))</f>
        <v>0</v>
      </c>
    </row>
    <row r="350" spans="1:17" x14ac:dyDescent="0.2">
      <c r="A350" s="4" t="str">
        <f ca="1">IF(B350=" "," ",HYPERLINK(CONCATENATE("#metadata!",ADDRESS(INDEX($J$2:$J$1001,MATCH(ROWS($H$2:H350),$H$2:$H$1001,0),0),1)),INDEX($M$2:$M$1001,MATCH(ROWS($H$2:H350),$H$2:$H$1001,0),0)))</f>
        <v xml:space="preserve"> </v>
      </c>
      <c r="B350" s="3" t="str">
        <f ca="1">IF(OR(INDEX($I$2:$I$1001,MATCH(ROWS($H$2:H350),$H$2:$H$1001,0),1)&gt;=100000,INDEX($O$1005:$Q$1005,1,MATCH(COLUMNS($O$1006:O1006),$O$1006:$Q$1006,0))&gt;=100000), " ",IF(INDEX($O$2:$Q$1001,MATCH(ROWS($H$2:H350),$H$2:$H$1001,0),MATCH(COLUMNS($O$1006:O1006),$O$1006:$Q$1006,0)), HYPERLINK("#",""), HYPERLINK(CONCATENATE("#metadata!", ADDRESS(INDEX($J$2:$J$1001,MATCH(ROWS($H$2:H350),$H$2:$H$1001,0),0), INDEX($O$1004:$Q$1004,1,MATCH(COLUMNS($O$1006:O1006),$O$1006:$Q$1006,0)))),"Fix")))</f>
        <v xml:space="preserve"> </v>
      </c>
      <c r="C350" s="3" t="str">
        <f ca="1">IF(OR(INDEX($I$2:$I$1001,MATCH(ROWS($H$2:H350),$H$2:$H$1001,0),1)&gt;=100000,INDEX($O$1005:$Q$1005,1,MATCH(COLUMNS($O$1006:P1006),$O$1006:$Q$1006,0))&gt;=100000), " ",IF(INDEX($O$2:$Q$1001,MATCH(ROWS($H$2:H350),$H$2:$H$1001,0),MATCH(COLUMNS($O$1006:P1006),$O$1006:$Q$1006,0)), HYPERLINK("#",""), HYPERLINK(CONCATENATE("#metadata!", ADDRESS(INDEX($J$2:$J$1001,MATCH(ROWS($H$2:H350),$H$2:$H$1001,0),0), INDEX($O$1004:$Q$1004,1,MATCH(COLUMNS($O$1006:P1006),$O$1006:$Q$1006,0)))),"Fix")))</f>
        <v xml:space="preserve"> </v>
      </c>
      <c r="D350" s="3" t="str">
        <f ca="1">IF(OR(INDEX($I$2:$I$1001,MATCH(ROWS($H$2:H350),$H$2:$H$1001,0),1)&gt;=100000,INDEX($O$1005:$Q$1005,1,MATCH(COLUMNS($O$1006:Q1006),$O$1006:$Q$1006,0))&gt;=100000), " ",IF(INDEX($O$2:$Q$1001,MATCH(ROWS($H$2:H350),$H$2:$H$1001,0),MATCH(COLUMNS($O$1006:Q1006),$O$1006:$Q$1006,0)), HYPERLINK("#",""), HYPERLINK(CONCATENATE("#metadata!", ADDRESS(INDEX($J$2:$J$1001,MATCH(ROWS($H$2:H350),$H$2:$H$1001,0),0), INDEX($O$1004:$Q$1004,1,MATCH(COLUMNS($O$1006:Q1006),$O$1006:$Q$1006,0)))),"Fix")))</f>
        <v xml:space="preserve"> </v>
      </c>
      <c r="H350">
        <v>349</v>
      </c>
      <c r="I350">
        <v>100350</v>
      </c>
      <c r="J350">
        <v>350</v>
      </c>
      <c r="K350" t="b">
        <f t="shared" si="5"/>
        <v>1</v>
      </c>
      <c r="L350" t="b">
        <f>COUNTBLANK(metadata!B350:D350)=COLUMNS(metadata!B350:D350)</f>
        <v>1</v>
      </c>
      <c r="M350" t="str">
        <v/>
      </c>
      <c r="O350" t="b">
        <f ca="1"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P350" t="b">
        <f>AND(IF(metadata!C350="",FALSE,TRUE),EXACT(metadata!C350,"mouse gut metagenome"))</f>
        <v>0</v>
      </c>
      <c r="Q350" t="b">
        <f>AND(IF(metadata!D350="",FALSE,TRUE),EXACT(metadata!D350,"410661"))</f>
        <v>0</v>
      </c>
    </row>
    <row r="351" spans="1:17" x14ac:dyDescent="0.2">
      <c r="A351" s="4" t="str">
        <f ca="1">IF(B351=" "," ",HYPERLINK(CONCATENATE("#metadata!",ADDRESS(INDEX($J$2:$J$1001,MATCH(ROWS($H$2:H351),$H$2:$H$1001,0),0),1)),INDEX($M$2:$M$1001,MATCH(ROWS($H$2:H351),$H$2:$H$1001,0),0)))</f>
        <v xml:space="preserve"> </v>
      </c>
      <c r="B351" s="3" t="str">
        <f ca="1">IF(OR(INDEX($I$2:$I$1001,MATCH(ROWS($H$2:H351),$H$2:$H$1001,0),1)&gt;=100000,INDEX($O$1005:$Q$1005,1,MATCH(COLUMNS($O$1006:O1006),$O$1006:$Q$1006,0))&gt;=100000), " ",IF(INDEX($O$2:$Q$1001,MATCH(ROWS($H$2:H351),$H$2:$H$1001,0),MATCH(COLUMNS($O$1006:O1006),$O$1006:$Q$1006,0)), HYPERLINK("#",""), HYPERLINK(CONCATENATE("#metadata!", ADDRESS(INDEX($J$2:$J$1001,MATCH(ROWS($H$2:H351),$H$2:$H$1001,0),0), INDEX($O$1004:$Q$1004,1,MATCH(COLUMNS($O$1006:O1006),$O$1006:$Q$1006,0)))),"Fix")))</f>
        <v xml:space="preserve"> </v>
      </c>
      <c r="C351" s="3" t="str">
        <f ca="1">IF(OR(INDEX($I$2:$I$1001,MATCH(ROWS($H$2:H351),$H$2:$H$1001,0),1)&gt;=100000,INDEX($O$1005:$Q$1005,1,MATCH(COLUMNS($O$1006:P1006),$O$1006:$Q$1006,0))&gt;=100000), " ",IF(INDEX($O$2:$Q$1001,MATCH(ROWS($H$2:H351),$H$2:$H$1001,0),MATCH(COLUMNS($O$1006:P1006),$O$1006:$Q$1006,0)), HYPERLINK("#",""), HYPERLINK(CONCATENATE("#metadata!", ADDRESS(INDEX($J$2:$J$1001,MATCH(ROWS($H$2:H351),$H$2:$H$1001,0),0), INDEX($O$1004:$Q$1004,1,MATCH(COLUMNS($O$1006:P1006),$O$1006:$Q$1006,0)))),"Fix")))</f>
        <v xml:space="preserve"> </v>
      </c>
      <c r="D351" s="3" t="str">
        <f ca="1">IF(OR(INDEX($I$2:$I$1001,MATCH(ROWS($H$2:H351),$H$2:$H$1001,0),1)&gt;=100000,INDEX($O$1005:$Q$1005,1,MATCH(COLUMNS($O$1006:Q1006),$O$1006:$Q$1006,0))&gt;=100000), " ",IF(INDEX($O$2:$Q$1001,MATCH(ROWS($H$2:H351),$H$2:$H$1001,0),MATCH(COLUMNS($O$1006:Q1006),$O$1006:$Q$1006,0)), HYPERLINK("#",""), HYPERLINK(CONCATENATE("#metadata!", ADDRESS(INDEX($J$2:$J$1001,MATCH(ROWS($H$2:H351),$H$2:$H$1001,0),0), INDEX($O$1004:$Q$1004,1,MATCH(COLUMNS($O$1006:Q1006),$O$1006:$Q$1006,0)))),"Fix")))</f>
        <v xml:space="preserve"> </v>
      </c>
      <c r="H351">
        <v>350</v>
      </c>
      <c r="I351">
        <v>100351</v>
      </c>
      <c r="J351">
        <v>351</v>
      </c>
      <c r="K351" t="b">
        <f t="shared" si="5"/>
        <v>1</v>
      </c>
      <c r="L351" t="b">
        <f>COUNTBLANK(metadata!B351:D351)=COLUMNS(metadata!B351:D351)</f>
        <v>1</v>
      </c>
      <c r="M351" t="str">
        <v/>
      </c>
      <c r="O351" t="b">
        <f ca="1"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P351" t="b">
        <f>AND(IF(metadata!C351="",FALSE,TRUE),EXACT(metadata!C351,"mouse gut metagenome"))</f>
        <v>0</v>
      </c>
      <c r="Q351" t="b">
        <f>AND(IF(metadata!D351="",FALSE,TRUE),EXACT(metadata!D351,"410661"))</f>
        <v>0</v>
      </c>
    </row>
    <row r="352" spans="1:17" x14ac:dyDescent="0.2">
      <c r="A352" s="4" t="str">
        <f ca="1">IF(B352=" "," ",HYPERLINK(CONCATENATE("#metadata!",ADDRESS(INDEX($J$2:$J$1001,MATCH(ROWS($H$2:H352),$H$2:$H$1001,0),0),1)),INDEX($M$2:$M$1001,MATCH(ROWS($H$2:H352),$H$2:$H$1001,0),0)))</f>
        <v xml:space="preserve"> </v>
      </c>
      <c r="B352" s="3" t="str">
        <f ca="1">IF(OR(INDEX($I$2:$I$1001,MATCH(ROWS($H$2:H352),$H$2:$H$1001,0),1)&gt;=100000,INDEX($O$1005:$Q$1005,1,MATCH(COLUMNS($O$1006:O1006),$O$1006:$Q$1006,0))&gt;=100000), " ",IF(INDEX($O$2:$Q$1001,MATCH(ROWS($H$2:H352),$H$2:$H$1001,0),MATCH(COLUMNS($O$1006:O1006),$O$1006:$Q$1006,0)), HYPERLINK("#",""), HYPERLINK(CONCATENATE("#metadata!", ADDRESS(INDEX($J$2:$J$1001,MATCH(ROWS($H$2:H352),$H$2:$H$1001,0),0), INDEX($O$1004:$Q$1004,1,MATCH(COLUMNS($O$1006:O1006),$O$1006:$Q$1006,0)))),"Fix")))</f>
        <v xml:space="preserve"> </v>
      </c>
      <c r="C352" s="3" t="str">
        <f ca="1">IF(OR(INDEX($I$2:$I$1001,MATCH(ROWS($H$2:H352),$H$2:$H$1001,0),1)&gt;=100000,INDEX($O$1005:$Q$1005,1,MATCH(COLUMNS($O$1006:P1006),$O$1006:$Q$1006,0))&gt;=100000), " ",IF(INDEX($O$2:$Q$1001,MATCH(ROWS($H$2:H352),$H$2:$H$1001,0),MATCH(COLUMNS($O$1006:P1006),$O$1006:$Q$1006,0)), HYPERLINK("#",""), HYPERLINK(CONCATENATE("#metadata!", ADDRESS(INDEX($J$2:$J$1001,MATCH(ROWS($H$2:H352),$H$2:$H$1001,0),0), INDEX($O$1004:$Q$1004,1,MATCH(COLUMNS($O$1006:P1006),$O$1006:$Q$1006,0)))),"Fix")))</f>
        <v xml:space="preserve"> </v>
      </c>
      <c r="D352" s="3" t="str">
        <f ca="1">IF(OR(INDEX($I$2:$I$1001,MATCH(ROWS($H$2:H352),$H$2:$H$1001,0),1)&gt;=100000,INDEX($O$1005:$Q$1005,1,MATCH(COLUMNS($O$1006:Q1006),$O$1006:$Q$1006,0))&gt;=100000), " ",IF(INDEX($O$2:$Q$1001,MATCH(ROWS($H$2:H352),$H$2:$H$1001,0),MATCH(COLUMNS($O$1006:Q1006),$O$1006:$Q$1006,0)), HYPERLINK("#",""), HYPERLINK(CONCATENATE("#metadata!", ADDRESS(INDEX($J$2:$J$1001,MATCH(ROWS($H$2:H352),$H$2:$H$1001,0),0), INDEX($O$1004:$Q$1004,1,MATCH(COLUMNS($O$1006:Q1006),$O$1006:$Q$1006,0)))),"Fix")))</f>
        <v xml:space="preserve"> </v>
      </c>
      <c r="H352">
        <v>351</v>
      </c>
      <c r="I352">
        <v>100352</v>
      </c>
      <c r="J352">
        <v>352</v>
      </c>
      <c r="K352" t="b">
        <f t="shared" si="5"/>
        <v>1</v>
      </c>
      <c r="L352" t="b">
        <f>COUNTBLANK(metadata!B352:D352)=COLUMNS(metadata!B352:D352)</f>
        <v>1</v>
      </c>
      <c r="M352" t="str">
        <v/>
      </c>
      <c r="O352" t="b">
        <f ca="1"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P352" t="b">
        <f>AND(IF(metadata!C352="",FALSE,TRUE),EXACT(metadata!C352,"mouse gut metagenome"))</f>
        <v>0</v>
      </c>
      <c r="Q352" t="b">
        <f>AND(IF(metadata!D352="",FALSE,TRUE),EXACT(metadata!D352,"410661"))</f>
        <v>0</v>
      </c>
    </row>
    <row r="353" spans="1:17" x14ac:dyDescent="0.2">
      <c r="A353" s="4" t="str">
        <f ca="1">IF(B353=" "," ",HYPERLINK(CONCATENATE("#metadata!",ADDRESS(INDEX($J$2:$J$1001,MATCH(ROWS($H$2:H353),$H$2:$H$1001,0),0),1)),INDEX($M$2:$M$1001,MATCH(ROWS($H$2:H353),$H$2:$H$1001,0),0)))</f>
        <v xml:space="preserve"> </v>
      </c>
      <c r="B353" s="3" t="str">
        <f ca="1">IF(OR(INDEX($I$2:$I$1001,MATCH(ROWS($H$2:H353),$H$2:$H$1001,0),1)&gt;=100000,INDEX($O$1005:$Q$1005,1,MATCH(COLUMNS($O$1006:O1006),$O$1006:$Q$1006,0))&gt;=100000), " ",IF(INDEX($O$2:$Q$1001,MATCH(ROWS($H$2:H353),$H$2:$H$1001,0),MATCH(COLUMNS($O$1006:O1006),$O$1006:$Q$1006,0)), HYPERLINK("#",""), HYPERLINK(CONCATENATE("#metadata!", ADDRESS(INDEX($J$2:$J$1001,MATCH(ROWS($H$2:H353),$H$2:$H$1001,0),0), INDEX($O$1004:$Q$1004,1,MATCH(COLUMNS($O$1006:O1006),$O$1006:$Q$1006,0)))),"Fix")))</f>
        <v xml:space="preserve"> </v>
      </c>
      <c r="C353" s="3" t="str">
        <f ca="1">IF(OR(INDEX($I$2:$I$1001,MATCH(ROWS($H$2:H353),$H$2:$H$1001,0),1)&gt;=100000,INDEX($O$1005:$Q$1005,1,MATCH(COLUMNS($O$1006:P1006),$O$1006:$Q$1006,0))&gt;=100000), " ",IF(INDEX($O$2:$Q$1001,MATCH(ROWS($H$2:H353),$H$2:$H$1001,0),MATCH(COLUMNS($O$1006:P1006),$O$1006:$Q$1006,0)), HYPERLINK("#",""), HYPERLINK(CONCATENATE("#metadata!", ADDRESS(INDEX($J$2:$J$1001,MATCH(ROWS($H$2:H353),$H$2:$H$1001,0),0), INDEX($O$1004:$Q$1004,1,MATCH(COLUMNS($O$1006:P1006),$O$1006:$Q$1006,0)))),"Fix")))</f>
        <v xml:space="preserve"> </v>
      </c>
      <c r="D353" s="3" t="str">
        <f ca="1">IF(OR(INDEX($I$2:$I$1001,MATCH(ROWS($H$2:H353),$H$2:$H$1001,0),1)&gt;=100000,INDEX($O$1005:$Q$1005,1,MATCH(COLUMNS($O$1006:Q1006),$O$1006:$Q$1006,0))&gt;=100000), " ",IF(INDEX($O$2:$Q$1001,MATCH(ROWS($H$2:H353),$H$2:$H$1001,0),MATCH(COLUMNS($O$1006:Q1006),$O$1006:$Q$1006,0)), HYPERLINK("#",""), HYPERLINK(CONCATENATE("#metadata!", ADDRESS(INDEX($J$2:$J$1001,MATCH(ROWS($H$2:H353),$H$2:$H$1001,0),0), INDEX($O$1004:$Q$1004,1,MATCH(COLUMNS($O$1006:Q1006),$O$1006:$Q$1006,0)))),"Fix")))</f>
        <v xml:space="preserve"> </v>
      </c>
      <c r="H353">
        <v>352</v>
      </c>
      <c r="I353">
        <v>100353</v>
      </c>
      <c r="J353">
        <v>353</v>
      </c>
      <c r="K353" t="b">
        <f t="shared" si="5"/>
        <v>1</v>
      </c>
      <c r="L353" t="b">
        <f>COUNTBLANK(metadata!B353:D353)=COLUMNS(metadata!B353:D353)</f>
        <v>1</v>
      </c>
      <c r="M353" t="str">
        <v/>
      </c>
      <c r="O353" t="b">
        <f ca="1"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P353" t="b">
        <f>AND(IF(metadata!C353="",FALSE,TRUE),EXACT(metadata!C353,"mouse gut metagenome"))</f>
        <v>0</v>
      </c>
      <c r="Q353" t="b">
        <f>AND(IF(metadata!D353="",FALSE,TRUE),EXACT(metadata!D353,"410661"))</f>
        <v>0</v>
      </c>
    </row>
    <row r="354" spans="1:17" x14ac:dyDescent="0.2">
      <c r="A354" s="4" t="str">
        <f ca="1">IF(B354=" "," ",HYPERLINK(CONCATENATE("#metadata!",ADDRESS(INDEX($J$2:$J$1001,MATCH(ROWS($H$2:H354),$H$2:$H$1001,0),0),1)),INDEX($M$2:$M$1001,MATCH(ROWS($H$2:H354),$H$2:$H$1001,0),0)))</f>
        <v xml:space="preserve"> </v>
      </c>
      <c r="B354" s="3" t="str">
        <f ca="1">IF(OR(INDEX($I$2:$I$1001,MATCH(ROWS($H$2:H354),$H$2:$H$1001,0),1)&gt;=100000,INDEX($O$1005:$Q$1005,1,MATCH(COLUMNS($O$1006:O1006),$O$1006:$Q$1006,0))&gt;=100000), " ",IF(INDEX($O$2:$Q$1001,MATCH(ROWS($H$2:H354),$H$2:$H$1001,0),MATCH(COLUMNS($O$1006:O1006),$O$1006:$Q$1006,0)), HYPERLINK("#",""), HYPERLINK(CONCATENATE("#metadata!", ADDRESS(INDEX($J$2:$J$1001,MATCH(ROWS($H$2:H354),$H$2:$H$1001,0),0), INDEX($O$1004:$Q$1004,1,MATCH(COLUMNS($O$1006:O1006),$O$1006:$Q$1006,0)))),"Fix")))</f>
        <v xml:space="preserve"> </v>
      </c>
      <c r="C354" s="3" t="str">
        <f ca="1">IF(OR(INDEX($I$2:$I$1001,MATCH(ROWS($H$2:H354),$H$2:$H$1001,0),1)&gt;=100000,INDEX($O$1005:$Q$1005,1,MATCH(COLUMNS($O$1006:P1006),$O$1006:$Q$1006,0))&gt;=100000), " ",IF(INDEX($O$2:$Q$1001,MATCH(ROWS($H$2:H354),$H$2:$H$1001,0),MATCH(COLUMNS($O$1006:P1006),$O$1006:$Q$1006,0)), HYPERLINK("#",""), HYPERLINK(CONCATENATE("#metadata!", ADDRESS(INDEX($J$2:$J$1001,MATCH(ROWS($H$2:H354),$H$2:$H$1001,0),0), INDEX($O$1004:$Q$1004,1,MATCH(COLUMNS($O$1006:P1006),$O$1006:$Q$1006,0)))),"Fix")))</f>
        <v xml:space="preserve"> </v>
      </c>
      <c r="D354" s="3" t="str">
        <f ca="1">IF(OR(INDEX($I$2:$I$1001,MATCH(ROWS($H$2:H354),$H$2:$H$1001,0),1)&gt;=100000,INDEX($O$1005:$Q$1005,1,MATCH(COLUMNS($O$1006:Q1006),$O$1006:$Q$1006,0))&gt;=100000), " ",IF(INDEX($O$2:$Q$1001,MATCH(ROWS($H$2:H354),$H$2:$H$1001,0),MATCH(COLUMNS($O$1006:Q1006),$O$1006:$Q$1006,0)), HYPERLINK("#",""), HYPERLINK(CONCATENATE("#metadata!", ADDRESS(INDEX($J$2:$J$1001,MATCH(ROWS($H$2:H354),$H$2:$H$1001,0),0), INDEX($O$1004:$Q$1004,1,MATCH(COLUMNS($O$1006:Q1006),$O$1006:$Q$1006,0)))),"Fix")))</f>
        <v xml:space="preserve"> </v>
      </c>
      <c r="H354">
        <v>353</v>
      </c>
      <c r="I354">
        <v>100354</v>
      </c>
      <c r="J354">
        <v>354</v>
      </c>
      <c r="K354" t="b">
        <f t="shared" si="5"/>
        <v>1</v>
      </c>
      <c r="L354" t="b">
        <f>COUNTBLANK(metadata!B354:D354)=COLUMNS(metadata!B354:D354)</f>
        <v>1</v>
      </c>
      <c r="M354" t="str">
        <v/>
      </c>
      <c r="O354" t="b">
        <f ca="1"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P354" t="b">
        <f>AND(IF(metadata!C354="",FALSE,TRUE),EXACT(metadata!C354,"mouse gut metagenome"))</f>
        <v>0</v>
      </c>
      <c r="Q354" t="b">
        <f>AND(IF(metadata!D354="",FALSE,TRUE),EXACT(metadata!D354,"410661"))</f>
        <v>0</v>
      </c>
    </row>
    <row r="355" spans="1:17" x14ac:dyDescent="0.2">
      <c r="A355" s="4" t="str">
        <f ca="1">IF(B355=" "," ",HYPERLINK(CONCATENATE("#metadata!",ADDRESS(INDEX($J$2:$J$1001,MATCH(ROWS($H$2:H355),$H$2:$H$1001,0),0),1)),INDEX($M$2:$M$1001,MATCH(ROWS($H$2:H355),$H$2:$H$1001,0),0)))</f>
        <v xml:space="preserve"> </v>
      </c>
      <c r="B355" s="3" t="str">
        <f ca="1">IF(OR(INDEX($I$2:$I$1001,MATCH(ROWS($H$2:H355),$H$2:$H$1001,0),1)&gt;=100000,INDEX($O$1005:$Q$1005,1,MATCH(COLUMNS($O$1006:O1006),$O$1006:$Q$1006,0))&gt;=100000), " ",IF(INDEX($O$2:$Q$1001,MATCH(ROWS($H$2:H355),$H$2:$H$1001,0),MATCH(COLUMNS($O$1006:O1006),$O$1006:$Q$1006,0)), HYPERLINK("#",""), HYPERLINK(CONCATENATE("#metadata!", ADDRESS(INDEX($J$2:$J$1001,MATCH(ROWS($H$2:H355),$H$2:$H$1001,0),0), INDEX($O$1004:$Q$1004,1,MATCH(COLUMNS($O$1006:O1006),$O$1006:$Q$1006,0)))),"Fix")))</f>
        <v xml:space="preserve"> </v>
      </c>
      <c r="C355" s="3" t="str">
        <f ca="1">IF(OR(INDEX($I$2:$I$1001,MATCH(ROWS($H$2:H355),$H$2:$H$1001,0),1)&gt;=100000,INDEX($O$1005:$Q$1005,1,MATCH(COLUMNS($O$1006:P1006),$O$1006:$Q$1006,0))&gt;=100000), " ",IF(INDEX($O$2:$Q$1001,MATCH(ROWS($H$2:H355),$H$2:$H$1001,0),MATCH(COLUMNS($O$1006:P1006),$O$1006:$Q$1006,0)), HYPERLINK("#",""), HYPERLINK(CONCATENATE("#metadata!", ADDRESS(INDEX($J$2:$J$1001,MATCH(ROWS($H$2:H355),$H$2:$H$1001,0),0), INDEX($O$1004:$Q$1004,1,MATCH(COLUMNS($O$1006:P1006),$O$1006:$Q$1006,0)))),"Fix")))</f>
        <v xml:space="preserve"> </v>
      </c>
      <c r="D355" s="3" t="str">
        <f ca="1">IF(OR(INDEX($I$2:$I$1001,MATCH(ROWS($H$2:H355),$H$2:$H$1001,0),1)&gt;=100000,INDEX($O$1005:$Q$1005,1,MATCH(COLUMNS($O$1006:Q1006),$O$1006:$Q$1006,0))&gt;=100000), " ",IF(INDEX($O$2:$Q$1001,MATCH(ROWS($H$2:H355),$H$2:$H$1001,0),MATCH(COLUMNS($O$1006:Q1006),$O$1006:$Q$1006,0)), HYPERLINK("#",""), HYPERLINK(CONCATENATE("#metadata!", ADDRESS(INDEX($J$2:$J$1001,MATCH(ROWS($H$2:H355),$H$2:$H$1001,0),0), INDEX($O$1004:$Q$1004,1,MATCH(COLUMNS($O$1006:Q1006),$O$1006:$Q$1006,0)))),"Fix")))</f>
        <v xml:space="preserve"> </v>
      </c>
      <c r="H355">
        <v>354</v>
      </c>
      <c r="I355">
        <v>100355</v>
      </c>
      <c r="J355">
        <v>355</v>
      </c>
      <c r="K355" t="b">
        <f t="shared" si="5"/>
        <v>1</v>
      </c>
      <c r="L355" t="b">
        <f>COUNTBLANK(metadata!B355:D355)=COLUMNS(metadata!B355:D355)</f>
        <v>1</v>
      </c>
      <c r="M355" t="str">
        <v/>
      </c>
      <c r="O355" t="b">
        <f ca="1"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P355" t="b">
        <f>AND(IF(metadata!C355="",FALSE,TRUE),EXACT(metadata!C355,"mouse gut metagenome"))</f>
        <v>0</v>
      </c>
      <c r="Q355" t="b">
        <f>AND(IF(metadata!D355="",FALSE,TRUE),EXACT(metadata!D355,"410661"))</f>
        <v>0</v>
      </c>
    </row>
    <row r="356" spans="1:17" x14ac:dyDescent="0.2">
      <c r="A356" s="4" t="str">
        <f ca="1">IF(B356=" "," ",HYPERLINK(CONCATENATE("#metadata!",ADDRESS(INDEX($J$2:$J$1001,MATCH(ROWS($H$2:H356),$H$2:$H$1001,0),0),1)),INDEX($M$2:$M$1001,MATCH(ROWS($H$2:H356),$H$2:$H$1001,0),0)))</f>
        <v xml:space="preserve"> </v>
      </c>
      <c r="B356" s="3" t="str">
        <f ca="1">IF(OR(INDEX($I$2:$I$1001,MATCH(ROWS($H$2:H356),$H$2:$H$1001,0),1)&gt;=100000,INDEX($O$1005:$Q$1005,1,MATCH(COLUMNS($O$1006:O1006),$O$1006:$Q$1006,0))&gt;=100000), " ",IF(INDEX($O$2:$Q$1001,MATCH(ROWS($H$2:H356),$H$2:$H$1001,0),MATCH(COLUMNS($O$1006:O1006),$O$1006:$Q$1006,0)), HYPERLINK("#",""), HYPERLINK(CONCATENATE("#metadata!", ADDRESS(INDEX($J$2:$J$1001,MATCH(ROWS($H$2:H356),$H$2:$H$1001,0),0), INDEX($O$1004:$Q$1004,1,MATCH(COLUMNS($O$1006:O1006),$O$1006:$Q$1006,0)))),"Fix")))</f>
        <v xml:space="preserve"> </v>
      </c>
      <c r="C356" s="3" t="str">
        <f ca="1">IF(OR(INDEX($I$2:$I$1001,MATCH(ROWS($H$2:H356),$H$2:$H$1001,0),1)&gt;=100000,INDEX($O$1005:$Q$1005,1,MATCH(COLUMNS($O$1006:P1006),$O$1006:$Q$1006,0))&gt;=100000), " ",IF(INDEX($O$2:$Q$1001,MATCH(ROWS($H$2:H356),$H$2:$H$1001,0),MATCH(COLUMNS($O$1006:P1006),$O$1006:$Q$1006,0)), HYPERLINK("#",""), HYPERLINK(CONCATENATE("#metadata!", ADDRESS(INDEX($J$2:$J$1001,MATCH(ROWS($H$2:H356),$H$2:$H$1001,0),0), INDEX($O$1004:$Q$1004,1,MATCH(COLUMNS($O$1006:P1006),$O$1006:$Q$1006,0)))),"Fix")))</f>
        <v xml:space="preserve"> </v>
      </c>
      <c r="D356" s="3" t="str">
        <f ca="1">IF(OR(INDEX($I$2:$I$1001,MATCH(ROWS($H$2:H356),$H$2:$H$1001,0),1)&gt;=100000,INDEX($O$1005:$Q$1005,1,MATCH(COLUMNS($O$1006:Q1006),$O$1006:$Q$1006,0))&gt;=100000), " ",IF(INDEX($O$2:$Q$1001,MATCH(ROWS($H$2:H356),$H$2:$H$1001,0),MATCH(COLUMNS($O$1006:Q1006),$O$1006:$Q$1006,0)), HYPERLINK("#",""), HYPERLINK(CONCATENATE("#metadata!", ADDRESS(INDEX($J$2:$J$1001,MATCH(ROWS($H$2:H356),$H$2:$H$1001,0),0), INDEX($O$1004:$Q$1004,1,MATCH(COLUMNS($O$1006:Q1006),$O$1006:$Q$1006,0)))),"Fix")))</f>
        <v xml:space="preserve"> </v>
      </c>
      <c r="H356">
        <v>355</v>
      </c>
      <c r="I356">
        <v>100356</v>
      </c>
      <c r="J356">
        <v>356</v>
      </c>
      <c r="K356" t="b">
        <f t="shared" si="5"/>
        <v>1</v>
      </c>
      <c r="L356" t="b">
        <f>COUNTBLANK(metadata!B356:D356)=COLUMNS(metadata!B356:D356)</f>
        <v>1</v>
      </c>
      <c r="M356" t="str">
        <v/>
      </c>
      <c r="O356" t="b">
        <f ca="1"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P356" t="b">
        <f>AND(IF(metadata!C356="",FALSE,TRUE),EXACT(metadata!C356,"mouse gut metagenome"))</f>
        <v>0</v>
      </c>
      <c r="Q356" t="b">
        <f>AND(IF(metadata!D356="",FALSE,TRUE),EXACT(metadata!D356,"410661"))</f>
        <v>0</v>
      </c>
    </row>
    <row r="357" spans="1:17" x14ac:dyDescent="0.2">
      <c r="A357" s="4" t="str">
        <f ca="1">IF(B357=" "," ",HYPERLINK(CONCATENATE("#metadata!",ADDRESS(INDEX($J$2:$J$1001,MATCH(ROWS($H$2:H357),$H$2:$H$1001,0),0),1)),INDEX($M$2:$M$1001,MATCH(ROWS($H$2:H357),$H$2:$H$1001,0),0)))</f>
        <v xml:space="preserve"> </v>
      </c>
      <c r="B357" s="3" t="str">
        <f ca="1">IF(OR(INDEX($I$2:$I$1001,MATCH(ROWS($H$2:H357),$H$2:$H$1001,0),1)&gt;=100000,INDEX($O$1005:$Q$1005,1,MATCH(COLUMNS($O$1006:O1006),$O$1006:$Q$1006,0))&gt;=100000), " ",IF(INDEX($O$2:$Q$1001,MATCH(ROWS($H$2:H357),$H$2:$H$1001,0),MATCH(COLUMNS($O$1006:O1006),$O$1006:$Q$1006,0)), HYPERLINK("#",""), HYPERLINK(CONCATENATE("#metadata!", ADDRESS(INDEX($J$2:$J$1001,MATCH(ROWS($H$2:H357),$H$2:$H$1001,0),0), INDEX($O$1004:$Q$1004,1,MATCH(COLUMNS($O$1006:O1006),$O$1006:$Q$1006,0)))),"Fix")))</f>
        <v xml:space="preserve"> </v>
      </c>
      <c r="C357" s="3" t="str">
        <f ca="1">IF(OR(INDEX($I$2:$I$1001,MATCH(ROWS($H$2:H357),$H$2:$H$1001,0),1)&gt;=100000,INDEX($O$1005:$Q$1005,1,MATCH(COLUMNS($O$1006:P1006),$O$1006:$Q$1006,0))&gt;=100000), " ",IF(INDEX($O$2:$Q$1001,MATCH(ROWS($H$2:H357),$H$2:$H$1001,0),MATCH(COLUMNS($O$1006:P1006),$O$1006:$Q$1006,0)), HYPERLINK("#",""), HYPERLINK(CONCATENATE("#metadata!", ADDRESS(INDEX($J$2:$J$1001,MATCH(ROWS($H$2:H357),$H$2:$H$1001,0),0), INDEX($O$1004:$Q$1004,1,MATCH(COLUMNS($O$1006:P1006),$O$1006:$Q$1006,0)))),"Fix")))</f>
        <v xml:space="preserve"> </v>
      </c>
      <c r="D357" s="3" t="str">
        <f ca="1">IF(OR(INDEX($I$2:$I$1001,MATCH(ROWS($H$2:H357),$H$2:$H$1001,0),1)&gt;=100000,INDEX($O$1005:$Q$1005,1,MATCH(COLUMNS($O$1006:Q1006),$O$1006:$Q$1006,0))&gt;=100000), " ",IF(INDEX($O$2:$Q$1001,MATCH(ROWS($H$2:H357),$H$2:$H$1001,0),MATCH(COLUMNS($O$1006:Q1006),$O$1006:$Q$1006,0)), HYPERLINK("#",""), HYPERLINK(CONCATENATE("#metadata!", ADDRESS(INDEX($J$2:$J$1001,MATCH(ROWS($H$2:H357),$H$2:$H$1001,0),0), INDEX($O$1004:$Q$1004,1,MATCH(COLUMNS($O$1006:Q1006),$O$1006:$Q$1006,0)))),"Fix")))</f>
        <v xml:space="preserve"> </v>
      </c>
      <c r="H357">
        <v>356</v>
      </c>
      <c r="I357">
        <v>100357</v>
      </c>
      <c r="J357">
        <v>357</v>
      </c>
      <c r="K357" t="b">
        <f t="shared" si="5"/>
        <v>1</v>
      </c>
      <c r="L357" t="b">
        <f>COUNTBLANK(metadata!B357:D357)=COLUMNS(metadata!B357:D357)</f>
        <v>1</v>
      </c>
      <c r="M357" t="str">
        <v/>
      </c>
      <c r="O357" t="b">
        <f ca="1"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P357" t="b">
        <f>AND(IF(metadata!C357="",FALSE,TRUE),EXACT(metadata!C357,"mouse gut metagenome"))</f>
        <v>0</v>
      </c>
      <c r="Q357" t="b">
        <f>AND(IF(metadata!D357="",FALSE,TRUE),EXACT(metadata!D357,"410661"))</f>
        <v>0</v>
      </c>
    </row>
    <row r="358" spans="1:17" x14ac:dyDescent="0.2">
      <c r="A358" s="4" t="str">
        <f ca="1">IF(B358=" "," ",HYPERLINK(CONCATENATE("#metadata!",ADDRESS(INDEX($J$2:$J$1001,MATCH(ROWS($H$2:H358),$H$2:$H$1001,0),0),1)),INDEX($M$2:$M$1001,MATCH(ROWS($H$2:H358),$H$2:$H$1001,0),0)))</f>
        <v xml:space="preserve"> </v>
      </c>
      <c r="B358" s="3" t="str">
        <f ca="1">IF(OR(INDEX($I$2:$I$1001,MATCH(ROWS($H$2:H358),$H$2:$H$1001,0),1)&gt;=100000,INDEX($O$1005:$Q$1005,1,MATCH(COLUMNS($O$1006:O1006),$O$1006:$Q$1006,0))&gt;=100000), " ",IF(INDEX($O$2:$Q$1001,MATCH(ROWS($H$2:H358),$H$2:$H$1001,0),MATCH(COLUMNS($O$1006:O1006),$O$1006:$Q$1006,0)), HYPERLINK("#",""), HYPERLINK(CONCATENATE("#metadata!", ADDRESS(INDEX($J$2:$J$1001,MATCH(ROWS($H$2:H358),$H$2:$H$1001,0),0), INDEX($O$1004:$Q$1004,1,MATCH(COLUMNS($O$1006:O1006),$O$1006:$Q$1006,0)))),"Fix")))</f>
        <v xml:space="preserve"> </v>
      </c>
      <c r="C358" s="3" t="str">
        <f ca="1">IF(OR(INDEX($I$2:$I$1001,MATCH(ROWS($H$2:H358),$H$2:$H$1001,0),1)&gt;=100000,INDEX($O$1005:$Q$1005,1,MATCH(COLUMNS($O$1006:P1006),$O$1006:$Q$1006,0))&gt;=100000), " ",IF(INDEX($O$2:$Q$1001,MATCH(ROWS($H$2:H358),$H$2:$H$1001,0),MATCH(COLUMNS($O$1006:P1006),$O$1006:$Q$1006,0)), HYPERLINK("#",""), HYPERLINK(CONCATENATE("#metadata!", ADDRESS(INDEX($J$2:$J$1001,MATCH(ROWS($H$2:H358),$H$2:$H$1001,0),0), INDEX($O$1004:$Q$1004,1,MATCH(COLUMNS($O$1006:P1006),$O$1006:$Q$1006,0)))),"Fix")))</f>
        <v xml:space="preserve"> </v>
      </c>
      <c r="D358" s="3" t="str">
        <f ca="1">IF(OR(INDEX($I$2:$I$1001,MATCH(ROWS($H$2:H358),$H$2:$H$1001,0),1)&gt;=100000,INDEX($O$1005:$Q$1005,1,MATCH(COLUMNS($O$1006:Q1006),$O$1006:$Q$1006,0))&gt;=100000), " ",IF(INDEX($O$2:$Q$1001,MATCH(ROWS($H$2:H358),$H$2:$H$1001,0),MATCH(COLUMNS($O$1006:Q1006),$O$1006:$Q$1006,0)), HYPERLINK("#",""), HYPERLINK(CONCATENATE("#metadata!", ADDRESS(INDEX($J$2:$J$1001,MATCH(ROWS($H$2:H358),$H$2:$H$1001,0),0), INDEX($O$1004:$Q$1004,1,MATCH(COLUMNS($O$1006:Q1006),$O$1006:$Q$1006,0)))),"Fix")))</f>
        <v xml:space="preserve"> </v>
      </c>
      <c r="H358">
        <v>357</v>
      </c>
      <c r="I358">
        <v>100358</v>
      </c>
      <c r="J358">
        <v>358</v>
      </c>
      <c r="K358" t="b">
        <f t="shared" si="5"/>
        <v>1</v>
      </c>
      <c r="L358" t="b">
        <f>COUNTBLANK(metadata!B358:D358)=COLUMNS(metadata!B358:D358)</f>
        <v>1</v>
      </c>
      <c r="M358" t="str">
        <v/>
      </c>
      <c r="O358" t="b">
        <f ca="1"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P358" t="b">
        <f>AND(IF(metadata!C358="",FALSE,TRUE),EXACT(metadata!C358,"mouse gut metagenome"))</f>
        <v>0</v>
      </c>
      <c r="Q358" t="b">
        <f>AND(IF(metadata!D358="",FALSE,TRUE),EXACT(metadata!D358,"410661"))</f>
        <v>0</v>
      </c>
    </row>
    <row r="359" spans="1:17" x14ac:dyDescent="0.2">
      <c r="A359" s="4" t="str">
        <f ca="1">IF(B359=" "," ",HYPERLINK(CONCATENATE("#metadata!",ADDRESS(INDEX($J$2:$J$1001,MATCH(ROWS($H$2:H359),$H$2:$H$1001,0),0),1)),INDEX($M$2:$M$1001,MATCH(ROWS($H$2:H359),$H$2:$H$1001,0),0)))</f>
        <v xml:space="preserve"> </v>
      </c>
      <c r="B359" s="3" t="str">
        <f ca="1">IF(OR(INDEX($I$2:$I$1001,MATCH(ROWS($H$2:H359),$H$2:$H$1001,0),1)&gt;=100000,INDEX($O$1005:$Q$1005,1,MATCH(COLUMNS($O$1006:O1006),$O$1006:$Q$1006,0))&gt;=100000), " ",IF(INDEX($O$2:$Q$1001,MATCH(ROWS($H$2:H359),$H$2:$H$1001,0),MATCH(COLUMNS($O$1006:O1006),$O$1006:$Q$1006,0)), HYPERLINK("#",""), HYPERLINK(CONCATENATE("#metadata!", ADDRESS(INDEX($J$2:$J$1001,MATCH(ROWS($H$2:H359),$H$2:$H$1001,0),0), INDEX($O$1004:$Q$1004,1,MATCH(COLUMNS($O$1006:O1006),$O$1006:$Q$1006,0)))),"Fix")))</f>
        <v xml:space="preserve"> </v>
      </c>
      <c r="C359" s="3" t="str">
        <f ca="1">IF(OR(INDEX($I$2:$I$1001,MATCH(ROWS($H$2:H359),$H$2:$H$1001,0),1)&gt;=100000,INDEX($O$1005:$Q$1005,1,MATCH(COLUMNS($O$1006:P1006),$O$1006:$Q$1006,0))&gt;=100000), " ",IF(INDEX($O$2:$Q$1001,MATCH(ROWS($H$2:H359),$H$2:$H$1001,0),MATCH(COLUMNS($O$1006:P1006),$O$1006:$Q$1006,0)), HYPERLINK("#",""), HYPERLINK(CONCATENATE("#metadata!", ADDRESS(INDEX($J$2:$J$1001,MATCH(ROWS($H$2:H359),$H$2:$H$1001,0),0), INDEX($O$1004:$Q$1004,1,MATCH(COLUMNS($O$1006:P1006),$O$1006:$Q$1006,0)))),"Fix")))</f>
        <v xml:space="preserve"> </v>
      </c>
      <c r="D359" s="3" t="str">
        <f ca="1">IF(OR(INDEX($I$2:$I$1001,MATCH(ROWS($H$2:H359),$H$2:$H$1001,0),1)&gt;=100000,INDEX($O$1005:$Q$1005,1,MATCH(COLUMNS($O$1006:Q1006),$O$1006:$Q$1006,0))&gt;=100000), " ",IF(INDEX($O$2:$Q$1001,MATCH(ROWS($H$2:H359),$H$2:$H$1001,0),MATCH(COLUMNS($O$1006:Q1006),$O$1006:$Q$1006,0)), HYPERLINK("#",""), HYPERLINK(CONCATENATE("#metadata!", ADDRESS(INDEX($J$2:$J$1001,MATCH(ROWS($H$2:H359),$H$2:$H$1001,0),0), INDEX($O$1004:$Q$1004,1,MATCH(COLUMNS($O$1006:Q1006),$O$1006:$Q$1006,0)))),"Fix")))</f>
        <v xml:space="preserve"> </v>
      </c>
      <c r="H359">
        <v>358</v>
      </c>
      <c r="I359">
        <v>100359</v>
      </c>
      <c r="J359">
        <v>359</v>
      </c>
      <c r="K359" t="b">
        <f t="shared" si="5"/>
        <v>1</v>
      </c>
      <c r="L359" t="b">
        <f>COUNTBLANK(metadata!B359:D359)=COLUMNS(metadata!B359:D359)</f>
        <v>1</v>
      </c>
      <c r="M359" t="str">
        <v/>
      </c>
      <c r="O359" t="b">
        <f ca="1"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P359" t="b">
        <f>AND(IF(metadata!C359="",FALSE,TRUE),EXACT(metadata!C359,"mouse gut metagenome"))</f>
        <v>0</v>
      </c>
      <c r="Q359" t="b">
        <f>AND(IF(metadata!D359="",FALSE,TRUE),EXACT(metadata!D359,"410661"))</f>
        <v>0</v>
      </c>
    </row>
    <row r="360" spans="1:17" x14ac:dyDescent="0.2">
      <c r="A360" s="4" t="str">
        <f ca="1">IF(B360=" "," ",HYPERLINK(CONCATENATE("#metadata!",ADDRESS(INDEX($J$2:$J$1001,MATCH(ROWS($H$2:H360),$H$2:$H$1001,0),0),1)),INDEX($M$2:$M$1001,MATCH(ROWS($H$2:H360),$H$2:$H$1001,0),0)))</f>
        <v xml:space="preserve"> </v>
      </c>
      <c r="B360" s="3" t="str">
        <f ca="1">IF(OR(INDEX($I$2:$I$1001,MATCH(ROWS($H$2:H360),$H$2:$H$1001,0),1)&gt;=100000,INDEX($O$1005:$Q$1005,1,MATCH(COLUMNS($O$1006:O1006),$O$1006:$Q$1006,0))&gt;=100000), " ",IF(INDEX($O$2:$Q$1001,MATCH(ROWS($H$2:H360),$H$2:$H$1001,0),MATCH(COLUMNS($O$1006:O1006),$O$1006:$Q$1006,0)), HYPERLINK("#",""), HYPERLINK(CONCATENATE("#metadata!", ADDRESS(INDEX($J$2:$J$1001,MATCH(ROWS($H$2:H360),$H$2:$H$1001,0),0), INDEX($O$1004:$Q$1004,1,MATCH(COLUMNS($O$1006:O1006),$O$1006:$Q$1006,0)))),"Fix")))</f>
        <v xml:space="preserve"> </v>
      </c>
      <c r="C360" s="3" t="str">
        <f ca="1">IF(OR(INDEX($I$2:$I$1001,MATCH(ROWS($H$2:H360),$H$2:$H$1001,0),1)&gt;=100000,INDEX($O$1005:$Q$1005,1,MATCH(COLUMNS($O$1006:P1006),$O$1006:$Q$1006,0))&gt;=100000), " ",IF(INDEX($O$2:$Q$1001,MATCH(ROWS($H$2:H360),$H$2:$H$1001,0),MATCH(COLUMNS($O$1006:P1006),$O$1006:$Q$1006,0)), HYPERLINK("#",""), HYPERLINK(CONCATENATE("#metadata!", ADDRESS(INDEX($J$2:$J$1001,MATCH(ROWS($H$2:H360),$H$2:$H$1001,0),0), INDEX($O$1004:$Q$1004,1,MATCH(COLUMNS($O$1006:P1006),$O$1006:$Q$1006,0)))),"Fix")))</f>
        <v xml:space="preserve"> </v>
      </c>
      <c r="D360" s="3" t="str">
        <f ca="1">IF(OR(INDEX($I$2:$I$1001,MATCH(ROWS($H$2:H360),$H$2:$H$1001,0),1)&gt;=100000,INDEX($O$1005:$Q$1005,1,MATCH(COLUMNS($O$1006:Q1006),$O$1006:$Q$1006,0))&gt;=100000), " ",IF(INDEX($O$2:$Q$1001,MATCH(ROWS($H$2:H360),$H$2:$H$1001,0),MATCH(COLUMNS($O$1006:Q1006),$O$1006:$Q$1006,0)), HYPERLINK("#",""), HYPERLINK(CONCATENATE("#metadata!", ADDRESS(INDEX($J$2:$J$1001,MATCH(ROWS($H$2:H360),$H$2:$H$1001,0),0), INDEX($O$1004:$Q$1004,1,MATCH(COLUMNS($O$1006:Q1006),$O$1006:$Q$1006,0)))),"Fix")))</f>
        <v xml:space="preserve"> </v>
      </c>
      <c r="H360">
        <v>359</v>
      </c>
      <c r="I360">
        <v>100360</v>
      </c>
      <c r="J360">
        <v>360</v>
      </c>
      <c r="K360" t="b">
        <f t="shared" si="5"/>
        <v>1</v>
      </c>
      <c r="L360" t="b">
        <f>COUNTBLANK(metadata!B360:D360)=COLUMNS(metadata!B360:D360)</f>
        <v>1</v>
      </c>
      <c r="M360" t="str">
        <v/>
      </c>
      <c r="O360" t="b">
        <f ca="1"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P360" t="b">
        <f>AND(IF(metadata!C360="",FALSE,TRUE),EXACT(metadata!C360,"mouse gut metagenome"))</f>
        <v>0</v>
      </c>
      <c r="Q360" t="b">
        <f>AND(IF(metadata!D360="",FALSE,TRUE),EXACT(metadata!D360,"410661"))</f>
        <v>0</v>
      </c>
    </row>
    <row r="361" spans="1:17" x14ac:dyDescent="0.2">
      <c r="A361" s="4" t="str">
        <f ca="1">IF(B361=" "," ",HYPERLINK(CONCATENATE("#metadata!",ADDRESS(INDEX($J$2:$J$1001,MATCH(ROWS($H$2:H361),$H$2:$H$1001,0),0),1)),INDEX($M$2:$M$1001,MATCH(ROWS($H$2:H361),$H$2:$H$1001,0),0)))</f>
        <v xml:space="preserve"> </v>
      </c>
      <c r="B361" s="3" t="str">
        <f ca="1">IF(OR(INDEX($I$2:$I$1001,MATCH(ROWS($H$2:H361),$H$2:$H$1001,0),1)&gt;=100000,INDEX($O$1005:$Q$1005,1,MATCH(COLUMNS($O$1006:O1006),$O$1006:$Q$1006,0))&gt;=100000), " ",IF(INDEX($O$2:$Q$1001,MATCH(ROWS($H$2:H361),$H$2:$H$1001,0),MATCH(COLUMNS($O$1006:O1006),$O$1006:$Q$1006,0)), HYPERLINK("#",""), HYPERLINK(CONCATENATE("#metadata!", ADDRESS(INDEX($J$2:$J$1001,MATCH(ROWS($H$2:H361),$H$2:$H$1001,0),0), INDEX($O$1004:$Q$1004,1,MATCH(COLUMNS($O$1006:O1006),$O$1006:$Q$1006,0)))),"Fix")))</f>
        <v xml:space="preserve"> </v>
      </c>
      <c r="C361" s="3" t="str">
        <f ca="1">IF(OR(INDEX($I$2:$I$1001,MATCH(ROWS($H$2:H361),$H$2:$H$1001,0),1)&gt;=100000,INDEX($O$1005:$Q$1005,1,MATCH(COLUMNS($O$1006:P1006),$O$1006:$Q$1006,0))&gt;=100000), " ",IF(INDEX($O$2:$Q$1001,MATCH(ROWS($H$2:H361),$H$2:$H$1001,0),MATCH(COLUMNS($O$1006:P1006),$O$1006:$Q$1006,0)), HYPERLINK("#",""), HYPERLINK(CONCATENATE("#metadata!", ADDRESS(INDEX($J$2:$J$1001,MATCH(ROWS($H$2:H361),$H$2:$H$1001,0),0), INDEX($O$1004:$Q$1004,1,MATCH(COLUMNS($O$1006:P1006),$O$1006:$Q$1006,0)))),"Fix")))</f>
        <v xml:space="preserve"> </v>
      </c>
      <c r="D361" s="3" t="str">
        <f ca="1">IF(OR(INDEX($I$2:$I$1001,MATCH(ROWS($H$2:H361),$H$2:$H$1001,0),1)&gt;=100000,INDEX($O$1005:$Q$1005,1,MATCH(COLUMNS($O$1006:Q1006),$O$1006:$Q$1006,0))&gt;=100000), " ",IF(INDEX($O$2:$Q$1001,MATCH(ROWS($H$2:H361),$H$2:$H$1001,0),MATCH(COLUMNS($O$1006:Q1006),$O$1006:$Q$1006,0)), HYPERLINK("#",""), HYPERLINK(CONCATENATE("#metadata!", ADDRESS(INDEX($J$2:$J$1001,MATCH(ROWS($H$2:H361),$H$2:$H$1001,0),0), INDEX($O$1004:$Q$1004,1,MATCH(COLUMNS($O$1006:Q1006),$O$1006:$Q$1006,0)))),"Fix")))</f>
        <v xml:space="preserve"> </v>
      </c>
      <c r="H361">
        <v>360</v>
      </c>
      <c r="I361">
        <v>100361</v>
      </c>
      <c r="J361">
        <v>361</v>
      </c>
      <c r="K361" t="b">
        <f t="shared" si="5"/>
        <v>1</v>
      </c>
      <c r="L361" t="b">
        <f>COUNTBLANK(metadata!B361:D361)=COLUMNS(metadata!B361:D361)</f>
        <v>1</v>
      </c>
      <c r="M361" t="str">
        <v/>
      </c>
      <c r="O361" t="b">
        <f ca="1"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P361" t="b">
        <f>AND(IF(metadata!C361="",FALSE,TRUE),EXACT(metadata!C361,"mouse gut metagenome"))</f>
        <v>0</v>
      </c>
      <c r="Q361" t="b">
        <f>AND(IF(metadata!D361="",FALSE,TRUE),EXACT(metadata!D361,"410661"))</f>
        <v>0</v>
      </c>
    </row>
    <row r="362" spans="1:17" x14ac:dyDescent="0.2">
      <c r="A362" s="4" t="str">
        <f ca="1">IF(B362=" "," ",HYPERLINK(CONCATENATE("#metadata!",ADDRESS(INDEX($J$2:$J$1001,MATCH(ROWS($H$2:H362),$H$2:$H$1001,0),0),1)),INDEX($M$2:$M$1001,MATCH(ROWS($H$2:H362),$H$2:$H$1001,0),0)))</f>
        <v xml:space="preserve"> </v>
      </c>
      <c r="B362" s="3" t="str">
        <f ca="1">IF(OR(INDEX($I$2:$I$1001,MATCH(ROWS($H$2:H362),$H$2:$H$1001,0),1)&gt;=100000,INDEX($O$1005:$Q$1005,1,MATCH(COLUMNS($O$1006:O1006),$O$1006:$Q$1006,0))&gt;=100000), " ",IF(INDEX($O$2:$Q$1001,MATCH(ROWS($H$2:H362),$H$2:$H$1001,0),MATCH(COLUMNS($O$1006:O1006),$O$1006:$Q$1006,0)), HYPERLINK("#",""), HYPERLINK(CONCATENATE("#metadata!", ADDRESS(INDEX($J$2:$J$1001,MATCH(ROWS($H$2:H362),$H$2:$H$1001,0),0), INDEX($O$1004:$Q$1004,1,MATCH(COLUMNS($O$1006:O1006),$O$1006:$Q$1006,0)))),"Fix")))</f>
        <v xml:space="preserve"> </v>
      </c>
      <c r="C362" s="3" t="str">
        <f ca="1">IF(OR(INDEX($I$2:$I$1001,MATCH(ROWS($H$2:H362),$H$2:$H$1001,0),1)&gt;=100000,INDEX($O$1005:$Q$1005,1,MATCH(COLUMNS($O$1006:P1006),$O$1006:$Q$1006,0))&gt;=100000), " ",IF(INDEX($O$2:$Q$1001,MATCH(ROWS($H$2:H362),$H$2:$H$1001,0),MATCH(COLUMNS($O$1006:P1006),$O$1006:$Q$1006,0)), HYPERLINK("#",""), HYPERLINK(CONCATENATE("#metadata!", ADDRESS(INDEX($J$2:$J$1001,MATCH(ROWS($H$2:H362),$H$2:$H$1001,0),0), INDEX($O$1004:$Q$1004,1,MATCH(COLUMNS($O$1006:P1006),$O$1006:$Q$1006,0)))),"Fix")))</f>
        <v xml:space="preserve"> </v>
      </c>
      <c r="D362" s="3" t="str">
        <f ca="1">IF(OR(INDEX($I$2:$I$1001,MATCH(ROWS($H$2:H362),$H$2:$H$1001,0),1)&gt;=100000,INDEX($O$1005:$Q$1005,1,MATCH(COLUMNS($O$1006:Q1006),$O$1006:$Q$1006,0))&gt;=100000), " ",IF(INDEX($O$2:$Q$1001,MATCH(ROWS($H$2:H362),$H$2:$H$1001,0),MATCH(COLUMNS($O$1006:Q1006),$O$1006:$Q$1006,0)), HYPERLINK("#",""), HYPERLINK(CONCATENATE("#metadata!", ADDRESS(INDEX($J$2:$J$1001,MATCH(ROWS($H$2:H362),$H$2:$H$1001,0),0), INDEX($O$1004:$Q$1004,1,MATCH(COLUMNS($O$1006:Q1006),$O$1006:$Q$1006,0)))),"Fix")))</f>
        <v xml:space="preserve"> </v>
      </c>
      <c r="H362">
        <v>361</v>
      </c>
      <c r="I362">
        <v>100362</v>
      </c>
      <c r="J362">
        <v>362</v>
      </c>
      <c r="K362" t="b">
        <f t="shared" si="5"/>
        <v>1</v>
      </c>
      <c r="L362" t="b">
        <f>COUNTBLANK(metadata!B362:D362)=COLUMNS(metadata!B362:D362)</f>
        <v>1</v>
      </c>
      <c r="M362" t="str">
        <v/>
      </c>
      <c r="O362" t="b">
        <f ca="1"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P362" t="b">
        <f>AND(IF(metadata!C362="",FALSE,TRUE),EXACT(metadata!C362,"mouse gut metagenome"))</f>
        <v>0</v>
      </c>
      <c r="Q362" t="b">
        <f>AND(IF(metadata!D362="",FALSE,TRUE),EXACT(metadata!D362,"410661"))</f>
        <v>0</v>
      </c>
    </row>
    <row r="363" spans="1:17" x14ac:dyDescent="0.2">
      <c r="A363" s="4" t="str">
        <f ca="1">IF(B363=" "," ",HYPERLINK(CONCATENATE("#metadata!",ADDRESS(INDEX($J$2:$J$1001,MATCH(ROWS($H$2:H363),$H$2:$H$1001,0),0),1)),INDEX($M$2:$M$1001,MATCH(ROWS($H$2:H363),$H$2:$H$1001,0),0)))</f>
        <v xml:space="preserve"> </v>
      </c>
      <c r="B363" s="3" t="str">
        <f ca="1">IF(OR(INDEX($I$2:$I$1001,MATCH(ROWS($H$2:H363),$H$2:$H$1001,0),1)&gt;=100000,INDEX($O$1005:$Q$1005,1,MATCH(COLUMNS($O$1006:O1006),$O$1006:$Q$1006,0))&gt;=100000), " ",IF(INDEX($O$2:$Q$1001,MATCH(ROWS($H$2:H363),$H$2:$H$1001,0),MATCH(COLUMNS($O$1006:O1006),$O$1006:$Q$1006,0)), HYPERLINK("#",""), HYPERLINK(CONCATENATE("#metadata!", ADDRESS(INDEX($J$2:$J$1001,MATCH(ROWS($H$2:H363),$H$2:$H$1001,0),0), INDEX($O$1004:$Q$1004,1,MATCH(COLUMNS($O$1006:O1006),$O$1006:$Q$1006,0)))),"Fix")))</f>
        <v xml:space="preserve"> </v>
      </c>
      <c r="C363" s="3" t="str">
        <f ca="1">IF(OR(INDEX($I$2:$I$1001,MATCH(ROWS($H$2:H363),$H$2:$H$1001,0),1)&gt;=100000,INDEX($O$1005:$Q$1005,1,MATCH(COLUMNS($O$1006:P1006),$O$1006:$Q$1006,0))&gt;=100000), " ",IF(INDEX($O$2:$Q$1001,MATCH(ROWS($H$2:H363),$H$2:$H$1001,0),MATCH(COLUMNS($O$1006:P1006),$O$1006:$Q$1006,0)), HYPERLINK("#",""), HYPERLINK(CONCATENATE("#metadata!", ADDRESS(INDEX($J$2:$J$1001,MATCH(ROWS($H$2:H363),$H$2:$H$1001,0),0), INDEX($O$1004:$Q$1004,1,MATCH(COLUMNS($O$1006:P1006),$O$1006:$Q$1006,0)))),"Fix")))</f>
        <v xml:space="preserve"> </v>
      </c>
      <c r="D363" s="3" t="str">
        <f ca="1">IF(OR(INDEX($I$2:$I$1001,MATCH(ROWS($H$2:H363),$H$2:$H$1001,0),1)&gt;=100000,INDEX($O$1005:$Q$1005,1,MATCH(COLUMNS($O$1006:Q1006),$O$1006:$Q$1006,0))&gt;=100000), " ",IF(INDEX($O$2:$Q$1001,MATCH(ROWS($H$2:H363),$H$2:$H$1001,0),MATCH(COLUMNS($O$1006:Q1006),$O$1006:$Q$1006,0)), HYPERLINK("#",""), HYPERLINK(CONCATENATE("#metadata!", ADDRESS(INDEX($J$2:$J$1001,MATCH(ROWS($H$2:H363),$H$2:$H$1001,0),0), INDEX($O$1004:$Q$1004,1,MATCH(COLUMNS($O$1006:Q1006),$O$1006:$Q$1006,0)))),"Fix")))</f>
        <v xml:space="preserve"> </v>
      </c>
      <c r="H363">
        <v>362</v>
      </c>
      <c r="I363">
        <v>100363</v>
      </c>
      <c r="J363">
        <v>363</v>
      </c>
      <c r="K363" t="b">
        <f t="shared" si="5"/>
        <v>1</v>
      </c>
      <c r="L363" t="b">
        <f>COUNTBLANK(metadata!B363:D363)=COLUMNS(metadata!B363:D363)</f>
        <v>1</v>
      </c>
      <c r="M363" t="str">
        <v/>
      </c>
      <c r="O363" t="b">
        <f ca="1"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P363" t="b">
        <f>AND(IF(metadata!C363="",FALSE,TRUE),EXACT(metadata!C363,"mouse gut metagenome"))</f>
        <v>0</v>
      </c>
      <c r="Q363" t="b">
        <f>AND(IF(metadata!D363="",FALSE,TRUE),EXACT(metadata!D363,"410661"))</f>
        <v>0</v>
      </c>
    </row>
    <row r="364" spans="1:17" x14ac:dyDescent="0.2">
      <c r="A364" s="4" t="str">
        <f ca="1">IF(B364=" "," ",HYPERLINK(CONCATENATE("#metadata!",ADDRESS(INDEX($J$2:$J$1001,MATCH(ROWS($H$2:H364),$H$2:$H$1001,0),0),1)),INDEX($M$2:$M$1001,MATCH(ROWS($H$2:H364),$H$2:$H$1001,0),0)))</f>
        <v xml:space="preserve"> </v>
      </c>
      <c r="B364" s="3" t="str">
        <f ca="1">IF(OR(INDEX($I$2:$I$1001,MATCH(ROWS($H$2:H364),$H$2:$H$1001,0),1)&gt;=100000,INDEX($O$1005:$Q$1005,1,MATCH(COLUMNS($O$1006:O1006),$O$1006:$Q$1006,0))&gt;=100000), " ",IF(INDEX($O$2:$Q$1001,MATCH(ROWS($H$2:H364),$H$2:$H$1001,0),MATCH(COLUMNS($O$1006:O1006),$O$1006:$Q$1006,0)), HYPERLINK("#",""), HYPERLINK(CONCATENATE("#metadata!", ADDRESS(INDEX($J$2:$J$1001,MATCH(ROWS($H$2:H364),$H$2:$H$1001,0),0), INDEX($O$1004:$Q$1004,1,MATCH(COLUMNS($O$1006:O1006),$O$1006:$Q$1006,0)))),"Fix")))</f>
        <v xml:space="preserve"> </v>
      </c>
      <c r="C364" s="3" t="str">
        <f ca="1">IF(OR(INDEX($I$2:$I$1001,MATCH(ROWS($H$2:H364),$H$2:$H$1001,0),1)&gt;=100000,INDEX($O$1005:$Q$1005,1,MATCH(COLUMNS($O$1006:P1006),$O$1006:$Q$1006,0))&gt;=100000), " ",IF(INDEX($O$2:$Q$1001,MATCH(ROWS($H$2:H364),$H$2:$H$1001,0),MATCH(COLUMNS($O$1006:P1006),$O$1006:$Q$1006,0)), HYPERLINK("#",""), HYPERLINK(CONCATENATE("#metadata!", ADDRESS(INDEX($J$2:$J$1001,MATCH(ROWS($H$2:H364),$H$2:$H$1001,0),0), INDEX($O$1004:$Q$1004,1,MATCH(COLUMNS($O$1006:P1006),$O$1006:$Q$1006,0)))),"Fix")))</f>
        <v xml:space="preserve"> </v>
      </c>
      <c r="D364" s="3" t="str">
        <f ca="1">IF(OR(INDEX($I$2:$I$1001,MATCH(ROWS($H$2:H364),$H$2:$H$1001,0),1)&gt;=100000,INDEX($O$1005:$Q$1005,1,MATCH(COLUMNS($O$1006:Q1006),$O$1006:$Q$1006,0))&gt;=100000), " ",IF(INDEX($O$2:$Q$1001,MATCH(ROWS($H$2:H364),$H$2:$H$1001,0),MATCH(COLUMNS($O$1006:Q1006),$O$1006:$Q$1006,0)), HYPERLINK("#",""), HYPERLINK(CONCATENATE("#metadata!", ADDRESS(INDEX($J$2:$J$1001,MATCH(ROWS($H$2:H364),$H$2:$H$1001,0),0), INDEX($O$1004:$Q$1004,1,MATCH(COLUMNS($O$1006:Q1006),$O$1006:$Q$1006,0)))),"Fix")))</f>
        <v xml:space="preserve"> </v>
      </c>
      <c r="H364">
        <v>363</v>
      </c>
      <c r="I364">
        <v>100364</v>
      </c>
      <c r="J364">
        <v>364</v>
      </c>
      <c r="K364" t="b">
        <f t="shared" si="5"/>
        <v>1</v>
      </c>
      <c r="L364" t="b">
        <f>COUNTBLANK(metadata!B364:D364)=COLUMNS(metadata!B364:D364)</f>
        <v>1</v>
      </c>
      <c r="M364" t="str">
        <v/>
      </c>
      <c r="O364" t="b">
        <f ca="1"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P364" t="b">
        <f>AND(IF(metadata!C364="",FALSE,TRUE),EXACT(metadata!C364,"mouse gut metagenome"))</f>
        <v>0</v>
      </c>
      <c r="Q364" t="b">
        <f>AND(IF(metadata!D364="",FALSE,TRUE),EXACT(metadata!D364,"410661"))</f>
        <v>0</v>
      </c>
    </row>
    <row r="365" spans="1:17" x14ac:dyDescent="0.2">
      <c r="A365" s="4" t="str">
        <f ca="1">IF(B365=" "," ",HYPERLINK(CONCATENATE("#metadata!",ADDRESS(INDEX($J$2:$J$1001,MATCH(ROWS($H$2:H365),$H$2:$H$1001,0),0),1)),INDEX($M$2:$M$1001,MATCH(ROWS($H$2:H365),$H$2:$H$1001,0),0)))</f>
        <v xml:space="preserve"> </v>
      </c>
      <c r="B365" s="3" t="str">
        <f ca="1">IF(OR(INDEX($I$2:$I$1001,MATCH(ROWS($H$2:H365),$H$2:$H$1001,0),1)&gt;=100000,INDEX($O$1005:$Q$1005,1,MATCH(COLUMNS($O$1006:O1006),$O$1006:$Q$1006,0))&gt;=100000), " ",IF(INDEX($O$2:$Q$1001,MATCH(ROWS($H$2:H365),$H$2:$H$1001,0),MATCH(COLUMNS($O$1006:O1006),$O$1006:$Q$1006,0)), HYPERLINK("#",""), HYPERLINK(CONCATENATE("#metadata!", ADDRESS(INDEX($J$2:$J$1001,MATCH(ROWS($H$2:H365),$H$2:$H$1001,0),0), INDEX($O$1004:$Q$1004,1,MATCH(COLUMNS($O$1006:O1006),$O$1006:$Q$1006,0)))),"Fix")))</f>
        <v xml:space="preserve"> </v>
      </c>
      <c r="C365" s="3" t="str">
        <f ca="1">IF(OR(INDEX($I$2:$I$1001,MATCH(ROWS($H$2:H365),$H$2:$H$1001,0),1)&gt;=100000,INDEX($O$1005:$Q$1005,1,MATCH(COLUMNS($O$1006:P1006),$O$1006:$Q$1006,0))&gt;=100000), " ",IF(INDEX($O$2:$Q$1001,MATCH(ROWS($H$2:H365),$H$2:$H$1001,0),MATCH(COLUMNS($O$1006:P1006),$O$1006:$Q$1006,0)), HYPERLINK("#",""), HYPERLINK(CONCATENATE("#metadata!", ADDRESS(INDEX($J$2:$J$1001,MATCH(ROWS($H$2:H365),$H$2:$H$1001,0),0), INDEX($O$1004:$Q$1004,1,MATCH(COLUMNS($O$1006:P1006),$O$1006:$Q$1006,0)))),"Fix")))</f>
        <v xml:space="preserve"> </v>
      </c>
      <c r="D365" s="3" t="str">
        <f ca="1">IF(OR(INDEX($I$2:$I$1001,MATCH(ROWS($H$2:H365),$H$2:$H$1001,0),1)&gt;=100000,INDEX($O$1005:$Q$1005,1,MATCH(COLUMNS($O$1006:Q1006),$O$1006:$Q$1006,0))&gt;=100000), " ",IF(INDEX($O$2:$Q$1001,MATCH(ROWS($H$2:H365),$H$2:$H$1001,0),MATCH(COLUMNS($O$1006:Q1006),$O$1006:$Q$1006,0)), HYPERLINK("#",""), HYPERLINK(CONCATENATE("#metadata!", ADDRESS(INDEX($J$2:$J$1001,MATCH(ROWS($H$2:H365),$H$2:$H$1001,0),0), INDEX($O$1004:$Q$1004,1,MATCH(COLUMNS($O$1006:Q1006),$O$1006:$Q$1006,0)))),"Fix")))</f>
        <v xml:space="preserve"> </v>
      </c>
      <c r="H365">
        <v>364</v>
      </c>
      <c r="I365">
        <v>100365</v>
      </c>
      <c r="J365">
        <v>365</v>
      </c>
      <c r="K365" t="b">
        <f t="shared" si="5"/>
        <v>1</v>
      </c>
      <c r="L365" t="b">
        <f>COUNTBLANK(metadata!B365:D365)=COLUMNS(metadata!B365:D365)</f>
        <v>1</v>
      </c>
      <c r="M365" t="str">
        <v/>
      </c>
      <c r="O365" t="b">
        <f ca="1"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P365" t="b">
        <f>AND(IF(metadata!C365="",FALSE,TRUE),EXACT(metadata!C365,"mouse gut metagenome"))</f>
        <v>0</v>
      </c>
      <c r="Q365" t="b">
        <f>AND(IF(metadata!D365="",FALSE,TRUE),EXACT(metadata!D365,"410661"))</f>
        <v>0</v>
      </c>
    </row>
    <row r="366" spans="1:17" x14ac:dyDescent="0.2">
      <c r="A366" s="4" t="str">
        <f ca="1">IF(B366=" "," ",HYPERLINK(CONCATENATE("#metadata!",ADDRESS(INDEX($J$2:$J$1001,MATCH(ROWS($H$2:H366),$H$2:$H$1001,0),0),1)),INDEX($M$2:$M$1001,MATCH(ROWS($H$2:H366),$H$2:$H$1001,0),0)))</f>
        <v xml:space="preserve"> </v>
      </c>
      <c r="B366" s="3" t="str">
        <f ca="1">IF(OR(INDEX($I$2:$I$1001,MATCH(ROWS($H$2:H366),$H$2:$H$1001,0),1)&gt;=100000,INDEX($O$1005:$Q$1005,1,MATCH(COLUMNS($O$1006:O1006),$O$1006:$Q$1006,0))&gt;=100000), " ",IF(INDEX($O$2:$Q$1001,MATCH(ROWS($H$2:H366),$H$2:$H$1001,0),MATCH(COLUMNS($O$1006:O1006),$O$1006:$Q$1006,0)), HYPERLINK("#",""), HYPERLINK(CONCATENATE("#metadata!", ADDRESS(INDEX($J$2:$J$1001,MATCH(ROWS($H$2:H366),$H$2:$H$1001,0),0), INDEX($O$1004:$Q$1004,1,MATCH(COLUMNS($O$1006:O1006),$O$1006:$Q$1006,0)))),"Fix")))</f>
        <v xml:space="preserve"> </v>
      </c>
      <c r="C366" s="3" t="str">
        <f ca="1">IF(OR(INDEX($I$2:$I$1001,MATCH(ROWS($H$2:H366),$H$2:$H$1001,0),1)&gt;=100000,INDEX($O$1005:$Q$1005,1,MATCH(COLUMNS($O$1006:P1006),$O$1006:$Q$1006,0))&gt;=100000), " ",IF(INDEX($O$2:$Q$1001,MATCH(ROWS($H$2:H366),$H$2:$H$1001,0),MATCH(COLUMNS($O$1006:P1006),$O$1006:$Q$1006,0)), HYPERLINK("#",""), HYPERLINK(CONCATENATE("#metadata!", ADDRESS(INDEX($J$2:$J$1001,MATCH(ROWS($H$2:H366),$H$2:$H$1001,0),0), INDEX($O$1004:$Q$1004,1,MATCH(COLUMNS($O$1006:P1006),$O$1006:$Q$1006,0)))),"Fix")))</f>
        <v xml:space="preserve"> </v>
      </c>
      <c r="D366" s="3" t="str">
        <f ca="1">IF(OR(INDEX($I$2:$I$1001,MATCH(ROWS($H$2:H366),$H$2:$H$1001,0),1)&gt;=100000,INDEX($O$1005:$Q$1005,1,MATCH(COLUMNS($O$1006:Q1006),$O$1006:$Q$1006,0))&gt;=100000), " ",IF(INDEX($O$2:$Q$1001,MATCH(ROWS($H$2:H366),$H$2:$H$1001,0),MATCH(COLUMNS($O$1006:Q1006),$O$1006:$Q$1006,0)), HYPERLINK("#",""), HYPERLINK(CONCATENATE("#metadata!", ADDRESS(INDEX($J$2:$J$1001,MATCH(ROWS($H$2:H366),$H$2:$H$1001,0),0), INDEX($O$1004:$Q$1004,1,MATCH(COLUMNS($O$1006:Q1006),$O$1006:$Q$1006,0)))),"Fix")))</f>
        <v xml:space="preserve"> </v>
      </c>
      <c r="H366">
        <v>365</v>
      </c>
      <c r="I366">
        <v>100366</v>
      </c>
      <c r="J366">
        <v>366</v>
      </c>
      <c r="K366" t="b">
        <f t="shared" si="5"/>
        <v>1</v>
      </c>
      <c r="L366" t="b">
        <f>COUNTBLANK(metadata!B366:D366)=COLUMNS(metadata!B366:D366)</f>
        <v>1</v>
      </c>
      <c r="M366" t="str">
        <v/>
      </c>
      <c r="O366" t="b">
        <f ca="1"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P366" t="b">
        <f>AND(IF(metadata!C366="",FALSE,TRUE),EXACT(metadata!C366,"mouse gut metagenome"))</f>
        <v>0</v>
      </c>
      <c r="Q366" t="b">
        <f>AND(IF(metadata!D366="",FALSE,TRUE),EXACT(metadata!D366,"410661"))</f>
        <v>0</v>
      </c>
    </row>
    <row r="367" spans="1:17" x14ac:dyDescent="0.2">
      <c r="A367" s="4" t="str">
        <f ca="1">IF(B367=" "," ",HYPERLINK(CONCATENATE("#metadata!",ADDRESS(INDEX($J$2:$J$1001,MATCH(ROWS($H$2:H367),$H$2:$H$1001,0),0),1)),INDEX($M$2:$M$1001,MATCH(ROWS($H$2:H367),$H$2:$H$1001,0),0)))</f>
        <v xml:space="preserve"> </v>
      </c>
      <c r="B367" s="3" t="str">
        <f ca="1">IF(OR(INDEX($I$2:$I$1001,MATCH(ROWS($H$2:H367),$H$2:$H$1001,0),1)&gt;=100000,INDEX($O$1005:$Q$1005,1,MATCH(COLUMNS($O$1006:O1006),$O$1006:$Q$1006,0))&gt;=100000), " ",IF(INDEX($O$2:$Q$1001,MATCH(ROWS($H$2:H367),$H$2:$H$1001,0),MATCH(COLUMNS($O$1006:O1006),$O$1006:$Q$1006,0)), HYPERLINK("#",""), HYPERLINK(CONCATENATE("#metadata!", ADDRESS(INDEX($J$2:$J$1001,MATCH(ROWS($H$2:H367),$H$2:$H$1001,0),0), INDEX($O$1004:$Q$1004,1,MATCH(COLUMNS($O$1006:O1006),$O$1006:$Q$1006,0)))),"Fix")))</f>
        <v xml:space="preserve"> </v>
      </c>
      <c r="C367" s="3" t="str">
        <f ca="1">IF(OR(INDEX($I$2:$I$1001,MATCH(ROWS($H$2:H367),$H$2:$H$1001,0),1)&gt;=100000,INDEX($O$1005:$Q$1005,1,MATCH(COLUMNS($O$1006:P1006),$O$1006:$Q$1006,0))&gt;=100000), " ",IF(INDEX($O$2:$Q$1001,MATCH(ROWS($H$2:H367),$H$2:$H$1001,0),MATCH(COLUMNS($O$1006:P1006),$O$1006:$Q$1006,0)), HYPERLINK("#",""), HYPERLINK(CONCATENATE("#metadata!", ADDRESS(INDEX($J$2:$J$1001,MATCH(ROWS($H$2:H367),$H$2:$H$1001,0),0), INDEX($O$1004:$Q$1004,1,MATCH(COLUMNS($O$1006:P1006),$O$1006:$Q$1006,0)))),"Fix")))</f>
        <v xml:space="preserve"> </v>
      </c>
      <c r="D367" s="3" t="str">
        <f ca="1">IF(OR(INDEX($I$2:$I$1001,MATCH(ROWS($H$2:H367),$H$2:$H$1001,0),1)&gt;=100000,INDEX($O$1005:$Q$1005,1,MATCH(COLUMNS($O$1006:Q1006),$O$1006:$Q$1006,0))&gt;=100000), " ",IF(INDEX($O$2:$Q$1001,MATCH(ROWS($H$2:H367),$H$2:$H$1001,0),MATCH(COLUMNS($O$1006:Q1006),$O$1006:$Q$1006,0)), HYPERLINK("#",""), HYPERLINK(CONCATENATE("#metadata!", ADDRESS(INDEX($J$2:$J$1001,MATCH(ROWS($H$2:H367),$H$2:$H$1001,0),0), INDEX($O$1004:$Q$1004,1,MATCH(COLUMNS($O$1006:Q1006),$O$1006:$Q$1006,0)))),"Fix")))</f>
        <v xml:space="preserve"> </v>
      </c>
      <c r="H367">
        <v>366</v>
      </c>
      <c r="I367">
        <v>100367</v>
      </c>
      <c r="J367">
        <v>367</v>
      </c>
      <c r="K367" t="b">
        <f t="shared" si="5"/>
        <v>1</v>
      </c>
      <c r="L367" t="b">
        <f>COUNTBLANK(metadata!B367:D367)=COLUMNS(metadata!B367:D367)</f>
        <v>1</v>
      </c>
      <c r="M367" t="str">
        <v/>
      </c>
      <c r="O367" t="b">
        <f ca="1"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P367" t="b">
        <f>AND(IF(metadata!C367="",FALSE,TRUE),EXACT(metadata!C367,"mouse gut metagenome"))</f>
        <v>0</v>
      </c>
      <c r="Q367" t="b">
        <f>AND(IF(metadata!D367="",FALSE,TRUE),EXACT(metadata!D367,"410661"))</f>
        <v>0</v>
      </c>
    </row>
    <row r="368" spans="1:17" x14ac:dyDescent="0.2">
      <c r="A368" s="4" t="str">
        <f ca="1">IF(B368=" "," ",HYPERLINK(CONCATENATE("#metadata!",ADDRESS(INDEX($J$2:$J$1001,MATCH(ROWS($H$2:H368),$H$2:$H$1001,0),0),1)),INDEX($M$2:$M$1001,MATCH(ROWS($H$2:H368),$H$2:$H$1001,0),0)))</f>
        <v xml:space="preserve"> </v>
      </c>
      <c r="B368" s="3" t="str">
        <f ca="1">IF(OR(INDEX($I$2:$I$1001,MATCH(ROWS($H$2:H368),$H$2:$H$1001,0),1)&gt;=100000,INDEX($O$1005:$Q$1005,1,MATCH(COLUMNS($O$1006:O1006),$O$1006:$Q$1006,0))&gt;=100000), " ",IF(INDEX($O$2:$Q$1001,MATCH(ROWS($H$2:H368),$H$2:$H$1001,0),MATCH(COLUMNS($O$1006:O1006),$O$1006:$Q$1006,0)), HYPERLINK("#",""), HYPERLINK(CONCATENATE("#metadata!", ADDRESS(INDEX($J$2:$J$1001,MATCH(ROWS($H$2:H368),$H$2:$H$1001,0),0), INDEX($O$1004:$Q$1004,1,MATCH(COLUMNS($O$1006:O1006),$O$1006:$Q$1006,0)))),"Fix")))</f>
        <v xml:space="preserve"> </v>
      </c>
      <c r="C368" s="3" t="str">
        <f ca="1">IF(OR(INDEX($I$2:$I$1001,MATCH(ROWS($H$2:H368),$H$2:$H$1001,0),1)&gt;=100000,INDEX($O$1005:$Q$1005,1,MATCH(COLUMNS($O$1006:P1006),$O$1006:$Q$1006,0))&gt;=100000), " ",IF(INDEX($O$2:$Q$1001,MATCH(ROWS($H$2:H368),$H$2:$H$1001,0),MATCH(COLUMNS($O$1006:P1006),$O$1006:$Q$1006,0)), HYPERLINK("#",""), HYPERLINK(CONCATENATE("#metadata!", ADDRESS(INDEX($J$2:$J$1001,MATCH(ROWS($H$2:H368),$H$2:$H$1001,0),0), INDEX($O$1004:$Q$1004,1,MATCH(COLUMNS($O$1006:P1006),$O$1006:$Q$1006,0)))),"Fix")))</f>
        <v xml:space="preserve"> </v>
      </c>
      <c r="D368" s="3" t="str">
        <f ca="1">IF(OR(INDEX($I$2:$I$1001,MATCH(ROWS($H$2:H368),$H$2:$H$1001,0),1)&gt;=100000,INDEX($O$1005:$Q$1005,1,MATCH(COLUMNS($O$1006:Q1006),$O$1006:$Q$1006,0))&gt;=100000), " ",IF(INDEX($O$2:$Q$1001,MATCH(ROWS($H$2:H368),$H$2:$H$1001,0),MATCH(COLUMNS($O$1006:Q1006),$O$1006:$Q$1006,0)), HYPERLINK("#",""), HYPERLINK(CONCATENATE("#metadata!", ADDRESS(INDEX($J$2:$J$1001,MATCH(ROWS($H$2:H368),$H$2:$H$1001,0),0), INDEX($O$1004:$Q$1004,1,MATCH(COLUMNS($O$1006:Q1006),$O$1006:$Q$1006,0)))),"Fix")))</f>
        <v xml:space="preserve"> </v>
      </c>
      <c r="H368">
        <v>367</v>
      </c>
      <c r="I368">
        <v>100368</v>
      </c>
      <c r="J368">
        <v>368</v>
      </c>
      <c r="K368" t="b">
        <f t="shared" si="5"/>
        <v>1</v>
      </c>
      <c r="L368" t="b">
        <f>COUNTBLANK(metadata!B368:D368)=COLUMNS(metadata!B368:D368)</f>
        <v>1</v>
      </c>
      <c r="M368" t="str">
        <v/>
      </c>
      <c r="O368" t="b">
        <f ca="1"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P368" t="b">
        <f>AND(IF(metadata!C368="",FALSE,TRUE),EXACT(metadata!C368,"mouse gut metagenome"))</f>
        <v>0</v>
      </c>
      <c r="Q368" t="b">
        <f>AND(IF(metadata!D368="",FALSE,TRUE),EXACT(metadata!D368,"410661"))</f>
        <v>0</v>
      </c>
    </row>
    <row r="369" spans="1:17" x14ac:dyDescent="0.2">
      <c r="A369" s="4" t="str">
        <f ca="1">IF(B369=" "," ",HYPERLINK(CONCATENATE("#metadata!",ADDRESS(INDEX($J$2:$J$1001,MATCH(ROWS($H$2:H369),$H$2:$H$1001,0),0),1)),INDEX($M$2:$M$1001,MATCH(ROWS($H$2:H369),$H$2:$H$1001,0),0)))</f>
        <v xml:space="preserve"> </v>
      </c>
      <c r="B369" s="3" t="str">
        <f ca="1">IF(OR(INDEX($I$2:$I$1001,MATCH(ROWS($H$2:H369),$H$2:$H$1001,0),1)&gt;=100000,INDEX($O$1005:$Q$1005,1,MATCH(COLUMNS($O$1006:O1006),$O$1006:$Q$1006,0))&gt;=100000), " ",IF(INDEX($O$2:$Q$1001,MATCH(ROWS($H$2:H369),$H$2:$H$1001,0),MATCH(COLUMNS($O$1006:O1006),$O$1006:$Q$1006,0)), HYPERLINK("#",""), HYPERLINK(CONCATENATE("#metadata!", ADDRESS(INDEX($J$2:$J$1001,MATCH(ROWS($H$2:H369),$H$2:$H$1001,0),0), INDEX($O$1004:$Q$1004,1,MATCH(COLUMNS($O$1006:O1006),$O$1006:$Q$1006,0)))),"Fix")))</f>
        <v xml:space="preserve"> </v>
      </c>
      <c r="C369" s="3" t="str">
        <f ca="1">IF(OR(INDEX($I$2:$I$1001,MATCH(ROWS($H$2:H369),$H$2:$H$1001,0),1)&gt;=100000,INDEX($O$1005:$Q$1005,1,MATCH(COLUMNS($O$1006:P1006),$O$1006:$Q$1006,0))&gt;=100000), " ",IF(INDEX($O$2:$Q$1001,MATCH(ROWS($H$2:H369),$H$2:$H$1001,0),MATCH(COLUMNS($O$1006:P1006),$O$1006:$Q$1006,0)), HYPERLINK("#",""), HYPERLINK(CONCATENATE("#metadata!", ADDRESS(INDEX($J$2:$J$1001,MATCH(ROWS($H$2:H369),$H$2:$H$1001,0),0), INDEX($O$1004:$Q$1004,1,MATCH(COLUMNS($O$1006:P1006),$O$1006:$Q$1006,0)))),"Fix")))</f>
        <v xml:space="preserve"> </v>
      </c>
      <c r="D369" s="3" t="str">
        <f ca="1">IF(OR(INDEX($I$2:$I$1001,MATCH(ROWS($H$2:H369),$H$2:$H$1001,0),1)&gt;=100000,INDEX($O$1005:$Q$1005,1,MATCH(COLUMNS($O$1006:Q1006),$O$1006:$Q$1006,0))&gt;=100000), " ",IF(INDEX($O$2:$Q$1001,MATCH(ROWS($H$2:H369),$H$2:$H$1001,0),MATCH(COLUMNS($O$1006:Q1006),$O$1006:$Q$1006,0)), HYPERLINK("#",""), HYPERLINK(CONCATENATE("#metadata!", ADDRESS(INDEX($J$2:$J$1001,MATCH(ROWS($H$2:H369),$H$2:$H$1001,0),0), INDEX($O$1004:$Q$1004,1,MATCH(COLUMNS($O$1006:Q1006),$O$1006:$Q$1006,0)))),"Fix")))</f>
        <v xml:space="preserve"> </v>
      </c>
      <c r="H369">
        <v>368</v>
      </c>
      <c r="I369">
        <v>100369</v>
      </c>
      <c r="J369">
        <v>369</v>
      </c>
      <c r="K369" t="b">
        <f t="shared" si="5"/>
        <v>1</v>
      </c>
      <c r="L369" t="b">
        <f>COUNTBLANK(metadata!B369:D369)=COLUMNS(metadata!B369:D369)</f>
        <v>1</v>
      </c>
      <c r="M369" t="str">
        <v/>
      </c>
      <c r="O369" t="b">
        <f ca="1"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P369" t="b">
        <f>AND(IF(metadata!C369="",FALSE,TRUE),EXACT(metadata!C369,"mouse gut metagenome"))</f>
        <v>0</v>
      </c>
      <c r="Q369" t="b">
        <f>AND(IF(metadata!D369="",FALSE,TRUE),EXACT(metadata!D369,"410661"))</f>
        <v>0</v>
      </c>
    </row>
    <row r="370" spans="1:17" x14ac:dyDescent="0.2">
      <c r="A370" s="4" t="str">
        <f ca="1">IF(B370=" "," ",HYPERLINK(CONCATENATE("#metadata!",ADDRESS(INDEX($J$2:$J$1001,MATCH(ROWS($H$2:H370),$H$2:$H$1001,0),0),1)),INDEX($M$2:$M$1001,MATCH(ROWS($H$2:H370),$H$2:$H$1001,0),0)))</f>
        <v xml:space="preserve"> </v>
      </c>
      <c r="B370" s="3" t="str">
        <f ca="1">IF(OR(INDEX($I$2:$I$1001,MATCH(ROWS($H$2:H370),$H$2:$H$1001,0),1)&gt;=100000,INDEX($O$1005:$Q$1005,1,MATCH(COLUMNS($O$1006:O1006),$O$1006:$Q$1006,0))&gt;=100000), " ",IF(INDEX($O$2:$Q$1001,MATCH(ROWS($H$2:H370),$H$2:$H$1001,0),MATCH(COLUMNS($O$1006:O1006),$O$1006:$Q$1006,0)), HYPERLINK("#",""), HYPERLINK(CONCATENATE("#metadata!", ADDRESS(INDEX($J$2:$J$1001,MATCH(ROWS($H$2:H370),$H$2:$H$1001,0),0), INDEX($O$1004:$Q$1004,1,MATCH(COLUMNS($O$1006:O1006),$O$1006:$Q$1006,0)))),"Fix")))</f>
        <v xml:space="preserve"> </v>
      </c>
      <c r="C370" s="3" t="str">
        <f ca="1">IF(OR(INDEX($I$2:$I$1001,MATCH(ROWS($H$2:H370),$H$2:$H$1001,0),1)&gt;=100000,INDEX($O$1005:$Q$1005,1,MATCH(COLUMNS($O$1006:P1006),$O$1006:$Q$1006,0))&gt;=100000), " ",IF(INDEX($O$2:$Q$1001,MATCH(ROWS($H$2:H370),$H$2:$H$1001,0),MATCH(COLUMNS($O$1006:P1006),$O$1006:$Q$1006,0)), HYPERLINK("#",""), HYPERLINK(CONCATENATE("#metadata!", ADDRESS(INDEX($J$2:$J$1001,MATCH(ROWS($H$2:H370),$H$2:$H$1001,0),0), INDEX($O$1004:$Q$1004,1,MATCH(COLUMNS($O$1006:P1006),$O$1006:$Q$1006,0)))),"Fix")))</f>
        <v xml:space="preserve"> </v>
      </c>
      <c r="D370" s="3" t="str">
        <f ca="1">IF(OR(INDEX($I$2:$I$1001,MATCH(ROWS($H$2:H370),$H$2:$H$1001,0),1)&gt;=100000,INDEX($O$1005:$Q$1005,1,MATCH(COLUMNS($O$1006:Q1006),$O$1006:$Q$1006,0))&gt;=100000), " ",IF(INDEX($O$2:$Q$1001,MATCH(ROWS($H$2:H370),$H$2:$H$1001,0),MATCH(COLUMNS($O$1006:Q1006),$O$1006:$Q$1006,0)), HYPERLINK("#",""), HYPERLINK(CONCATENATE("#metadata!", ADDRESS(INDEX($J$2:$J$1001,MATCH(ROWS($H$2:H370),$H$2:$H$1001,0),0), INDEX($O$1004:$Q$1004,1,MATCH(COLUMNS($O$1006:Q1006),$O$1006:$Q$1006,0)))),"Fix")))</f>
        <v xml:space="preserve"> </v>
      </c>
      <c r="H370">
        <v>369</v>
      </c>
      <c r="I370">
        <v>100370</v>
      </c>
      <c r="J370">
        <v>370</v>
      </c>
      <c r="K370" t="b">
        <f t="shared" si="5"/>
        <v>1</v>
      </c>
      <c r="L370" t="b">
        <f>COUNTBLANK(metadata!B370:D370)=COLUMNS(metadata!B370:D370)</f>
        <v>1</v>
      </c>
      <c r="M370" t="str">
        <v/>
      </c>
      <c r="O370" t="b">
        <f ca="1"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P370" t="b">
        <f>AND(IF(metadata!C370="",FALSE,TRUE),EXACT(metadata!C370,"mouse gut metagenome"))</f>
        <v>0</v>
      </c>
      <c r="Q370" t="b">
        <f>AND(IF(metadata!D370="",FALSE,TRUE),EXACT(metadata!D370,"410661"))</f>
        <v>0</v>
      </c>
    </row>
    <row r="371" spans="1:17" x14ac:dyDescent="0.2">
      <c r="A371" s="4" t="str">
        <f ca="1">IF(B371=" "," ",HYPERLINK(CONCATENATE("#metadata!",ADDRESS(INDEX($J$2:$J$1001,MATCH(ROWS($H$2:H371),$H$2:$H$1001,0),0),1)),INDEX($M$2:$M$1001,MATCH(ROWS($H$2:H371),$H$2:$H$1001,0),0)))</f>
        <v xml:space="preserve"> </v>
      </c>
      <c r="B371" s="3" t="str">
        <f ca="1">IF(OR(INDEX($I$2:$I$1001,MATCH(ROWS($H$2:H371),$H$2:$H$1001,0),1)&gt;=100000,INDEX($O$1005:$Q$1005,1,MATCH(COLUMNS($O$1006:O1006),$O$1006:$Q$1006,0))&gt;=100000), " ",IF(INDEX($O$2:$Q$1001,MATCH(ROWS($H$2:H371),$H$2:$H$1001,0),MATCH(COLUMNS($O$1006:O1006),$O$1006:$Q$1006,0)), HYPERLINK("#",""), HYPERLINK(CONCATENATE("#metadata!", ADDRESS(INDEX($J$2:$J$1001,MATCH(ROWS($H$2:H371),$H$2:$H$1001,0),0), INDEX($O$1004:$Q$1004,1,MATCH(COLUMNS($O$1006:O1006),$O$1006:$Q$1006,0)))),"Fix")))</f>
        <v xml:space="preserve"> </v>
      </c>
      <c r="C371" s="3" t="str">
        <f ca="1">IF(OR(INDEX($I$2:$I$1001,MATCH(ROWS($H$2:H371),$H$2:$H$1001,0),1)&gt;=100000,INDEX($O$1005:$Q$1005,1,MATCH(COLUMNS($O$1006:P1006),$O$1006:$Q$1006,0))&gt;=100000), " ",IF(INDEX($O$2:$Q$1001,MATCH(ROWS($H$2:H371),$H$2:$H$1001,0),MATCH(COLUMNS($O$1006:P1006),$O$1006:$Q$1006,0)), HYPERLINK("#",""), HYPERLINK(CONCATENATE("#metadata!", ADDRESS(INDEX($J$2:$J$1001,MATCH(ROWS($H$2:H371),$H$2:$H$1001,0),0), INDEX($O$1004:$Q$1004,1,MATCH(COLUMNS($O$1006:P1006),$O$1006:$Q$1006,0)))),"Fix")))</f>
        <v xml:space="preserve"> </v>
      </c>
      <c r="D371" s="3" t="str">
        <f ca="1">IF(OR(INDEX($I$2:$I$1001,MATCH(ROWS($H$2:H371),$H$2:$H$1001,0),1)&gt;=100000,INDEX($O$1005:$Q$1005,1,MATCH(COLUMNS($O$1006:Q1006),$O$1006:$Q$1006,0))&gt;=100000), " ",IF(INDEX($O$2:$Q$1001,MATCH(ROWS($H$2:H371),$H$2:$H$1001,0),MATCH(COLUMNS($O$1006:Q1006),$O$1006:$Q$1006,0)), HYPERLINK("#",""), HYPERLINK(CONCATENATE("#metadata!", ADDRESS(INDEX($J$2:$J$1001,MATCH(ROWS($H$2:H371),$H$2:$H$1001,0),0), INDEX($O$1004:$Q$1004,1,MATCH(COLUMNS($O$1006:Q1006),$O$1006:$Q$1006,0)))),"Fix")))</f>
        <v xml:space="preserve"> </v>
      </c>
      <c r="H371">
        <v>370</v>
      </c>
      <c r="I371">
        <v>100371</v>
      </c>
      <c r="J371">
        <v>371</v>
      </c>
      <c r="K371" t="b">
        <f t="shared" si="5"/>
        <v>1</v>
      </c>
      <c r="L371" t="b">
        <f>COUNTBLANK(metadata!B371:D371)=COLUMNS(metadata!B371:D371)</f>
        <v>1</v>
      </c>
      <c r="M371" t="str">
        <v/>
      </c>
      <c r="O371" t="b">
        <f ca="1"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P371" t="b">
        <f>AND(IF(metadata!C371="",FALSE,TRUE),EXACT(metadata!C371,"mouse gut metagenome"))</f>
        <v>0</v>
      </c>
      <c r="Q371" t="b">
        <f>AND(IF(metadata!D371="",FALSE,TRUE),EXACT(metadata!D371,"410661"))</f>
        <v>0</v>
      </c>
    </row>
    <row r="372" spans="1:17" x14ac:dyDescent="0.2">
      <c r="A372" s="4" t="str">
        <f ca="1">IF(B372=" "," ",HYPERLINK(CONCATENATE("#metadata!",ADDRESS(INDEX($J$2:$J$1001,MATCH(ROWS($H$2:H372),$H$2:$H$1001,0),0),1)),INDEX($M$2:$M$1001,MATCH(ROWS($H$2:H372),$H$2:$H$1001,0),0)))</f>
        <v xml:space="preserve"> </v>
      </c>
      <c r="B372" s="3" t="str">
        <f ca="1">IF(OR(INDEX($I$2:$I$1001,MATCH(ROWS($H$2:H372),$H$2:$H$1001,0),1)&gt;=100000,INDEX($O$1005:$Q$1005,1,MATCH(COLUMNS($O$1006:O1006),$O$1006:$Q$1006,0))&gt;=100000), " ",IF(INDEX($O$2:$Q$1001,MATCH(ROWS($H$2:H372),$H$2:$H$1001,0),MATCH(COLUMNS($O$1006:O1006),$O$1006:$Q$1006,0)), HYPERLINK("#",""), HYPERLINK(CONCATENATE("#metadata!", ADDRESS(INDEX($J$2:$J$1001,MATCH(ROWS($H$2:H372),$H$2:$H$1001,0),0), INDEX($O$1004:$Q$1004,1,MATCH(COLUMNS($O$1006:O1006),$O$1006:$Q$1006,0)))),"Fix")))</f>
        <v xml:space="preserve"> </v>
      </c>
      <c r="C372" s="3" t="str">
        <f ca="1">IF(OR(INDEX($I$2:$I$1001,MATCH(ROWS($H$2:H372),$H$2:$H$1001,0),1)&gt;=100000,INDEX($O$1005:$Q$1005,1,MATCH(COLUMNS($O$1006:P1006),$O$1006:$Q$1006,0))&gt;=100000), " ",IF(INDEX($O$2:$Q$1001,MATCH(ROWS($H$2:H372),$H$2:$H$1001,0),MATCH(COLUMNS($O$1006:P1006),$O$1006:$Q$1006,0)), HYPERLINK("#",""), HYPERLINK(CONCATENATE("#metadata!", ADDRESS(INDEX($J$2:$J$1001,MATCH(ROWS($H$2:H372),$H$2:$H$1001,0),0), INDEX($O$1004:$Q$1004,1,MATCH(COLUMNS($O$1006:P1006),$O$1006:$Q$1006,0)))),"Fix")))</f>
        <v xml:space="preserve"> </v>
      </c>
      <c r="D372" s="3" t="str">
        <f ca="1">IF(OR(INDEX($I$2:$I$1001,MATCH(ROWS($H$2:H372),$H$2:$H$1001,0),1)&gt;=100000,INDEX($O$1005:$Q$1005,1,MATCH(COLUMNS($O$1006:Q1006),$O$1006:$Q$1006,0))&gt;=100000), " ",IF(INDEX($O$2:$Q$1001,MATCH(ROWS($H$2:H372),$H$2:$H$1001,0),MATCH(COLUMNS($O$1006:Q1006),$O$1006:$Q$1006,0)), HYPERLINK("#",""), HYPERLINK(CONCATENATE("#metadata!", ADDRESS(INDEX($J$2:$J$1001,MATCH(ROWS($H$2:H372),$H$2:$H$1001,0),0), INDEX($O$1004:$Q$1004,1,MATCH(COLUMNS($O$1006:Q1006),$O$1006:$Q$1006,0)))),"Fix")))</f>
        <v xml:space="preserve"> </v>
      </c>
      <c r="H372">
        <v>371</v>
      </c>
      <c r="I372">
        <v>100372</v>
      </c>
      <c r="J372">
        <v>372</v>
      </c>
      <c r="K372" t="b">
        <f t="shared" si="5"/>
        <v>1</v>
      </c>
      <c r="L372" t="b">
        <f>COUNTBLANK(metadata!B372:D372)=COLUMNS(metadata!B372:D372)</f>
        <v>1</v>
      </c>
      <c r="M372" t="str">
        <v/>
      </c>
      <c r="O372" t="b">
        <f ca="1"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P372" t="b">
        <f>AND(IF(metadata!C372="",FALSE,TRUE),EXACT(metadata!C372,"mouse gut metagenome"))</f>
        <v>0</v>
      </c>
      <c r="Q372" t="b">
        <f>AND(IF(metadata!D372="",FALSE,TRUE),EXACT(metadata!D372,"410661"))</f>
        <v>0</v>
      </c>
    </row>
    <row r="373" spans="1:17" x14ac:dyDescent="0.2">
      <c r="A373" s="4" t="str">
        <f ca="1">IF(B373=" "," ",HYPERLINK(CONCATENATE("#metadata!",ADDRESS(INDEX($J$2:$J$1001,MATCH(ROWS($H$2:H373),$H$2:$H$1001,0),0),1)),INDEX($M$2:$M$1001,MATCH(ROWS($H$2:H373),$H$2:$H$1001,0),0)))</f>
        <v xml:space="preserve"> </v>
      </c>
      <c r="B373" s="3" t="str">
        <f ca="1">IF(OR(INDEX($I$2:$I$1001,MATCH(ROWS($H$2:H373),$H$2:$H$1001,0),1)&gt;=100000,INDEX($O$1005:$Q$1005,1,MATCH(COLUMNS($O$1006:O1006),$O$1006:$Q$1006,0))&gt;=100000), " ",IF(INDEX($O$2:$Q$1001,MATCH(ROWS($H$2:H373),$H$2:$H$1001,0),MATCH(COLUMNS($O$1006:O1006),$O$1006:$Q$1006,0)), HYPERLINK("#",""), HYPERLINK(CONCATENATE("#metadata!", ADDRESS(INDEX($J$2:$J$1001,MATCH(ROWS($H$2:H373),$H$2:$H$1001,0),0), INDEX($O$1004:$Q$1004,1,MATCH(COLUMNS($O$1006:O1006),$O$1006:$Q$1006,0)))),"Fix")))</f>
        <v xml:space="preserve"> </v>
      </c>
      <c r="C373" s="3" t="str">
        <f ca="1">IF(OR(INDEX($I$2:$I$1001,MATCH(ROWS($H$2:H373),$H$2:$H$1001,0),1)&gt;=100000,INDEX($O$1005:$Q$1005,1,MATCH(COLUMNS($O$1006:P1006),$O$1006:$Q$1006,0))&gt;=100000), " ",IF(INDEX($O$2:$Q$1001,MATCH(ROWS($H$2:H373),$H$2:$H$1001,0),MATCH(COLUMNS($O$1006:P1006),$O$1006:$Q$1006,0)), HYPERLINK("#",""), HYPERLINK(CONCATENATE("#metadata!", ADDRESS(INDEX($J$2:$J$1001,MATCH(ROWS($H$2:H373),$H$2:$H$1001,0),0), INDEX($O$1004:$Q$1004,1,MATCH(COLUMNS($O$1006:P1006),$O$1006:$Q$1006,0)))),"Fix")))</f>
        <v xml:space="preserve"> </v>
      </c>
      <c r="D373" s="3" t="str">
        <f ca="1">IF(OR(INDEX($I$2:$I$1001,MATCH(ROWS($H$2:H373),$H$2:$H$1001,0),1)&gt;=100000,INDEX($O$1005:$Q$1005,1,MATCH(COLUMNS($O$1006:Q1006),$O$1006:$Q$1006,0))&gt;=100000), " ",IF(INDEX($O$2:$Q$1001,MATCH(ROWS($H$2:H373),$H$2:$H$1001,0),MATCH(COLUMNS($O$1006:Q1006),$O$1006:$Q$1006,0)), HYPERLINK("#",""), HYPERLINK(CONCATENATE("#metadata!", ADDRESS(INDEX($J$2:$J$1001,MATCH(ROWS($H$2:H373),$H$2:$H$1001,0),0), INDEX($O$1004:$Q$1004,1,MATCH(COLUMNS($O$1006:Q1006),$O$1006:$Q$1006,0)))),"Fix")))</f>
        <v xml:space="preserve"> </v>
      </c>
      <c r="H373">
        <v>372</v>
      </c>
      <c r="I373">
        <v>100373</v>
      </c>
      <c r="J373">
        <v>373</v>
      </c>
      <c r="K373" t="b">
        <f t="shared" si="5"/>
        <v>1</v>
      </c>
      <c r="L373" t="b">
        <f>COUNTBLANK(metadata!B373:D373)=COLUMNS(metadata!B373:D373)</f>
        <v>1</v>
      </c>
      <c r="M373" t="str">
        <v/>
      </c>
      <c r="O373" t="b">
        <f ca="1"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P373" t="b">
        <f>AND(IF(metadata!C373="",FALSE,TRUE),EXACT(metadata!C373,"mouse gut metagenome"))</f>
        <v>0</v>
      </c>
      <c r="Q373" t="b">
        <f>AND(IF(metadata!D373="",FALSE,TRUE),EXACT(metadata!D373,"410661"))</f>
        <v>0</v>
      </c>
    </row>
    <row r="374" spans="1:17" x14ac:dyDescent="0.2">
      <c r="A374" s="4" t="str">
        <f ca="1">IF(B374=" "," ",HYPERLINK(CONCATENATE("#metadata!",ADDRESS(INDEX($J$2:$J$1001,MATCH(ROWS($H$2:H374),$H$2:$H$1001,0),0),1)),INDEX($M$2:$M$1001,MATCH(ROWS($H$2:H374),$H$2:$H$1001,0),0)))</f>
        <v xml:space="preserve"> </v>
      </c>
      <c r="B374" s="3" t="str">
        <f ca="1">IF(OR(INDEX($I$2:$I$1001,MATCH(ROWS($H$2:H374),$H$2:$H$1001,0),1)&gt;=100000,INDEX($O$1005:$Q$1005,1,MATCH(COLUMNS($O$1006:O1006),$O$1006:$Q$1006,0))&gt;=100000), " ",IF(INDEX($O$2:$Q$1001,MATCH(ROWS($H$2:H374),$H$2:$H$1001,0),MATCH(COLUMNS($O$1006:O1006),$O$1006:$Q$1006,0)), HYPERLINK("#",""), HYPERLINK(CONCATENATE("#metadata!", ADDRESS(INDEX($J$2:$J$1001,MATCH(ROWS($H$2:H374),$H$2:$H$1001,0),0), INDEX($O$1004:$Q$1004,1,MATCH(COLUMNS($O$1006:O1006),$O$1006:$Q$1006,0)))),"Fix")))</f>
        <v xml:space="preserve"> </v>
      </c>
      <c r="C374" s="3" t="str">
        <f ca="1">IF(OR(INDEX($I$2:$I$1001,MATCH(ROWS($H$2:H374),$H$2:$H$1001,0),1)&gt;=100000,INDEX($O$1005:$Q$1005,1,MATCH(COLUMNS($O$1006:P1006),$O$1006:$Q$1006,0))&gt;=100000), " ",IF(INDEX($O$2:$Q$1001,MATCH(ROWS($H$2:H374),$H$2:$H$1001,0),MATCH(COLUMNS($O$1006:P1006),$O$1006:$Q$1006,0)), HYPERLINK("#",""), HYPERLINK(CONCATENATE("#metadata!", ADDRESS(INDEX($J$2:$J$1001,MATCH(ROWS($H$2:H374),$H$2:$H$1001,0),0), INDEX($O$1004:$Q$1004,1,MATCH(COLUMNS($O$1006:P1006),$O$1006:$Q$1006,0)))),"Fix")))</f>
        <v xml:space="preserve"> </v>
      </c>
      <c r="D374" s="3" t="str">
        <f ca="1">IF(OR(INDEX($I$2:$I$1001,MATCH(ROWS($H$2:H374),$H$2:$H$1001,0),1)&gt;=100000,INDEX($O$1005:$Q$1005,1,MATCH(COLUMNS($O$1006:Q1006),$O$1006:$Q$1006,0))&gt;=100000), " ",IF(INDEX($O$2:$Q$1001,MATCH(ROWS($H$2:H374),$H$2:$H$1001,0),MATCH(COLUMNS($O$1006:Q1006),$O$1006:$Q$1006,0)), HYPERLINK("#",""), HYPERLINK(CONCATENATE("#metadata!", ADDRESS(INDEX($J$2:$J$1001,MATCH(ROWS($H$2:H374),$H$2:$H$1001,0),0), INDEX($O$1004:$Q$1004,1,MATCH(COLUMNS($O$1006:Q1006),$O$1006:$Q$1006,0)))),"Fix")))</f>
        <v xml:space="preserve"> </v>
      </c>
      <c r="H374">
        <v>373</v>
      </c>
      <c r="I374">
        <v>100374</v>
      </c>
      <c r="J374">
        <v>374</v>
      </c>
      <c r="K374" t="b">
        <f t="shared" si="5"/>
        <v>1</v>
      </c>
      <c r="L374" t="b">
        <f>COUNTBLANK(metadata!B374:D374)=COLUMNS(metadata!B374:D374)</f>
        <v>1</v>
      </c>
      <c r="M374" t="str">
        <v/>
      </c>
      <c r="O374" t="b">
        <f ca="1"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P374" t="b">
        <f>AND(IF(metadata!C374="",FALSE,TRUE),EXACT(metadata!C374,"mouse gut metagenome"))</f>
        <v>0</v>
      </c>
      <c r="Q374" t="b">
        <f>AND(IF(metadata!D374="",FALSE,TRUE),EXACT(metadata!D374,"410661"))</f>
        <v>0</v>
      </c>
    </row>
    <row r="375" spans="1:17" x14ac:dyDescent="0.2">
      <c r="A375" s="4" t="str">
        <f ca="1">IF(B375=" "," ",HYPERLINK(CONCATENATE("#metadata!",ADDRESS(INDEX($J$2:$J$1001,MATCH(ROWS($H$2:H375),$H$2:$H$1001,0),0),1)),INDEX($M$2:$M$1001,MATCH(ROWS($H$2:H375),$H$2:$H$1001,0),0)))</f>
        <v xml:space="preserve"> </v>
      </c>
      <c r="B375" s="3" t="str">
        <f ca="1">IF(OR(INDEX($I$2:$I$1001,MATCH(ROWS($H$2:H375),$H$2:$H$1001,0),1)&gt;=100000,INDEX($O$1005:$Q$1005,1,MATCH(COLUMNS($O$1006:O1006),$O$1006:$Q$1006,0))&gt;=100000), " ",IF(INDEX($O$2:$Q$1001,MATCH(ROWS($H$2:H375),$H$2:$H$1001,0),MATCH(COLUMNS($O$1006:O1006),$O$1006:$Q$1006,0)), HYPERLINK("#",""), HYPERLINK(CONCATENATE("#metadata!", ADDRESS(INDEX($J$2:$J$1001,MATCH(ROWS($H$2:H375),$H$2:$H$1001,0),0), INDEX($O$1004:$Q$1004,1,MATCH(COLUMNS($O$1006:O1006),$O$1006:$Q$1006,0)))),"Fix")))</f>
        <v xml:space="preserve"> </v>
      </c>
      <c r="C375" s="3" t="str">
        <f ca="1">IF(OR(INDEX($I$2:$I$1001,MATCH(ROWS($H$2:H375),$H$2:$H$1001,0),1)&gt;=100000,INDEX($O$1005:$Q$1005,1,MATCH(COLUMNS($O$1006:P1006),$O$1006:$Q$1006,0))&gt;=100000), " ",IF(INDEX($O$2:$Q$1001,MATCH(ROWS($H$2:H375),$H$2:$H$1001,0),MATCH(COLUMNS($O$1006:P1006),$O$1006:$Q$1006,0)), HYPERLINK("#",""), HYPERLINK(CONCATENATE("#metadata!", ADDRESS(INDEX($J$2:$J$1001,MATCH(ROWS($H$2:H375),$H$2:$H$1001,0),0), INDEX($O$1004:$Q$1004,1,MATCH(COLUMNS($O$1006:P1006),$O$1006:$Q$1006,0)))),"Fix")))</f>
        <v xml:space="preserve"> </v>
      </c>
      <c r="D375" s="3" t="str">
        <f ca="1">IF(OR(INDEX($I$2:$I$1001,MATCH(ROWS($H$2:H375),$H$2:$H$1001,0),1)&gt;=100000,INDEX($O$1005:$Q$1005,1,MATCH(COLUMNS($O$1006:Q1006),$O$1006:$Q$1006,0))&gt;=100000), " ",IF(INDEX($O$2:$Q$1001,MATCH(ROWS($H$2:H375),$H$2:$H$1001,0),MATCH(COLUMNS($O$1006:Q1006),$O$1006:$Q$1006,0)), HYPERLINK("#",""), HYPERLINK(CONCATENATE("#metadata!", ADDRESS(INDEX($J$2:$J$1001,MATCH(ROWS($H$2:H375),$H$2:$H$1001,0),0), INDEX($O$1004:$Q$1004,1,MATCH(COLUMNS($O$1006:Q1006),$O$1006:$Q$1006,0)))),"Fix")))</f>
        <v xml:space="preserve"> </v>
      </c>
      <c r="H375">
        <v>374</v>
      </c>
      <c r="I375">
        <v>100375</v>
      </c>
      <c r="J375">
        <v>375</v>
      </c>
      <c r="K375" t="b">
        <f t="shared" si="5"/>
        <v>1</v>
      </c>
      <c r="L375" t="b">
        <f>COUNTBLANK(metadata!B375:D375)=COLUMNS(metadata!B375:D375)</f>
        <v>1</v>
      </c>
      <c r="M375" t="str">
        <v/>
      </c>
      <c r="O375" t="b">
        <f ca="1"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P375" t="b">
        <f>AND(IF(metadata!C375="",FALSE,TRUE),EXACT(metadata!C375,"mouse gut metagenome"))</f>
        <v>0</v>
      </c>
      <c r="Q375" t="b">
        <f>AND(IF(metadata!D375="",FALSE,TRUE),EXACT(metadata!D375,"410661"))</f>
        <v>0</v>
      </c>
    </row>
    <row r="376" spans="1:17" x14ac:dyDescent="0.2">
      <c r="A376" s="4" t="str">
        <f ca="1">IF(B376=" "," ",HYPERLINK(CONCATENATE("#metadata!",ADDRESS(INDEX($J$2:$J$1001,MATCH(ROWS($H$2:H376),$H$2:$H$1001,0),0),1)),INDEX($M$2:$M$1001,MATCH(ROWS($H$2:H376),$H$2:$H$1001,0),0)))</f>
        <v xml:space="preserve"> </v>
      </c>
      <c r="B376" s="3" t="str">
        <f ca="1">IF(OR(INDEX($I$2:$I$1001,MATCH(ROWS($H$2:H376),$H$2:$H$1001,0),1)&gt;=100000,INDEX($O$1005:$Q$1005,1,MATCH(COLUMNS($O$1006:O1006),$O$1006:$Q$1006,0))&gt;=100000), " ",IF(INDEX($O$2:$Q$1001,MATCH(ROWS($H$2:H376),$H$2:$H$1001,0),MATCH(COLUMNS($O$1006:O1006),$O$1006:$Q$1006,0)), HYPERLINK("#",""), HYPERLINK(CONCATENATE("#metadata!", ADDRESS(INDEX($J$2:$J$1001,MATCH(ROWS($H$2:H376),$H$2:$H$1001,0),0), INDEX($O$1004:$Q$1004,1,MATCH(COLUMNS($O$1006:O1006),$O$1006:$Q$1006,0)))),"Fix")))</f>
        <v xml:space="preserve"> </v>
      </c>
      <c r="C376" s="3" t="str">
        <f ca="1">IF(OR(INDEX($I$2:$I$1001,MATCH(ROWS($H$2:H376),$H$2:$H$1001,0),1)&gt;=100000,INDEX($O$1005:$Q$1005,1,MATCH(COLUMNS($O$1006:P1006),$O$1006:$Q$1006,0))&gt;=100000), " ",IF(INDEX($O$2:$Q$1001,MATCH(ROWS($H$2:H376),$H$2:$H$1001,0),MATCH(COLUMNS($O$1006:P1006),$O$1006:$Q$1006,0)), HYPERLINK("#",""), HYPERLINK(CONCATENATE("#metadata!", ADDRESS(INDEX($J$2:$J$1001,MATCH(ROWS($H$2:H376),$H$2:$H$1001,0),0), INDEX($O$1004:$Q$1004,1,MATCH(COLUMNS($O$1006:P1006),$O$1006:$Q$1006,0)))),"Fix")))</f>
        <v xml:space="preserve"> </v>
      </c>
      <c r="D376" s="3" t="str">
        <f ca="1">IF(OR(INDEX($I$2:$I$1001,MATCH(ROWS($H$2:H376),$H$2:$H$1001,0),1)&gt;=100000,INDEX($O$1005:$Q$1005,1,MATCH(COLUMNS($O$1006:Q1006),$O$1006:$Q$1006,0))&gt;=100000), " ",IF(INDEX($O$2:$Q$1001,MATCH(ROWS($H$2:H376),$H$2:$H$1001,0),MATCH(COLUMNS($O$1006:Q1006),$O$1006:$Q$1006,0)), HYPERLINK("#",""), HYPERLINK(CONCATENATE("#metadata!", ADDRESS(INDEX($J$2:$J$1001,MATCH(ROWS($H$2:H376),$H$2:$H$1001,0),0), INDEX($O$1004:$Q$1004,1,MATCH(COLUMNS($O$1006:Q1006),$O$1006:$Q$1006,0)))),"Fix")))</f>
        <v xml:space="preserve"> </v>
      </c>
      <c r="H376">
        <v>375</v>
      </c>
      <c r="I376">
        <v>100376</v>
      </c>
      <c r="J376">
        <v>376</v>
      </c>
      <c r="K376" t="b">
        <f t="shared" si="5"/>
        <v>1</v>
      </c>
      <c r="L376" t="b">
        <f>COUNTBLANK(metadata!B376:D376)=COLUMNS(metadata!B376:D376)</f>
        <v>1</v>
      </c>
      <c r="M376" t="str">
        <v/>
      </c>
      <c r="O376" t="b">
        <f ca="1"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P376" t="b">
        <f>AND(IF(metadata!C376="",FALSE,TRUE),EXACT(metadata!C376,"mouse gut metagenome"))</f>
        <v>0</v>
      </c>
      <c r="Q376" t="b">
        <f>AND(IF(metadata!D376="",FALSE,TRUE),EXACT(metadata!D376,"410661"))</f>
        <v>0</v>
      </c>
    </row>
    <row r="377" spans="1:17" x14ac:dyDescent="0.2">
      <c r="A377" s="4" t="str">
        <f ca="1">IF(B377=" "," ",HYPERLINK(CONCATENATE("#metadata!",ADDRESS(INDEX($J$2:$J$1001,MATCH(ROWS($H$2:H377),$H$2:$H$1001,0),0),1)),INDEX($M$2:$M$1001,MATCH(ROWS($H$2:H377),$H$2:$H$1001,0),0)))</f>
        <v xml:space="preserve"> </v>
      </c>
      <c r="B377" s="3" t="str">
        <f ca="1">IF(OR(INDEX($I$2:$I$1001,MATCH(ROWS($H$2:H377),$H$2:$H$1001,0),1)&gt;=100000,INDEX($O$1005:$Q$1005,1,MATCH(COLUMNS($O$1006:O1006),$O$1006:$Q$1006,0))&gt;=100000), " ",IF(INDEX($O$2:$Q$1001,MATCH(ROWS($H$2:H377),$H$2:$H$1001,0),MATCH(COLUMNS($O$1006:O1006),$O$1006:$Q$1006,0)), HYPERLINK("#",""), HYPERLINK(CONCATENATE("#metadata!", ADDRESS(INDEX($J$2:$J$1001,MATCH(ROWS($H$2:H377),$H$2:$H$1001,0),0), INDEX($O$1004:$Q$1004,1,MATCH(COLUMNS($O$1006:O1006),$O$1006:$Q$1006,0)))),"Fix")))</f>
        <v xml:space="preserve"> </v>
      </c>
      <c r="C377" s="3" t="str">
        <f ca="1">IF(OR(INDEX($I$2:$I$1001,MATCH(ROWS($H$2:H377),$H$2:$H$1001,0),1)&gt;=100000,INDEX($O$1005:$Q$1005,1,MATCH(COLUMNS($O$1006:P1006),$O$1006:$Q$1006,0))&gt;=100000), " ",IF(INDEX($O$2:$Q$1001,MATCH(ROWS($H$2:H377),$H$2:$H$1001,0),MATCH(COLUMNS($O$1006:P1006),$O$1006:$Q$1006,0)), HYPERLINK("#",""), HYPERLINK(CONCATENATE("#metadata!", ADDRESS(INDEX($J$2:$J$1001,MATCH(ROWS($H$2:H377),$H$2:$H$1001,0),0), INDEX($O$1004:$Q$1004,1,MATCH(COLUMNS($O$1006:P1006),$O$1006:$Q$1006,0)))),"Fix")))</f>
        <v xml:space="preserve"> </v>
      </c>
      <c r="D377" s="3" t="str">
        <f ca="1">IF(OR(INDEX($I$2:$I$1001,MATCH(ROWS($H$2:H377),$H$2:$H$1001,0),1)&gt;=100000,INDEX($O$1005:$Q$1005,1,MATCH(COLUMNS($O$1006:Q1006),$O$1006:$Q$1006,0))&gt;=100000), " ",IF(INDEX($O$2:$Q$1001,MATCH(ROWS($H$2:H377),$H$2:$H$1001,0),MATCH(COLUMNS($O$1006:Q1006),$O$1006:$Q$1006,0)), HYPERLINK("#",""), HYPERLINK(CONCATENATE("#metadata!", ADDRESS(INDEX($J$2:$J$1001,MATCH(ROWS($H$2:H377),$H$2:$H$1001,0),0), INDEX($O$1004:$Q$1004,1,MATCH(COLUMNS($O$1006:Q1006),$O$1006:$Q$1006,0)))),"Fix")))</f>
        <v xml:space="preserve"> </v>
      </c>
      <c r="H377">
        <v>376</v>
      </c>
      <c r="I377">
        <v>100377</v>
      </c>
      <c r="J377">
        <v>377</v>
      </c>
      <c r="K377" t="b">
        <f t="shared" si="5"/>
        <v>1</v>
      </c>
      <c r="L377" t="b">
        <f>COUNTBLANK(metadata!B377:D377)=COLUMNS(metadata!B377:D377)</f>
        <v>1</v>
      </c>
      <c r="M377" t="str">
        <v/>
      </c>
      <c r="O377" t="b">
        <f ca="1"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P377" t="b">
        <f>AND(IF(metadata!C377="",FALSE,TRUE),EXACT(metadata!C377,"mouse gut metagenome"))</f>
        <v>0</v>
      </c>
      <c r="Q377" t="b">
        <f>AND(IF(metadata!D377="",FALSE,TRUE),EXACT(metadata!D377,"410661"))</f>
        <v>0</v>
      </c>
    </row>
    <row r="378" spans="1:17" x14ac:dyDescent="0.2">
      <c r="A378" s="4" t="str">
        <f ca="1">IF(B378=" "," ",HYPERLINK(CONCATENATE("#metadata!",ADDRESS(INDEX($J$2:$J$1001,MATCH(ROWS($H$2:H378),$H$2:$H$1001,0),0),1)),INDEX($M$2:$M$1001,MATCH(ROWS($H$2:H378),$H$2:$H$1001,0),0)))</f>
        <v xml:space="preserve"> </v>
      </c>
      <c r="B378" s="3" t="str">
        <f ca="1">IF(OR(INDEX($I$2:$I$1001,MATCH(ROWS($H$2:H378),$H$2:$H$1001,0),1)&gt;=100000,INDEX($O$1005:$Q$1005,1,MATCH(COLUMNS($O$1006:O1006),$O$1006:$Q$1006,0))&gt;=100000), " ",IF(INDEX($O$2:$Q$1001,MATCH(ROWS($H$2:H378),$H$2:$H$1001,0),MATCH(COLUMNS($O$1006:O1006),$O$1006:$Q$1006,0)), HYPERLINK("#",""), HYPERLINK(CONCATENATE("#metadata!", ADDRESS(INDEX($J$2:$J$1001,MATCH(ROWS($H$2:H378),$H$2:$H$1001,0),0), INDEX($O$1004:$Q$1004,1,MATCH(COLUMNS($O$1006:O1006),$O$1006:$Q$1006,0)))),"Fix")))</f>
        <v xml:space="preserve"> </v>
      </c>
      <c r="C378" s="3" t="str">
        <f ca="1">IF(OR(INDEX($I$2:$I$1001,MATCH(ROWS($H$2:H378),$H$2:$H$1001,0),1)&gt;=100000,INDEX($O$1005:$Q$1005,1,MATCH(COLUMNS($O$1006:P1006),$O$1006:$Q$1006,0))&gt;=100000), " ",IF(INDEX($O$2:$Q$1001,MATCH(ROWS($H$2:H378),$H$2:$H$1001,0),MATCH(COLUMNS($O$1006:P1006),$O$1006:$Q$1006,0)), HYPERLINK("#",""), HYPERLINK(CONCATENATE("#metadata!", ADDRESS(INDEX($J$2:$J$1001,MATCH(ROWS($H$2:H378),$H$2:$H$1001,0),0), INDEX($O$1004:$Q$1004,1,MATCH(COLUMNS($O$1006:P1006),$O$1006:$Q$1006,0)))),"Fix")))</f>
        <v xml:space="preserve"> </v>
      </c>
      <c r="D378" s="3" t="str">
        <f ca="1">IF(OR(INDEX($I$2:$I$1001,MATCH(ROWS($H$2:H378),$H$2:$H$1001,0),1)&gt;=100000,INDEX($O$1005:$Q$1005,1,MATCH(COLUMNS($O$1006:Q1006),$O$1006:$Q$1006,0))&gt;=100000), " ",IF(INDEX($O$2:$Q$1001,MATCH(ROWS($H$2:H378),$H$2:$H$1001,0),MATCH(COLUMNS($O$1006:Q1006),$O$1006:$Q$1006,0)), HYPERLINK("#",""), HYPERLINK(CONCATENATE("#metadata!", ADDRESS(INDEX($J$2:$J$1001,MATCH(ROWS($H$2:H378),$H$2:$H$1001,0),0), INDEX($O$1004:$Q$1004,1,MATCH(COLUMNS($O$1006:Q1006),$O$1006:$Q$1006,0)))),"Fix")))</f>
        <v xml:space="preserve"> </v>
      </c>
      <c r="H378">
        <v>377</v>
      </c>
      <c r="I378">
        <v>100378</v>
      </c>
      <c r="J378">
        <v>378</v>
      </c>
      <c r="K378" t="b">
        <f t="shared" si="5"/>
        <v>1</v>
      </c>
      <c r="L378" t="b">
        <f>COUNTBLANK(metadata!B378:D378)=COLUMNS(metadata!B378:D378)</f>
        <v>1</v>
      </c>
      <c r="M378" t="str">
        <v/>
      </c>
      <c r="O378" t="b">
        <f ca="1"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P378" t="b">
        <f>AND(IF(metadata!C378="",FALSE,TRUE),EXACT(metadata!C378,"mouse gut metagenome"))</f>
        <v>0</v>
      </c>
      <c r="Q378" t="b">
        <f>AND(IF(metadata!D378="",FALSE,TRUE),EXACT(metadata!D378,"410661"))</f>
        <v>0</v>
      </c>
    </row>
    <row r="379" spans="1:17" x14ac:dyDescent="0.2">
      <c r="A379" s="4" t="str">
        <f ca="1">IF(B379=" "," ",HYPERLINK(CONCATENATE("#metadata!",ADDRESS(INDEX($J$2:$J$1001,MATCH(ROWS($H$2:H379),$H$2:$H$1001,0),0),1)),INDEX($M$2:$M$1001,MATCH(ROWS($H$2:H379),$H$2:$H$1001,0),0)))</f>
        <v xml:space="preserve"> </v>
      </c>
      <c r="B379" s="3" t="str">
        <f ca="1">IF(OR(INDEX($I$2:$I$1001,MATCH(ROWS($H$2:H379),$H$2:$H$1001,0),1)&gt;=100000,INDEX($O$1005:$Q$1005,1,MATCH(COLUMNS($O$1006:O1006),$O$1006:$Q$1006,0))&gt;=100000), " ",IF(INDEX($O$2:$Q$1001,MATCH(ROWS($H$2:H379),$H$2:$H$1001,0),MATCH(COLUMNS($O$1006:O1006),$O$1006:$Q$1006,0)), HYPERLINK("#",""), HYPERLINK(CONCATENATE("#metadata!", ADDRESS(INDEX($J$2:$J$1001,MATCH(ROWS($H$2:H379),$H$2:$H$1001,0),0), INDEX($O$1004:$Q$1004,1,MATCH(COLUMNS($O$1006:O1006),$O$1006:$Q$1006,0)))),"Fix")))</f>
        <v xml:space="preserve"> </v>
      </c>
      <c r="C379" s="3" t="str">
        <f ca="1">IF(OR(INDEX($I$2:$I$1001,MATCH(ROWS($H$2:H379),$H$2:$H$1001,0),1)&gt;=100000,INDEX($O$1005:$Q$1005,1,MATCH(COLUMNS($O$1006:P1006),$O$1006:$Q$1006,0))&gt;=100000), " ",IF(INDEX($O$2:$Q$1001,MATCH(ROWS($H$2:H379),$H$2:$H$1001,0),MATCH(COLUMNS($O$1006:P1006),$O$1006:$Q$1006,0)), HYPERLINK("#",""), HYPERLINK(CONCATENATE("#metadata!", ADDRESS(INDEX($J$2:$J$1001,MATCH(ROWS($H$2:H379),$H$2:$H$1001,0),0), INDEX($O$1004:$Q$1004,1,MATCH(COLUMNS($O$1006:P1006),$O$1006:$Q$1006,0)))),"Fix")))</f>
        <v xml:space="preserve"> </v>
      </c>
      <c r="D379" s="3" t="str">
        <f ca="1">IF(OR(INDEX($I$2:$I$1001,MATCH(ROWS($H$2:H379),$H$2:$H$1001,0),1)&gt;=100000,INDEX($O$1005:$Q$1005,1,MATCH(COLUMNS($O$1006:Q1006),$O$1006:$Q$1006,0))&gt;=100000), " ",IF(INDEX($O$2:$Q$1001,MATCH(ROWS($H$2:H379),$H$2:$H$1001,0),MATCH(COLUMNS($O$1006:Q1006),$O$1006:$Q$1006,0)), HYPERLINK("#",""), HYPERLINK(CONCATENATE("#metadata!", ADDRESS(INDEX($J$2:$J$1001,MATCH(ROWS($H$2:H379),$H$2:$H$1001,0),0), INDEX($O$1004:$Q$1004,1,MATCH(COLUMNS($O$1006:Q1006),$O$1006:$Q$1006,0)))),"Fix")))</f>
        <v xml:space="preserve"> </v>
      </c>
      <c r="H379">
        <v>378</v>
      </c>
      <c r="I379">
        <v>100379</v>
      </c>
      <c r="J379">
        <v>379</v>
      </c>
      <c r="K379" t="b">
        <f t="shared" si="5"/>
        <v>1</v>
      </c>
      <c r="L379" t="b">
        <f>COUNTBLANK(metadata!B379:D379)=COLUMNS(metadata!B379:D379)</f>
        <v>1</v>
      </c>
      <c r="M379" t="str">
        <v/>
      </c>
      <c r="O379" t="b">
        <f ca="1"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P379" t="b">
        <f>AND(IF(metadata!C379="",FALSE,TRUE),EXACT(metadata!C379,"mouse gut metagenome"))</f>
        <v>0</v>
      </c>
      <c r="Q379" t="b">
        <f>AND(IF(metadata!D379="",FALSE,TRUE),EXACT(metadata!D379,"410661"))</f>
        <v>0</v>
      </c>
    </row>
    <row r="380" spans="1:17" x14ac:dyDescent="0.2">
      <c r="A380" s="4" t="str">
        <f ca="1">IF(B380=" "," ",HYPERLINK(CONCATENATE("#metadata!",ADDRESS(INDEX($J$2:$J$1001,MATCH(ROWS($H$2:H380),$H$2:$H$1001,0),0),1)),INDEX($M$2:$M$1001,MATCH(ROWS($H$2:H380),$H$2:$H$1001,0),0)))</f>
        <v xml:space="preserve"> </v>
      </c>
      <c r="B380" s="3" t="str">
        <f ca="1">IF(OR(INDEX($I$2:$I$1001,MATCH(ROWS($H$2:H380),$H$2:$H$1001,0),1)&gt;=100000,INDEX($O$1005:$Q$1005,1,MATCH(COLUMNS($O$1006:O1006),$O$1006:$Q$1006,0))&gt;=100000), " ",IF(INDEX($O$2:$Q$1001,MATCH(ROWS($H$2:H380),$H$2:$H$1001,0),MATCH(COLUMNS($O$1006:O1006),$O$1006:$Q$1006,0)), HYPERLINK("#",""), HYPERLINK(CONCATENATE("#metadata!", ADDRESS(INDEX($J$2:$J$1001,MATCH(ROWS($H$2:H380),$H$2:$H$1001,0),0), INDEX($O$1004:$Q$1004,1,MATCH(COLUMNS($O$1006:O1006),$O$1006:$Q$1006,0)))),"Fix")))</f>
        <v xml:space="preserve"> </v>
      </c>
      <c r="C380" s="3" t="str">
        <f ca="1">IF(OR(INDEX($I$2:$I$1001,MATCH(ROWS($H$2:H380),$H$2:$H$1001,0),1)&gt;=100000,INDEX($O$1005:$Q$1005,1,MATCH(COLUMNS($O$1006:P1006),$O$1006:$Q$1006,0))&gt;=100000), " ",IF(INDEX($O$2:$Q$1001,MATCH(ROWS($H$2:H380),$H$2:$H$1001,0),MATCH(COLUMNS($O$1006:P1006),$O$1006:$Q$1006,0)), HYPERLINK("#",""), HYPERLINK(CONCATENATE("#metadata!", ADDRESS(INDEX($J$2:$J$1001,MATCH(ROWS($H$2:H380),$H$2:$H$1001,0),0), INDEX($O$1004:$Q$1004,1,MATCH(COLUMNS($O$1006:P1006),$O$1006:$Q$1006,0)))),"Fix")))</f>
        <v xml:space="preserve"> </v>
      </c>
      <c r="D380" s="3" t="str">
        <f ca="1">IF(OR(INDEX($I$2:$I$1001,MATCH(ROWS($H$2:H380),$H$2:$H$1001,0),1)&gt;=100000,INDEX($O$1005:$Q$1005,1,MATCH(COLUMNS($O$1006:Q1006),$O$1006:$Q$1006,0))&gt;=100000), " ",IF(INDEX($O$2:$Q$1001,MATCH(ROWS($H$2:H380),$H$2:$H$1001,0),MATCH(COLUMNS($O$1006:Q1006),$O$1006:$Q$1006,0)), HYPERLINK("#",""), HYPERLINK(CONCATENATE("#metadata!", ADDRESS(INDEX($J$2:$J$1001,MATCH(ROWS($H$2:H380),$H$2:$H$1001,0),0), INDEX($O$1004:$Q$1004,1,MATCH(COLUMNS($O$1006:Q1006),$O$1006:$Q$1006,0)))),"Fix")))</f>
        <v xml:space="preserve"> </v>
      </c>
      <c r="H380">
        <v>379</v>
      </c>
      <c r="I380">
        <v>100380</v>
      </c>
      <c r="J380">
        <v>380</v>
      </c>
      <c r="K380" t="b">
        <f t="shared" si="5"/>
        <v>1</v>
      </c>
      <c r="L380" t="b">
        <f>COUNTBLANK(metadata!B380:D380)=COLUMNS(metadata!B380:D380)</f>
        <v>1</v>
      </c>
      <c r="M380" t="str">
        <v/>
      </c>
      <c r="O380" t="b">
        <f ca="1"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P380" t="b">
        <f>AND(IF(metadata!C380="",FALSE,TRUE),EXACT(metadata!C380,"mouse gut metagenome"))</f>
        <v>0</v>
      </c>
      <c r="Q380" t="b">
        <f>AND(IF(metadata!D380="",FALSE,TRUE),EXACT(metadata!D380,"410661"))</f>
        <v>0</v>
      </c>
    </row>
    <row r="381" spans="1:17" x14ac:dyDescent="0.2">
      <c r="A381" s="4" t="str">
        <f ca="1">IF(B381=" "," ",HYPERLINK(CONCATENATE("#metadata!",ADDRESS(INDEX($J$2:$J$1001,MATCH(ROWS($H$2:H381),$H$2:$H$1001,0),0),1)),INDEX($M$2:$M$1001,MATCH(ROWS($H$2:H381),$H$2:$H$1001,0),0)))</f>
        <v xml:space="preserve"> </v>
      </c>
      <c r="B381" s="3" t="str">
        <f ca="1">IF(OR(INDEX($I$2:$I$1001,MATCH(ROWS($H$2:H381),$H$2:$H$1001,0),1)&gt;=100000,INDEX($O$1005:$Q$1005,1,MATCH(COLUMNS($O$1006:O1006),$O$1006:$Q$1006,0))&gt;=100000), " ",IF(INDEX($O$2:$Q$1001,MATCH(ROWS($H$2:H381),$H$2:$H$1001,0),MATCH(COLUMNS($O$1006:O1006),$O$1006:$Q$1006,0)), HYPERLINK("#",""), HYPERLINK(CONCATENATE("#metadata!", ADDRESS(INDEX($J$2:$J$1001,MATCH(ROWS($H$2:H381),$H$2:$H$1001,0),0), INDEX($O$1004:$Q$1004,1,MATCH(COLUMNS($O$1006:O1006),$O$1006:$Q$1006,0)))),"Fix")))</f>
        <v xml:space="preserve"> </v>
      </c>
      <c r="C381" s="3" t="str">
        <f ca="1">IF(OR(INDEX($I$2:$I$1001,MATCH(ROWS($H$2:H381),$H$2:$H$1001,0),1)&gt;=100000,INDEX($O$1005:$Q$1005,1,MATCH(COLUMNS($O$1006:P1006),$O$1006:$Q$1006,0))&gt;=100000), " ",IF(INDEX($O$2:$Q$1001,MATCH(ROWS($H$2:H381),$H$2:$H$1001,0),MATCH(COLUMNS($O$1006:P1006),$O$1006:$Q$1006,0)), HYPERLINK("#",""), HYPERLINK(CONCATENATE("#metadata!", ADDRESS(INDEX($J$2:$J$1001,MATCH(ROWS($H$2:H381),$H$2:$H$1001,0),0), INDEX($O$1004:$Q$1004,1,MATCH(COLUMNS($O$1006:P1006),$O$1006:$Q$1006,0)))),"Fix")))</f>
        <v xml:space="preserve"> </v>
      </c>
      <c r="D381" s="3" t="str">
        <f ca="1">IF(OR(INDEX($I$2:$I$1001,MATCH(ROWS($H$2:H381),$H$2:$H$1001,0),1)&gt;=100000,INDEX($O$1005:$Q$1005,1,MATCH(COLUMNS($O$1006:Q1006),$O$1006:$Q$1006,0))&gt;=100000), " ",IF(INDEX($O$2:$Q$1001,MATCH(ROWS($H$2:H381),$H$2:$H$1001,0),MATCH(COLUMNS($O$1006:Q1006),$O$1006:$Q$1006,0)), HYPERLINK("#",""), HYPERLINK(CONCATENATE("#metadata!", ADDRESS(INDEX($J$2:$J$1001,MATCH(ROWS($H$2:H381),$H$2:$H$1001,0),0), INDEX($O$1004:$Q$1004,1,MATCH(COLUMNS($O$1006:Q1006),$O$1006:$Q$1006,0)))),"Fix")))</f>
        <v xml:space="preserve"> </v>
      </c>
      <c r="H381">
        <v>380</v>
      </c>
      <c r="I381">
        <v>100381</v>
      </c>
      <c r="J381">
        <v>381</v>
      </c>
      <c r="K381" t="b">
        <f t="shared" si="5"/>
        <v>1</v>
      </c>
      <c r="L381" t="b">
        <f>COUNTBLANK(metadata!B381:D381)=COLUMNS(metadata!B381:D381)</f>
        <v>1</v>
      </c>
      <c r="M381" t="str">
        <v/>
      </c>
      <c r="O381" t="b">
        <f ca="1"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P381" t="b">
        <f>AND(IF(metadata!C381="",FALSE,TRUE),EXACT(metadata!C381,"mouse gut metagenome"))</f>
        <v>0</v>
      </c>
      <c r="Q381" t="b">
        <f>AND(IF(metadata!D381="",FALSE,TRUE),EXACT(metadata!D381,"410661"))</f>
        <v>0</v>
      </c>
    </row>
    <row r="382" spans="1:17" x14ac:dyDescent="0.2">
      <c r="A382" s="4" t="str">
        <f ca="1">IF(B382=" "," ",HYPERLINK(CONCATENATE("#metadata!",ADDRESS(INDEX($J$2:$J$1001,MATCH(ROWS($H$2:H382),$H$2:$H$1001,0),0),1)),INDEX($M$2:$M$1001,MATCH(ROWS($H$2:H382),$H$2:$H$1001,0),0)))</f>
        <v xml:space="preserve"> </v>
      </c>
      <c r="B382" s="3" t="str">
        <f ca="1">IF(OR(INDEX($I$2:$I$1001,MATCH(ROWS($H$2:H382),$H$2:$H$1001,0),1)&gt;=100000,INDEX($O$1005:$Q$1005,1,MATCH(COLUMNS($O$1006:O1006),$O$1006:$Q$1006,0))&gt;=100000), " ",IF(INDEX($O$2:$Q$1001,MATCH(ROWS($H$2:H382),$H$2:$H$1001,0),MATCH(COLUMNS($O$1006:O1006),$O$1006:$Q$1006,0)), HYPERLINK("#",""), HYPERLINK(CONCATENATE("#metadata!", ADDRESS(INDEX($J$2:$J$1001,MATCH(ROWS($H$2:H382),$H$2:$H$1001,0),0), INDEX($O$1004:$Q$1004,1,MATCH(COLUMNS($O$1006:O1006),$O$1006:$Q$1006,0)))),"Fix")))</f>
        <v xml:space="preserve"> </v>
      </c>
      <c r="C382" s="3" t="str">
        <f ca="1">IF(OR(INDEX($I$2:$I$1001,MATCH(ROWS($H$2:H382),$H$2:$H$1001,0),1)&gt;=100000,INDEX($O$1005:$Q$1005,1,MATCH(COLUMNS($O$1006:P1006),$O$1006:$Q$1006,0))&gt;=100000), " ",IF(INDEX($O$2:$Q$1001,MATCH(ROWS($H$2:H382),$H$2:$H$1001,0),MATCH(COLUMNS($O$1006:P1006),$O$1006:$Q$1006,0)), HYPERLINK("#",""), HYPERLINK(CONCATENATE("#metadata!", ADDRESS(INDEX($J$2:$J$1001,MATCH(ROWS($H$2:H382),$H$2:$H$1001,0),0), INDEX($O$1004:$Q$1004,1,MATCH(COLUMNS($O$1006:P1006),$O$1006:$Q$1006,0)))),"Fix")))</f>
        <v xml:space="preserve"> </v>
      </c>
      <c r="D382" s="3" t="str">
        <f ca="1">IF(OR(INDEX($I$2:$I$1001,MATCH(ROWS($H$2:H382),$H$2:$H$1001,0),1)&gt;=100000,INDEX($O$1005:$Q$1005,1,MATCH(COLUMNS($O$1006:Q1006),$O$1006:$Q$1006,0))&gt;=100000), " ",IF(INDEX($O$2:$Q$1001,MATCH(ROWS($H$2:H382),$H$2:$H$1001,0),MATCH(COLUMNS($O$1006:Q1006),$O$1006:$Q$1006,0)), HYPERLINK("#",""), HYPERLINK(CONCATENATE("#metadata!", ADDRESS(INDEX($J$2:$J$1001,MATCH(ROWS($H$2:H382),$H$2:$H$1001,0),0), INDEX($O$1004:$Q$1004,1,MATCH(COLUMNS($O$1006:Q1006),$O$1006:$Q$1006,0)))),"Fix")))</f>
        <v xml:space="preserve"> </v>
      </c>
      <c r="H382">
        <v>381</v>
      </c>
      <c r="I382">
        <v>100382</v>
      </c>
      <c r="J382">
        <v>382</v>
      </c>
      <c r="K382" t="b">
        <f t="shared" si="5"/>
        <v>1</v>
      </c>
      <c r="L382" t="b">
        <f>COUNTBLANK(metadata!B382:D382)=COLUMNS(metadata!B382:D382)</f>
        <v>1</v>
      </c>
      <c r="M382" t="str">
        <v/>
      </c>
      <c r="O382" t="b">
        <f ca="1"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P382" t="b">
        <f>AND(IF(metadata!C382="",FALSE,TRUE),EXACT(metadata!C382,"mouse gut metagenome"))</f>
        <v>0</v>
      </c>
      <c r="Q382" t="b">
        <f>AND(IF(metadata!D382="",FALSE,TRUE),EXACT(metadata!D382,"410661"))</f>
        <v>0</v>
      </c>
    </row>
    <row r="383" spans="1:17" x14ac:dyDescent="0.2">
      <c r="A383" s="4" t="str">
        <f ca="1">IF(B383=" "," ",HYPERLINK(CONCATENATE("#metadata!",ADDRESS(INDEX($J$2:$J$1001,MATCH(ROWS($H$2:H383),$H$2:$H$1001,0),0),1)),INDEX($M$2:$M$1001,MATCH(ROWS($H$2:H383),$H$2:$H$1001,0),0)))</f>
        <v xml:space="preserve"> </v>
      </c>
      <c r="B383" s="3" t="str">
        <f ca="1">IF(OR(INDEX($I$2:$I$1001,MATCH(ROWS($H$2:H383),$H$2:$H$1001,0),1)&gt;=100000,INDEX($O$1005:$Q$1005,1,MATCH(COLUMNS($O$1006:O1006),$O$1006:$Q$1006,0))&gt;=100000), " ",IF(INDEX($O$2:$Q$1001,MATCH(ROWS($H$2:H383),$H$2:$H$1001,0),MATCH(COLUMNS($O$1006:O1006),$O$1006:$Q$1006,0)), HYPERLINK("#",""), HYPERLINK(CONCATENATE("#metadata!", ADDRESS(INDEX($J$2:$J$1001,MATCH(ROWS($H$2:H383),$H$2:$H$1001,0),0), INDEX($O$1004:$Q$1004,1,MATCH(COLUMNS($O$1006:O1006),$O$1006:$Q$1006,0)))),"Fix")))</f>
        <v xml:space="preserve"> </v>
      </c>
      <c r="C383" s="3" t="str">
        <f ca="1">IF(OR(INDEX($I$2:$I$1001,MATCH(ROWS($H$2:H383),$H$2:$H$1001,0),1)&gt;=100000,INDEX($O$1005:$Q$1005,1,MATCH(COLUMNS($O$1006:P1006),$O$1006:$Q$1006,0))&gt;=100000), " ",IF(INDEX($O$2:$Q$1001,MATCH(ROWS($H$2:H383),$H$2:$H$1001,0),MATCH(COLUMNS($O$1006:P1006),$O$1006:$Q$1006,0)), HYPERLINK("#",""), HYPERLINK(CONCATENATE("#metadata!", ADDRESS(INDEX($J$2:$J$1001,MATCH(ROWS($H$2:H383),$H$2:$H$1001,0),0), INDEX($O$1004:$Q$1004,1,MATCH(COLUMNS($O$1006:P1006),$O$1006:$Q$1006,0)))),"Fix")))</f>
        <v xml:space="preserve"> </v>
      </c>
      <c r="D383" s="3" t="str">
        <f ca="1">IF(OR(INDEX($I$2:$I$1001,MATCH(ROWS($H$2:H383),$H$2:$H$1001,0),1)&gt;=100000,INDEX($O$1005:$Q$1005,1,MATCH(COLUMNS($O$1006:Q1006),$O$1006:$Q$1006,0))&gt;=100000), " ",IF(INDEX($O$2:$Q$1001,MATCH(ROWS($H$2:H383),$H$2:$H$1001,0),MATCH(COLUMNS($O$1006:Q1006),$O$1006:$Q$1006,0)), HYPERLINK("#",""), HYPERLINK(CONCATENATE("#metadata!", ADDRESS(INDEX($J$2:$J$1001,MATCH(ROWS($H$2:H383),$H$2:$H$1001,0),0), INDEX($O$1004:$Q$1004,1,MATCH(COLUMNS($O$1006:Q1006),$O$1006:$Q$1006,0)))),"Fix")))</f>
        <v xml:space="preserve"> </v>
      </c>
      <c r="H383">
        <v>382</v>
      </c>
      <c r="I383">
        <v>100383</v>
      </c>
      <c r="J383">
        <v>383</v>
      </c>
      <c r="K383" t="b">
        <f t="shared" si="5"/>
        <v>1</v>
      </c>
      <c r="L383" t="b">
        <f>COUNTBLANK(metadata!B383:D383)=COLUMNS(metadata!B383:D383)</f>
        <v>1</v>
      </c>
      <c r="M383" t="str">
        <v/>
      </c>
      <c r="O383" t="b">
        <f ca="1"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P383" t="b">
        <f>AND(IF(metadata!C383="",FALSE,TRUE),EXACT(metadata!C383,"mouse gut metagenome"))</f>
        <v>0</v>
      </c>
      <c r="Q383" t="b">
        <f>AND(IF(metadata!D383="",FALSE,TRUE),EXACT(metadata!D383,"410661"))</f>
        <v>0</v>
      </c>
    </row>
    <row r="384" spans="1:17" x14ac:dyDescent="0.2">
      <c r="A384" s="4" t="str">
        <f ca="1">IF(B384=" "," ",HYPERLINK(CONCATENATE("#metadata!",ADDRESS(INDEX($J$2:$J$1001,MATCH(ROWS($H$2:H384),$H$2:$H$1001,0),0),1)),INDEX($M$2:$M$1001,MATCH(ROWS($H$2:H384),$H$2:$H$1001,0),0)))</f>
        <v xml:space="preserve"> </v>
      </c>
      <c r="B384" s="3" t="str">
        <f ca="1">IF(OR(INDEX($I$2:$I$1001,MATCH(ROWS($H$2:H384),$H$2:$H$1001,0),1)&gt;=100000,INDEX($O$1005:$Q$1005,1,MATCH(COLUMNS($O$1006:O1006),$O$1006:$Q$1006,0))&gt;=100000), " ",IF(INDEX($O$2:$Q$1001,MATCH(ROWS($H$2:H384),$H$2:$H$1001,0),MATCH(COLUMNS($O$1006:O1006),$O$1006:$Q$1006,0)), HYPERLINK("#",""), HYPERLINK(CONCATENATE("#metadata!", ADDRESS(INDEX($J$2:$J$1001,MATCH(ROWS($H$2:H384),$H$2:$H$1001,0),0), INDEX($O$1004:$Q$1004,1,MATCH(COLUMNS($O$1006:O1006),$O$1006:$Q$1006,0)))),"Fix")))</f>
        <v xml:space="preserve"> </v>
      </c>
      <c r="C384" s="3" t="str">
        <f ca="1">IF(OR(INDEX($I$2:$I$1001,MATCH(ROWS($H$2:H384),$H$2:$H$1001,0),1)&gt;=100000,INDEX($O$1005:$Q$1005,1,MATCH(COLUMNS($O$1006:P1006),$O$1006:$Q$1006,0))&gt;=100000), " ",IF(INDEX($O$2:$Q$1001,MATCH(ROWS($H$2:H384),$H$2:$H$1001,0),MATCH(COLUMNS($O$1006:P1006),$O$1006:$Q$1006,0)), HYPERLINK("#",""), HYPERLINK(CONCATENATE("#metadata!", ADDRESS(INDEX($J$2:$J$1001,MATCH(ROWS($H$2:H384),$H$2:$H$1001,0),0), INDEX($O$1004:$Q$1004,1,MATCH(COLUMNS($O$1006:P1006),$O$1006:$Q$1006,0)))),"Fix")))</f>
        <v xml:space="preserve"> </v>
      </c>
      <c r="D384" s="3" t="str">
        <f ca="1">IF(OR(INDEX($I$2:$I$1001,MATCH(ROWS($H$2:H384),$H$2:$H$1001,0),1)&gt;=100000,INDEX($O$1005:$Q$1005,1,MATCH(COLUMNS($O$1006:Q1006),$O$1006:$Q$1006,0))&gt;=100000), " ",IF(INDEX($O$2:$Q$1001,MATCH(ROWS($H$2:H384),$H$2:$H$1001,0),MATCH(COLUMNS($O$1006:Q1006),$O$1006:$Q$1006,0)), HYPERLINK("#",""), HYPERLINK(CONCATENATE("#metadata!", ADDRESS(INDEX($J$2:$J$1001,MATCH(ROWS($H$2:H384),$H$2:$H$1001,0),0), INDEX($O$1004:$Q$1004,1,MATCH(COLUMNS($O$1006:Q1006),$O$1006:$Q$1006,0)))),"Fix")))</f>
        <v xml:space="preserve"> </v>
      </c>
      <c r="H384">
        <v>383</v>
      </c>
      <c r="I384">
        <v>100384</v>
      </c>
      <c r="J384">
        <v>384</v>
      </c>
      <c r="K384" t="b">
        <f t="shared" si="5"/>
        <v>1</v>
      </c>
      <c r="L384" t="b">
        <f>COUNTBLANK(metadata!B384:D384)=COLUMNS(metadata!B384:D384)</f>
        <v>1</v>
      </c>
      <c r="M384" t="str">
        <v/>
      </c>
      <c r="O384" t="b">
        <f ca="1"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P384" t="b">
        <f>AND(IF(metadata!C384="",FALSE,TRUE),EXACT(metadata!C384,"mouse gut metagenome"))</f>
        <v>0</v>
      </c>
      <c r="Q384" t="b">
        <f>AND(IF(metadata!D384="",FALSE,TRUE),EXACT(metadata!D384,"410661"))</f>
        <v>0</v>
      </c>
    </row>
    <row r="385" spans="1:17" x14ac:dyDescent="0.2">
      <c r="A385" s="4" t="str">
        <f ca="1">IF(B385=" "," ",HYPERLINK(CONCATENATE("#metadata!",ADDRESS(INDEX($J$2:$J$1001,MATCH(ROWS($H$2:H385),$H$2:$H$1001,0),0),1)),INDEX($M$2:$M$1001,MATCH(ROWS($H$2:H385),$H$2:$H$1001,0),0)))</f>
        <v xml:space="preserve"> </v>
      </c>
      <c r="B385" s="3" t="str">
        <f ca="1">IF(OR(INDEX($I$2:$I$1001,MATCH(ROWS($H$2:H385),$H$2:$H$1001,0),1)&gt;=100000,INDEX($O$1005:$Q$1005,1,MATCH(COLUMNS($O$1006:O1006),$O$1006:$Q$1006,0))&gt;=100000), " ",IF(INDEX($O$2:$Q$1001,MATCH(ROWS($H$2:H385),$H$2:$H$1001,0),MATCH(COLUMNS($O$1006:O1006),$O$1006:$Q$1006,0)), HYPERLINK("#",""), HYPERLINK(CONCATENATE("#metadata!", ADDRESS(INDEX($J$2:$J$1001,MATCH(ROWS($H$2:H385),$H$2:$H$1001,0),0), INDEX($O$1004:$Q$1004,1,MATCH(COLUMNS($O$1006:O1006),$O$1006:$Q$1006,0)))),"Fix")))</f>
        <v xml:space="preserve"> </v>
      </c>
      <c r="C385" s="3" t="str">
        <f ca="1">IF(OR(INDEX($I$2:$I$1001,MATCH(ROWS($H$2:H385),$H$2:$H$1001,0),1)&gt;=100000,INDEX($O$1005:$Q$1005,1,MATCH(COLUMNS($O$1006:P1006),$O$1006:$Q$1006,0))&gt;=100000), " ",IF(INDEX($O$2:$Q$1001,MATCH(ROWS($H$2:H385),$H$2:$H$1001,0),MATCH(COLUMNS($O$1006:P1006),$O$1006:$Q$1006,0)), HYPERLINK("#",""), HYPERLINK(CONCATENATE("#metadata!", ADDRESS(INDEX($J$2:$J$1001,MATCH(ROWS($H$2:H385),$H$2:$H$1001,0),0), INDEX($O$1004:$Q$1004,1,MATCH(COLUMNS($O$1006:P1006),$O$1006:$Q$1006,0)))),"Fix")))</f>
        <v xml:space="preserve"> </v>
      </c>
      <c r="D385" s="3" t="str">
        <f ca="1">IF(OR(INDEX($I$2:$I$1001,MATCH(ROWS($H$2:H385),$H$2:$H$1001,0),1)&gt;=100000,INDEX($O$1005:$Q$1005,1,MATCH(COLUMNS($O$1006:Q1006),$O$1006:$Q$1006,0))&gt;=100000), " ",IF(INDEX($O$2:$Q$1001,MATCH(ROWS($H$2:H385),$H$2:$H$1001,0),MATCH(COLUMNS($O$1006:Q1006),$O$1006:$Q$1006,0)), HYPERLINK("#",""), HYPERLINK(CONCATENATE("#metadata!", ADDRESS(INDEX($J$2:$J$1001,MATCH(ROWS($H$2:H385),$H$2:$H$1001,0),0), INDEX($O$1004:$Q$1004,1,MATCH(COLUMNS($O$1006:Q1006),$O$1006:$Q$1006,0)))),"Fix")))</f>
        <v xml:space="preserve"> </v>
      </c>
      <c r="H385">
        <v>384</v>
      </c>
      <c r="I385">
        <v>100385</v>
      </c>
      <c r="J385">
        <v>385</v>
      </c>
      <c r="K385" t="b">
        <f t="shared" si="5"/>
        <v>1</v>
      </c>
      <c r="L385" t="b">
        <f>COUNTBLANK(metadata!B385:D385)=COLUMNS(metadata!B385:D385)</f>
        <v>1</v>
      </c>
      <c r="M385" t="str">
        <v/>
      </c>
      <c r="O385" t="b">
        <f ca="1"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P385" t="b">
        <f>AND(IF(metadata!C385="",FALSE,TRUE),EXACT(metadata!C385,"mouse gut metagenome"))</f>
        <v>0</v>
      </c>
      <c r="Q385" t="b">
        <f>AND(IF(metadata!D385="",FALSE,TRUE),EXACT(metadata!D385,"410661"))</f>
        <v>0</v>
      </c>
    </row>
    <row r="386" spans="1:17" x14ac:dyDescent="0.2">
      <c r="A386" s="4" t="str">
        <f ca="1">IF(B386=" "," ",HYPERLINK(CONCATENATE("#metadata!",ADDRESS(INDEX($J$2:$J$1001,MATCH(ROWS($H$2:H386),$H$2:$H$1001,0),0),1)),INDEX($M$2:$M$1001,MATCH(ROWS($H$2:H386),$H$2:$H$1001,0),0)))</f>
        <v xml:space="preserve"> </v>
      </c>
      <c r="B386" s="3" t="str">
        <f ca="1">IF(OR(INDEX($I$2:$I$1001,MATCH(ROWS($H$2:H386),$H$2:$H$1001,0),1)&gt;=100000,INDEX($O$1005:$Q$1005,1,MATCH(COLUMNS($O$1006:O1006),$O$1006:$Q$1006,0))&gt;=100000), " ",IF(INDEX($O$2:$Q$1001,MATCH(ROWS($H$2:H386),$H$2:$H$1001,0),MATCH(COLUMNS($O$1006:O1006),$O$1006:$Q$1006,0)), HYPERLINK("#",""), HYPERLINK(CONCATENATE("#metadata!", ADDRESS(INDEX($J$2:$J$1001,MATCH(ROWS($H$2:H386),$H$2:$H$1001,0),0), INDEX($O$1004:$Q$1004,1,MATCH(COLUMNS($O$1006:O1006),$O$1006:$Q$1006,0)))),"Fix")))</f>
        <v xml:space="preserve"> </v>
      </c>
      <c r="C386" s="3" t="str">
        <f ca="1">IF(OR(INDEX($I$2:$I$1001,MATCH(ROWS($H$2:H386),$H$2:$H$1001,0),1)&gt;=100000,INDEX($O$1005:$Q$1005,1,MATCH(COLUMNS($O$1006:P1006),$O$1006:$Q$1006,0))&gt;=100000), " ",IF(INDEX($O$2:$Q$1001,MATCH(ROWS($H$2:H386),$H$2:$H$1001,0),MATCH(COLUMNS($O$1006:P1006),$O$1006:$Q$1006,0)), HYPERLINK("#",""), HYPERLINK(CONCATENATE("#metadata!", ADDRESS(INDEX($J$2:$J$1001,MATCH(ROWS($H$2:H386),$H$2:$H$1001,0),0), INDEX($O$1004:$Q$1004,1,MATCH(COLUMNS($O$1006:P1006),$O$1006:$Q$1006,0)))),"Fix")))</f>
        <v xml:space="preserve"> </v>
      </c>
      <c r="D386" s="3" t="str">
        <f ca="1">IF(OR(INDEX($I$2:$I$1001,MATCH(ROWS($H$2:H386),$H$2:$H$1001,0),1)&gt;=100000,INDEX($O$1005:$Q$1005,1,MATCH(COLUMNS($O$1006:Q1006),$O$1006:$Q$1006,0))&gt;=100000), " ",IF(INDEX($O$2:$Q$1001,MATCH(ROWS($H$2:H386),$H$2:$H$1001,0),MATCH(COLUMNS($O$1006:Q1006),$O$1006:$Q$1006,0)), HYPERLINK("#",""), HYPERLINK(CONCATENATE("#metadata!", ADDRESS(INDEX($J$2:$J$1001,MATCH(ROWS($H$2:H386),$H$2:$H$1001,0),0), INDEX($O$1004:$Q$1004,1,MATCH(COLUMNS($O$1006:Q1006),$O$1006:$Q$1006,0)))),"Fix")))</f>
        <v xml:space="preserve"> </v>
      </c>
      <c r="H386">
        <v>385</v>
      </c>
      <c r="I386">
        <v>100386</v>
      </c>
      <c r="J386">
        <v>386</v>
      </c>
      <c r="K386" t="b">
        <f t="shared" ref="K386:K449" si="6">IF(L386,TRUE,AND(O386:Q386))</f>
        <v>1</v>
      </c>
      <c r="L386" t="b">
        <f>COUNTBLANK(metadata!B386:D386)=COLUMNS(metadata!B386:D386)</f>
        <v>1</v>
      </c>
      <c r="M386" t="str">
        <v/>
      </c>
      <c r="O386" t="b">
        <f ca="1"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P386" t="b">
        <f>AND(IF(metadata!C386="",FALSE,TRUE),EXACT(metadata!C386,"mouse gut metagenome"))</f>
        <v>0</v>
      </c>
      <c r="Q386" t="b">
        <f>AND(IF(metadata!D386="",FALSE,TRUE),EXACT(metadata!D386,"410661"))</f>
        <v>0</v>
      </c>
    </row>
    <row r="387" spans="1:17" x14ac:dyDescent="0.2">
      <c r="A387" s="4" t="str">
        <f ca="1">IF(B387=" "," ",HYPERLINK(CONCATENATE("#metadata!",ADDRESS(INDEX($J$2:$J$1001,MATCH(ROWS($H$2:H387),$H$2:$H$1001,0),0),1)),INDEX($M$2:$M$1001,MATCH(ROWS($H$2:H387),$H$2:$H$1001,0),0)))</f>
        <v xml:space="preserve"> </v>
      </c>
      <c r="B387" s="3" t="str">
        <f ca="1">IF(OR(INDEX($I$2:$I$1001,MATCH(ROWS($H$2:H387),$H$2:$H$1001,0),1)&gt;=100000,INDEX($O$1005:$Q$1005,1,MATCH(COLUMNS($O$1006:O1006),$O$1006:$Q$1006,0))&gt;=100000), " ",IF(INDEX($O$2:$Q$1001,MATCH(ROWS($H$2:H387),$H$2:$H$1001,0),MATCH(COLUMNS($O$1006:O1006),$O$1006:$Q$1006,0)), HYPERLINK("#",""), HYPERLINK(CONCATENATE("#metadata!", ADDRESS(INDEX($J$2:$J$1001,MATCH(ROWS($H$2:H387),$H$2:$H$1001,0),0), INDEX($O$1004:$Q$1004,1,MATCH(COLUMNS($O$1006:O1006),$O$1006:$Q$1006,0)))),"Fix")))</f>
        <v xml:space="preserve"> </v>
      </c>
      <c r="C387" s="3" t="str">
        <f ca="1">IF(OR(INDEX($I$2:$I$1001,MATCH(ROWS($H$2:H387),$H$2:$H$1001,0),1)&gt;=100000,INDEX($O$1005:$Q$1005,1,MATCH(COLUMNS($O$1006:P1006),$O$1006:$Q$1006,0))&gt;=100000), " ",IF(INDEX($O$2:$Q$1001,MATCH(ROWS($H$2:H387),$H$2:$H$1001,0),MATCH(COLUMNS($O$1006:P1006),$O$1006:$Q$1006,0)), HYPERLINK("#",""), HYPERLINK(CONCATENATE("#metadata!", ADDRESS(INDEX($J$2:$J$1001,MATCH(ROWS($H$2:H387),$H$2:$H$1001,0),0), INDEX($O$1004:$Q$1004,1,MATCH(COLUMNS($O$1006:P1006),$O$1006:$Q$1006,0)))),"Fix")))</f>
        <v xml:space="preserve"> </v>
      </c>
      <c r="D387" s="3" t="str">
        <f ca="1">IF(OR(INDEX($I$2:$I$1001,MATCH(ROWS($H$2:H387),$H$2:$H$1001,0),1)&gt;=100000,INDEX($O$1005:$Q$1005,1,MATCH(COLUMNS($O$1006:Q1006),$O$1006:$Q$1006,0))&gt;=100000), " ",IF(INDEX($O$2:$Q$1001,MATCH(ROWS($H$2:H387),$H$2:$H$1001,0),MATCH(COLUMNS($O$1006:Q1006),$O$1006:$Q$1006,0)), HYPERLINK("#",""), HYPERLINK(CONCATENATE("#metadata!", ADDRESS(INDEX($J$2:$J$1001,MATCH(ROWS($H$2:H387),$H$2:$H$1001,0),0), INDEX($O$1004:$Q$1004,1,MATCH(COLUMNS($O$1006:Q1006),$O$1006:$Q$1006,0)))),"Fix")))</f>
        <v xml:space="preserve"> </v>
      </c>
      <c r="H387">
        <v>386</v>
      </c>
      <c r="I387">
        <v>100387</v>
      </c>
      <c r="J387">
        <v>387</v>
      </c>
      <c r="K387" t="b">
        <f t="shared" si="6"/>
        <v>1</v>
      </c>
      <c r="L387" t="b">
        <f>COUNTBLANK(metadata!B387:D387)=COLUMNS(metadata!B387:D387)</f>
        <v>1</v>
      </c>
      <c r="M387" t="str">
        <v/>
      </c>
      <c r="O387" t="b">
        <f ca="1"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P387" t="b">
        <f>AND(IF(metadata!C387="",FALSE,TRUE),EXACT(metadata!C387,"mouse gut metagenome"))</f>
        <v>0</v>
      </c>
      <c r="Q387" t="b">
        <f>AND(IF(metadata!D387="",FALSE,TRUE),EXACT(metadata!D387,"410661"))</f>
        <v>0</v>
      </c>
    </row>
    <row r="388" spans="1:17" x14ac:dyDescent="0.2">
      <c r="A388" s="4" t="str">
        <f ca="1">IF(B388=" "," ",HYPERLINK(CONCATENATE("#metadata!",ADDRESS(INDEX($J$2:$J$1001,MATCH(ROWS($H$2:H388),$H$2:$H$1001,0),0),1)),INDEX($M$2:$M$1001,MATCH(ROWS($H$2:H388),$H$2:$H$1001,0),0)))</f>
        <v xml:space="preserve"> </v>
      </c>
      <c r="B388" s="3" t="str">
        <f ca="1">IF(OR(INDEX($I$2:$I$1001,MATCH(ROWS($H$2:H388),$H$2:$H$1001,0),1)&gt;=100000,INDEX($O$1005:$Q$1005,1,MATCH(COLUMNS($O$1006:O1006),$O$1006:$Q$1006,0))&gt;=100000), " ",IF(INDEX($O$2:$Q$1001,MATCH(ROWS($H$2:H388),$H$2:$H$1001,0),MATCH(COLUMNS($O$1006:O1006),$O$1006:$Q$1006,0)), HYPERLINK("#",""), HYPERLINK(CONCATENATE("#metadata!", ADDRESS(INDEX($J$2:$J$1001,MATCH(ROWS($H$2:H388),$H$2:$H$1001,0),0), INDEX($O$1004:$Q$1004,1,MATCH(COLUMNS($O$1006:O1006),$O$1006:$Q$1006,0)))),"Fix")))</f>
        <v xml:space="preserve"> </v>
      </c>
      <c r="C388" s="3" t="str">
        <f ca="1">IF(OR(INDEX($I$2:$I$1001,MATCH(ROWS($H$2:H388),$H$2:$H$1001,0),1)&gt;=100000,INDEX($O$1005:$Q$1005,1,MATCH(COLUMNS($O$1006:P1006),$O$1006:$Q$1006,0))&gt;=100000), " ",IF(INDEX($O$2:$Q$1001,MATCH(ROWS($H$2:H388),$H$2:$H$1001,0),MATCH(COLUMNS($O$1006:P1006),$O$1006:$Q$1006,0)), HYPERLINK("#",""), HYPERLINK(CONCATENATE("#metadata!", ADDRESS(INDEX($J$2:$J$1001,MATCH(ROWS($H$2:H388),$H$2:$H$1001,0),0), INDEX($O$1004:$Q$1004,1,MATCH(COLUMNS($O$1006:P1006),$O$1006:$Q$1006,0)))),"Fix")))</f>
        <v xml:space="preserve"> </v>
      </c>
      <c r="D388" s="3" t="str">
        <f ca="1">IF(OR(INDEX($I$2:$I$1001,MATCH(ROWS($H$2:H388),$H$2:$H$1001,0),1)&gt;=100000,INDEX($O$1005:$Q$1005,1,MATCH(COLUMNS($O$1006:Q1006),$O$1006:$Q$1006,0))&gt;=100000), " ",IF(INDEX($O$2:$Q$1001,MATCH(ROWS($H$2:H388),$H$2:$H$1001,0),MATCH(COLUMNS($O$1006:Q1006),$O$1006:$Q$1006,0)), HYPERLINK("#",""), HYPERLINK(CONCATENATE("#metadata!", ADDRESS(INDEX($J$2:$J$1001,MATCH(ROWS($H$2:H388),$H$2:$H$1001,0),0), INDEX($O$1004:$Q$1004,1,MATCH(COLUMNS($O$1006:Q1006),$O$1006:$Q$1006,0)))),"Fix")))</f>
        <v xml:space="preserve"> </v>
      </c>
      <c r="H388">
        <v>387</v>
      </c>
      <c r="I388">
        <v>100388</v>
      </c>
      <c r="J388">
        <v>388</v>
      </c>
      <c r="K388" t="b">
        <f t="shared" si="6"/>
        <v>1</v>
      </c>
      <c r="L388" t="b">
        <f>COUNTBLANK(metadata!B388:D388)=COLUMNS(metadata!B388:D388)</f>
        <v>1</v>
      </c>
      <c r="M388" t="str">
        <v/>
      </c>
      <c r="O388" t="b">
        <f ca="1"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P388" t="b">
        <f>AND(IF(metadata!C388="",FALSE,TRUE),EXACT(metadata!C388,"mouse gut metagenome"))</f>
        <v>0</v>
      </c>
      <c r="Q388" t="b">
        <f>AND(IF(metadata!D388="",FALSE,TRUE),EXACT(metadata!D388,"410661"))</f>
        <v>0</v>
      </c>
    </row>
    <row r="389" spans="1:17" x14ac:dyDescent="0.2">
      <c r="A389" s="4" t="str">
        <f ca="1">IF(B389=" "," ",HYPERLINK(CONCATENATE("#metadata!",ADDRESS(INDEX($J$2:$J$1001,MATCH(ROWS($H$2:H389),$H$2:$H$1001,0),0),1)),INDEX($M$2:$M$1001,MATCH(ROWS($H$2:H389),$H$2:$H$1001,0),0)))</f>
        <v xml:space="preserve"> </v>
      </c>
      <c r="B389" s="3" t="str">
        <f ca="1">IF(OR(INDEX($I$2:$I$1001,MATCH(ROWS($H$2:H389),$H$2:$H$1001,0),1)&gt;=100000,INDEX($O$1005:$Q$1005,1,MATCH(COLUMNS($O$1006:O1006),$O$1006:$Q$1006,0))&gt;=100000), " ",IF(INDEX($O$2:$Q$1001,MATCH(ROWS($H$2:H389),$H$2:$H$1001,0),MATCH(COLUMNS($O$1006:O1006),$O$1006:$Q$1006,0)), HYPERLINK("#",""), HYPERLINK(CONCATENATE("#metadata!", ADDRESS(INDEX($J$2:$J$1001,MATCH(ROWS($H$2:H389),$H$2:$H$1001,0),0), INDEX($O$1004:$Q$1004,1,MATCH(COLUMNS($O$1006:O1006),$O$1006:$Q$1006,0)))),"Fix")))</f>
        <v xml:space="preserve"> </v>
      </c>
      <c r="C389" s="3" t="str">
        <f ca="1">IF(OR(INDEX($I$2:$I$1001,MATCH(ROWS($H$2:H389),$H$2:$H$1001,0),1)&gt;=100000,INDEX($O$1005:$Q$1005,1,MATCH(COLUMNS($O$1006:P1006),$O$1006:$Q$1006,0))&gt;=100000), " ",IF(INDEX($O$2:$Q$1001,MATCH(ROWS($H$2:H389),$H$2:$H$1001,0),MATCH(COLUMNS($O$1006:P1006),$O$1006:$Q$1006,0)), HYPERLINK("#",""), HYPERLINK(CONCATENATE("#metadata!", ADDRESS(INDEX($J$2:$J$1001,MATCH(ROWS($H$2:H389),$H$2:$H$1001,0),0), INDEX($O$1004:$Q$1004,1,MATCH(COLUMNS($O$1006:P1006),$O$1006:$Q$1006,0)))),"Fix")))</f>
        <v xml:space="preserve"> </v>
      </c>
      <c r="D389" s="3" t="str">
        <f ca="1">IF(OR(INDEX($I$2:$I$1001,MATCH(ROWS($H$2:H389),$H$2:$H$1001,0),1)&gt;=100000,INDEX($O$1005:$Q$1005,1,MATCH(COLUMNS($O$1006:Q1006),$O$1006:$Q$1006,0))&gt;=100000), " ",IF(INDEX($O$2:$Q$1001,MATCH(ROWS($H$2:H389),$H$2:$H$1001,0),MATCH(COLUMNS($O$1006:Q1006),$O$1006:$Q$1006,0)), HYPERLINK("#",""), HYPERLINK(CONCATENATE("#metadata!", ADDRESS(INDEX($J$2:$J$1001,MATCH(ROWS($H$2:H389),$H$2:$H$1001,0),0), INDEX($O$1004:$Q$1004,1,MATCH(COLUMNS($O$1006:Q1006),$O$1006:$Q$1006,0)))),"Fix")))</f>
        <v xml:space="preserve"> </v>
      </c>
      <c r="H389">
        <v>388</v>
      </c>
      <c r="I389">
        <v>100389</v>
      </c>
      <c r="J389">
        <v>389</v>
      </c>
      <c r="K389" t="b">
        <f t="shared" si="6"/>
        <v>1</v>
      </c>
      <c r="L389" t="b">
        <f>COUNTBLANK(metadata!B389:D389)=COLUMNS(metadata!B389:D389)</f>
        <v>1</v>
      </c>
      <c r="M389" t="str">
        <v/>
      </c>
      <c r="O389" t="b">
        <f ca="1"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P389" t="b">
        <f>AND(IF(metadata!C389="",FALSE,TRUE),EXACT(metadata!C389,"mouse gut metagenome"))</f>
        <v>0</v>
      </c>
      <c r="Q389" t="b">
        <f>AND(IF(metadata!D389="",FALSE,TRUE),EXACT(metadata!D389,"410661"))</f>
        <v>0</v>
      </c>
    </row>
    <row r="390" spans="1:17" x14ac:dyDescent="0.2">
      <c r="A390" s="4" t="str">
        <f ca="1">IF(B390=" "," ",HYPERLINK(CONCATENATE("#metadata!",ADDRESS(INDEX($J$2:$J$1001,MATCH(ROWS($H$2:H390),$H$2:$H$1001,0),0),1)),INDEX($M$2:$M$1001,MATCH(ROWS($H$2:H390),$H$2:$H$1001,0),0)))</f>
        <v xml:space="preserve"> </v>
      </c>
      <c r="B390" s="3" t="str">
        <f ca="1">IF(OR(INDEX($I$2:$I$1001,MATCH(ROWS($H$2:H390),$H$2:$H$1001,0),1)&gt;=100000,INDEX($O$1005:$Q$1005,1,MATCH(COLUMNS($O$1006:O1006),$O$1006:$Q$1006,0))&gt;=100000), " ",IF(INDEX($O$2:$Q$1001,MATCH(ROWS($H$2:H390),$H$2:$H$1001,0),MATCH(COLUMNS($O$1006:O1006),$O$1006:$Q$1006,0)), HYPERLINK("#",""), HYPERLINK(CONCATENATE("#metadata!", ADDRESS(INDEX($J$2:$J$1001,MATCH(ROWS($H$2:H390),$H$2:$H$1001,0),0), INDEX($O$1004:$Q$1004,1,MATCH(COLUMNS($O$1006:O1006),$O$1006:$Q$1006,0)))),"Fix")))</f>
        <v xml:space="preserve"> </v>
      </c>
      <c r="C390" s="3" t="str">
        <f ca="1">IF(OR(INDEX($I$2:$I$1001,MATCH(ROWS($H$2:H390),$H$2:$H$1001,0),1)&gt;=100000,INDEX($O$1005:$Q$1005,1,MATCH(COLUMNS($O$1006:P1006),$O$1006:$Q$1006,0))&gt;=100000), " ",IF(INDEX($O$2:$Q$1001,MATCH(ROWS($H$2:H390),$H$2:$H$1001,0),MATCH(COLUMNS($O$1006:P1006),$O$1006:$Q$1006,0)), HYPERLINK("#",""), HYPERLINK(CONCATENATE("#metadata!", ADDRESS(INDEX($J$2:$J$1001,MATCH(ROWS($H$2:H390),$H$2:$H$1001,0),0), INDEX($O$1004:$Q$1004,1,MATCH(COLUMNS($O$1006:P1006),$O$1006:$Q$1006,0)))),"Fix")))</f>
        <v xml:space="preserve"> </v>
      </c>
      <c r="D390" s="3" t="str">
        <f ca="1">IF(OR(INDEX($I$2:$I$1001,MATCH(ROWS($H$2:H390),$H$2:$H$1001,0),1)&gt;=100000,INDEX($O$1005:$Q$1005,1,MATCH(COLUMNS($O$1006:Q1006),$O$1006:$Q$1006,0))&gt;=100000), " ",IF(INDEX($O$2:$Q$1001,MATCH(ROWS($H$2:H390),$H$2:$H$1001,0),MATCH(COLUMNS($O$1006:Q1006),$O$1006:$Q$1006,0)), HYPERLINK("#",""), HYPERLINK(CONCATENATE("#metadata!", ADDRESS(INDEX($J$2:$J$1001,MATCH(ROWS($H$2:H390),$H$2:$H$1001,0),0), INDEX($O$1004:$Q$1004,1,MATCH(COLUMNS($O$1006:Q1006),$O$1006:$Q$1006,0)))),"Fix")))</f>
        <v xml:space="preserve"> </v>
      </c>
      <c r="H390">
        <v>389</v>
      </c>
      <c r="I390">
        <v>100390</v>
      </c>
      <c r="J390">
        <v>390</v>
      </c>
      <c r="K390" t="b">
        <f t="shared" si="6"/>
        <v>1</v>
      </c>
      <c r="L390" t="b">
        <f>COUNTBLANK(metadata!B390:D390)=COLUMNS(metadata!B390:D390)</f>
        <v>1</v>
      </c>
      <c r="M390" t="str">
        <v/>
      </c>
      <c r="O390" t="b">
        <f ca="1"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P390" t="b">
        <f>AND(IF(metadata!C390="",FALSE,TRUE),EXACT(metadata!C390,"mouse gut metagenome"))</f>
        <v>0</v>
      </c>
      <c r="Q390" t="b">
        <f>AND(IF(metadata!D390="",FALSE,TRUE),EXACT(metadata!D390,"410661"))</f>
        <v>0</v>
      </c>
    </row>
    <row r="391" spans="1:17" x14ac:dyDescent="0.2">
      <c r="A391" s="4" t="str">
        <f ca="1">IF(B391=" "," ",HYPERLINK(CONCATENATE("#metadata!",ADDRESS(INDEX($J$2:$J$1001,MATCH(ROWS($H$2:H391),$H$2:$H$1001,0),0),1)),INDEX($M$2:$M$1001,MATCH(ROWS($H$2:H391),$H$2:$H$1001,0),0)))</f>
        <v xml:space="preserve"> </v>
      </c>
      <c r="B391" s="3" t="str">
        <f ca="1">IF(OR(INDEX($I$2:$I$1001,MATCH(ROWS($H$2:H391),$H$2:$H$1001,0),1)&gt;=100000,INDEX($O$1005:$Q$1005,1,MATCH(COLUMNS($O$1006:O1006),$O$1006:$Q$1006,0))&gt;=100000), " ",IF(INDEX($O$2:$Q$1001,MATCH(ROWS($H$2:H391),$H$2:$H$1001,0),MATCH(COLUMNS($O$1006:O1006),$O$1006:$Q$1006,0)), HYPERLINK("#",""), HYPERLINK(CONCATENATE("#metadata!", ADDRESS(INDEX($J$2:$J$1001,MATCH(ROWS($H$2:H391),$H$2:$H$1001,0),0), INDEX($O$1004:$Q$1004,1,MATCH(COLUMNS($O$1006:O1006),$O$1006:$Q$1006,0)))),"Fix")))</f>
        <v xml:space="preserve"> </v>
      </c>
      <c r="C391" s="3" t="str">
        <f ca="1">IF(OR(INDEX($I$2:$I$1001,MATCH(ROWS($H$2:H391),$H$2:$H$1001,0),1)&gt;=100000,INDEX($O$1005:$Q$1005,1,MATCH(COLUMNS($O$1006:P1006),$O$1006:$Q$1006,0))&gt;=100000), " ",IF(INDEX($O$2:$Q$1001,MATCH(ROWS($H$2:H391),$H$2:$H$1001,0),MATCH(COLUMNS($O$1006:P1006),$O$1006:$Q$1006,0)), HYPERLINK("#",""), HYPERLINK(CONCATENATE("#metadata!", ADDRESS(INDEX($J$2:$J$1001,MATCH(ROWS($H$2:H391),$H$2:$H$1001,0),0), INDEX($O$1004:$Q$1004,1,MATCH(COLUMNS($O$1006:P1006),$O$1006:$Q$1006,0)))),"Fix")))</f>
        <v xml:space="preserve"> </v>
      </c>
      <c r="D391" s="3" t="str">
        <f ca="1">IF(OR(INDEX($I$2:$I$1001,MATCH(ROWS($H$2:H391),$H$2:$H$1001,0),1)&gt;=100000,INDEX($O$1005:$Q$1005,1,MATCH(COLUMNS($O$1006:Q1006),$O$1006:$Q$1006,0))&gt;=100000), " ",IF(INDEX($O$2:$Q$1001,MATCH(ROWS($H$2:H391),$H$2:$H$1001,0),MATCH(COLUMNS($O$1006:Q1006),$O$1006:$Q$1006,0)), HYPERLINK("#",""), HYPERLINK(CONCATENATE("#metadata!", ADDRESS(INDEX($J$2:$J$1001,MATCH(ROWS($H$2:H391),$H$2:$H$1001,0),0), INDEX($O$1004:$Q$1004,1,MATCH(COLUMNS($O$1006:Q1006),$O$1006:$Q$1006,0)))),"Fix")))</f>
        <v xml:space="preserve"> </v>
      </c>
      <c r="H391">
        <v>390</v>
      </c>
      <c r="I391">
        <v>100391</v>
      </c>
      <c r="J391">
        <v>391</v>
      </c>
      <c r="K391" t="b">
        <f t="shared" si="6"/>
        <v>1</v>
      </c>
      <c r="L391" t="b">
        <f>COUNTBLANK(metadata!B391:D391)=COLUMNS(metadata!B391:D391)</f>
        <v>1</v>
      </c>
      <c r="M391" t="str">
        <v/>
      </c>
      <c r="O391" t="b">
        <f ca="1"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P391" t="b">
        <f>AND(IF(metadata!C391="",FALSE,TRUE),EXACT(metadata!C391,"mouse gut metagenome"))</f>
        <v>0</v>
      </c>
      <c r="Q391" t="b">
        <f>AND(IF(metadata!D391="",FALSE,TRUE),EXACT(metadata!D391,"410661"))</f>
        <v>0</v>
      </c>
    </row>
    <row r="392" spans="1:17" x14ac:dyDescent="0.2">
      <c r="A392" s="4" t="str">
        <f ca="1">IF(B392=" "," ",HYPERLINK(CONCATENATE("#metadata!",ADDRESS(INDEX($J$2:$J$1001,MATCH(ROWS($H$2:H392),$H$2:$H$1001,0),0),1)),INDEX($M$2:$M$1001,MATCH(ROWS($H$2:H392),$H$2:$H$1001,0),0)))</f>
        <v xml:space="preserve"> </v>
      </c>
      <c r="B392" s="3" t="str">
        <f ca="1">IF(OR(INDEX($I$2:$I$1001,MATCH(ROWS($H$2:H392),$H$2:$H$1001,0),1)&gt;=100000,INDEX($O$1005:$Q$1005,1,MATCH(COLUMNS($O$1006:O1006),$O$1006:$Q$1006,0))&gt;=100000), " ",IF(INDEX($O$2:$Q$1001,MATCH(ROWS($H$2:H392),$H$2:$H$1001,0),MATCH(COLUMNS($O$1006:O1006),$O$1006:$Q$1006,0)), HYPERLINK("#",""), HYPERLINK(CONCATENATE("#metadata!", ADDRESS(INDEX($J$2:$J$1001,MATCH(ROWS($H$2:H392),$H$2:$H$1001,0),0), INDEX($O$1004:$Q$1004,1,MATCH(COLUMNS($O$1006:O1006),$O$1006:$Q$1006,0)))),"Fix")))</f>
        <v xml:space="preserve"> </v>
      </c>
      <c r="C392" s="3" t="str">
        <f ca="1">IF(OR(INDEX($I$2:$I$1001,MATCH(ROWS($H$2:H392),$H$2:$H$1001,0),1)&gt;=100000,INDEX($O$1005:$Q$1005,1,MATCH(COLUMNS($O$1006:P1006),$O$1006:$Q$1006,0))&gt;=100000), " ",IF(INDEX($O$2:$Q$1001,MATCH(ROWS($H$2:H392),$H$2:$H$1001,0),MATCH(COLUMNS($O$1006:P1006),$O$1006:$Q$1006,0)), HYPERLINK("#",""), HYPERLINK(CONCATENATE("#metadata!", ADDRESS(INDEX($J$2:$J$1001,MATCH(ROWS($H$2:H392),$H$2:$H$1001,0),0), INDEX($O$1004:$Q$1004,1,MATCH(COLUMNS($O$1006:P1006),$O$1006:$Q$1006,0)))),"Fix")))</f>
        <v xml:space="preserve"> </v>
      </c>
      <c r="D392" s="3" t="str">
        <f ca="1">IF(OR(INDEX($I$2:$I$1001,MATCH(ROWS($H$2:H392),$H$2:$H$1001,0),1)&gt;=100000,INDEX($O$1005:$Q$1005,1,MATCH(COLUMNS($O$1006:Q1006),$O$1006:$Q$1006,0))&gt;=100000), " ",IF(INDEX($O$2:$Q$1001,MATCH(ROWS($H$2:H392),$H$2:$H$1001,0),MATCH(COLUMNS($O$1006:Q1006),$O$1006:$Q$1006,0)), HYPERLINK("#",""), HYPERLINK(CONCATENATE("#metadata!", ADDRESS(INDEX($J$2:$J$1001,MATCH(ROWS($H$2:H392),$H$2:$H$1001,0),0), INDEX($O$1004:$Q$1004,1,MATCH(COLUMNS($O$1006:Q1006),$O$1006:$Q$1006,0)))),"Fix")))</f>
        <v xml:space="preserve"> </v>
      </c>
      <c r="H392">
        <v>391</v>
      </c>
      <c r="I392">
        <v>100392</v>
      </c>
      <c r="J392">
        <v>392</v>
      </c>
      <c r="K392" t="b">
        <f t="shared" si="6"/>
        <v>1</v>
      </c>
      <c r="L392" t="b">
        <f>COUNTBLANK(metadata!B392:D392)=COLUMNS(metadata!B392:D392)</f>
        <v>1</v>
      </c>
      <c r="M392" t="str">
        <v/>
      </c>
      <c r="O392" t="b">
        <f ca="1"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P392" t="b">
        <f>AND(IF(metadata!C392="",FALSE,TRUE),EXACT(metadata!C392,"mouse gut metagenome"))</f>
        <v>0</v>
      </c>
      <c r="Q392" t="b">
        <f>AND(IF(metadata!D392="",FALSE,TRUE),EXACT(metadata!D392,"410661"))</f>
        <v>0</v>
      </c>
    </row>
    <row r="393" spans="1:17" x14ac:dyDescent="0.2">
      <c r="A393" s="4" t="str">
        <f ca="1">IF(B393=" "," ",HYPERLINK(CONCATENATE("#metadata!",ADDRESS(INDEX($J$2:$J$1001,MATCH(ROWS($H$2:H393),$H$2:$H$1001,0),0),1)),INDEX($M$2:$M$1001,MATCH(ROWS($H$2:H393),$H$2:$H$1001,0),0)))</f>
        <v xml:space="preserve"> </v>
      </c>
      <c r="B393" s="3" t="str">
        <f ca="1">IF(OR(INDEX($I$2:$I$1001,MATCH(ROWS($H$2:H393),$H$2:$H$1001,0),1)&gt;=100000,INDEX($O$1005:$Q$1005,1,MATCH(COLUMNS($O$1006:O1006),$O$1006:$Q$1006,0))&gt;=100000), " ",IF(INDEX($O$2:$Q$1001,MATCH(ROWS($H$2:H393),$H$2:$H$1001,0),MATCH(COLUMNS($O$1006:O1006),$O$1006:$Q$1006,0)), HYPERLINK("#",""), HYPERLINK(CONCATENATE("#metadata!", ADDRESS(INDEX($J$2:$J$1001,MATCH(ROWS($H$2:H393),$H$2:$H$1001,0),0), INDEX($O$1004:$Q$1004,1,MATCH(COLUMNS($O$1006:O1006),$O$1006:$Q$1006,0)))),"Fix")))</f>
        <v xml:space="preserve"> </v>
      </c>
      <c r="C393" s="3" t="str">
        <f ca="1">IF(OR(INDEX($I$2:$I$1001,MATCH(ROWS($H$2:H393),$H$2:$H$1001,0),1)&gt;=100000,INDEX($O$1005:$Q$1005,1,MATCH(COLUMNS($O$1006:P1006),$O$1006:$Q$1006,0))&gt;=100000), " ",IF(INDEX($O$2:$Q$1001,MATCH(ROWS($H$2:H393),$H$2:$H$1001,0),MATCH(COLUMNS($O$1006:P1006),$O$1006:$Q$1006,0)), HYPERLINK("#",""), HYPERLINK(CONCATENATE("#metadata!", ADDRESS(INDEX($J$2:$J$1001,MATCH(ROWS($H$2:H393),$H$2:$H$1001,0),0), INDEX($O$1004:$Q$1004,1,MATCH(COLUMNS($O$1006:P1006),$O$1006:$Q$1006,0)))),"Fix")))</f>
        <v xml:space="preserve"> </v>
      </c>
      <c r="D393" s="3" t="str">
        <f ca="1">IF(OR(INDEX($I$2:$I$1001,MATCH(ROWS($H$2:H393),$H$2:$H$1001,0),1)&gt;=100000,INDEX($O$1005:$Q$1005,1,MATCH(COLUMNS($O$1006:Q1006),$O$1006:$Q$1006,0))&gt;=100000), " ",IF(INDEX($O$2:$Q$1001,MATCH(ROWS($H$2:H393),$H$2:$H$1001,0),MATCH(COLUMNS($O$1006:Q1006),$O$1006:$Q$1006,0)), HYPERLINK("#",""), HYPERLINK(CONCATENATE("#metadata!", ADDRESS(INDEX($J$2:$J$1001,MATCH(ROWS($H$2:H393),$H$2:$H$1001,0),0), INDEX($O$1004:$Q$1004,1,MATCH(COLUMNS($O$1006:Q1006),$O$1006:$Q$1006,0)))),"Fix")))</f>
        <v xml:space="preserve"> </v>
      </c>
      <c r="H393">
        <v>392</v>
      </c>
      <c r="I393">
        <v>100393</v>
      </c>
      <c r="J393">
        <v>393</v>
      </c>
      <c r="K393" t="b">
        <f t="shared" si="6"/>
        <v>1</v>
      </c>
      <c r="L393" t="b">
        <f>COUNTBLANK(metadata!B393:D393)=COLUMNS(metadata!B393:D393)</f>
        <v>1</v>
      </c>
      <c r="M393" t="str">
        <v/>
      </c>
      <c r="O393" t="b">
        <f ca="1"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P393" t="b">
        <f>AND(IF(metadata!C393="",FALSE,TRUE),EXACT(metadata!C393,"mouse gut metagenome"))</f>
        <v>0</v>
      </c>
      <c r="Q393" t="b">
        <f>AND(IF(metadata!D393="",FALSE,TRUE),EXACT(metadata!D393,"410661"))</f>
        <v>0</v>
      </c>
    </row>
    <row r="394" spans="1:17" x14ac:dyDescent="0.2">
      <c r="A394" s="4" t="str">
        <f ca="1">IF(B394=" "," ",HYPERLINK(CONCATENATE("#metadata!",ADDRESS(INDEX($J$2:$J$1001,MATCH(ROWS($H$2:H394),$H$2:$H$1001,0),0),1)),INDEX($M$2:$M$1001,MATCH(ROWS($H$2:H394),$H$2:$H$1001,0),0)))</f>
        <v xml:space="preserve"> </v>
      </c>
      <c r="B394" s="3" t="str">
        <f ca="1">IF(OR(INDEX($I$2:$I$1001,MATCH(ROWS($H$2:H394),$H$2:$H$1001,0),1)&gt;=100000,INDEX($O$1005:$Q$1005,1,MATCH(COLUMNS($O$1006:O1006),$O$1006:$Q$1006,0))&gt;=100000), " ",IF(INDEX($O$2:$Q$1001,MATCH(ROWS($H$2:H394),$H$2:$H$1001,0),MATCH(COLUMNS($O$1006:O1006),$O$1006:$Q$1006,0)), HYPERLINK("#",""), HYPERLINK(CONCATENATE("#metadata!", ADDRESS(INDEX($J$2:$J$1001,MATCH(ROWS($H$2:H394),$H$2:$H$1001,0),0), INDEX($O$1004:$Q$1004,1,MATCH(COLUMNS($O$1006:O1006),$O$1006:$Q$1006,0)))),"Fix")))</f>
        <v xml:space="preserve"> </v>
      </c>
      <c r="C394" s="3" t="str">
        <f ca="1">IF(OR(INDEX($I$2:$I$1001,MATCH(ROWS($H$2:H394),$H$2:$H$1001,0),1)&gt;=100000,INDEX($O$1005:$Q$1005,1,MATCH(COLUMNS($O$1006:P1006),$O$1006:$Q$1006,0))&gt;=100000), " ",IF(INDEX($O$2:$Q$1001,MATCH(ROWS($H$2:H394),$H$2:$H$1001,0),MATCH(COLUMNS($O$1006:P1006),$O$1006:$Q$1006,0)), HYPERLINK("#",""), HYPERLINK(CONCATENATE("#metadata!", ADDRESS(INDEX($J$2:$J$1001,MATCH(ROWS($H$2:H394),$H$2:$H$1001,0),0), INDEX($O$1004:$Q$1004,1,MATCH(COLUMNS($O$1006:P1006),$O$1006:$Q$1006,0)))),"Fix")))</f>
        <v xml:space="preserve"> </v>
      </c>
      <c r="D394" s="3" t="str">
        <f ca="1">IF(OR(INDEX($I$2:$I$1001,MATCH(ROWS($H$2:H394),$H$2:$H$1001,0),1)&gt;=100000,INDEX($O$1005:$Q$1005,1,MATCH(COLUMNS($O$1006:Q1006),$O$1006:$Q$1006,0))&gt;=100000), " ",IF(INDEX($O$2:$Q$1001,MATCH(ROWS($H$2:H394),$H$2:$H$1001,0),MATCH(COLUMNS($O$1006:Q1006),$O$1006:$Q$1006,0)), HYPERLINK("#",""), HYPERLINK(CONCATENATE("#metadata!", ADDRESS(INDEX($J$2:$J$1001,MATCH(ROWS($H$2:H394),$H$2:$H$1001,0),0), INDEX($O$1004:$Q$1004,1,MATCH(COLUMNS($O$1006:Q1006),$O$1006:$Q$1006,0)))),"Fix")))</f>
        <v xml:space="preserve"> </v>
      </c>
      <c r="H394">
        <v>393</v>
      </c>
      <c r="I394">
        <v>100394</v>
      </c>
      <c r="J394">
        <v>394</v>
      </c>
      <c r="K394" t="b">
        <f t="shared" si="6"/>
        <v>1</v>
      </c>
      <c r="L394" t="b">
        <f>COUNTBLANK(metadata!B394:D394)=COLUMNS(metadata!B394:D394)</f>
        <v>1</v>
      </c>
      <c r="M394" t="str">
        <v/>
      </c>
      <c r="O394" t="b">
        <f ca="1"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P394" t="b">
        <f>AND(IF(metadata!C394="",FALSE,TRUE),EXACT(metadata!C394,"mouse gut metagenome"))</f>
        <v>0</v>
      </c>
      <c r="Q394" t="b">
        <f>AND(IF(metadata!D394="",FALSE,TRUE),EXACT(metadata!D394,"410661"))</f>
        <v>0</v>
      </c>
    </row>
    <row r="395" spans="1:17" x14ac:dyDescent="0.2">
      <c r="A395" s="4" t="str">
        <f ca="1">IF(B395=" "," ",HYPERLINK(CONCATENATE("#metadata!",ADDRESS(INDEX($J$2:$J$1001,MATCH(ROWS($H$2:H395),$H$2:$H$1001,0),0),1)),INDEX($M$2:$M$1001,MATCH(ROWS($H$2:H395),$H$2:$H$1001,0),0)))</f>
        <v xml:space="preserve"> </v>
      </c>
      <c r="B395" s="3" t="str">
        <f ca="1">IF(OR(INDEX($I$2:$I$1001,MATCH(ROWS($H$2:H395),$H$2:$H$1001,0),1)&gt;=100000,INDEX($O$1005:$Q$1005,1,MATCH(COLUMNS($O$1006:O1006),$O$1006:$Q$1006,0))&gt;=100000), " ",IF(INDEX($O$2:$Q$1001,MATCH(ROWS($H$2:H395),$H$2:$H$1001,0),MATCH(COLUMNS($O$1006:O1006),$O$1006:$Q$1006,0)), HYPERLINK("#",""), HYPERLINK(CONCATENATE("#metadata!", ADDRESS(INDEX($J$2:$J$1001,MATCH(ROWS($H$2:H395),$H$2:$H$1001,0),0), INDEX($O$1004:$Q$1004,1,MATCH(COLUMNS($O$1006:O1006),$O$1006:$Q$1006,0)))),"Fix")))</f>
        <v xml:space="preserve"> </v>
      </c>
      <c r="C395" s="3" t="str">
        <f ca="1">IF(OR(INDEX($I$2:$I$1001,MATCH(ROWS($H$2:H395),$H$2:$H$1001,0),1)&gt;=100000,INDEX($O$1005:$Q$1005,1,MATCH(COLUMNS($O$1006:P1006),$O$1006:$Q$1006,0))&gt;=100000), " ",IF(INDEX($O$2:$Q$1001,MATCH(ROWS($H$2:H395),$H$2:$H$1001,0),MATCH(COLUMNS($O$1006:P1006),$O$1006:$Q$1006,0)), HYPERLINK("#",""), HYPERLINK(CONCATENATE("#metadata!", ADDRESS(INDEX($J$2:$J$1001,MATCH(ROWS($H$2:H395),$H$2:$H$1001,0),0), INDEX($O$1004:$Q$1004,1,MATCH(COLUMNS($O$1006:P1006),$O$1006:$Q$1006,0)))),"Fix")))</f>
        <v xml:space="preserve"> </v>
      </c>
      <c r="D395" s="3" t="str">
        <f ca="1">IF(OR(INDEX($I$2:$I$1001,MATCH(ROWS($H$2:H395),$H$2:$H$1001,0),1)&gt;=100000,INDEX($O$1005:$Q$1005,1,MATCH(COLUMNS($O$1006:Q1006),$O$1006:$Q$1006,0))&gt;=100000), " ",IF(INDEX($O$2:$Q$1001,MATCH(ROWS($H$2:H395),$H$2:$H$1001,0),MATCH(COLUMNS($O$1006:Q1006),$O$1006:$Q$1006,0)), HYPERLINK("#",""), HYPERLINK(CONCATENATE("#metadata!", ADDRESS(INDEX($J$2:$J$1001,MATCH(ROWS($H$2:H395),$H$2:$H$1001,0),0), INDEX($O$1004:$Q$1004,1,MATCH(COLUMNS($O$1006:Q1006),$O$1006:$Q$1006,0)))),"Fix")))</f>
        <v xml:space="preserve"> </v>
      </c>
      <c r="H395">
        <v>394</v>
      </c>
      <c r="I395">
        <v>100395</v>
      </c>
      <c r="J395">
        <v>395</v>
      </c>
      <c r="K395" t="b">
        <f t="shared" si="6"/>
        <v>1</v>
      </c>
      <c r="L395" t="b">
        <f>COUNTBLANK(metadata!B395:D395)=COLUMNS(metadata!B395:D395)</f>
        <v>1</v>
      </c>
      <c r="M395" t="str">
        <v/>
      </c>
      <c r="O395" t="b">
        <f ca="1"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P395" t="b">
        <f>AND(IF(metadata!C395="",FALSE,TRUE),EXACT(metadata!C395,"mouse gut metagenome"))</f>
        <v>0</v>
      </c>
      <c r="Q395" t="b">
        <f>AND(IF(metadata!D395="",FALSE,TRUE),EXACT(metadata!D395,"410661"))</f>
        <v>0</v>
      </c>
    </row>
    <row r="396" spans="1:17" x14ac:dyDescent="0.2">
      <c r="A396" s="4" t="str">
        <f ca="1">IF(B396=" "," ",HYPERLINK(CONCATENATE("#metadata!",ADDRESS(INDEX($J$2:$J$1001,MATCH(ROWS($H$2:H396),$H$2:$H$1001,0),0),1)),INDEX($M$2:$M$1001,MATCH(ROWS($H$2:H396),$H$2:$H$1001,0),0)))</f>
        <v xml:space="preserve"> </v>
      </c>
      <c r="B396" s="3" t="str">
        <f ca="1">IF(OR(INDEX($I$2:$I$1001,MATCH(ROWS($H$2:H396),$H$2:$H$1001,0),1)&gt;=100000,INDEX($O$1005:$Q$1005,1,MATCH(COLUMNS($O$1006:O1006),$O$1006:$Q$1006,0))&gt;=100000), " ",IF(INDEX($O$2:$Q$1001,MATCH(ROWS($H$2:H396),$H$2:$H$1001,0),MATCH(COLUMNS($O$1006:O1006),$O$1006:$Q$1006,0)), HYPERLINK("#",""), HYPERLINK(CONCATENATE("#metadata!", ADDRESS(INDEX($J$2:$J$1001,MATCH(ROWS($H$2:H396),$H$2:$H$1001,0),0), INDEX($O$1004:$Q$1004,1,MATCH(COLUMNS($O$1006:O1006),$O$1006:$Q$1006,0)))),"Fix")))</f>
        <v xml:space="preserve"> </v>
      </c>
      <c r="C396" s="3" t="str">
        <f ca="1">IF(OR(INDEX($I$2:$I$1001,MATCH(ROWS($H$2:H396),$H$2:$H$1001,0),1)&gt;=100000,INDEX($O$1005:$Q$1005,1,MATCH(COLUMNS($O$1006:P1006),$O$1006:$Q$1006,0))&gt;=100000), " ",IF(INDEX($O$2:$Q$1001,MATCH(ROWS($H$2:H396),$H$2:$H$1001,0),MATCH(COLUMNS($O$1006:P1006),$O$1006:$Q$1006,0)), HYPERLINK("#",""), HYPERLINK(CONCATENATE("#metadata!", ADDRESS(INDEX($J$2:$J$1001,MATCH(ROWS($H$2:H396),$H$2:$H$1001,0),0), INDEX($O$1004:$Q$1004,1,MATCH(COLUMNS($O$1006:P1006),$O$1006:$Q$1006,0)))),"Fix")))</f>
        <v xml:space="preserve"> </v>
      </c>
      <c r="D396" s="3" t="str">
        <f ca="1">IF(OR(INDEX($I$2:$I$1001,MATCH(ROWS($H$2:H396),$H$2:$H$1001,0),1)&gt;=100000,INDEX($O$1005:$Q$1005,1,MATCH(COLUMNS($O$1006:Q1006),$O$1006:$Q$1006,0))&gt;=100000), " ",IF(INDEX($O$2:$Q$1001,MATCH(ROWS($H$2:H396),$H$2:$H$1001,0),MATCH(COLUMNS($O$1006:Q1006),$O$1006:$Q$1006,0)), HYPERLINK("#",""), HYPERLINK(CONCATENATE("#metadata!", ADDRESS(INDEX($J$2:$J$1001,MATCH(ROWS($H$2:H396),$H$2:$H$1001,0),0), INDEX($O$1004:$Q$1004,1,MATCH(COLUMNS($O$1006:Q1006),$O$1006:$Q$1006,0)))),"Fix")))</f>
        <v xml:space="preserve"> </v>
      </c>
      <c r="H396">
        <v>395</v>
      </c>
      <c r="I396">
        <v>100396</v>
      </c>
      <c r="J396">
        <v>396</v>
      </c>
      <c r="K396" t="b">
        <f t="shared" si="6"/>
        <v>1</v>
      </c>
      <c r="L396" t="b">
        <f>COUNTBLANK(metadata!B396:D396)=COLUMNS(metadata!B396:D396)</f>
        <v>1</v>
      </c>
      <c r="M396" t="str">
        <v/>
      </c>
      <c r="O396" t="b">
        <f ca="1"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P396" t="b">
        <f>AND(IF(metadata!C396="",FALSE,TRUE),EXACT(metadata!C396,"mouse gut metagenome"))</f>
        <v>0</v>
      </c>
      <c r="Q396" t="b">
        <f>AND(IF(metadata!D396="",FALSE,TRUE),EXACT(metadata!D396,"410661"))</f>
        <v>0</v>
      </c>
    </row>
    <row r="397" spans="1:17" x14ac:dyDescent="0.2">
      <c r="A397" s="4" t="str">
        <f ca="1">IF(B397=" "," ",HYPERLINK(CONCATENATE("#metadata!",ADDRESS(INDEX($J$2:$J$1001,MATCH(ROWS($H$2:H397),$H$2:$H$1001,0),0),1)),INDEX($M$2:$M$1001,MATCH(ROWS($H$2:H397),$H$2:$H$1001,0),0)))</f>
        <v xml:space="preserve"> </v>
      </c>
      <c r="B397" s="3" t="str">
        <f ca="1">IF(OR(INDEX($I$2:$I$1001,MATCH(ROWS($H$2:H397),$H$2:$H$1001,0),1)&gt;=100000,INDEX($O$1005:$Q$1005,1,MATCH(COLUMNS($O$1006:O1006),$O$1006:$Q$1006,0))&gt;=100000), " ",IF(INDEX($O$2:$Q$1001,MATCH(ROWS($H$2:H397),$H$2:$H$1001,0),MATCH(COLUMNS($O$1006:O1006),$O$1006:$Q$1006,0)), HYPERLINK("#",""), HYPERLINK(CONCATENATE("#metadata!", ADDRESS(INDEX($J$2:$J$1001,MATCH(ROWS($H$2:H397),$H$2:$H$1001,0),0), INDEX($O$1004:$Q$1004,1,MATCH(COLUMNS($O$1006:O1006),$O$1006:$Q$1006,0)))),"Fix")))</f>
        <v xml:space="preserve"> </v>
      </c>
      <c r="C397" s="3" t="str">
        <f ca="1">IF(OR(INDEX($I$2:$I$1001,MATCH(ROWS($H$2:H397),$H$2:$H$1001,0),1)&gt;=100000,INDEX($O$1005:$Q$1005,1,MATCH(COLUMNS($O$1006:P1006),$O$1006:$Q$1006,0))&gt;=100000), " ",IF(INDEX($O$2:$Q$1001,MATCH(ROWS($H$2:H397),$H$2:$H$1001,0),MATCH(COLUMNS($O$1006:P1006),$O$1006:$Q$1006,0)), HYPERLINK("#",""), HYPERLINK(CONCATENATE("#metadata!", ADDRESS(INDEX($J$2:$J$1001,MATCH(ROWS($H$2:H397),$H$2:$H$1001,0),0), INDEX($O$1004:$Q$1004,1,MATCH(COLUMNS($O$1006:P1006),$O$1006:$Q$1006,0)))),"Fix")))</f>
        <v xml:space="preserve"> </v>
      </c>
      <c r="D397" s="3" t="str">
        <f ca="1">IF(OR(INDEX($I$2:$I$1001,MATCH(ROWS($H$2:H397),$H$2:$H$1001,0),1)&gt;=100000,INDEX($O$1005:$Q$1005,1,MATCH(COLUMNS($O$1006:Q1006),$O$1006:$Q$1006,0))&gt;=100000), " ",IF(INDEX($O$2:$Q$1001,MATCH(ROWS($H$2:H397),$H$2:$H$1001,0),MATCH(COLUMNS($O$1006:Q1006),$O$1006:$Q$1006,0)), HYPERLINK("#",""), HYPERLINK(CONCATENATE("#metadata!", ADDRESS(INDEX($J$2:$J$1001,MATCH(ROWS($H$2:H397),$H$2:$H$1001,0),0), INDEX($O$1004:$Q$1004,1,MATCH(COLUMNS($O$1006:Q1006),$O$1006:$Q$1006,0)))),"Fix")))</f>
        <v xml:space="preserve"> </v>
      </c>
      <c r="H397">
        <v>396</v>
      </c>
      <c r="I397">
        <v>100397</v>
      </c>
      <c r="J397">
        <v>397</v>
      </c>
      <c r="K397" t="b">
        <f t="shared" si="6"/>
        <v>1</v>
      </c>
      <c r="L397" t="b">
        <f>COUNTBLANK(metadata!B397:D397)=COLUMNS(metadata!B397:D397)</f>
        <v>1</v>
      </c>
      <c r="M397" t="str">
        <v/>
      </c>
      <c r="O397" t="b">
        <f ca="1"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P397" t="b">
        <f>AND(IF(metadata!C397="",FALSE,TRUE),EXACT(metadata!C397,"mouse gut metagenome"))</f>
        <v>0</v>
      </c>
      <c r="Q397" t="b">
        <f>AND(IF(metadata!D397="",FALSE,TRUE),EXACT(metadata!D397,"410661"))</f>
        <v>0</v>
      </c>
    </row>
    <row r="398" spans="1:17" x14ac:dyDescent="0.2">
      <c r="A398" s="4" t="str">
        <f ca="1">IF(B398=" "," ",HYPERLINK(CONCATENATE("#metadata!",ADDRESS(INDEX($J$2:$J$1001,MATCH(ROWS($H$2:H398),$H$2:$H$1001,0),0),1)),INDEX($M$2:$M$1001,MATCH(ROWS($H$2:H398),$H$2:$H$1001,0),0)))</f>
        <v xml:space="preserve"> </v>
      </c>
      <c r="B398" s="3" t="str">
        <f ca="1">IF(OR(INDEX($I$2:$I$1001,MATCH(ROWS($H$2:H398),$H$2:$H$1001,0),1)&gt;=100000,INDEX($O$1005:$Q$1005,1,MATCH(COLUMNS($O$1006:O1006),$O$1006:$Q$1006,0))&gt;=100000), " ",IF(INDEX($O$2:$Q$1001,MATCH(ROWS($H$2:H398),$H$2:$H$1001,0),MATCH(COLUMNS($O$1006:O1006),$O$1006:$Q$1006,0)), HYPERLINK("#",""), HYPERLINK(CONCATENATE("#metadata!", ADDRESS(INDEX($J$2:$J$1001,MATCH(ROWS($H$2:H398),$H$2:$H$1001,0),0), INDEX($O$1004:$Q$1004,1,MATCH(COLUMNS($O$1006:O1006),$O$1006:$Q$1006,0)))),"Fix")))</f>
        <v xml:space="preserve"> </v>
      </c>
      <c r="C398" s="3" t="str">
        <f ca="1">IF(OR(INDEX($I$2:$I$1001,MATCH(ROWS($H$2:H398),$H$2:$H$1001,0),1)&gt;=100000,INDEX($O$1005:$Q$1005,1,MATCH(COLUMNS($O$1006:P1006),$O$1006:$Q$1006,0))&gt;=100000), " ",IF(INDEX($O$2:$Q$1001,MATCH(ROWS($H$2:H398),$H$2:$H$1001,0),MATCH(COLUMNS($O$1006:P1006),$O$1006:$Q$1006,0)), HYPERLINK("#",""), HYPERLINK(CONCATENATE("#metadata!", ADDRESS(INDEX($J$2:$J$1001,MATCH(ROWS($H$2:H398),$H$2:$H$1001,0),0), INDEX($O$1004:$Q$1004,1,MATCH(COLUMNS($O$1006:P1006),$O$1006:$Q$1006,0)))),"Fix")))</f>
        <v xml:space="preserve"> </v>
      </c>
      <c r="D398" s="3" t="str">
        <f ca="1">IF(OR(INDEX($I$2:$I$1001,MATCH(ROWS($H$2:H398),$H$2:$H$1001,0),1)&gt;=100000,INDEX($O$1005:$Q$1005,1,MATCH(COLUMNS($O$1006:Q1006),$O$1006:$Q$1006,0))&gt;=100000), " ",IF(INDEX($O$2:$Q$1001,MATCH(ROWS($H$2:H398),$H$2:$H$1001,0),MATCH(COLUMNS($O$1006:Q1006),$O$1006:$Q$1006,0)), HYPERLINK("#",""), HYPERLINK(CONCATENATE("#metadata!", ADDRESS(INDEX($J$2:$J$1001,MATCH(ROWS($H$2:H398),$H$2:$H$1001,0),0), INDEX($O$1004:$Q$1004,1,MATCH(COLUMNS($O$1006:Q1006),$O$1006:$Q$1006,0)))),"Fix")))</f>
        <v xml:space="preserve"> </v>
      </c>
      <c r="H398">
        <v>397</v>
      </c>
      <c r="I398">
        <v>100398</v>
      </c>
      <c r="J398">
        <v>398</v>
      </c>
      <c r="K398" t="b">
        <f t="shared" si="6"/>
        <v>1</v>
      </c>
      <c r="L398" t="b">
        <f>COUNTBLANK(metadata!B398:D398)=COLUMNS(metadata!B398:D398)</f>
        <v>1</v>
      </c>
      <c r="M398" t="str">
        <v/>
      </c>
      <c r="O398" t="b">
        <f ca="1"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P398" t="b">
        <f>AND(IF(metadata!C398="",FALSE,TRUE),EXACT(metadata!C398,"mouse gut metagenome"))</f>
        <v>0</v>
      </c>
      <c r="Q398" t="b">
        <f>AND(IF(metadata!D398="",FALSE,TRUE),EXACT(metadata!D398,"410661"))</f>
        <v>0</v>
      </c>
    </row>
    <row r="399" spans="1:17" x14ac:dyDescent="0.2">
      <c r="A399" s="4" t="str">
        <f ca="1">IF(B399=" "," ",HYPERLINK(CONCATENATE("#metadata!",ADDRESS(INDEX($J$2:$J$1001,MATCH(ROWS($H$2:H399),$H$2:$H$1001,0),0),1)),INDEX($M$2:$M$1001,MATCH(ROWS($H$2:H399),$H$2:$H$1001,0),0)))</f>
        <v xml:space="preserve"> </v>
      </c>
      <c r="B399" s="3" t="str">
        <f ca="1">IF(OR(INDEX($I$2:$I$1001,MATCH(ROWS($H$2:H399),$H$2:$H$1001,0),1)&gt;=100000,INDEX($O$1005:$Q$1005,1,MATCH(COLUMNS($O$1006:O1006),$O$1006:$Q$1006,0))&gt;=100000), " ",IF(INDEX($O$2:$Q$1001,MATCH(ROWS($H$2:H399),$H$2:$H$1001,0),MATCH(COLUMNS($O$1006:O1006),$O$1006:$Q$1006,0)), HYPERLINK("#",""), HYPERLINK(CONCATENATE("#metadata!", ADDRESS(INDEX($J$2:$J$1001,MATCH(ROWS($H$2:H399),$H$2:$H$1001,0),0), INDEX($O$1004:$Q$1004,1,MATCH(COLUMNS($O$1006:O1006),$O$1006:$Q$1006,0)))),"Fix")))</f>
        <v xml:space="preserve"> </v>
      </c>
      <c r="C399" s="3" t="str">
        <f ca="1">IF(OR(INDEX($I$2:$I$1001,MATCH(ROWS($H$2:H399),$H$2:$H$1001,0),1)&gt;=100000,INDEX($O$1005:$Q$1005,1,MATCH(COLUMNS($O$1006:P1006),$O$1006:$Q$1006,0))&gt;=100000), " ",IF(INDEX($O$2:$Q$1001,MATCH(ROWS($H$2:H399),$H$2:$H$1001,0),MATCH(COLUMNS($O$1006:P1006),$O$1006:$Q$1006,0)), HYPERLINK("#",""), HYPERLINK(CONCATENATE("#metadata!", ADDRESS(INDEX($J$2:$J$1001,MATCH(ROWS($H$2:H399),$H$2:$H$1001,0),0), INDEX($O$1004:$Q$1004,1,MATCH(COLUMNS($O$1006:P1006),$O$1006:$Q$1006,0)))),"Fix")))</f>
        <v xml:space="preserve"> </v>
      </c>
      <c r="D399" s="3" t="str">
        <f ca="1">IF(OR(INDEX($I$2:$I$1001,MATCH(ROWS($H$2:H399),$H$2:$H$1001,0),1)&gt;=100000,INDEX($O$1005:$Q$1005,1,MATCH(COLUMNS($O$1006:Q1006),$O$1006:$Q$1006,0))&gt;=100000), " ",IF(INDEX($O$2:$Q$1001,MATCH(ROWS($H$2:H399),$H$2:$H$1001,0),MATCH(COLUMNS($O$1006:Q1006),$O$1006:$Q$1006,0)), HYPERLINK("#",""), HYPERLINK(CONCATENATE("#metadata!", ADDRESS(INDEX($J$2:$J$1001,MATCH(ROWS($H$2:H399),$H$2:$H$1001,0),0), INDEX($O$1004:$Q$1004,1,MATCH(COLUMNS($O$1006:Q1006),$O$1006:$Q$1006,0)))),"Fix")))</f>
        <v xml:space="preserve"> </v>
      </c>
      <c r="H399">
        <v>398</v>
      </c>
      <c r="I399">
        <v>100399</v>
      </c>
      <c r="J399">
        <v>399</v>
      </c>
      <c r="K399" t="b">
        <f t="shared" si="6"/>
        <v>1</v>
      </c>
      <c r="L399" t="b">
        <f>COUNTBLANK(metadata!B399:D399)=COLUMNS(metadata!B399:D399)</f>
        <v>1</v>
      </c>
      <c r="M399" t="str">
        <v/>
      </c>
      <c r="O399" t="b">
        <f ca="1"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P399" t="b">
        <f>AND(IF(metadata!C399="",FALSE,TRUE),EXACT(metadata!C399,"mouse gut metagenome"))</f>
        <v>0</v>
      </c>
      <c r="Q399" t="b">
        <f>AND(IF(metadata!D399="",FALSE,TRUE),EXACT(metadata!D399,"410661"))</f>
        <v>0</v>
      </c>
    </row>
    <row r="400" spans="1:17" x14ac:dyDescent="0.2">
      <c r="A400" s="4" t="str">
        <f ca="1">IF(B400=" "," ",HYPERLINK(CONCATENATE("#metadata!",ADDRESS(INDEX($J$2:$J$1001,MATCH(ROWS($H$2:H400),$H$2:$H$1001,0),0),1)),INDEX($M$2:$M$1001,MATCH(ROWS($H$2:H400),$H$2:$H$1001,0),0)))</f>
        <v xml:space="preserve"> </v>
      </c>
      <c r="B400" s="3" t="str">
        <f ca="1">IF(OR(INDEX($I$2:$I$1001,MATCH(ROWS($H$2:H400),$H$2:$H$1001,0),1)&gt;=100000,INDEX($O$1005:$Q$1005,1,MATCH(COLUMNS($O$1006:O1006),$O$1006:$Q$1006,0))&gt;=100000), " ",IF(INDEX($O$2:$Q$1001,MATCH(ROWS($H$2:H400),$H$2:$H$1001,0),MATCH(COLUMNS($O$1006:O1006),$O$1006:$Q$1006,0)), HYPERLINK("#",""), HYPERLINK(CONCATENATE("#metadata!", ADDRESS(INDEX($J$2:$J$1001,MATCH(ROWS($H$2:H400),$H$2:$H$1001,0),0), INDEX($O$1004:$Q$1004,1,MATCH(COLUMNS($O$1006:O1006),$O$1006:$Q$1006,0)))),"Fix")))</f>
        <v xml:space="preserve"> </v>
      </c>
      <c r="C400" s="3" t="str">
        <f ca="1">IF(OR(INDEX($I$2:$I$1001,MATCH(ROWS($H$2:H400),$H$2:$H$1001,0),1)&gt;=100000,INDEX($O$1005:$Q$1005,1,MATCH(COLUMNS($O$1006:P1006),$O$1006:$Q$1006,0))&gt;=100000), " ",IF(INDEX($O$2:$Q$1001,MATCH(ROWS($H$2:H400),$H$2:$H$1001,0),MATCH(COLUMNS($O$1006:P1006),$O$1006:$Q$1006,0)), HYPERLINK("#",""), HYPERLINK(CONCATENATE("#metadata!", ADDRESS(INDEX($J$2:$J$1001,MATCH(ROWS($H$2:H400),$H$2:$H$1001,0),0), INDEX($O$1004:$Q$1004,1,MATCH(COLUMNS($O$1006:P1006),$O$1006:$Q$1006,0)))),"Fix")))</f>
        <v xml:space="preserve"> </v>
      </c>
      <c r="D400" s="3" t="str">
        <f ca="1">IF(OR(INDEX($I$2:$I$1001,MATCH(ROWS($H$2:H400),$H$2:$H$1001,0),1)&gt;=100000,INDEX($O$1005:$Q$1005,1,MATCH(COLUMNS($O$1006:Q1006),$O$1006:$Q$1006,0))&gt;=100000), " ",IF(INDEX($O$2:$Q$1001,MATCH(ROWS($H$2:H400),$H$2:$H$1001,0),MATCH(COLUMNS($O$1006:Q1006),$O$1006:$Q$1006,0)), HYPERLINK("#",""), HYPERLINK(CONCATENATE("#metadata!", ADDRESS(INDEX($J$2:$J$1001,MATCH(ROWS($H$2:H400),$H$2:$H$1001,0),0), INDEX($O$1004:$Q$1004,1,MATCH(COLUMNS($O$1006:Q1006),$O$1006:$Q$1006,0)))),"Fix")))</f>
        <v xml:space="preserve"> </v>
      </c>
      <c r="H400">
        <v>399</v>
      </c>
      <c r="I400">
        <v>100400</v>
      </c>
      <c r="J400">
        <v>400</v>
      </c>
      <c r="K400" t="b">
        <f t="shared" si="6"/>
        <v>1</v>
      </c>
      <c r="L400" t="b">
        <f>COUNTBLANK(metadata!B400:D400)=COLUMNS(metadata!B400:D400)</f>
        <v>1</v>
      </c>
      <c r="M400" t="str">
        <v/>
      </c>
      <c r="O400" t="b">
        <f ca="1"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P400" t="b">
        <f>AND(IF(metadata!C400="",FALSE,TRUE),EXACT(metadata!C400,"mouse gut metagenome"))</f>
        <v>0</v>
      </c>
      <c r="Q400" t="b">
        <f>AND(IF(metadata!D400="",FALSE,TRUE),EXACT(metadata!D400,"410661"))</f>
        <v>0</v>
      </c>
    </row>
    <row r="401" spans="1:17" x14ac:dyDescent="0.2">
      <c r="A401" s="4" t="str">
        <f ca="1">IF(B401=" "," ",HYPERLINK(CONCATENATE("#metadata!",ADDRESS(INDEX($J$2:$J$1001,MATCH(ROWS($H$2:H401),$H$2:$H$1001,0),0),1)),INDEX($M$2:$M$1001,MATCH(ROWS($H$2:H401),$H$2:$H$1001,0),0)))</f>
        <v xml:space="preserve"> </v>
      </c>
      <c r="B401" s="3" t="str">
        <f ca="1">IF(OR(INDEX($I$2:$I$1001,MATCH(ROWS($H$2:H401),$H$2:$H$1001,0),1)&gt;=100000,INDEX($O$1005:$Q$1005,1,MATCH(COLUMNS($O$1006:O1006),$O$1006:$Q$1006,0))&gt;=100000), " ",IF(INDEX($O$2:$Q$1001,MATCH(ROWS($H$2:H401),$H$2:$H$1001,0),MATCH(COLUMNS($O$1006:O1006),$O$1006:$Q$1006,0)), HYPERLINK("#",""), HYPERLINK(CONCATENATE("#metadata!", ADDRESS(INDEX($J$2:$J$1001,MATCH(ROWS($H$2:H401),$H$2:$H$1001,0),0), INDEX($O$1004:$Q$1004,1,MATCH(COLUMNS($O$1006:O1006),$O$1006:$Q$1006,0)))),"Fix")))</f>
        <v xml:space="preserve"> </v>
      </c>
      <c r="C401" s="3" t="str">
        <f ca="1">IF(OR(INDEX($I$2:$I$1001,MATCH(ROWS($H$2:H401),$H$2:$H$1001,0),1)&gt;=100000,INDEX($O$1005:$Q$1005,1,MATCH(COLUMNS($O$1006:P1006),$O$1006:$Q$1006,0))&gt;=100000), " ",IF(INDEX($O$2:$Q$1001,MATCH(ROWS($H$2:H401),$H$2:$H$1001,0),MATCH(COLUMNS($O$1006:P1006),$O$1006:$Q$1006,0)), HYPERLINK("#",""), HYPERLINK(CONCATENATE("#metadata!", ADDRESS(INDEX($J$2:$J$1001,MATCH(ROWS($H$2:H401),$H$2:$H$1001,0),0), INDEX($O$1004:$Q$1004,1,MATCH(COLUMNS($O$1006:P1006),$O$1006:$Q$1006,0)))),"Fix")))</f>
        <v xml:space="preserve"> </v>
      </c>
      <c r="D401" s="3" t="str">
        <f ca="1">IF(OR(INDEX($I$2:$I$1001,MATCH(ROWS($H$2:H401),$H$2:$H$1001,0),1)&gt;=100000,INDEX($O$1005:$Q$1005,1,MATCH(COLUMNS($O$1006:Q1006),$O$1006:$Q$1006,0))&gt;=100000), " ",IF(INDEX($O$2:$Q$1001,MATCH(ROWS($H$2:H401),$H$2:$H$1001,0),MATCH(COLUMNS($O$1006:Q1006),$O$1006:$Q$1006,0)), HYPERLINK("#",""), HYPERLINK(CONCATENATE("#metadata!", ADDRESS(INDEX($J$2:$J$1001,MATCH(ROWS($H$2:H401),$H$2:$H$1001,0),0), INDEX($O$1004:$Q$1004,1,MATCH(COLUMNS($O$1006:Q1006),$O$1006:$Q$1006,0)))),"Fix")))</f>
        <v xml:space="preserve"> </v>
      </c>
      <c r="H401">
        <v>400</v>
      </c>
      <c r="I401">
        <v>100401</v>
      </c>
      <c r="J401">
        <v>401</v>
      </c>
      <c r="K401" t="b">
        <f t="shared" si="6"/>
        <v>1</v>
      </c>
      <c r="L401" t="b">
        <f>COUNTBLANK(metadata!B401:D401)=COLUMNS(metadata!B401:D401)</f>
        <v>1</v>
      </c>
      <c r="M401" t="str">
        <v/>
      </c>
      <c r="O401" t="b">
        <f ca="1"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P401" t="b">
        <f>AND(IF(metadata!C401="",FALSE,TRUE),EXACT(metadata!C401,"mouse gut metagenome"))</f>
        <v>0</v>
      </c>
      <c r="Q401" t="b">
        <f>AND(IF(metadata!D401="",FALSE,TRUE),EXACT(metadata!D401,"410661"))</f>
        <v>0</v>
      </c>
    </row>
    <row r="402" spans="1:17" x14ac:dyDescent="0.2">
      <c r="A402" s="4" t="str">
        <f ca="1">IF(B402=" "," ",HYPERLINK(CONCATENATE("#metadata!",ADDRESS(INDEX($J$2:$J$1001,MATCH(ROWS($H$2:H402),$H$2:$H$1001,0),0),1)),INDEX($M$2:$M$1001,MATCH(ROWS($H$2:H402),$H$2:$H$1001,0),0)))</f>
        <v xml:space="preserve"> </v>
      </c>
      <c r="B402" s="3" t="str">
        <f ca="1">IF(OR(INDEX($I$2:$I$1001,MATCH(ROWS($H$2:H402),$H$2:$H$1001,0),1)&gt;=100000,INDEX($O$1005:$Q$1005,1,MATCH(COLUMNS($O$1006:O1006),$O$1006:$Q$1006,0))&gt;=100000), " ",IF(INDEX($O$2:$Q$1001,MATCH(ROWS($H$2:H402),$H$2:$H$1001,0),MATCH(COLUMNS($O$1006:O1006),$O$1006:$Q$1006,0)), HYPERLINK("#",""), HYPERLINK(CONCATENATE("#metadata!", ADDRESS(INDEX($J$2:$J$1001,MATCH(ROWS($H$2:H402),$H$2:$H$1001,0),0), INDEX($O$1004:$Q$1004,1,MATCH(COLUMNS($O$1006:O1006),$O$1006:$Q$1006,0)))),"Fix")))</f>
        <v xml:space="preserve"> </v>
      </c>
      <c r="C402" s="3" t="str">
        <f ca="1">IF(OR(INDEX($I$2:$I$1001,MATCH(ROWS($H$2:H402),$H$2:$H$1001,0),1)&gt;=100000,INDEX($O$1005:$Q$1005,1,MATCH(COLUMNS($O$1006:P1006),$O$1006:$Q$1006,0))&gt;=100000), " ",IF(INDEX($O$2:$Q$1001,MATCH(ROWS($H$2:H402),$H$2:$H$1001,0),MATCH(COLUMNS($O$1006:P1006),$O$1006:$Q$1006,0)), HYPERLINK("#",""), HYPERLINK(CONCATENATE("#metadata!", ADDRESS(INDEX($J$2:$J$1001,MATCH(ROWS($H$2:H402),$H$2:$H$1001,0),0), INDEX($O$1004:$Q$1004,1,MATCH(COLUMNS($O$1006:P1006),$O$1006:$Q$1006,0)))),"Fix")))</f>
        <v xml:space="preserve"> </v>
      </c>
      <c r="D402" s="3" t="str">
        <f ca="1">IF(OR(INDEX($I$2:$I$1001,MATCH(ROWS($H$2:H402),$H$2:$H$1001,0),1)&gt;=100000,INDEX($O$1005:$Q$1005,1,MATCH(COLUMNS($O$1006:Q1006),$O$1006:$Q$1006,0))&gt;=100000), " ",IF(INDEX($O$2:$Q$1001,MATCH(ROWS($H$2:H402),$H$2:$H$1001,0),MATCH(COLUMNS($O$1006:Q1006),$O$1006:$Q$1006,0)), HYPERLINK("#",""), HYPERLINK(CONCATENATE("#metadata!", ADDRESS(INDEX($J$2:$J$1001,MATCH(ROWS($H$2:H402),$H$2:$H$1001,0),0), INDEX($O$1004:$Q$1004,1,MATCH(COLUMNS($O$1006:Q1006),$O$1006:$Q$1006,0)))),"Fix")))</f>
        <v xml:space="preserve"> </v>
      </c>
      <c r="H402">
        <v>401</v>
      </c>
      <c r="I402">
        <v>100402</v>
      </c>
      <c r="J402">
        <v>402</v>
      </c>
      <c r="K402" t="b">
        <f t="shared" si="6"/>
        <v>1</v>
      </c>
      <c r="L402" t="b">
        <f>COUNTBLANK(metadata!B402:D402)=COLUMNS(metadata!B402:D402)</f>
        <v>1</v>
      </c>
      <c r="M402" t="str">
        <v/>
      </c>
      <c r="O402" t="b">
        <f ca="1"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P402" t="b">
        <f>AND(IF(metadata!C402="",FALSE,TRUE),EXACT(metadata!C402,"mouse gut metagenome"))</f>
        <v>0</v>
      </c>
      <c r="Q402" t="b">
        <f>AND(IF(metadata!D402="",FALSE,TRUE),EXACT(metadata!D402,"410661"))</f>
        <v>0</v>
      </c>
    </row>
    <row r="403" spans="1:17" x14ac:dyDescent="0.2">
      <c r="A403" s="4" t="str">
        <f ca="1">IF(B403=" "," ",HYPERLINK(CONCATENATE("#metadata!",ADDRESS(INDEX($J$2:$J$1001,MATCH(ROWS($H$2:H403),$H$2:$H$1001,0),0),1)),INDEX($M$2:$M$1001,MATCH(ROWS($H$2:H403),$H$2:$H$1001,0),0)))</f>
        <v xml:space="preserve"> </v>
      </c>
      <c r="B403" s="3" t="str">
        <f ca="1">IF(OR(INDEX($I$2:$I$1001,MATCH(ROWS($H$2:H403),$H$2:$H$1001,0),1)&gt;=100000,INDEX($O$1005:$Q$1005,1,MATCH(COLUMNS($O$1006:O1006),$O$1006:$Q$1006,0))&gt;=100000), " ",IF(INDEX($O$2:$Q$1001,MATCH(ROWS($H$2:H403),$H$2:$H$1001,0),MATCH(COLUMNS($O$1006:O1006),$O$1006:$Q$1006,0)), HYPERLINK("#",""), HYPERLINK(CONCATENATE("#metadata!", ADDRESS(INDEX($J$2:$J$1001,MATCH(ROWS($H$2:H403),$H$2:$H$1001,0),0), INDEX($O$1004:$Q$1004,1,MATCH(COLUMNS($O$1006:O1006),$O$1006:$Q$1006,0)))),"Fix")))</f>
        <v xml:space="preserve"> </v>
      </c>
      <c r="C403" s="3" t="str">
        <f ca="1">IF(OR(INDEX($I$2:$I$1001,MATCH(ROWS($H$2:H403),$H$2:$H$1001,0),1)&gt;=100000,INDEX($O$1005:$Q$1005,1,MATCH(COLUMNS($O$1006:P1006),$O$1006:$Q$1006,0))&gt;=100000), " ",IF(INDEX($O$2:$Q$1001,MATCH(ROWS($H$2:H403),$H$2:$H$1001,0),MATCH(COLUMNS($O$1006:P1006),$O$1006:$Q$1006,0)), HYPERLINK("#",""), HYPERLINK(CONCATENATE("#metadata!", ADDRESS(INDEX($J$2:$J$1001,MATCH(ROWS($H$2:H403),$H$2:$H$1001,0),0), INDEX($O$1004:$Q$1004,1,MATCH(COLUMNS($O$1006:P1006),$O$1006:$Q$1006,0)))),"Fix")))</f>
        <v xml:space="preserve"> </v>
      </c>
      <c r="D403" s="3" t="str">
        <f ca="1">IF(OR(INDEX($I$2:$I$1001,MATCH(ROWS($H$2:H403),$H$2:$H$1001,0),1)&gt;=100000,INDEX($O$1005:$Q$1005,1,MATCH(COLUMNS($O$1006:Q1006),$O$1006:$Q$1006,0))&gt;=100000), " ",IF(INDEX($O$2:$Q$1001,MATCH(ROWS($H$2:H403),$H$2:$H$1001,0),MATCH(COLUMNS($O$1006:Q1006),$O$1006:$Q$1006,0)), HYPERLINK("#",""), HYPERLINK(CONCATENATE("#metadata!", ADDRESS(INDEX($J$2:$J$1001,MATCH(ROWS($H$2:H403),$H$2:$H$1001,0),0), INDEX($O$1004:$Q$1004,1,MATCH(COLUMNS($O$1006:Q1006),$O$1006:$Q$1006,0)))),"Fix")))</f>
        <v xml:space="preserve"> </v>
      </c>
      <c r="H403">
        <v>402</v>
      </c>
      <c r="I403">
        <v>100403</v>
      </c>
      <c r="J403">
        <v>403</v>
      </c>
      <c r="K403" t="b">
        <f t="shared" si="6"/>
        <v>1</v>
      </c>
      <c r="L403" t="b">
        <f>COUNTBLANK(metadata!B403:D403)=COLUMNS(metadata!B403:D403)</f>
        <v>1</v>
      </c>
      <c r="M403" t="str">
        <v/>
      </c>
      <c r="O403" t="b">
        <f ca="1"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P403" t="b">
        <f>AND(IF(metadata!C403="",FALSE,TRUE),EXACT(metadata!C403,"mouse gut metagenome"))</f>
        <v>0</v>
      </c>
      <c r="Q403" t="b">
        <f>AND(IF(metadata!D403="",FALSE,TRUE),EXACT(metadata!D403,"410661"))</f>
        <v>0</v>
      </c>
    </row>
    <row r="404" spans="1:17" x14ac:dyDescent="0.2">
      <c r="A404" s="4" t="str">
        <f ca="1">IF(B404=" "," ",HYPERLINK(CONCATENATE("#metadata!",ADDRESS(INDEX($J$2:$J$1001,MATCH(ROWS($H$2:H404),$H$2:$H$1001,0),0),1)),INDEX($M$2:$M$1001,MATCH(ROWS($H$2:H404),$H$2:$H$1001,0),0)))</f>
        <v xml:space="preserve"> </v>
      </c>
      <c r="B404" s="3" t="str">
        <f ca="1">IF(OR(INDEX($I$2:$I$1001,MATCH(ROWS($H$2:H404),$H$2:$H$1001,0),1)&gt;=100000,INDEX($O$1005:$Q$1005,1,MATCH(COLUMNS($O$1006:O1006),$O$1006:$Q$1006,0))&gt;=100000), " ",IF(INDEX($O$2:$Q$1001,MATCH(ROWS($H$2:H404),$H$2:$H$1001,0),MATCH(COLUMNS($O$1006:O1006),$O$1006:$Q$1006,0)), HYPERLINK("#",""), HYPERLINK(CONCATENATE("#metadata!", ADDRESS(INDEX($J$2:$J$1001,MATCH(ROWS($H$2:H404),$H$2:$H$1001,0),0), INDEX($O$1004:$Q$1004,1,MATCH(COLUMNS($O$1006:O1006),$O$1006:$Q$1006,0)))),"Fix")))</f>
        <v xml:space="preserve"> </v>
      </c>
      <c r="C404" s="3" t="str">
        <f ca="1">IF(OR(INDEX($I$2:$I$1001,MATCH(ROWS($H$2:H404),$H$2:$H$1001,0),1)&gt;=100000,INDEX($O$1005:$Q$1005,1,MATCH(COLUMNS($O$1006:P1006),$O$1006:$Q$1006,0))&gt;=100000), " ",IF(INDEX($O$2:$Q$1001,MATCH(ROWS($H$2:H404),$H$2:$H$1001,0),MATCH(COLUMNS($O$1006:P1006),$O$1006:$Q$1006,0)), HYPERLINK("#",""), HYPERLINK(CONCATENATE("#metadata!", ADDRESS(INDEX($J$2:$J$1001,MATCH(ROWS($H$2:H404),$H$2:$H$1001,0),0), INDEX($O$1004:$Q$1004,1,MATCH(COLUMNS($O$1006:P1006),$O$1006:$Q$1006,0)))),"Fix")))</f>
        <v xml:space="preserve"> </v>
      </c>
      <c r="D404" s="3" t="str">
        <f ca="1">IF(OR(INDEX($I$2:$I$1001,MATCH(ROWS($H$2:H404),$H$2:$H$1001,0),1)&gt;=100000,INDEX($O$1005:$Q$1005,1,MATCH(COLUMNS($O$1006:Q1006),$O$1006:$Q$1006,0))&gt;=100000), " ",IF(INDEX($O$2:$Q$1001,MATCH(ROWS($H$2:H404),$H$2:$H$1001,0),MATCH(COLUMNS($O$1006:Q1006),$O$1006:$Q$1006,0)), HYPERLINK("#",""), HYPERLINK(CONCATENATE("#metadata!", ADDRESS(INDEX($J$2:$J$1001,MATCH(ROWS($H$2:H404),$H$2:$H$1001,0),0), INDEX($O$1004:$Q$1004,1,MATCH(COLUMNS($O$1006:Q1006),$O$1006:$Q$1006,0)))),"Fix")))</f>
        <v xml:space="preserve"> </v>
      </c>
      <c r="H404">
        <v>403</v>
      </c>
      <c r="I404">
        <v>100404</v>
      </c>
      <c r="J404">
        <v>404</v>
      </c>
      <c r="K404" t="b">
        <f t="shared" si="6"/>
        <v>1</v>
      </c>
      <c r="L404" t="b">
        <f>COUNTBLANK(metadata!B404:D404)=COLUMNS(metadata!B404:D404)</f>
        <v>1</v>
      </c>
      <c r="M404" t="str">
        <v/>
      </c>
      <c r="O404" t="b">
        <f ca="1"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P404" t="b">
        <f>AND(IF(metadata!C404="",FALSE,TRUE),EXACT(metadata!C404,"mouse gut metagenome"))</f>
        <v>0</v>
      </c>
      <c r="Q404" t="b">
        <f>AND(IF(metadata!D404="",FALSE,TRUE),EXACT(metadata!D404,"410661"))</f>
        <v>0</v>
      </c>
    </row>
    <row r="405" spans="1:17" x14ac:dyDescent="0.2">
      <c r="A405" s="4" t="str">
        <f ca="1">IF(B405=" "," ",HYPERLINK(CONCATENATE("#metadata!",ADDRESS(INDEX($J$2:$J$1001,MATCH(ROWS($H$2:H405),$H$2:$H$1001,0),0),1)),INDEX($M$2:$M$1001,MATCH(ROWS($H$2:H405),$H$2:$H$1001,0),0)))</f>
        <v xml:space="preserve"> </v>
      </c>
      <c r="B405" s="3" t="str">
        <f ca="1">IF(OR(INDEX($I$2:$I$1001,MATCH(ROWS($H$2:H405),$H$2:$H$1001,0),1)&gt;=100000,INDEX($O$1005:$Q$1005,1,MATCH(COLUMNS($O$1006:O1006),$O$1006:$Q$1006,0))&gt;=100000), " ",IF(INDEX($O$2:$Q$1001,MATCH(ROWS($H$2:H405),$H$2:$H$1001,0),MATCH(COLUMNS($O$1006:O1006),$O$1006:$Q$1006,0)), HYPERLINK("#",""), HYPERLINK(CONCATENATE("#metadata!", ADDRESS(INDEX($J$2:$J$1001,MATCH(ROWS($H$2:H405),$H$2:$H$1001,0),0), INDEX($O$1004:$Q$1004,1,MATCH(COLUMNS($O$1006:O1006),$O$1006:$Q$1006,0)))),"Fix")))</f>
        <v xml:space="preserve"> </v>
      </c>
      <c r="C405" s="3" t="str">
        <f ca="1">IF(OR(INDEX($I$2:$I$1001,MATCH(ROWS($H$2:H405),$H$2:$H$1001,0),1)&gt;=100000,INDEX($O$1005:$Q$1005,1,MATCH(COLUMNS($O$1006:P1006),$O$1006:$Q$1006,0))&gt;=100000), " ",IF(INDEX($O$2:$Q$1001,MATCH(ROWS($H$2:H405),$H$2:$H$1001,0),MATCH(COLUMNS($O$1006:P1006),$O$1006:$Q$1006,0)), HYPERLINK("#",""), HYPERLINK(CONCATENATE("#metadata!", ADDRESS(INDEX($J$2:$J$1001,MATCH(ROWS($H$2:H405),$H$2:$H$1001,0),0), INDEX($O$1004:$Q$1004,1,MATCH(COLUMNS($O$1006:P1006),$O$1006:$Q$1006,0)))),"Fix")))</f>
        <v xml:space="preserve"> </v>
      </c>
      <c r="D405" s="3" t="str">
        <f ca="1">IF(OR(INDEX($I$2:$I$1001,MATCH(ROWS($H$2:H405),$H$2:$H$1001,0),1)&gt;=100000,INDEX($O$1005:$Q$1005,1,MATCH(COLUMNS($O$1006:Q1006),$O$1006:$Q$1006,0))&gt;=100000), " ",IF(INDEX($O$2:$Q$1001,MATCH(ROWS($H$2:H405),$H$2:$H$1001,0),MATCH(COLUMNS($O$1006:Q1006),$O$1006:$Q$1006,0)), HYPERLINK("#",""), HYPERLINK(CONCATENATE("#metadata!", ADDRESS(INDEX($J$2:$J$1001,MATCH(ROWS($H$2:H405),$H$2:$H$1001,0),0), INDEX($O$1004:$Q$1004,1,MATCH(COLUMNS($O$1006:Q1006),$O$1006:$Q$1006,0)))),"Fix")))</f>
        <v xml:space="preserve"> </v>
      </c>
      <c r="H405">
        <v>404</v>
      </c>
      <c r="I405">
        <v>100405</v>
      </c>
      <c r="J405">
        <v>405</v>
      </c>
      <c r="K405" t="b">
        <f t="shared" si="6"/>
        <v>1</v>
      </c>
      <c r="L405" t="b">
        <f>COUNTBLANK(metadata!B405:D405)=COLUMNS(metadata!B405:D405)</f>
        <v>1</v>
      </c>
      <c r="M405" t="str">
        <v/>
      </c>
      <c r="O405" t="b">
        <f ca="1"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P405" t="b">
        <f>AND(IF(metadata!C405="",FALSE,TRUE),EXACT(metadata!C405,"mouse gut metagenome"))</f>
        <v>0</v>
      </c>
      <c r="Q405" t="b">
        <f>AND(IF(metadata!D405="",FALSE,TRUE),EXACT(metadata!D405,"410661"))</f>
        <v>0</v>
      </c>
    </row>
    <row r="406" spans="1:17" x14ac:dyDescent="0.2">
      <c r="A406" s="4" t="str">
        <f ca="1">IF(B406=" "," ",HYPERLINK(CONCATENATE("#metadata!",ADDRESS(INDEX($J$2:$J$1001,MATCH(ROWS($H$2:H406),$H$2:$H$1001,0),0),1)),INDEX($M$2:$M$1001,MATCH(ROWS($H$2:H406),$H$2:$H$1001,0),0)))</f>
        <v xml:space="preserve"> </v>
      </c>
      <c r="B406" s="3" t="str">
        <f ca="1">IF(OR(INDEX($I$2:$I$1001,MATCH(ROWS($H$2:H406),$H$2:$H$1001,0),1)&gt;=100000,INDEX($O$1005:$Q$1005,1,MATCH(COLUMNS($O$1006:O1006),$O$1006:$Q$1006,0))&gt;=100000), " ",IF(INDEX($O$2:$Q$1001,MATCH(ROWS($H$2:H406),$H$2:$H$1001,0),MATCH(COLUMNS($O$1006:O1006),$O$1006:$Q$1006,0)), HYPERLINK("#",""), HYPERLINK(CONCATENATE("#metadata!", ADDRESS(INDEX($J$2:$J$1001,MATCH(ROWS($H$2:H406),$H$2:$H$1001,0),0), INDEX($O$1004:$Q$1004,1,MATCH(COLUMNS($O$1006:O1006),$O$1006:$Q$1006,0)))),"Fix")))</f>
        <v xml:space="preserve"> </v>
      </c>
      <c r="C406" s="3" t="str">
        <f ca="1">IF(OR(INDEX($I$2:$I$1001,MATCH(ROWS($H$2:H406),$H$2:$H$1001,0),1)&gt;=100000,INDEX($O$1005:$Q$1005,1,MATCH(COLUMNS($O$1006:P1006),$O$1006:$Q$1006,0))&gt;=100000), " ",IF(INDEX($O$2:$Q$1001,MATCH(ROWS($H$2:H406),$H$2:$H$1001,0),MATCH(COLUMNS($O$1006:P1006),$O$1006:$Q$1006,0)), HYPERLINK("#",""), HYPERLINK(CONCATENATE("#metadata!", ADDRESS(INDEX($J$2:$J$1001,MATCH(ROWS($H$2:H406),$H$2:$H$1001,0),0), INDEX($O$1004:$Q$1004,1,MATCH(COLUMNS($O$1006:P1006),$O$1006:$Q$1006,0)))),"Fix")))</f>
        <v xml:space="preserve"> </v>
      </c>
      <c r="D406" s="3" t="str">
        <f ca="1">IF(OR(INDEX($I$2:$I$1001,MATCH(ROWS($H$2:H406),$H$2:$H$1001,0),1)&gt;=100000,INDEX($O$1005:$Q$1005,1,MATCH(COLUMNS($O$1006:Q1006),$O$1006:$Q$1006,0))&gt;=100000), " ",IF(INDEX($O$2:$Q$1001,MATCH(ROWS($H$2:H406),$H$2:$H$1001,0),MATCH(COLUMNS($O$1006:Q1006),$O$1006:$Q$1006,0)), HYPERLINK("#",""), HYPERLINK(CONCATENATE("#metadata!", ADDRESS(INDEX($J$2:$J$1001,MATCH(ROWS($H$2:H406),$H$2:$H$1001,0),0), INDEX($O$1004:$Q$1004,1,MATCH(COLUMNS($O$1006:Q1006),$O$1006:$Q$1006,0)))),"Fix")))</f>
        <v xml:space="preserve"> </v>
      </c>
      <c r="H406">
        <v>405</v>
      </c>
      <c r="I406">
        <v>100406</v>
      </c>
      <c r="J406">
        <v>406</v>
      </c>
      <c r="K406" t="b">
        <f t="shared" si="6"/>
        <v>1</v>
      </c>
      <c r="L406" t="b">
        <f>COUNTBLANK(metadata!B406:D406)=COLUMNS(metadata!B406:D406)</f>
        <v>1</v>
      </c>
      <c r="M406" t="str">
        <v/>
      </c>
      <c r="O406" t="b">
        <f ca="1"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P406" t="b">
        <f>AND(IF(metadata!C406="",FALSE,TRUE),EXACT(metadata!C406,"mouse gut metagenome"))</f>
        <v>0</v>
      </c>
      <c r="Q406" t="b">
        <f>AND(IF(metadata!D406="",FALSE,TRUE),EXACT(metadata!D406,"410661"))</f>
        <v>0</v>
      </c>
    </row>
    <row r="407" spans="1:17" x14ac:dyDescent="0.2">
      <c r="A407" s="4" t="str">
        <f ca="1">IF(B407=" "," ",HYPERLINK(CONCATENATE("#metadata!",ADDRESS(INDEX($J$2:$J$1001,MATCH(ROWS($H$2:H407),$H$2:$H$1001,0),0),1)),INDEX($M$2:$M$1001,MATCH(ROWS($H$2:H407),$H$2:$H$1001,0),0)))</f>
        <v xml:space="preserve"> </v>
      </c>
      <c r="B407" s="3" t="str">
        <f ca="1">IF(OR(INDEX($I$2:$I$1001,MATCH(ROWS($H$2:H407),$H$2:$H$1001,0),1)&gt;=100000,INDEX($O$1005:$Q$1005,1,MATCH(COLUMNS($O$1006:O1006),$O$1006:$Q$1006,0))&gt;=100000), " ",IF(INDEX($O$2:$Q$1001,MATCH(ROWS($H$2:H407),$H$2:$H$1001,0),MATCH(COLUMNS($O$1006:O1006),$O$1006:$Q$1006,0)), HYPERLINK("#",""), HYPERLINK(CONCATENATE("#metadata!", ADDRESS(INDEX($J$2:$J$1001,MATCH(ROWS($H$2:H407),$H$2:$H$1001,0),0), INDEX($O$1004:$Q$1004,1,MATCH(COLUMNS($O$1006:O1006),$O$1006:$Q$1006,0)))),"Fix")))</f>
        <v xml:space="preserve"> </v>
      </c>
      <c r="C407" s="3" t="str">
        <f ca="1">IF(OR(INDEX($I$2:$I$1001,MATCH(ROWS($H$2:H407),$H$2:$H$1001,0),1)&gt;=100000,INDEX($O$1005:$Q$1005,1,MATCH(COLUMNS($O$1006:P1006),$O$1006:$Q$1006,0))&gt;=100000), " ",IF(INDEX($O$2:$Q$1001,MATCH(ROWS($H$2:H407),$H$2:$H$1001,0),MATCH(COLUMNS($O$1006:P1006),$O$1006:$Q$1006,0)), HYPERLINK("#",""), HYPERLINK(CONCATENATE("#metadata!", ADDRESS(INDEX($J$2:$J$1001,MATCH(ROWS($H$2:H407),$H$2:$H$1001,0),0), INDEX($O$1004:$Q$1004,1,MATCH(COLUMNS($O$1006:P1006),$O$1006:$Q$1006,0)))),"Fix")))</f>
        <v xml:space="preserve"> </v>
      </c>
      <c r="D407" s="3" t="str">
        <f ca="1">IF(OR(INDEX($I$2:$I$1001,MATCH(ROWS($H$2:H407),$H$2:$H$1001,0),1)&gt;=100000,INDEX($O$1005:$Q$1005,1,MATCH(COLUMNS($O$1006:Q1006),$O$1006:$Q$1006,0))&gt;=100000), " ",IF(INDEX($O$2:$Q$1001,MATCH(ROWS($H$2:H407),$H$2:$H$1001,0),MATCH(COLUMNS($O$1006:Q1006),$O$1006:$Q$1006,0)), HYPERLINK("#",""), HYPERLINK(CONCATENATE("#metadata!", ADDRESS(INDEX($J$2:$J$1001,MATCH(ROWS($H$2:H407),$H$2:$H$1001,0),0), INDEX($O$1004:$Q$1004,1,MATCH(COLUMNS($O$1006:Q1006),$O$1006:$Q$1006,0)))),"Fix")))</f>
        <v xml:space="preserve"> </v>
      </c>
      <c r="H407">
        <v>406</v>
      </c>
      <c r="I407">
        <v>100407</v>
      </c>
      <c r="J407">
        <v>407</v>
      </c>
      <c r="K407" t="b">
        <f t="shared" si="6"/>
        <v>1</v>
      </c>
      <c r="L407" t="b">
        <f>COUNTBLANK(metadata!B407:D407)=COLUMNS(metadata!B407:D407)</f>
        <v>1</v>
      </c>
      <c r="M407" t="str">
        <v/>
      </c>
      <c r="O407" t="b">
        <f ca="1"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P407" t="b">
        <f>AND(IF(metadata!C407="",FALSE,TRUE),EXACT(metadata!C407,"mouse gut metagenome"))</f>
        <v>0</v>
      </c>
      <c r="Q407" t="b">
        <f>AND(IF(metadata!D407="",FALSE,TRUE),EXACT(metadata!D407,"410661"))</f>
        <v>0</v>
      </c>
    </row>
    <row r="408" spans="1:17" x14ac:dyDescent="0.2">
      <c r="A408" s="4" t="str">
        <f ca="1">IF(B408=" "," ",HYPERLINK(CONCATENATE("#metadata!",ADDRESS(INDEX($J$2:$J$1001,MATCH(ROWS($H$2:H408),$H$2:$H$1001,0),0),1)),INDEX($M$2:$M$1001,MATCH(ROWS($H$2:H408),$H$2:$H$1001,0),0)))</f>
        <v xml:space="preserve"> </v>
      </c>
      <c r="B408" s="3" t="str">
        <f ca="1">IF(OR(INDEX($I$2:$I$1001,MATCH(ROWS($H$2:H408),$H$2:$H$1001,0),1)&gt;=100000,INDEX($O$1005:$Q$1005,1,MATCH(COLUMNS($O$1006:O1006),$O$1006:$Q$1006,0))&gt;=100000), " ",IF(INDEX($O$2:$Q$1001,MATCH(ROWS($H$2:H408),$H$2:$H$1001,0),MATCH(COLUMNS($O$1006:O1006),$O$1006:$Q$1006,0)), HYPERLINK("#",""), HYPERLINK(CONCATENATE("#metadata!", ADDRESS(INDEX($J$2:$J$1001,MATCH(ROWS($H$2:H408),$H$2:$H$1001,0),0), INDEX($O$1004:$Q$1004,1,MATCH(COLUMNS($O$1006:O1006),$O$1006:$Q$1006,0)))),"Fix")))</f>
        <v xml:space="preserve"> </v>
      </c>
      <c r="C408" s="3" t="str">
        <f ca="1">IF(OR(INDEX($I$2:$I$1001,MATCH(ROWS($H$2:H408),$H$2:$H$1001,0),1)&gt;=100000,INDEX($O$1005:$Q$1005,1,MATCH(COLUMNS($O$1006:P1006),$O$1006:$Q$1006,0))&gt;=100000), " ",IF(INDEX($O$2:$Q$1001,MATCH(ROWS($H$2:H408),$H$2:$H$1001,0),MATCH(COLUMNS($O$1006:P1006),$O$1006:$Q$1006,0)), HYPERLINK("#",""), HYPERLINK(CONCATENATE("#metadata!", ADDRESS(INDEX($J$2:$J$1001,MATCH(ROWS($H$2:H408),$H$2:$H$1001,0),0), INDEX($O$1004:$Q$1004,1,MATCH(COLUMNS($O$1006:P1006),$O$1006:$Q$1006,0)))),"Fix")))</f>
        <v xml:space="preserve"> </v>
      </c>
      <c r="D408" s="3" t="str">
        <f ca="1">IF(OR(INDEX($I$2:$I$1001,MATCH(ROWS($H$2:H408),$H$2:$H$1001,0),1)&gt;=100000,INDEX($O$1005:$Q$1005,1,MATCH(COLUMNS($O$1006:Q1006),$O$1006:$Q$1006,0))&gt;=100000), " ",IF(INDEX($O$2:$Q$1001,MATCH(ROWS($H$2:H408),$H$2:$H$1001,0),MATCH(COLUMNS($O$1006:Q1006),$O$1006:$Q$1006,0)), HYPERLINK("#",""), HYPERLINK(CONCATENATE("#metadata!", ADDRESS(INDEX($J$2:$J$1001,MATCH(ROWS($H$2:H408),$H$2:$H$1001,0),0), INDEX($O$1004:$Q$1004,1,MATCH(COLUMNS($O$1006:Q1006),$O$1006:$Q$1006,0)))),"Fix")))</f>
        <v xml:space="preserve"> </v>
      </c>
      <c r="H408">
        <v>407</v>
      </c>
      <c r="I408">
        <v>100408</v>
      </c>
      <c r="J408">
        <v>408</v>
      </c>
      <c r="K408" t="b">
        <f t="shared" si="6"/>
        <v>1</v>
      </c>
      <c r="L408" t="b">
        <f>COUNTBLANK(metadata!B408:D408)=COLUMNS(metadata!B408:D408)</f>
        <v>1</v>
      </c>
      <c r="M408" t="str">
        <v/>
      </c>
      <c r="O408" t="b">
        <f ca="1"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P408" t="b">
        <f>AND(IF(metadata!C408="",FALSE,TRUE),EXACT(metadata!C408,"mouse gut metagenome"))</f>
        <v>0</v>
      </c>
      <c r="Q408" t="b">
        <f>AND(IF(metadata!D408="",FALSE,TRUE),EXACT(metadata!D408,"410661"))</f>
        <v>0</v>
      </c>
    </row>
    <row r="409" spans="1:17" x14ac:dyDescent="0.2">
      <c r="A409" s="4" t="str">
        <f ca="1">IF(B409=" "," ",HYPERLINK(CONCATENATE("#metadata!",ADDRESS(INDEX($J$2:$J$1001,MATCH(ROWS($H$2:H409),$H$2:$H$1001,0),0),1)),INDEX($M$2:$M$1001,MATCH(ROWS($H$2:H409),$H$2:$H$1001,0),0)))</f>
        <v xml:space="preserve"> </v>
      </c>
      <c r="B409" s="3" t="str">
        <f ca="1">IF(OR(INDEX($I$2:$I$1001,MATCH(ROWS($H$2:H409),$H$2:$H$1001,0),1)&gt;=100000,INDEX($O$1005:$Q$1005,1,MATCH(COLUMNS($O$1006:O1006),$O$1006:$Q$1006,0))&gt;=100000), " ",IF(INDEX($O$2:$Q$1001,MATCH(ROWS($H$2:H409),$H$2:$H$1001,0),MATCH(COLUMNS($O$1006:O1006),$O$1006:$Q$1006,0)), HYPERLINK("#",""), HYPERLINK(CONCATENATE("#metadata!", ADDRESS(INDEX($J$2:$J$1001,MATCH(ROWS($H$2:H409),$H$2:$H$1001,0),0), INDEX($O$1004:$Q$1004,1,MATCH(COLUMNS($O$1006:O1006),$O$1006:$Q$1006,0)))),"Fix")))</f>
        <v xml:space="preserve"> </v>
      </c>
      <c r="C409" s="3" t="str">
        <f ca="1">IF(OR(INDEX($I$2:$I$1001,MATCH(ROWS($H$2:H409),$H$2:$H$1001,0),1)&gt;=100000,INDEX($O$1005:$Q$1005,1,MATCH(COLUMNS($O$1006:P1006),$O$1006:$Q$1006,0))&gt;=100000), " ",IF(INDEX($O$2:$Q$1001,MATCH(ROWS($H$2:H409),$H$2:$H$1001,0),MATCH(COLUMNS($O$1006:P1006),$O$1006:$Q$1006,0)), HYPERLINK("#",""), HYPERLINK(CONCATENATE("#metadata!", ADDRESS(INDEX($J$2:$J$1001,MATCH(ROWS($H$2:H409),$H$2:$H$1001,0),0), INDEX($O$1004:$Q$1004,1,MATCH(COLUMNS($O$1006:P1006),$O$1006:$Q$1006,0)))),"Fix")))</f>
        <v xml:space="preserve"> </v>
      </c>
      <c r="D409" s="3" t="str">
        <f ca="1">IF(OR(INDEX($I$2:$I$1001,MATCH(ROWS($H$2:H409),$H$2:$H$1001,0),1)&gt;=100000,INDEX($O$1005:$Q$1005,1,MATCH(COLUMNS($O$1006:Q1006),$O$1006:$Q$1006,0))&gt;=100000), " ",IF(INDEX($O$2:$Q$1001,MATCH(ROWS($H$2:H409),$H$2:$H$1001,0),MATCH(COLUMNS($O$1006:Q1006),$O$1006:$Q$1006,0)), HYPERLINK("#",""), HYPERLINK(CONCATENATE("#metadata!", ADDRESS(INDEX($J$2:$J$1001,MATCH(ROWS($H$2:H409),$H$2:$H$1001,0),0), INDEX($O$1004:$Q$1004,1,MATCH(COLUMNS($O$1006:Q1006),$O$1006:$Q$1006,0)))),"Fix")))</f>
        <v xml:space="preserve"> </v>
      </c>
      <c r="H409">
        <v>408</v>
      </c>
      <c r="I409">
        <v>100409</v>
      </c>
      <c r="J409">
        <v>409</v>
      </c>
      <c r="K409" t="b">
        <f t="shared" si="6"/>
        <v>1</v>
      </c>
      <c r="L409" t="b">
        <f>COUNTBLANK(metadata!B409:D409)=COLUMNS(metadata!B409:D409)</f>
        <v>1</v>
      </c>
      <c r="M409" t="str">
        <v/>
      </c>
      <c r="O409" t="b">
        <f ca="1"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P409" t="b">
        <f>AND(IF(metadata!C409="",FALSE,TRUE),EXACT(metadata!C409,"mouse gut metagenome"))</f>
        <v>0</v>
      </c>
      <c r="Q409" t="b">
        <f>AND(IF(metadata!D409="",FALSE,TRUE),EXACT(metadata!D409,"410661"))</f>
        <v>0</v>
      </c>
    </row>
    <row r="410" spans="1:17" x14ac:dyDescent="0.2">
      <c r="A410" s="4" t="str">
        <f ca="1">IF(B410=" "," ",HYPERLINK(CONCATENATE("#metadata!",ADDRESS(INDEX($J$2:$J$1001,MATCH(ROWS($H$2:H410),$H$2:$H$1001,0),0),1)),INDEX($M$2:$M$1001,MATCH(ROWS($H$2:H410),$H$2:$H$1001,0),0)))</f>
        <v xml:space="preserve"> </v>
      </c>
      <c r="B410" s="3" t="str">
        <f ca="1">IF(OR(INDEX($I$2:$I$1001,MATCH(ROWS($H$2:H410),$H$2:$H$1001,0),1)&gt;=100000,INDEX($O$1005:$Q$1005,1,MATCH(COLUMNS($O$1006:O1006),$O$1006:$Q$1006,0))&gt;=100000), " ",IF(INDEX($O$2:$Q$1001,MATCH(ROWS($H$2:H410),$H$2:$H$1001,0),MATCH(COLUMNS($O$1006:O1006),$O$1006:$Q$1006,0)), HYPERLINK("#",""), HYPERLINK(CONCATENATE("#metadata!", ADDRESS(INDEX($J$2:$J$1001,MATCH(ROWS($H$2:H410),$H$2:$H$1001,0),0), INDEX($O$1004:$Q$1004,1,MATCH(COLUMNS($O$1006:O1006),$O$1006:$Q$1006,0)))),"Fix")))</f>
        <v xml:space="preserve"> </v>
      </c>
      <c r="C410" s="3" t="str">
        <f ca="1">IF(OR(INDEX($I$2:$I$1001,MATCH(ROWS($H$2:H410),$H$2:$H$1001,0),1)&gt;=100000,INDEX($O$1005:$Q$1005,1,MATCH(COLUMNS($O$1006:P1006),$O$1006:$Q$1006,0))&gt;=100000), " ",IF(INDEX($O$2:$Q$1001,MATCH(ROWS($H$2:H410),$H$2:$H$1001,0),MATCH(COLUMNS($O$1006:P1006),$O$1006:$Q$1006,0)), HYPERLINK("#",""), HYPERLINK(CONCATENATE("#metadata!", ADDRESS(INDEX($J$2:$J$1001,MATCH(ROWS($H$2:H410),$H$2:$H$1001,0),0), INDEX($O$1004:$Q$1004,1,MATCH(COLUMNS($O$1006:P1006),$O$1006:$Q$1006,0)))),"Fix")))</f>
        <v xml:space="preserve"> </v>
      </c>
      <c r="D410" s="3" t="str">
        <f ca="1">IF(OR(INDEX($I$2:$I$1001,MATCH(ROWS($H$2:H410),$H$2:$H$1001,0),1)&gt;=100000,INDEX($O$1005:$Q$1005,1,MATCH(COLUMNS($O$1006:Q1006),$O$1006:$Q$1006,0))&gt;=100000), " ",IF(INDEX($O$2:$Q$1001,MATCH(ROWS($H$2:H410),$H$2:$H$1001,0),MATCH(COLUMNS($O$1006:Q1006),$O$1006:$Q$1006,0)), HYPERLINK("#",""), HYPERLINK(CONCATENATE("#metadata!", ADDRESS(INDEX($J$2:$J$1001,MATCH(ROWS($H$2:H410),$H$2:$H$1001,0),0), INDEX($O$1004:$Q$1004,1,MATCH(COLUMNS($O$1006:Q1006),$O$1006:$Q$1006,0)))),"Fix")))</f>
        <v xml:space="preserve"> </v>
      </c>
      <c r="H410">
        <v>409</v>
      </c>
      <c r="I410">
        <v>100410</v>
      </c>
      <c r="J410">
        <v>410</v>
      </c>
      <c r="K410" t="b">
        <f t="shared" si="6"/>
        <v>1</v>
      </c>
      <c r="L410" t="b">
        <f>COUNTBLANK(metadata!B410:D410)=COLUMNS(metadata!B410:D410)</f>
        <v>1</v>
      </c>
      <c r="M410" t="str">
        <v/>
      </c>
      <c r="O410" t="b">
        <f ca="1"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P410" t="b">
        <f>AND(IF(metadata!C410="",FALSE,TRUE),EXACT(metadata!C410,"mouse gut metagenome"))</f>
        <v>0</v>
      </c>
      <c r="Q410" t="b">
        <f>AND(IF(metadata!D410="",FALSE,TRUE),EXACT(metadata!D410,"410661"))</f>
        <v>0</v>
      </c>
    </row>
    <row r="411" spans="1:17" x14ac:dyDescent="0.2">
      <c r="A411" s="4" t="str">
        <f ca="1">IF(B411=" "," ",HYPERLINK(CONCATENATE("#metadata!",ADDRESS(INDEX($J$2:$J$1001,MATCH(ROWS($H$2:H411),$H$2:$H$1001,0),0),1)),INDEX($M$2:$M$1001,MATCH(ROWS($H$2:H411),$H$2:$H$1001,0),0)))</f>
        <v xml:space="preserve"> </v>
      </c>
      <c r="B411" s="3" t="str">
        <f ca="1">IF(OR(INDEX($I$2:$I$1001,MATCH(ROWS($H$2:H411),$H$2:$H$1001,0),1)&gt;=100000,INDEX($O$1005:$Q$1005,1,MATCH(COLUMNS($O$1006:O1006),$O$1006:$Q$1006,0))&gt;=100000), " ",IF(INDEX($O$2:$Q$1001,MATCH(ROWS($H$2:H411),$H$2:$H$1001,0),MATCH(COLUMNS($O$1006:O1006),$O$1006:$Q$1006,0)), HYPERLINK("#",""), HYPERLINK(CONCATENATE("#metadata!", ADDRESS(INDEX($J$2:$J$1001,MATCH(ROWS($H$2:H411),$H$2:$H$1001,0),0), INDEX($O$1004:$Q$1004,1,MATCH(COLUMNS($O$1006:O1006),$O$1006:$Q$1006,0)))),"Fix")))</f>
        <v xml:space="preserve"> </v>
      </c>
      <c r="C411" s="3" t="str">
        <f ca="1">IF(OR(INDEX($I$2:$I$1001,MATCH(ROWS($H$2:H411),$H$2:$H$1001,0),1)&gt;=100000,INDEX($O$1005:$Q$1005,1,MATCH(COLUMNS($O$1006:P1006),$O$1006:$Q$1006,0))&gt;=100000), " ",IF(INDEX($O$2:$Q$1001,MATCH(ROWS($H$2:H411),$H$2:$H$1001,0),MATCH(COLUMNS($O$1006:P1006),$O$1006:$Q$1006,0)), HYPERLINK("#",""), HYPERLINK(CONCATENATE("#metadata!", ADDRESS(INDEX($J$2:$J$1001,MATCH(ROWS($H$2:H411),$H$2:$H$1001,0),0), INDEX($O$1004:$Q$1004,1,MATCH(COLUMNS($O$1006:P1006),$O$1006:$Q$1006,0)))),"Fix")))</f>
        <v xml:space="preserve"> </v>
      </c>
      <c r="D411" s="3" t="str">
        <f ca="1">IF(OR(INDEX($I$2:$I$1001,MATCH(ROWS($H$2:H411),$H$2:$H$1001,0),1)&gt;=100000,INDEX($O$1005:$Q$1005,1,MATCH(COLUMNS($O$1006:Q1006),$O$1006:$Q$1006,0))&gt;=100000), " ",IF(INDEX($O$2:$Q$1001,MATCH(ROWS($H$2:H411),$H$2:$H$1001,0),MATCH(COLUMNS($O$1006:Q1006),$O$1006:$Q$1006,0)), HYPERLINK("#",""), HYPERLINK(CONCATENATE("#metadata!", ADDRESS(INDEX($J$2:$J$1001,MATCH(ROWS($H$2:H411),$H$2:$H$1001,0),0), INDEX($O$1004:$Q$1004,1,MATCH(COLUMNS($O$1006:Q1006),$O$1006:$Q$1006,0)))),"Fix")))</f>
        <v xml:space="preserve"> </v>
      </c>
      <c r="H411">
        <v>410</v>
      </c>
      <c r="I411">
        <v>100411</v>
      </c>
      <c r="J411">
        <v>411</v>
      </c>
      <c r="K411" t="b">
        <f t="shared" si="6"/>
        <v>1</v>
      </c>
      <c r="L411" t="b">
        <f>COUNTBLANK(metadata!B411:D411)=COLUMNS(metadata!B411:D411)</f>
        <v>1</v>
      </c>
      <c r="M411" t="str">
        <v/>
      </c>
      <c r="O411" t="b">
        <f ca="1"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P411" t="b">
        <f>AND(IF(metadata!C411="",FALSE,TRUE),EXACT(metadata!C411,"mouse gut metagenome"))</f>
        <v>0</v>
      </c>
      <c r="Q411" t="b">
        <f>AND(IF(metadata!D411="",FALSE,TRUE),EXACT(metadata!D411,"410661"))</f>
        <v>0</v>
      </c>
    </row>
    <row r="412" spans="1:17" x14ac:dyDescent="0.2">
      <c r="A412" s="4" t="str">
        <f ca="1">IF(B412=" "," ",HYPERLINK(CONCATENATE("#metadata!",ADDRESS(INDEX($J$2:$J$1001,MATCH(ROWS($H$2:H412),$H$2:$H$1001,0),0),1)),INDEX($M$2:$M$1001,MATCH(ROWS($H$2:H412),$H$2:$H$1001,0),0)))</f>
        <v xml:space="preserve"> </v>
      </c>
      <c r="B412" s="3" t="str">
        <f ca="1">IF(OR(INDEX($I$2:$I$1001,MATCH(ROWS($H$2:H412),$H$2:$H$1001,0),1)&gt;=100000,INDEX($O$1005:$Q$1005,1,MATCH(COLUMNS($O$1006:O1006),$O$1006:$Q$1006,0))&gt;=100000), " ",IF(INDEX($O$2:$Q$1001,MATCH(ROWS($H$2:H412),$H$2:$H$1001,0),MATCH(COLUMNS($O$1006:O1006),$O$1006:$Q$1006,0)), HYPERLINK("#",""), HYPERLINK(CONCATENATE("#metadata!", ADDRESS(INDEX($J$2:$J$1001,MATCH(ROWS($H$2:H412),$H$2:$H$1001,0),0), INDEX($O$1004:$Q$1004,1,MATCH(COLUMNS($O$1006:O1006),$O$1006:$Q$1006,0)))),"Fix")))</f>
        <v xml:space="preserve"> </v>
      </c>
      <c r="C412" s="3" t="str">
        <f ca="1">IF(OR(INDEX($I$2:$I$1001,MATCH(ROWS($H$2:H412),$H$2:$H$1001,0),1)&gt;=100000,INDEX($O$1005:$Q$1005,1,MATCH(COLUMNS($O$1006:P1006),$O$1006:$Q$1006,0))&gt;=100000), " ",IF(INDEX($O$2:$Q$1001,MATCH(ROWS($H$2:H412),$H$2:$H$1001,0),MATCH(COLUMNS($O$1006:P1006),$O$1006:$Q$1006,0)), HYPERLINK("#",""), HYPERLINK(CONCATENATE("#metadata!", ADDRESS(INDEX($J$2:$J$1001,MATCH(ROWS($H$2:H412),$H$2:$H$1001,0),0), INDEX($O$1004:$Q$1004,1,MATCH(COLUMNS($O$1006:P1006),$O$1006:$Q$1006,0)))),"Fix")))</f>
        <v xml:space="preserve"> </v>
      </c>
      <c r="D412" s="3" t="str">
        <f ca="1">IF(OR(INDEX($I$2:$I$1001,MATCH(ROWS($H$2:H412),$H$2:$H$1001,0),1)&gt;=100000,INDEX($O$1005:$Q$1005,1,MATCH(COLUMNS($O$1006:Q1006),$O$1006:$Q$1006,0))&gt;=100000), " ",IF(INDEX($O$2:$Q$1001,MATCH(ROWS($H$2:H412),$H$2:$H$1001,0),MATCH(COLUMNS($O$1006:Q1006),$O$1006:$Q$1006,0)), HYPERLINK("#",""), HYPERLINK(CONCATENATE("#metadata!", ADDRESS(INDEX($J$2:$J$1001,MATCH(ROWS($H$2:H412),$H$2:$H$1001,0),0), INDEX($O$1004:$Q$1004,1,MATCH(COLUMNS($O$1006:Q1006),$O$1006:$Q$1006,0)))),"Fix")))</f>
        <v xml:space="preserve"> </v>
      </c>
      <c r="H412">
        <v>411</v>
      </c>
      <c r="I412">
        <v>100412</v>
      </c>
      <c r="J412">
        <v>412</v>
      </c>
      <c r="K412" t="b">
        <f t="shared" si="6"/>
        <v>1</v>
      </c>
      <c r="L412" t="b">
        <f>COUNTBLANK(metadata!B412:D412)=COLUMNS(metadata!B412:D412)</f>
        <v>1</v>
      </c>
      <c r="M412" t="str">
        <v/>
      </c>
      <c r="O412" t="b">
        <f ca="1"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P412" t="b">
        <f>AND(IF(metadata!C412="",FALSE,TRUE),EXACT(metadata!C412,"mouse gut metagenome"))</f>
        <v>0</v>
      </c>
      <c r="Q412" t="b">
        <f>AND(IF(metadata!D412="",FALSE,TRUE),EXACT(metadata!D412,"410661"))</f>
        <v>0</v>
      </c>
    </row>
    <row r="413" spans="1:17" x14ac:dyDescent="0.2">
      <c r="A413" s="4" t="str">
        <f ca="1">IF(B413=" "," ",HYPERLINK(CONCATENATE("#metadata!",ADDRESS(INDEX($J$2:$J$1001,MATCH(ROWS($H$2:H413),$H$2:$H$1001,0),0),1)),INDEX($M$2:$M$1001,MATCH(ROWS($H$2:H413),$H$2:$H$1001,0),0)))</f>
        <v xml:space="preserve"> </v>
      </c>
      <c r="B413" s="3" t="str">
        <f ca="1">IF(OR(INDEX($I$2:$I$1001,MATCH(ROWS($H$2:H413),$H$2:$H$1001,0),1)&gt;=100000,INDEX($O$1005:$Q$1005,1,MATCH(COLUMNS($O$1006:O1006),$O$1006:$Q$1006,0))&gt;=100000), " ",IF(INDEX($O$2:$Q$1001,MATCH(ROWS($H$2:H413),$H$2:$H$1001,0),MATCH(COLUMNS($O$1006:O1006),$O$1006:$Q$1006,0)), HYPERLINK("#",""), HYPERLINK(CONCATENATE("#metadata!", ADDRESS(INDEX($J$2:$J$1001,MATCH(ROWS($H$2:H413),$H$2:$H$1001,0),0), INDEX($O$1004:$Q$1004,1,MATCH(COLUMNS($O$1006:O1006),$O$1006:$Q$1006,0)))),"Fix")))</f>
        <v xml:space="preserve"> </v>
      </c>
      <c r="C413" s="3" t="str">
        <f ca="1">IF(OR(INDEX($I$2:$I$1001,MATCH(ROWS($H$2:H413),$H$2:$H$1001,0),1)&gt;=100000,INDEX($O$1005:$Q$1005,1,MATCH(COLUMNS($O$1006:P1006),$O$1006:$Q$1006,0))&gt;=100000), " ",IF(INDEX($O$2:$Q$1001,MATCH(ROWS($H$2:H413),$H$2:$H$1001,0),MATCH(COLUMNS($O$1006:P1006),$O$1006:$Q$1006,0)), HYPERLINK("#",""), HYPERLINK(CONCATENATE("#metadata!", ADDRESS(INDEX($J$2:$J$1001,MATCH(ROWS($H$2:H413),$H$2:$H$1001,0),0), INDEX($O$1004:$Q$1004,1,MATCH(COLUMNS($O$1006:P1006),$O$1006:$Q$1006,0)))),"Fix")))</f>
        <v xml:space="preserve"> </v>
      </c>
      <c r="D413" s="3" t="str">
        <f ca="1">IF(OR(INDEX($I$2:$I$1001,MATCH(ROWS($H$2:H413),$H$2:$H$1001,0),1)&gt;=100000,INDEX($O$1005:$Q$1005,1,MATCH(COLUMNS($O$1006:Q1006),$O$1006:$Q$1006,0))&gt;=100000), " ",IF(INDEX($O$2:$Q$1001,MATCH(ROWS($H$2:H413),$H$2:$H$1001,0),MATCH(COLUMNS($O$1006:Q1006),$O$1006:$Q$1006,0)), HYPERLINK("#",""), HYPERLINK(CONCATENATE("#metadata!", ADDRESS(INDEX($J$2:$J$1001,MATCH(ROWS($H$2:H413),$H$2:$H$1001,0),0), INDEX($O$1004:$Q$1004,1,MATCH(COLUMNS($O$1006:Q1006),$O$1006:$Q$1006,0)))),"Fix")))</f>
        <v xml:space="preserve"> </v>
      </c>
      <c r="H413">
        <v>412</v>
      </c>
      <c r="I413">
        <v>100413</v>
      </c>
      <c r="J413">
        <v>413</v>
      </c>
      <c r="K413" t="b">
        <f t="shared" si="6"/>
        <v>1</v>
      </c>
      <c r="L413" t="b">
        <f>COUNTBLANK(metadata!B413:D413)=COLUMNS(metadata!B413:D413)</f>
        <v>1</v>
      </c>
      <c r="M413" t="str">
        <v/>
      </c>
      <c r="O413" t="b">
        <f ca="1"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P413" t="b">
        <f>AND(IF(metadata!C413="",FALSE,TRUE),EXACT(metadata!C413,"mouse gut metagenome"))</f>
        <v>0</v>
      </c>
      <c r="Q413" t="b">
        <f>AND(IF(metadata!D413="",FALSE,TRUE),EXACT(metadata!D413,"410661"))</f>
        <v>0</v>
      </c>
    </row>
    <row r="414" spans="1:17" x14ac:dyDescent="0.2">
      <c r="A414" s="4" t="str">
        <f ca="1">IF(B414=" "," ",HYPERLINK(CONCATENATE("#metadata!",ADDRESS(INDEX($J$2:$J$1001,MATCH(ROWS($H$2:H414),$H$2:$H$1001,0),0),1)),INDEX($M$2:$M$1001,MATCH(ROWS($H$2:H414),$H$2:$H$1001,0),0)))</f>
        <v xml:space="preserve"> </v>
      </c>
      <c r="B414" s="3" t="str">
        <f ca="1">IF(OR(INDEX($I$2:$I$1001,MATCH(ROWS($H$2:H414),$H$2:$H$1001,0),1)&gt;=100000,INDEX($O$1005:$Q$1005,1,MATCH(COLUMNS($O$1006:O1006),$O$1006:$Q$1006,0))&gt;=100000), " ",IF(INDEX($O$2:$Q$1001,MATCH(ROWS($H$2:H414),$H$2:$H$1001,0),MATCH(COLUMNS($O$1006:O1006),$O$1006:$Q$1006,0)), HYPERLINK("#",""), HYPERLINK(CONCATENATE("#metadata!", ADDRESS(INDEX($J$2:$J$1001,MATCH(ROWS($H$2:H414),$H$2:$H$1001,0),0), INDEX($O$1004:$Q$1004,1,MATCH(COLUMNS($O$1006:O1006),$O$1006:$Q$1006,0)))),"Fix")))</f>
        <v xml:space="preserve"> </v>
      </c>
      <c r="C414" s="3" t="str">
        <f ca="1">IF(OR(INDEX($I$2:$I$1001,MATCH(ROWS($H$2:H414),$H$2:$H$1001,0),1)&gt;=100000,INDEX($O$1005:$Q$1005,1,MATCH(COLUMNS($O$1006:P1006),$O$1006:$Q$1006,0))&gt;=100000), " ",IF(INDEX($O$2:$Q$1001,MATCH(ROWS($H$2:H414),$H$2:$H$1001,0),MATCH(COLUMNS($O$1006:P1006),$O$1006:$Q$1006,0)), HYPERLINK("#",""), HYPERLINK(CONCATENATE("#metadata!", ADDRESS(INDEX($J$2:$J$1001,MATCH(ROWS($H$2:H414),$H$2:$H$1001,0),0), INDEX($O$1004:$Q$1004,1,MATCH(COLUMNS($O$1006:P1006),$O$1006:$Q$1006,0)))),"Fix")))</f>
        <v xml:space="preserve"> </v>
      </c>
      <c r="D414" s="3" t="str">
        <f ca="1">IF(OR(INDEX($I$2:$I$1001,MATCH(ROWS($H$2:H414),$H$2:$H$1001,0),1)&gt;=100000,INDEX($O$1005:$Q$1005,1,MATCH(COLUMNS($O$1006:Q1006),$O$1006:$Q$1006,0))&gt;=100000), " ",IF(INDEX($O$2:$Q$1001,MATCH(ROWS($H$2:H414),$H$2:$H$1001,0),MATCH(COLUMNS($O$1006:Q1006),$O$1006:$Q$1006,0)), HYPERLINK("#",""), HYPERLINK(CONCATENATE("#metadata!", ADDRESS(INDEX($J$2:$J$1001,MATCH(ROWS($H$2:H414),$H$2:$H$1001,0),0), INDEX($O$1004:$Q$1004,1,MATCH(COLUMNS($O$1006:Q1006),$O$1006:$Q$1006,0)))),"Fix")))</f>
        <v xml:space="preserve"> </v>
      </c>
      <c r="H414">
        <v>413</v>
      </c>
      <c r="I414">
        <v>100414</v>
      </c>
      <c r="J414">
        <v>414</v>
      </c>
      <c r="K414" t="b">
        <f t="shared" si="6"/>
        <v>1</v>
      </c>
      <c r="L414" t="b">
        <f>COUNTBLANK(metadata!B414:D414)=COLUMNS(metadata!B414:D414)</f>
        <v>1</v>
      </c>
      <c r="M414" t="str">
        <v/>
      </c>
      <c r="O414" t="b">
        <f ca="1"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P414" t="b">
        <f>AND(IF(metadata!C414="",FALSE,TRUE),EXACT(metadata!C414,"mouse gut metagenome"))</f>
        <v>0</v>
      </c>
      <c r="Q414" t="b">
        <f>AND(IF(metadata!D414="",FALSE,TRUE),EXACT(metadata!D414,"410661"))</f>
        <v>0</v>
      </c>
    </row>
    <row r="415" spans="1:17" x14ac:dyDescent="0.2">
      <c r="A415" s="4" t="str">
        <f ca="1">IF(B415=" "," ",HYPERLINK(CONCATENATE("#metadata!",ADDRESS(INDEX($J$2:$J$1001,MATCH(ROWS($H$2:H415),$H$2:$H$1001,0),0),1)),INDEX($M$2:$M$1001,MATCH(ROWS($H$2:H415),$H$2:$H$1001,0),0)))</f>
        <v xml:space="preserve"> </v>
      </c>
      <c r="B415" s="3" t="str">
        <f ca="1">IF(OR(INDEX($I$2:$I$1001,MATCH(ROWS($H$2:H415),$H$2:$H$1001,0),1)&gt;=100000,INDEX($O$1005:$Q$1005,1,MATCH(COLUMNS($O$1006:O1006),$O$1006:$Q$1006,0))&gt;=100000), " ",IF(INDEX($O$2:$Q$1001,MATCH(ROWS($H$2:H415),$H$2:$H$1001,0),MATCH(COLUMNS($O$1006:O1006),$O$1006:$Q$1006,0)), HYPERLINK("#",""), HYPERLINK(CONCATENATE("#metadata!", ADDRESS(INDEX($J$2:$J$1001,MATCH(ROWS($H$2:H415),$H$2:$H$1001,0),0), INDEX($O$1004:$Q$1004,1,MATCH(COLUMNS($O$1006:O1006),$O$1006:$Q$1006,0)))),"Fix")))</f>
        <v xml:space="preserve"> </v>
      </c>
      <c r="C415" s="3" t="str">
        <f ca="1">IF(OR(INDEX($I$2:$I$1001,MATCH(ROWS($H$2:H415),$H$2:$H$1001,0),1)&gt;=100000,INDEX($O$1005:$Q$1005,1,MATCH(COLUMNS($O$1006:P1006),$O$1006:$Q$1006,0))&gt;=100000), " ",IF(INDEX($O$2:$Q$1001,MATCH(ROWS($H$2:H415),$H$2:$H$1001,0),MATCH(COLUMNS($O$1006:P1006),$O$1006:$Q$1006,0)), HYPERLINK("#",""), HYPERLINK(CONCATENATE("#metadata!", ADDRESS(INDEX($J$2:$J$1001,MATCH(ROWS($H$2:H415),$H$2:$H$1001,0),0), INDEX($O$1004:$Q$1004,1,MATCH(COLUMNS($O$1006:P1006),$O$1006:$Q$1006,0)))),"Fix")))</f>
        <v xml:space="preserve"> </v>
      </c>
      <c r="D415" s="3" t="str">
        <f ca="1">IF(OR(INDEX($I$2:$I$1001,MATCH(ROWS($H$2:H415),$H$2:$H$1001,0),1)&gt;=100000,INDEX($O$1005:$Q$1005,1,MATCH(COLUMNS($O$1006:Q1006),$O$1006:$Q$1006,0))&gt;=100000), " ",IF(INDEX($O$2:$Q$1001,MATCH(ROWS($H$2:H415),$H$2:$H$1001,0),MATCH(COLUMNS($O$1006:Q1006),$O$1006:$Q$1006,0)), HYPERLINK("#",""), HYPERLINK(CONCATENATE("#metadata!", ADDRESS(INDEX($J$2:$J$1001,MATCH(ROWS($H$2:H415),$H$2:$H$1001,0),0), INDEX($O$1004:$Q$1004,1,MATCH(COLUMNS($O$1006:Q1006),$O$1006:$Q$1006,0)))),"Fix")))</f>
        <v xml:space="preserve"> </v>
      </c>
      <c r="H415">
        <v>414</v>
      </c>
      <c r="I415">
        <v>100415</v>
      </c>
      <c r="J415">
        <v>415</v>
      </c>
      <c r="K415" t="b">
        <f t="shared" si="6"/>
        <v>1</v>
      </c>
      <c r="L415" t="b">
        <f>COUNTBLANK(metadata!B415:D415)=COLUMNS(metadata!B415:D415)</f>
        <v>1</v>
      </c>
      <c r="M415" t="str">
        <v/>
      </c>
      <c r="O415" t="b">
        <f ca="1"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P415" t="b">
        <f>AND(IF(metadata!C415="",FALSE,TRUE),EXACT(metadata!C415,"mouse gut metagenome"))</f>
        <v>0</v>
      </c>
      <c r="Q415" t="b">
        <f>AND(IF(metadata!D415="",FALSE,TRUE),EXACT(metadata!D415,"410661"))</f>
        <v>0</v>
      </c>
    </row>
    <row r="416" spans="1:17" x14ac:dyDescent="0.2">
      <c r="A416" s="4" t="str">
        <f ca="1">IF(B416=" "," ",HYPERLINK(CONCATENATE("#metadata!",ADDRESS(INDEX($J$2:$J$1001,MATCH(ROWS($H$2:H416),$H$2:$H$1001,0),0),1)),INDEX($M$2:$M$1001,MATCH(ROWS($H$2:H416),$H$2:$H$1001,0),0)))</f>
        <v xml:space="preserve"> </v>
      </c>
      <c r="B416" s="3" t="str">
        <f ca="1">IF(OR(INDEX($I$2:$I$1001,MATCH(ROWS($H$2:H416),$H$2:$H$1001,0),1)&gt;=100000,INDEX($O$1005:$Q$1005,1,MATCH(COLUMNS($O$1006:O1006),$O$1006:$Q$1006,0))&gt;=100000), " ",IF(INDEX($O$2:$Q$1001,MATCH(ROWS($H$2:H416),$H$2:$H$1001,0),MATCH(COLUMNS($O$1006:O1006),$O$1006:$Q$1006,0)), HYPERLINK("#",""), HYPERLINK(CONCATENATE("#metadata!", ADDRESS(INDEX($J$2:$J$1001,MATCH(ROWS($H$2:H416),$H$2:$H$1001,0),0), INDEX($O$1004:$Q$1004,1,MATCH(COLUMNS($O$1006:O1006),$O$1006:$Q$1006,0)))),"Fix")))</f>
        <v xml:space="preserve"> </v>
      </c>
      <c r="C416" s="3" t="str">
        <f ca="1">IF(OR(INDEX($I$2:$I$1001,MATCH(ROWS($H$2:H416),$H$2:$H$1001,0),1)&gt;=100000,INDEX($O$1005:$Q$1005,1,MATCH(COLUMNS($O$1006:P1006),$O$1006:$Q$1006,0))&gt;=100000), " ",IF(INDEX($O$2:$Q$1001,MATCH(ROWS($H$2:H416),$H$2:$H$1001,0),MATCH(COLUMNS($O$1006:P1006),$O$1006:$Q$1006,0)), HYPERLINK("#",""), HYPERLINK(CONCATENATE("#metadata!", ADDRESS(INDEX($J$2:$J$1001,MATCH(ROWS($H$2:H416),$H$2:$H$1001,0),0), INDEX($O$1004:$Q$1004,1,MATCH(COLUMNS($O$1006:P1006),$O$1006:$Q$1006,0)))),"Fix")))</f>
        <v xml:space="preserve"> </v>
      </c>
      <c r="D416" s="3" t="str">
        <f ca="1">IF(OR(INDEX($I$2:$I$1001,MATCH(ROWS($H$2:H416),$H$2:$H$1001,0),1)&gt;=100000,INDEX($O$1005:$Q$1005,1,MATCH(COLUMNS($O$1006:Q1006),$O$1006:$Q$1006,0))&gt;=100000), " ",IF(INDEX($O$2:$Q$1001,MATCH(ROWS($H$2:H416),$H$2:$H$1001,0),MATCH(COLUMNS($O$1006:Q1006),$O$1006:$Q$1006,0)), HYPERLINK("#",""), HYPERLINK(CONCATENATE("#metadata!", ADDRESS(INDEX($J$2:$J$1001,MATCH(ROWS($H$2:H416),$H$2:$H$1001,0),0), INDEX($O$1004:$Q$1004,1,MATCH(COLUMNS($O$1006:Q1006),$O$1006:$Q$1006,0)))),"Fix")))</f>
        <v xml:space="preserve"> </v>
      </c>
      <c r="H416">
        <v>415</v>
      </c>
      <c r="I416">
        <v>100416</v>
      </c>
      <c r="J416">
        <v>416</v>
      </c>
      <c r="K416" t="b">
        <f t="shared" si="6"/>
        <v>1</v>
      </c>
      <c r="L416" t="b">
        <f>COUNTBLANK(metadata!B416:D416)=COLUMNS(metadata!B416:D416)</f>
        <v>1</v>
      </c>
      <c r="M416" t="str">
        <v/>
      </c>
      <c r="O416" t="b">
        <f ca="1"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P416" t="b">
        <f>AND(IF(metadata!C416="",FALSE,TRUE),EXACT(metadata!C416,"mouse gut metagenome"))</f>
        <v>0</v>
      </c>
      <c r="Q416" t="b">
        <f>AND(IF(metadata!D416="",FALSE,TRUE),EXACT(metadata!D416,"410661"))</f>
        <v>0</v>
      </c>
    </row>
    <row r="417" spans="1:17" x14ac:dyDescent="0.2">
      <c r="A417" s="4" t="str">
        <f ca="1">IF(B417=" "," ",HYPERLINK(CONCATENATE("#metadata!",ADDRESS(INDEX($J$2:$J$1001,MATCH(ROWS($H$2:H417),$H$2:$H$1001,0),0),1)),INDEX($M$2:$M$1001,MATCH(ROWS($H$2:H417),$H$2:$H$1001,0),0)))</f>
        <v xml:space="preserve"> </v>
      </c>
      <c r="B417" s="3" t="str">
        <f ca="1">IF(OR(INDEX($I$2:$I$1001,MATCH(ROWS($H$2:H417),$H$2:$H$1001,0),1)&gt;=100000,INDEX($O$1005:$Q$1005,1,MATCH(COLUMNS($O$1006:O1006),$O$1006:$Q$1006,0))&gt;=100000), " ",IF(INDEX($O$2:$Q$1001,MATCH(ROWS($H$2:H417),$H$2:$H$1001,0),MATCH(COLUMNS($O$1006:O1006),$O$1006:$Q$1006,0)), HYPERLINK("#",""), HYPERLINK(CONCATENATE("#metadata!", ADDRESS(INDEX($J$2:$J$1001,MATCH(ROWS($H$2:H417),$H$2:$H$1001,0),0), INDEX($O$1004:$Q$1004,1,MATCH(COLUMNS($O$1006:O1006),$O$1006:$Q$1006,0)))),"Fix")))</f>
        <v xml:space="preserve"> </v>
      </c>
      <c r="C417" s="3" t="str">
        <f ca="1">IF(OR(INDEX($I$2:$I$1001,MATCH(ROWS($H$2:H417),$H$2:$H$1001,0),1)&gt;=100000,INDEX($O$1005:$Q$1005,1,MATCH(COLUMNS($O$1006:P1006),$O$1006:$Q$1006,0))&gt;=100000), " ",IF(INDEX($O$2:$Q$1001,MATCH(ROWS($H$2:H417),$H$2:$H$1001,0),MATCH(COLUMNS($O$1006:P1006),$O$1006:$Q$1006,0)), HYPERLINK("#",""), HYPERLINK(CONCATENATE("#metadata!", ADDRESS(INDEX($J$2:$J$1001,MATCH(ROWS($H$2:H417),$H$2:$H$1001,0),0), INDEX($O$1004:$Q$1004,1,MATCH(COLUMNS($O$1006:P1006),$O$1006:$Q$1006,0)))),"Fix")))</f>
        <v xml:space="preserve"> </v>
      </c>
      <c r="D417" s="3" t="str">
        <f ca="1">IF(OR(INDEX($I$2:$I$1001,MATCH(ROWS($H$2:H417),$H$2:$H$1001,0),1)&gt;=100000,INDEX($O$1005:$Q$1005,1,MATCH(COLUMNS($O$1006:Q1006),$O$1006:$Q$1006,0))&gt;=100000), " ",IF(INDEX($O$2:$Q$1001,MATCH(ROWS($H$2:H417),$H$2:$H$1001,0),MATCH(COLUMNS($O$1006:Q1006),$O$1006:$Q$1006,0)), HYPERLINK("#",""), HYPERLINK(CONCATENATE("#metadata!", ADDRESS(INDEX($J$2:$J$1001,MATCH(ROWS($H$2:H417),$H$2:$H$1001,0),0), INDEX($O$1004:$Q$1004,1,MATCH(COLUMNS($O$1006:Q1006),$O$1006:$Q$1006,0)))),"Fix")))</f>
        <v xml:space="preserve"> </v>
      </c>
      <c r="H417">
        <v>416</v>
      </c>
      <c r="I417">
        <v>100417</v>
      </c>
      <c r="J417">
        <v>417</v>
      </c>
      <c r="K417" t="b">
        <f t="shared" si="6"/>
        <v>1</v>
      </c>
      <c r="L417" t="b">
        <f>COUNTBLANK(metadata!B417:D417)=COLUMNS(metadata!B417:D417)</f>
        <v>1</v>
      </c>
      <c r="M417" t="str">
        <v/>
      </c>
      <c r="O417" t="b">
        <f ca="1"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P417" t="b">
        <f>AND(IF(metadata!C417="",FALSE,TRUE),EXACT(metadata!C417,"mouse gut metagenome"))</f>
        <v>0</v>
      </c>
      <c r="Q417" t="b">
        <f>AND(IF(metadata!D417="",FALSE,TRUE),EXACT(metadata!D417,"410661"))</f>
        <v>0</v>
      </c>
    </row>
    <row r="418" spans="1:17" x14ac:dyDescent="0.2">
      <c r="A418" s="4" t="str">
        <f ca="1">IF(B418=" "," ",HYPERLINK(CONCATENATE("#metadata!",ADDRESS(INDEX($J$2:$J$1001,MATCH(ROWS($H$2:H418),$H$2:$H$1001,0),0),1)),INDEX($M$2:$M$1001,MATCH(ROWS($H$2:H418),$H$2:$H$1001,0),0)))</f>
        <v xml:space="preserve"> </v>
      </c>
      <c r="B418" s="3" t="str">
        <f ca="1">IF(OR(INDEX($I$2:$I$1001,MATCH(ROWS($H$2:H418),$H$2:$H$1001,0),1)&gt;=100000,INDEX($O$1005:$Q$1005,1,MATCH(COLUMNS($O$1006:O1006),$O$1006:$Q$1006,0))&gt;=100000), " ",IF(INDEX($O$2:$Q$1001,MATCH(ROWS($H$2:H418),$H$2:$H$1001,0),MATCH(COLUMNS($O$1006:O1006),$O$1006:$Q$1006,0)), HYPERLINK("#",""), HYPERLINK(CONCATENATE("#metadata!", ADDRESS(INDEX($J$2:$J$1001,MATCH(ROWS($H$2:H418),$H$2:$H$1001,0),0), INDEX($O$1004:$Q$1004,1,MATCH(COLUMNS($O$1006:O1006),$O$1006:$Q$1006,0)))),"Fix")))</f>
        <v xml:space="preserve"> </v>
      </c>
      <c r="C418" s="3" t="str">
        <f ca="1">IF(OR(INDEX($I$2:$I$1001,MATCH(ROWS($H$2:H418),$H$2:$H$1001,0),1)&gt;=100000,INDEX($O$1005:$Q$1005,1,MATCH(COLUMNS($O$1006:P1006),$O$1006:$Q$1006,0))&gt;=100000), " ",IF(INDEX($O$2:$Q$1001,MATCH(ROWS($H$2:H418),$H$2:$H$1001,0),MATCH(COLUMNS($O$1006:P1006),$O$1006:$Q$1006,0)), HYPERLINK("#",""), HYPERLINK(CONCATENATE("#metadata!", ADDRESS(INDEX($J$2:$J$1001,MATCH(ROWS($H$2:H418),$H$2:$H$1001,0),0), INDEX($O$1004:$Q$1004,1,MATCH(COLUMNS($O$1006:P1006),$O$1006:$Q$1006,0)))),"Fix")))</f>
        <v xml:space="preserve"> </v>
      </c>
      <c r="D418" s="3" t="str">
        <f ca="1">IF(OR(INDEX($I$2:$I$1001,MATCH(ROWS($H$2:H418),$H$2:$H$1001,0),1)&gt;=100000,INDEX($O$1005:$Q$1005,1,MATCH(COLUMNS($O$1006:Q1006),$O$1006:$Q$1006,0))&gt;=100000), " ",IF(INDEX($O$2:$Q$1001,MATCH(ROWS($H$2:H418),$H$2:$H$1001,0),MATCH(COLUMNS($O$1006:Q1006),$O$1006:$Q$1006,0)), HYPERLINK("#",""), HYPERLINK(CONCATENATE("#metadata!", ADDRESS(INDEX($J$2:$J$1001,MATCH(ROWS($H$2:H418),$H$2:$H$1001,0),0), INDEX($O$1004:$Q$1004,1,MATCH(COLUMNS($O$1006:Q1006),$O$1006:$Q$1006,0)))),"Fix")))</f>
        <v xml:space="preserve"> </v>
      </c>
      <c r="H418">
        <v>417</v>
      </c>
      <c r="I418">
        <v>100418</v>
      </c>
      <c r="J418">
        <v>418</v>
      </c>
      <c r="K418" t="b">
        <f t="shared" si="6"/>
        <v>1</v>
      </c>
      <c r="L418" t="b">
        <f>COUNTBLANK(metadata!B418:D418)=COLUMNS(metadata!B418:D418)</f>
        <v>1</v>
      </c>
      <c r="M418" t="str">
        <v/>
      </c>
      <c r="O418" t="b">
        <f ca="1"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P418" t="b">
        <f>AND(IF(metadata!C418="",FALSE,TRUE),EXACT(metadata!C418,"mouse gut metagenome"))</f>
        <v>0</v>
      </c>
      <c r="Q418" t="b">
        <f>AND(IF(metadata!D418="",FALSE,TRUE),EXACT(metadata!D418,"410661"))</f>
        <v>0</v>
      </c>
    </row>
    <row r="419" spans="1:17" x14ac:dyDescent="0.2">
      <c r="A419" s="4" t="str">
        <f ca="1">IF(B419=" "," ",HYPERLINK(CONCATENATE("#metadata!",ADDRESS(INDEX($J$2:$J$1001,MATCH(ROWS($H$2:H419),$H$2:$H$1001,0),0),1)),INDEX($M$2:$M$1001,MATCH(ROWS($H$2:H419),$H$2:$H$1001,0),0)))</f>
        <v xml:space="preserve"> </v>
      </c>
      <c r="B419" s="3" t="str">
        <f ca="1">IF(OR(INDEX($I$2:$I$1001,MATCH(ROWS($H$2:H419),$H$2:$H$1001,0),1)&gt;=100000,INDEX($O$1005:$Q$1005,1,MATCH(COLUMNS($O$1006:O1006),$O$1006:$Q$1006,0))&gt;=100000), " ",IF(INDEX($O$2:$Q$1001,MATCH(ROWS($H$2:H419),$H$2:$H$1001,0),MATCH(COLUMNS($O$1006:O1006),$O$1006:$Q$1006,0)), HYPERLINK("#",""), HYPERLINK(CONCATENATE("#metadata!", ADDRESS(INDEX($J$2:$J$1001,MATCH(ROWS($H$2:H419),$H$2:$H$1001,0),0), INDEX($O$1004:$Q$1004,1,MATCH(COLUMNS($O$1006:O1006),$O$1006:$Q$1006,0)))),"Fix")))</f>
        <v xml:space="preserve"> </v>
      </c>
      <c r="C419" s="3" t="str">
        <f ca="1">IF(OR(INDEX($I$2:$I$1001,MATCH(ROWS($H$2:H419),$H$2:$H$1001,0),1)&gt;=100000,INDEX($O$1005:$Q$1005,1,MATCH(COLUMNS($O$1006:P1006),$O$1006:$Q$1006,0))&gt;=100000), " ",IF(INDEX($O$2:$Q$1001,MATCH(ROWS($H$2:H419),$H$2:$H$1001,0),MATCH(COLUMNS($O$1006:P1006),$O$1006:$Q$1006,0)), HYPERLINK("#",""), HYPERLINK(CONCATENATE("#metadata!", ADDRESS(INDEX($J$2:$J$1001,MATCH(ROWS($H$2:H419),$H$2:$H$1001,0),0), INDEX($O$1004:$Q$1004,1,MATCH(COLUMNS($O$1006:P1006),$O$1006:$Q$1006,0)))),"Fix")))</f>
        <v xml:space="preserve"> </v>
      </c>
      <c r="D419" s="3" t="str">
        <f ca="1">IF(OR(INDEX($I$2:$I$1001,MATCH(ROWS($H$2:H419),$H$2:$H$1001,0),1)&gt;=100000,INDEX($O$1005:$Q$1005,1,MATCH(COLUMNS($O$1006:Q1006),$O$1006:$Q$1006,0))&gt;=100000), " ",IF(INDEX($O$2:$Q$1001,MATCH(ROWS($H$2:H419),$H$2:$H$1001,0),MATCH(COLUMNS($O$1006:Q1006),$O$1006:$Q$1006,0)), HYPERLINK("#",""), HYPERLINK(CONCATENATE("#metadata!", ADDRESS(INDEX($J$2:$J$1001,MATCH(ROWS($H$2:H419),$H$2:$H$1001,0),0), INDEX($O$1004:$Q$1004,1,MATCH(COLUMNS($O$1006:Q1006),$O$1006:$Q$1006,0)))),"Fix")))</f>
        <v xml:space="preserve"> </v>
      </c>
      <c r="H419">
        <v>418</v>
      </c>
      <c r="I419">
        <v>100419</v>
      </c>
      <c r="J419">
        <v>419</v>
      </c>
      <c r="K419" t="b">
        <f t="shared" si="6"/>
        <v>1</v>
      </c>
      <c r="L419" t="b">
        <f>COUNTBLANK(metadata!B419:D419)=COLUMNS(metadata!B419:D419)</f>
        <v>1</v>
      </c>
      <c r="M419" t="str">
        <v/>
      </c>
      <c r="O419" t="b">
        <f ca="1"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P419" t="b">
        <f>AND(IF(metadata!C419="",FALSE,TRUE),EXACT(metadata!C419,"mouse gut metagenome"))</f>
        <v>0</v>
      </c>
      <c r="Q419" t="b">
        <f>AND(IF(metadata!D419="",FALSE,TRUE),EXACT(metadata!D419,"410661"))</f>
        <v>0</v>
      </c>
    </row>
    <row r="420" spans="1:17" x14ac:dyDescent="0.2">
      <c r="A420" s="4" t="str">
        <f ca="1">IF(B420=" "," ",HYPERLINK(CONCATENATE("#metadata!",ADDRESS(INDEX($J$2:$J$1001,MATCH(ROWS($H$2:H420),$H$2:$H$1001,0),0),1)),INDEX($M$2:$M$1001,MATCH(ROWS($H$2:H420),$H$2:$H$1001,0),0)))</f>
        <v xml:space="preserve"> </v>
      </c>
      <c r="B420" s="3" t="str">
        <f ca="1">IF(OR(INDEX($I$2:$I$1001,MATCH(ROWS($H$2:H420),$H$2:$H$1001,0),1)&gt;=100000,INDEX($O$1005:$Q$1005,1,MATCH(COLUMNS($O$1006:O1006),$O$1006:$Q$1006,0))&gt;=100000), " ",IF(INDEX($O$2:$Q$1001,MATCH(ROWS($H$2:H420),$H$2:$H$1001,0),MATCH(COLUMNS($O$1006:O1006),$O$1006:$Q$1006,0)), HYPERLINK("#",""), HYPERLINK(CONCATENATE("#metadata!", ADDRESS(INDEX($J$2:$J$1001,MATCH(ROWS($H$2:H420),$H$2:$H$1001,0),0), INDEX($O$1004:$Q$1004,1,MATCH(COLUMNS($O$1006:O1006),$O$1006:$Q$1006,0)))),"Fix")))</f>
        <v xml:space="preserve"> </v>
      </c>
      <c r="C420" s="3" t="str">
        <f ca="1">IF(OR(INDEX($I$2:$I$1001,MATCH(ROWS($H$2:H420),$H$2:$H$1001,0),1)&gt;=100000,INDEX($O$1005:$Q$1005,1,MATCH(COLUMNS($O$1006:P1006),$O$1006:$Q$1006,0))&gt;=100000), " ",IF(INDEX($O$2:$Q$1001,MATCH(ROWS($H$2:H420),$H$2:$H$1001,0),MATCH(COLUMNS($O$1006:P1006),$O$1006:$Q$1006,0)), HYPERLINK("#",""), HYPERLINK(CONCATENATE("#metadata!", ADDRESS(INDEX($J$2:$J$1001,MATCH(ROWS($H$2:H420),$H$2:$H$1001,0),0), INDEX($O$1004:$Q$1004,1,MATCH(COLUMNS($O$1006:P1006),$O$1006:$Q$1006,0)))),"Fix")))</f>
        <v xml:space="preserve"> </v>
      </c>
      <c r="D420" s="3" t="str">
        <f ca="1">IF(OR(INDEX($I$2:$I$1001,MATCH(ROWS($H$2:H420),$H$2:$H$1001,0),1)&gt;=100000,INDEX($O$1005:$Q$1005,1,MATCH(COLUMNS($O$1006:Q1006),$O$1006:$Q$1006,0))&gt;=100000), " ",IF(INDEX($O$2:$Q$1001,MATCH(ROWS($H$2:H420),$H$2:$H$1001,0),MATCH(COLUMNS($O$1006:Q1006),$O$1006:$Q$1006,0)), HYPERLINK("#",""), HYPERLINK(CONCATENATE("#metadata!", ADDRESS(INDEX($J$2:$J$1001,MATCH(ROWS($H$2:H420),$H$2:$H$1001,0),0), INDEX($O$1004:$Q$1004,1,MATCH(COLUMNS($O$1006:Q1006),$O$1006:$Q$1006,0)))),"Fix")))</f>
        <v xml:space="preserve"> </v>
      </c>
      <c r="H420">
        <v>419</v>
      </c>
      <c r="I420">
        <v>100420</v>
      </c>
      <c r="J420">
        <v>420</v>
      </c>
      <c r="K420" t="b">
        <f t="shared" si="6"/>
        <v>1</v>
      </c>
      <c r="L420" t="b">
        <f>COUNTBLANK(metadata!B420:D420)=COLUMNS(metadata!B420:D420)</f>
        <v>1</v>
      </c>
      <c r="M420" t="str">
        <v/>
      </c>
      <c r="O420" t="b">
        <f ca="1"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P420" t="b">
        <f>AND(IF(metadata!C420="",FALSE,TRUE),EXACT(metadata!C420,"mouse gut metagenome"))</f>
        <v>0</v>
      </c>
      <c r="Q420" t="b">
        <f>AND(IF(metadata!D420="",FALSE,TRUE),EXACT(metadata!D420,"410661"))</f>
        <v>0</v>
      </c>
    </row>
    <row r="421" spans="1:17" x14ac:dyDescent="0.2">
      <c r="A421" s="4" t="str">
        <f ca="1">IF(B421=" "," ",HYPERLINK(CONCATENATE("#metadata!",ADDRESS(INDEX($J$2:$J$1001,MATCH(ROWS($H$2:H421),$H$2:$H$1001,0),0),1)),INDEX($M$2:$M$1001,MATCH(ROWS($H$2:H421),$H$2:$H$1001,0),0)))</f>
        <v xml:space="preserve"> </v>
      </c>
      <c r="B421" s="3" t="str">
        <f ca="1">IF(OR(INDEX($I$2:$I$1001,MATCH(ROWS($H$2:H421),$H$2:$H$1001,0),1)&gt;=100000,INDEX($O$1005:$Q$1005,1,MATCH(COLUMNS($O$1006:O1006),$O$1006:$Q$1006,0))&gt;=100000), " ",IF(INDEX($O$2:$Q$1001,MATCH(ROWS($H$2:H421),$H$2:$H$1001,0),MATCH(COLUMNS($O$1006:O1006),$O$1006:$Q$1006,0)), HYPERLINK("#",""), HYPERLINK(CONCATENATE("#metadata!", ADDRESS(INDEX($J$2:$J$1001,MATCH(ROWS($H$2:H421),$H$2:$H$1001,0),0), INDEX($O$1004:$Q$1004,1,MATCH(COLUMNS($O$1006:O1006),$O$1006:$Q$1006,0)))),"Fix")))</f>
        <v xml:space="preserve"> </v>
      </c>
      <c r="C421" s="3" t="str">
        <f ca="1">IF(OR(INDEX($I$2:$I$1001,MATCH(ROWS($H$2:H421),$H$2:$H$1001,0),1)&gt;=100000,INDEX($O$1005:$Q$1005,1,MATCH(COLUMNS($O$1006:P1006),$O$1006:$Q$1006,0))&gt;=100000), " ",IF(INDEX($O$2:$Q$1001,MATCH(ROWS($H$2:H421),$H$2:$H$1001,0),MATCH(COLUMNS($O$1006:P1006),$O$1006:$Q$1006,0)), HYPERLINK("#",""), HYPERLINK(CONCATENATE("#metadata!", ADDRESS(INDEX($J$2:$J$1001,MATCH(ROWS($H$2:H421),$H$2:$H$1001,0),0), INDEX($O$1004:$Q$1004,1,MATCH(COLUMNS($O$1006:P1006),$O$1006:$Q$1006,0)))),"Fix")))</f>
        <v xml:space="preserve"> </v>
      </c>
      <c r="D421" s="3" t="str">
        <f ca="1">IF(OR(INDEX($I$2:$I$1001,MATCH(ROWS($H$2:H421),$H$2:$H$1001,0),1)&gt;=100000,INDEX($O$1005:$Q$1005,1,MATCH(COLUMNS($O$1006:Q1006),$O$1006:$Q$1006,0))&gt;=100000), " ",IF(INDEX($O$2:$Q$1001,MATCH(ROWS($H$2:H421),$H$2:$H$1001,0),MATCH(COLUMNS($O$1006:Q1006),$O$1006:$Q$1006,0)), HYPERLINK("#",""), HYPERLINK(CONCATENATE("#metadata!", ADDRESS(INDEX($J$2:$J$1001,MATCH(ROWS($H$2:H421),$H$2:$H$1001,0),0), INDEX($O$1004:$Q$1004,1,MATCH(COLUMNS($O$1006:Q1006),$O$1006:$Q$1006,0)))),"Fix")))</f>
        <v xml:space="preserve"> </v>
      </c>
      <c r="H421">
        <v>420</v>
      </c>
      <c r="I421">
        <v>100421</v>
      </c>
      <c r="J421">
        <v>421</v>
      </c>
      <c r="K421" t="b">
        <f t="shared" si="6"/>
        <v>1</v>
      </c>
      <c r="L421" t="b">
        <f>COUNTBLANK(metadata!B421:D421)=COLUMNS(metadata!B421:D421)</f>
        <v>1</v>
      </c>
      <c r="M421" t="str">
        <v/>
      </c>
      <c r="O421" t="b">
        <f ca="1"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P421" t="b">
        <f>AND(IF(metadata!C421="",FALSE,TRUE),EXACT(metadata!C421,"mouse gut metagenome"))</f>
        <v>0</v>
      </c>
      <c r="Q421" t="b">
        <f>AND(IF(metadata!D421="",FALSE,TRUE),EXACT(metadata!D421,"410661"))</f>
        <v>0</v>
      </c>
    </row>
    <row r="422" spans="1:17" x14ac:dyDescent="0.2">
      <c r="A422" s="4" t="str">
        <f ca="1">IF(B422=" "," ",HYPERLINK(CONCATENATE("#metadata!",ADDRESS(INDEX($J$2:$J$1001,MATCH(ROWS($H$2:H422),$H$2:$H$1001,0),0),1)),INDEX($M$2:$M$1001,MATCH(ROWS($H$2:H422),$H$2:$H$1001,0),0)))</f>
        <v xml:space="preserve"> </v>
      </c>
      <c r="B422" s="3" t="str">
        <f ca="1">IF(OR(INDEX($I$2:$I$1001,MATCH(ROWS($H$2:H422),$H$2:$H$1001,0),1)&gt;=100000,INDEX($O$1005:$Q$1005,1,MATCH(COLUMNS($O$1006:O1006),$O$1006:$Q$1006,0))&gt;=100000), " ",IF(INDEX($O$2:$Q$1001,MATCH(ROWS($H$2:H422),$H$2:$H$1001,0),MATCH(COLUMNS($O$1006:O1006),$O$1006:$Q$1006,0)), HYPERLINK("#",""), HYPERLINK(CONCATENATE("#metadata!", ADDRESS(INDEX($J$2:$J$1001,MATCH(ROWS($H$2:H422),$H$2:$H$1001,0),0), INDEX($O$1004:$Q$1004,1,MATCH(COLUMNS($O$1006:O1006),$O$1006:$Q$1006,0)))),"Fix")))</f>
        <v xml:space="preserve"> </v>
      </c>
      <c r="C422" s="3" t="str">
        <f ca="1">IF(OR(INDEX($I$2:$I$1001,MATCH(ROWS($H$2:H422),$H$2:$H$1001,0),1)&gt;=100000,INDEX($O$1005:$Q$1005,1,MATCH(COLUMNS($O$1006:P1006),$O$1006:$Q$1006,0))&gt;=100000), " ",IF(INDEX($O$2:$Q$1001,MATCH(ROWS($H$2:H422),$H$2:$H$1001,0),MATCH(COLUMNS($O$1006:P1006),$O$1006:$Q$1006,0)), HYPERLINK("#",""), HYPERLINK(CONCATENATE("#metadata!", ADDRESS(INDEX($J$2:$J$1001,MATCH(ROWS($H$2:H422),$H$2:$H$1001,0),0), INDEX($O$1004:$Q$1004,1,MATCH(COLUMNS($O$1006:P1006),$O$1006:$Q$1006,0)))),"Fix")))</f>
        <v xml:space="preserve"> </v>
      </c>
      <c r="D422" s="3" t="str">
        <f ca="1">IF(OR(INDEX($I$2:$I$1001,MATCH(ROWS($H$2:H422),$H$2:$H$1001,0),1)&gt;=100000,INDEX($O$1005:$Q$1005,1,MATCH(COLUMNS($O$1006:Q1006),$O$1006:$Q$1006,0))&gt;=100000), " ",IF(INDEX($O$2:$Q$1001,MATCH(ROWS($H$2:H422),$H$2:$H$1001,0),MATCH(COLUMNS($O$1006:Q1006),$O$1006:$Q$1006,0)), HYPERLINK("#",""), HYPERLINK(CONCATENATE("#metadata!", ADDRESS(INDEX($J$2:$J$1001,MATCH(ROWS($H$2:H422),$H$2:$H$1001,0),0), INDEX($O$1004:$Q$1004,1,MATCH(COLUMNS($O$1006:Q1006),$O$1006:$Q$1006,0)))),"Fix")))</f>
        <v xml:space="preserve"> </v>
      </c>
      <c r="H422">
        <v>421</v>
      </c>
      <c r="I422">
        <v>100422</v>
      </c>
      <c r="J422">
        <v>422</v>
      </c>
      <c r="K422" t="b">
        <f t="shared" si="6"/>
        <v>1</v>
      </c>
      <c r="L422" t="b">
        <f>COUNTBLANK(metadata!B422:D422)=COLUMNS(metadata!B422:D422)</f>
        <v>1</v>
      </c>
      <c r="M422" t="str">
        <v/>
      </c>
      <c r="O422" t="b">
        <f ca="1"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P422" t="b">
        <f>AND(IF(metadata!C422="",FALSE,TRUE),EXACT(metadata!C422,"mouse gut metagenome"))</f>
        <v>0</v>
      </c>
      <c r="Q422" t="b">
        <f>AND(IF(metadata!D422="",FALSE,TRUE),EXACT(metadata!D422,"410661"))</f>
        <v>0</v>
      </c>
    </row>
    <row r="423" spans="1:17" x14ac:dyDescent="0.2">
      <c r="A423" s="4" t="str">
        <f ca="1">IF(B423=" "," ",HYPERLINK(CONCATENATE("#metadata!",ADDRESS(INDEX($J$2:$J$1001,MATCH(ROWS($H$2:H423),$H$2:$H$1001,0),0),1)),INDEX($M$2:$M$1001,MATCH(ROWS($H$2:H423),$H$2:$H$1001,0),0)))</f>
        <v xml:space="preserve"> </v>
      </c>
      <c r="B423" s="3" t="str">
        <f ca="1">IF(OR(INDEX($I$2:$I$1001,MATCH(ROWS($H$2:H423),$H$2:$H$1001,0),1)&gt;=100000,INDEX($O$1005:$Q$1005,1,MATCH(COLUMNS($O$1006:O1006),$O$1006:$Q$1006,0))&gt;=100000), " ",IF(INDEX($O$2:$Q$1001,MATCH(ROWS($H$2:H423),$H$2:$H$1001,0),MATCH(COLUMNS($O$1006:O1006),$O$1006:$Q$1006,0)), HYPERLINK("#",""), HYPERLINK(CONCATENATE("#metadata!", ADDRESS(INDEX($J$2:$J$1001,MATCH(ROWS($H$2:H423),$H$2:$H$1001,0),0), INDEX($O$1004:$Q$1004,1,MATCH(COLUMNS($O$1006:O1006),$O$1006:$Q$1006,0)))),"Fix")))</f>
        <v xml:space="preserve"> </v>
      </c>
      <c r="C423" s="3" t="str">
        <f ca="1">IF(OR(INDEX($I$2:$I$1001,MATCH(ROWS($H$2:H423),$H$2:$H$1001,0),1)&gt;=100000,INDEX($O$1005:$Q$1005,1,MATCH(COLUMNS($O$1006:P1006),$O$1006:$Q$1006,0))&gt;=100000), " ",IF(INDEX($O$2:$Q$1001,MATCH(ROWS($H$2:H423),$H$2:$H$1001,0),MATCH(COLUMNS($O$1006:P1006),$O$1006:$Q$1006,0)), HYPERLINK("#",""), HYPERLINK(CONCATENATE("#metadata!", ADDRESS(INDEX($J$2:$J$1001,MATCH(ROWS($H$2:H423),$H$2:$H$1001,0),0), INDEX($O$1004:$Q$1004,1,MATCH(COLUMNS($O$1006:P1006),$O$1006:$Q$1006,0)))),"Fix")))</f>
        <v xml:space="preserve"> </v>
      </c>
      <c r="D423" s="3" t="str">
        <f ca="1">IF(OR(INDEX($I$2:$I$1001,MATCH(ROWS($H$2:H423),$H$2:$H$1001,0),1)&gt;=100000,INDEX($O$1005:$Q$1005,1,MATCH(COLUMNS($O$1006:Q1006),$O$1006:$Q$1006,0))&gt;=100000), " ",IF(INDEX($O$2:$Q$1001,MATCH(ROWS($H$2:H423),$H$2:$H$1001,0),MATCH(COLUMNS($O$1006:Q1006),$O$1006:$Q$1006,0)), HYPERLINK("#",""), HYPERLINK(CONCATENATE("#metadata!", ADDRESS(INDEX($J$2:$J$1001,MATCH(ROWS($H$2:H423),$H$2:$H$1001,0),0), INDEX($O$1004:$Q$1004,1,MATCH(COLUMNS($O$1006:Q1006),$O$1006:$Q$1006,0)))),"Fix")))</f>
        <v xml:space="preserve"> </v>
      </c>
      <c r="H423">
        <v>422</v>
      </c>
      <c r="I423">
        <v>100423</v>
      </c>
      <c r="J423">
        <v>423</v>
      </c>
      <c r="K423" t="b">
        <f t="shared" si="6"/>
        <v>1</v>
      </c>
      <c r="L423" t="b">
        <f>COUNTBLANK(metadata!B423:D423)=COLUMNS(metadata!B423:D423)</f>
        <v>1</v>
      </c>
      <c r="M423" t="str">
        <v/>
      </c>
      <c r="O423" t="b">
        <f ca="1"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P423" t="b">
        <f>AND(IF(metadata!C423="",FALSE,TRUE),EXACT(metadata!C423,"mouse gut metagenome"))</f>
        <v>0</v>
      </c>
      <c r="Q423" t="b">
        <f>AND(IF(metadata!D423="",FALSE,TRUE),EXACT(metadata!D423,"410661"))</f>
        <v>0</v>
      </c>
    </row>
    <row r="424" spans="1:17" x14ac:dyDescent="0.2">
      <c r="A424" s="4" t="str">
        <f ca="1">IF(B424=" "," ",HYPERLINK(CONCATENATE("#metadata!",ADDRESS(INDEX($J$2:$J$1001,MATCH(ROWS($H$2:H424),$H$2:$H$1001,0),0),1)),INDEX($M$2:$M$1001,MATCH(ROWS($H$2:H424),$H$2:$H$1001,0),0)))</f>
        <v xml:space="preserve"> </v>
      </c>
      <c r="B424" s="3" t="str">
        <f ca="1">IF(OR(INDEX($I$2:$I$1001,MATCH(ROWS($H$2:H424),$H$2:$H$1001,0),1)&gt;=100000,INDEX($O$1005:$Q$1005,1,MATCH(COLUMNS($O$1006:O1006),$O$1006:$Q$1006,0))&gt;=100000), " ",IF(INDEX($O$2:$Q$1001,MATCH(ROWS($H$2:H424),$H$2:$H$1001,0),MATCH(COLUMNS($O$1006:O1006),$O$1006:$Q$1006,0)), HYPERLINK("#",""), HYPERLINK(CONCATENATE("#metadata!", ADDRESS(INDEX($J$2:$J$1001,MATCH(ROWS($H$2:H424),$H$2:$H$1001,0),0), INDEX($O$1004:$Q$1004,1,MATCH(COLUMNS($O$1006:O1006),$O$1006:$Q$1006,0)))),"Fix")))</f>
        <v xml:space="preserve"> </v>
      </c>
      <c r="C424" s="3" t="str">
        <f ca="1">IF(OR(INDEX($I$2:$I$1001,MATCH(ROWS($H$2:H424),$H$2:$H$1001,0),1)&gt;=100000,INDEX($O$1005:$Q$1005,1,MATCH(COLUMNS($O$1006:P1006),$O$1006:$Q$1006,0))&gt;=100000), " ",IF(INDEX($O$2:$Q$1001,MATCH(ROWS($H$2:H424),$H$2:$H$1001,0),MATCH(COLUMNS($O$1006:P1006),$O$1006:$Q$1006,0)), HYPERLINK("#",""), HYPERLINK(CONCATENATE("#metadata!", ADDRESS(INDEX($J$2:$J$1001,MATCH(ROWS($H$2:H424),$H$2:$H$1001,0),0), INDEX($O$1004:$Q$1004,1,MATCH(COLUMNS($O$1006:P1006),$O$1006:$Q$1006,0)))),"Fix")))</f>
        <v xml:space="preserve"> </v>
      </c>
      <c r="D424" s="3" t="str">
        <f ca="1">IF(OR(INDEX($I$2:$I$1001,MATCH(ROWS($H$2:H424),$H$2:$H$1001,0),1)&gt;=100000,INDEX($O$1005:$Q$1005,1,MATCH(COLUMNS($O$1006:Q1006),$O$1006:$Q$1006,0))&gt;=100000), " ",IF(INDEX($O$2:$Q$1001,MATCH(ROWS($H$2:H424),$H$2:$H$1001,0),MATCH(COLUMNS($O$1006:Q1006),$O$1006:$Q$1006,0)), HYPERLINK("#",""), HYPERLINK(CONCATENATE("#metadata!", ADDRESS(INDEX($J$2:$J$1001,MATCH(ROWS($H$2:H424),$H$2:$H$1001,0),0), INDEX($O$1004:$Q$1004,1,MATCH(COLUMNS($O$1006:Q1006),$O$1006:$Q$1006,0)))),"Fix")))</f>
        <v xml:space="preserve"> </v>
      </c>
      <c r="H424">
        <v>423</v>
      </c>
      <c r="I424">
        <v>100424</v>
      </c>
      <c r="J424">
        <v>424</v>
      </c>
      <c r="K424" t="b">
        <f t="shared" si="6"/>
        <v>1</v>
      </c>
      <c r="L424" t="b">
        <f>COUNTBLANK(metadata!B424:D424)=COLUMNS(metadata!B424:D424)</f>
        <v>1</v>
      </c>
      <c r="M424" t="str">
        <v/>
      </c>
      <c r="O424" t="b">
        <f ca="1"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P424" t="b">
        <f>AND(IF(metadata!C424="",FALSE,TRUE),EXACT(metadata!C424,"mouse gut metagenome"))</f>
        <v>0</v>
      </c>
      <c r="Q424" t="b">
        <f>AND(IF(metadata!D424="",FALSE,TRUE),EXACT(metadata!D424,"410661"))</f>
        <v>0</v>
      </c>
    </row>
    <row r="425" spans="1:17" x14ac:dyDescent="0.2">
      <c r="A425" s="4" t="str">
        <f ca="1">IF(B425=" "," ",HYPERLINK(CONCATENATE("#metadata!",ADDRESS(INDEX($J$2:$J$1001,MATCH(ROWS($H$2:H425),$H$2:$H$1001,0),0),1)),INDEX($M$2:$M$1001,MATCH(ROWS($H$2:H425),$H$2:$H$1001,0),0)))</f>
        <v xml:space="preserve"> </v>
      </c>
      <c r="B425" s="3" t="str">
        <f ca="1">IF(OR(INDEX($I$2:$I$1001,MATCH(ROWS($H$2:H425),$H$2:$H$1001,0),1)&gt;=100000,INDEX($O$1005:$Q$1005,1,MATCH(COLUMNS($O$1006:O1006),$O$1006:$Q$1006,0))&gt;=100000), " ",IF(INDEX($O$2:$Q$1001,MATCH(ROWS($H$2:H425),$H$2:$H$1001,0),MATCH(COLUMNS($O$1006:O1006),$O$1006:$Q$1006,0)), HYPERLINK("#",""), HYPERLINK(CONCATENATE("#metadata!", ADDRESS(INDEX($J$2:$J$1001,MATCH(ROWS($H$2:H425),$H$2:$H$1001,0),0), INDEX($O$1004:$Q$1004,1,MATCH(COLUMNS($O$1006:O1006),$O$1006:$Q$1006,0)))),"Fix")))</f>
        <v xml:space="preserve"> </v>
      </c>
      <c r="C425" s="3" t="str">
        <f ca="1">IF(OR(INDEX($I$2:$I$1001,MATCH(ROWS($H$2:H425),$H$2:$H$1001,0),1)&gt;=100000,INDEX($O$1005:$Q$1005,1,MATCH(COLUMNS($O$1006:P1006),$O$1006:$Q$1006,0))&gt;=100000), " ",IF(INDEX($O$2:$Q$1001,MATCH(ROWS($H$2:H425),$H$2:$H$1001,0),MATCH(COLUMNS($O$1006:P1006),$O$1006:$Q$1006,0)), HYPERLINK("#",""), HYPERLINK(CONCATENATE("#metadata!", ADDRESS(INDEX($J$2:$J$1001,MATCH(ROWS($H$2:H425),$H$2:$H$1001,0),0), INDEX($O$1004:$Q$1004,1,MATCH(COLUMNS($O$1006:P1006),$O$1006:$Q$1006,0)))),"Fix")))</f>
        <v xml:space="preserve"> </v>
      </c>
      <c r="D425" s="3" t="str">
        <f ca="1">IF(OR(INDEX($I$2:$I$1001,MATCH(ROWS($H$2:H425),$H$2:$H$1001,0),1)&gt;=100000,INDEX($O$1005:$Q$1005,1,MATCH(COLUMNS($O$1006:Q1006),$O$1006:$Q$1006,0))&gt;=100000), " ",IF(INDEX($O$2:$Q$1001,MATCH(ROWS($H$2:H425),$H$2:$H$1001,0),MATCH(COLUMNS($O$1006:Q1006),$O$1006:$Q$1006,0)), HYPERLINK("#",""), HYPERLINK(CONCATENATE("#metadata!", ADDRESS(INDEX($J$2:$J$1001,MATCH(ROWS($H$2:H425),$H$2:$H$1001,0),0), INDEX($O$1004:$Q$1004,1,MATCH(COLUMNS($O$1006:Q1006),$O$1006:$Q$1006,0)))),"Fix")))</f>
        <v xml:space="preserve"> </v>
      </c>
      <c r="H425">
        <v>424</v>
      </c>
      <c r="I425">
        <v>100425</v>
      </c>
      <c r="J425">
        <v>425</v>
      </c>
      <c r="K425" t="b">
        <f t="shared" si="6"/>
        <v>1</v>
      </c>
      <c r="L425" t="b">
        <f>COUNTBLANK(metadata!B425:D425)=COLUMNS(metadata!B425:D425)</f>
        <v>1</v>
      </c>
      <c r="M425" t="str">
        <v/>
      </c>
      <c r="O425" t="b">
        <f ca="1"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P425" t="b">
        <f>AND(IF(metadata!C425="",FALSE,TRUE),EXACT(metadata!C425,"mouse gut metagenome"))</f>
        <v>0</v>
      </c>
      <c r="Q425" t="b">
        <f>AND(IF(metadata!D425="",FALSE,TRUE),EXACT(metadata!D425,"410661"))</f>
        <v>0</v>
      </c>
    </row>
    <row r="426" spans="1:17" x14ac:dyDescent="0.2">
      <c r="A426" s="4" t="str">
        <f ca="1">IF(B426=" "," ",HYPERLINK(CONCATENATE("#metadata!",ADDRESS(INDEX($J$2:$J$1001,MATCH(ROWS($H$2:H426),$H$2:$H$1001,0),0),1)),INDEX($M$2:$M$1001,MATCH(ROWS($H$2:H426),$H$2:$H$1001,0),0)))</f>
        <v xml:space="preserve"> </v>
      </c>
      <c r="B426" s="3" t="str">
        <f ca="1">IF(OR(INDEX($I$2:$I$1001,MATCH(ROWS($H$2:H426),$H$2:$H$1001,0),1)&gt;=100000,INDEX($O$1005:$Q$1005,1,MATCH(COLUMNS($O$1006:O1006),$O$1006:$Q$1006,0))&gt;=100000), " ",IF(INDEX($O$2:$Q$1001,MATCH(ROWS($H$2:H426),$H$2:$H$1001,0),MATCH(COLUMNS($O$1006:O1006),$O$1006:$Q$1006,0)), HYPERLINK("#",""), HYPERLINK(CONCATENATE("#metadata!", ADDRESS(INDEX($J$2:$J$1001,MATCH(ROWS($H$2:H426),$H$2:$H$1001,0),0), INDEX($O$1004:$Q$1004,1,MATCH(COLUMNS($O$1006:O1006),$O$1006:$Q$1006,0)))),"Fix")))</f>
        <v xml:space="preserve"> </v>
      </c>
      <c r="C426" s="3" t="str">
        <f ca="1">IF(OR(INDEX($I$2:$I$1001,MATCH(ROWS($H$2:H426),$H$2:$H$1001,0),1)&gt;=100000,INDEX($O$1005:$Q$1005,1,MATCH(COLUMNS($O$1006:P1006),$O$1006:$Q$1006,0))&gt;=100000), " ",IF(INDEX($O$2:$Q$1001,MATCH(ROWS($H$2:H426),$H$2:$H$1001,0),MATCH(COLUMNS($O$1006:P1006),$O$1006:$Q$1006,0)), HYPERLINK("#",""), HYPERLINK(CONCATENATE("#metadata!", ADDRESS(INDEX($J$2:$J$1001,MATCH(ROWS($H$2:H426),$H$2:$H$1001,0),0), INDEX($O$1004:$Q$1004,1,MATCH(COLUMNS($O$1006:P1006),$O$1006:$Q$1006,0)))),"Fix")))</f>
        <v xml:space="preserve"> </v>
      </c>
      <c r="D426" s="3" t="str">
        <f ca="1">IF(OR(INDEX($I$2:$I$1001,MATCH(ROWS($H$2:H426),$H$2:$H$1001,0),1)&gt;=100000,INDEX($O$1005:$Q$1005,1,MATCH(COLUMNS($O$1006:Q1006),$O$1006:$Q$1006,0))&gt;=100000), " ",IF(INDEX($O$2:$Q$1001,MATCH(ROWS($H$2:H426),$H$2:$H$1001,0),MATCH(COLUMNS($O$1006:Q1006),$O$1006:$Q$1006,0)), HYPERLINK("#",""), HYPERLINK(CONCATENATE("#metadata!", ADDRESS(INDEX($J$2:$J$1001,MATCH(ROWS($H$2:H426),$H$2:$H$1001,0),0), INDEX($O$1004:$Q$1004,1,MATCH(COLUMNS($O$1006:Q1006),$O$1006:$Q$1006,0)))),"Fix")))</f>
        <v xml:space="preserve"> </v>
      </c>
      <c r="H426">
        <v>425</v>
      </c>
      <c r="I426">
        <v>100426</v>
      </c>
      <c r="J426">
        <v>426</v>
      </c>
      <c r="K426" t="b">
        <f t="shared" si="6"/>
        <v>1</v>
      </c>
      <c r="L426" t="b">
        <f>COUNTBLANK(metadata!B426:D426)=COLUMNS(metadata!B426:D426)</f>
        <v>1</v>
      </c>
      <c r="M426" t="str">
        <v/>
      </c>
      <c r="O426" t="b">
        <f ca="1"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P426" t="b">
        <f>AND(IF(metadata!C426="",FALSE,TRUE),EXACT(metadata!C426,"mouse gut metagenome"))</f>
        <v>0</v>
      </c>
      <c r="Q426" t="b">
        <f>AND(IF(metadata!D426="",FALSE,TRUE),EXACT(metadata!D426,"410661"))</f>
        <v>0</v>
      </c>
    </row>
    <row r="427" spans="1:17" x14ac:dyDescent="0.2">
      <c r="A427" s="4" t="str">
        <f ca="1">IF(B427=" "," ",HYPERLINK(CONCATENATE("#metadata!",ADDRESS(INDEX($J$2:$J$1001,MATCH(ROWS($H$2:H427),$H$2:$H$1001,0),0),1)),INDEX($M$2:$M$1001,MATCH(ROWS($H$2:H427),$H$2:$H$1001,0),0)))</f>
        <v xml:space="preserve"> </v>
      </c>
      <c r="B427" s="3" t="str">
        <f ca="1">IF(OR(INDEX($I$2:$I$1001,MATCH(ROWS($H$2:H427),$H$2:$H$1001,0),1)&gt;=100000,INDEX($O$1005:$Q$1005,1,MATCH(COLUMNS($O$1006:O1006),$O$1006:$Q$1006,0))&gt;=100000), " ",IF(INDEX($O$2:$Q$1001,MATCH(ROWS($H$2:H427),$H$2:$H$1001,0),MATCH(COLUMNS($O$1006:O1006),$O$1006:$Q$1006,0)), HYPERLINK("#",""), HYPERLINK(CONCATENATE("#metadata!", ADDRESS(INDEX($J$2:$J$1001,MATCH(ROWS($H$2:H427),$H$2:$H$1001,0),0), INDEX($O$1004:$Q$1004,1,MATCH(COLUMNS($O$1006:O1006),$O$1006:$Q$1006,0)))),"Fix")))</f>
        <v xml:space="preserve"> </v>
      </c>
      <c r="C427" s="3" t="str">
        <f ca="1">IF(OR(INDEX($I$2:$I$1001,MATCH(ROWS($H$2:H427),$H$2:$H$1001,0),1)&gt;=100000,INDEX($O$1005:$Q$1005,1,MATCH(COLUMNS($O$1006:P1006),$O$1006:$Q$1006,0))&gt;=100000), " ",IF(INDEX($O$2:$Q$1001,MATCH(ROWS($H$2:H427),$H$2:$H$1001,0),MATCH(COLUMNS($O$1006:P1006),$O$1006:$Q$1006,0)), HYPERLINK("#",""), HYPERLINK(CONCATENATE("#metadata!", ADDRESS(INDEX($J$2:$J$1001,MATCH(ROWS($H$2:H427),$H$2:$H$1001,0),0), INDEX($O$1004:$Q$1004,1,MATCH(COLUMNS($O$1006:P1006),$O$1006:$Q$1006,0)))),"Fix")))</f>
        <v xml:space="preserve"> </v>
      </c>
      <c r="D427" s="3" t="str">
        <f ca="1">IF(OR(INDEX($I$2:$I$1001,MATCH(ROWS($H$2:H427),$H$2:$H$1001,0),1)&gt;=100000,INDEX($O$1005:$Q$1005,1,MATCH(COLUMNS($O$1006:Q1006),$O$1006:$Q$1006,0))&gt;=100000), " ",IF(INDEX($O$2:$Q$1001,MATCH(ROWS($H$2:H427),$H$2:$H$1001,0),MATCH(COLUMNS($O$1006:Q1006),$O$1006:$Q$1006,0)), HYPERLINK("#",""), HYPERLINK(CONCATENATE("#metadata!", ADDRESS(INDEX($J$2:$J$1001,MATCH(ROWS($H$2:H427),$H$2:$H$1001,0),0), INDEX($O$1004:$Q$1004,1,MATCH(COLUMNS($O$1006:Q1006),$O$1006:$Q$1006,0)))),"Fix")))</f>
        <v xml:space="preserve"> </v>
      </c>
      <c r="H427">
        <v>426</v>
      </c>
      <c r="I427">
        <v>100427</v>
      </c>
      <c r="J427">
        <v>427</v>
      </c>
      <c r="K427" t="b">
        <f t="shared" si="6"/>
        <v>1</v>
      </c>
      <c r="L427" t="b">
        <f>COUNTBLANK(metadata!B427:D427)=COLUMNS(metadata!B427:D427)</f>
        <v>1</v>
      </c>
      <c r="M427" t="str">
        <v/>
      </c>
      <c r="O427" t="b">
        <f ca="1"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P427" t="b">
        <f>AND(IF(metadata!C427="",FALSE,TRUE),EXACT(metadata!C427,"mouse gut metagenome"))</f>
        <v>0</v>
      </c>
      <c r="Q427" t="b">
        <f>AND(IF(metadata!D427="",FALSE,TRUE),EXACT(metadata!D427,"410661"))</f>
        <v>0</v>
      </c>
    </row>
    <row r="428" spans="1:17" x14ac:dyDescent="0.2">
      <c r="A428" s="4" t="str">
        <f ca="1">IF(B428=" "," ",HYPERLINK(CONCATENATE("#metadata!",ADDRESS(INDEX($J$2:$J$1001,MATCH(ROWS($H$2:H428),$H$2:$H$1001,0),0),1)),INDEX($M$2:$M$1001,MATCH(ROWS($H$2:H428),$H$2:$H$1001,0),0)))</f>
        <v xml:space="preserve"> </v>
      </c>
      <c r="B428" s="3" t="str">
        <f ca="1">IF(OR(INDEX($I$2:$I$1001,MATCH(ROWS($H$2:H428),$H$2:$H$1001,0),1)&gt;=100000,INDEX($O$1005:$Q$1005,1,MATCH(COLUMNS($O$1006:O1006),$O$1006:$Q$1006,0))&gt;=100000), " ",IF(INDEX($O$2:$Q$1001,MATCH(ROWS($H$2:H428),$H$2:$H$1001,0),MATCH(COLUMNS($O$1006:O1006),$O$1006:$Q$1006,0)), HYPERLINK("#",""), HYPERLINK(CONCATENATE("#metadata!", ADDRESS(INDEX($J$2:$J$1001,MATCH(ROWS($H$2:H428),$H$2:$H$1001,0),0), INDEX($O$1004:$Q$1004,1,MATCH(COLUMNS($O$1006:O1006),$O$1006:$Q$1006,0)))),"Fix")))</f>
        <v xml:space="preserve"> </v>
      </c>
      <c r="C428" s="3" t="str">
        <f ca="1">IF(OR(INDEX($I$2:$I$1001,MATCH(ROWS($H$2:H428),$H$2:$H$1001,0),1)&gt;=100000,INDEX($O$1005:$Q$1005,1,MATCH(COLUMNS($O$1006:P1006),$O$1006:$Q$1006,0))&gt;=100000), " ",IF(INDEX($O$2:$Q$1001,MATCH(ROWS($H$2:H428),$H$2:$H$1001,0),MATCH(COLUMNS($O$1006:P1006),$O$1006:$Q$1006,0)), HYPERLINK("#",""), HYPERLINK(CONCATENATE("#metadata!", ADDRESS(INDEX($J$2:$J$1001,MATCH(ROWS($H$2:H428),$H$2:$H$1001,0),0), INDEX($O$1004:$Q$1004,1,MATCH(COLUMNS($O$1006:P1006),$O$1006:$Q$1006,0)))),"Fix")))</f>
        <v xml:space="preserve"> </v>
      </c>
      <c r="D428" s="3" t="str">
        <f ca="1">IF(OR(INDEX($I$2:$I$1001,MATCH(ROWS($H$2:H428),$H$2:$H$1001,0),1)&gt;=100000,INDEX($O$1005:$Q$1005,1,MATCH(COLUMNS($O$1006:Q1006),$O$1006:$Q$1006,0))&gt;=100000), " ",IF(INDEX($O$2:$Q$1001,MATCH(ROWS($H$2:H428),$H$2:$H$1001,0),MATCH(COLUMNS($O$1006:Q1006),$O$1006:$Q$1006,0)), HYPERLINK("#",""), HYPERLINK(CONCATENATE("#metadata!", ADDRESS(INDEX($J$2:$J$1001,MATCH(ROWS($H$2:H428),$H$2:$H$1001,0),0), INDEX($O$1004:$Q$1004,1,MATCH(COLUMNS($O$1006:Q1006),$O$1006:$Q$1006,0)))),"Fix")))</f>
        <v xml:space="preserve"> </v>
      </c>
      <c r="H428">
        <v>427</v>
      </c>
      <c r="I428">
        <v>100428</v>
      </c>
      <c r="J428">
        <v>428</v>
      </c>
      <c r="K428" t="b">
        <f t="shared" si="6"/>
        <v>1</v>
      </c>
      <c r="L428" t="b">
        <f>COUNTBLANK(metadata!B428:D428)=COLUMNS(metadata!B428:D428)</f>
        <v>1</v>
      </c>
      <c r="M428" t="str">
        <v/>
      </c>
      <c r="O428" t="b">
        <f ca="1"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P428" t="b">
        <f>AND(IF(metadata!C428="",FALSE,TRUE),EXACT(metadata!C428,"mouse gut metagenome"))</f>
        <v>0</v>
      </c>
      <c r="Q428" t="b">
        <f>AND(IF(metadata!D428="",FALSE,TRUE),EXACT(metadata!D428,"410661"))</f>
        <v>0</v>
      </c>
    </row>
    <row r="429" spans="1:17" x14ac:dyDescent="0.2">
      <c r="A429" s="4" t="str">
        <f ca="1">IF(B429=" "," ",HYPERLINK(CONCATENATE("#metadata!",ADDRESS(INDEX($J$2:$J$1001,MATCH(ROWS($H$2:H429),$H$2:$H$1001,0),0),1)),INDEX($M$2:$M$1001,MATCH(ROWS($H$2:H429),$H$2:$H$1001,0),0)))</f>
        <v xml:space="preserve"> </v>
      </c>
      <c r="B429" s="3" t="str">
        <f ca="1">IF(OR(INDEX($I$2:$I$1001,MATCH(ROWS($H$2:H429),$H$2:$H$1001,0),1)&gt;=100000,INDEX($O$1005:$Q$1005,1,MATCH(COLUMNS($O$1006:O1006),$O$1006:$Q$1006,0))&gt;=100000), " ",IF(INDEX($O$2:$Q$1001,MATCH(ROWS($H$2:H429),$H$2:$H$1001,0),MATCH(COLUMNS($O$1006:O1006),$O$1006:$Q$1006,0)), HYPERLINK("#",""), HYPERLINK(CONCATENATE("#metadata!", ADDRESS(INDEX($J$2:$J$1001,MATCH(ROWS($H$2:H429),$H$2:$H$1001,0),0), INDEX($O$1004:$Q$1004,1,MATCH(COLUMNS($O$1006:O1006),$O$1006:$Q$1006,0)))),"Fix")))</f>
        <v xml:space="preserve"> </v>
      </c>
      <c r="C429" s="3" t="str">
        <f ca="1">IF(OR(INDEX($I$2:$I$1001,MATCH(ROWS($H$2:H429),$H$2:$H$1001,0),1)&gt;=100000,INDEX($O$1005:$Q$1005,1,MATCH(COLUMNS($O$1006:P1006),$O$1006:$Q$1006,0))&gt;=100000), " ",IF(INDEX($O$2:$Q$1001,MATCH(ROWS($H$2:H429),$H$2:$H$1001,0),MATCH(COLUMNS($O$1006:P1006),$O$1006:$Q$1006,0)), HYPERLINK("#",""), HYPERLINK(CONCATENATE("#metadata!", ADDRESS(INDEX($J$2:$J$1001,MATCH(ROWS($H$2:H429),$H$2:$H$1001,0),0), INDEX($O$1004:$Q$1004,1,MATCH(COLUMNS($O$1006:P1006),$O$1006:$Q$1006,0)))),"Fix")))</f>
        <v xml:space="preserve"> </v>
      </c>
      <c r="D429" s="3" t="str">
        <f ca="1">IF(OR(INDEX($I$2:$I$1001,MATCH(ROWS($H$2:H429),$H$2:$H$1001,0),1)&gt;=100000,INDEX($O$1005:$Q$1005,1,MATCH(COLUMNS($O$1006:Q1006),$O$1006:$Q$1006,0))&gt;=100000), " ",IF(INDEX($O$2:$Q$1001,MATCH(ROWS($H$2:H429),$H$2:$H$1001,0),MATCH(COLUMNS($O$1006:Q1006),$O$1006:$Q$1006,0)), HYPERLINK("#",""), HYPERLINK(CONCATENATE("#metadata!", ADDRESS(INDEX($J$2:$J$1001,MATCH(ROWS($H$2:H429),$H$2:$H$1001,0),0), INDEX($O$1004:$Q$1004,1,MATCH(COLUMNS($O$1006:Q1006),$O$1006:$Q$1006,0)))),"Fix")))</f>
        <v xml:space="preserve"> </v>
      </c>
      <c r="H429">
        <v>428</v>
      </c>
      <c r="I429">
        <v>100429</v>
      </c>
      <c r="J429">
        <v>429</v>
      </c>
      <c r="K429" t="b">
        <f t="shared" si="6"/>
        <v>1</v>
      </c>
      <c r="L429" t="b">
        <f>COUNTBLANK(metadata!B429:D429)=COLUMNS(metadata!B429:D429)</f>
        <v>1</v>
      </c>
      <c r="M429" t="str">
        <v/>
      </c>
      <c r="O429" t="b">
        <f ca="1"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P429" t="b">
        <f>AND(IF(metadata!C429="",FALSE,TRUE),EXACT(metadata!C429,"mouse gut metagenome"))</f>
        <v>0</v>
      </c>
      <c r="Q429" t="b">
        <f>AND(IF(metadata!D429="",FALSE,TRUE),EXACT(metadata!D429,"410661"))</f>
        <v>0</v>
      </c>
    </row>
    <row r="430" spans="1:17" x14ac:dyDescent="0.2">
      <c r="A430" s="4" t="str">
        <f ca="1">IF(B430=" "," ",HYPERLINK(CONCATENATE("#metadata!",ADDRESS(INDEX($J$2:$J$1001,MATCH(ROWS($H$2:H430),$H$2:$H$1001,0),0),1)),INDEX($M$2:$M$1001,MATCH(ROWS($H$2:H430),$H$2:$H$1001,0),0)))</f>
        <v xml:space="preserve"> </v>
      </c>
      <c r="B430" s="3" t="str">
        <f ca="1">IF(OR(INDEX($I$2:$I$1001,MATCH(ROWS($H$2:H430),$H$2:$H$1001,0),1)&gt;=100000,INDEX($O$1005:$Q$1005,1,MATCH(COLUMNS($O$1006:O1006),$O$1006:$Q$1006,0))&gt;=100000), " ",IF(INDEX($O$2:$Q$1001,MATCH(ROWS($H$2:H430),$H$2:$H$1001,0),MATCH(COLUMNS($O$1006:O1006),$O$1006:$Q$1006,0)), HYPERLINK("#",""), HYPERLINK(CONCATENATE("#metadata!", ADDRESS(INDEX($J$2:$J$1001,MATCH(ROWS($H$2:H430),$H$2:$H$1001,0),0), INDEX($O$1004:$Q$1004,1,MATCH(COLUMNS($O$1006:O1006),$O$1006:$Q$1006,0)))),"Fix")))</f>
        <v xml:space="preserve"> </v>
      </c>
      <c r="C430" s="3" t="str">
        <f ca="1">IF(OR(INDEX($I$2:$I$1001,MATCH(ROWS($H$2:H430),$H$2:$H$1001,0),1)&gt;=100000,INDEX($O$1005:$Q$1005,1,MATCH(COLUMNS($O$1006:P1006),$O$1006:$Q$1006,0))&gt;=100000), " ",IF(INDEX($O$2:$Q$1001,MATCH(ROWS($H$2:H430),$H$2:$H$1001,0),MATCH(COLUMNS($O$1006:P1006),$O$1006:$Q$1006,0)), HYPERLINK("#",""), HYPERLINK(CONCATENATE("#metadata!", ADDRESS(INDEX($J$2:$J$1001,MATCH(ROWS($H$2:H430),$H$2:$H$1001,0),0), INDEX($O$1004:$Q$1004,1,MATCH(COLUMNS($O$1006:P1006),$O$1006:$Q$1006,0)))),"Fix")))</f>
        <v xml:space="preserve"> </v>
      </c>
      <c r="D430" s="3" t="str">
        <f ca="1">IF(OR(INDEX($I$2:$I$1001,MATCH(ROWS($H$2:H430),$H$2:$H$1001,0),1)&gt;=100000,INDEX($O$1005:$Q$1005,1,MATCH(COLUMNS($O$1006:Q1006),$O$1006:$Q$1006,0))&gt;=100000), " ",IF(INDEX($O$2:$Q$1001,MATCH(ROWS($H$2:H430),$H$2:$H$1001,0),MATCH(COLUMNS($O$1006:Q1006),$O$1006:$Q$1006,0)), HYPERLINK("#",""), HYPERLINK(CONCATENATE("#metadata!", ADDRESS(INDEX($J$2:$J$1001,MATCH(ROWS($H$2:H430),$H$2:$H$1001,0),0), INDEX($O$1004:$Q$1004,1,MATCH(COLUMNS($O$1006:Q1006),$O$1006:$Q$1006,0)))),"Fix")))</f>
        <v xml:space="preserve"> </v>
      </c>
      <c r="H430">
        <v>429</v>
      </c>
      <c r="I430">
        <v>100430</v>
      </c>
      <c r="J430">
        <v>430</v>
      </c>
      <c r="K430" t="b">
        <f t="shared" si="6"/>
        <v>1</v>
      </c>
      <c r="L430" t="b">
        <f>COUNTBLANK(metadata!B430:D430)=COLUMNS(metadata!B430:D430)</f>
        <v>1</v>
      </c>
      <c r="M430" t="str">
        <v/>
      </c>
      <c r="O430" t="b">
        <f ca="1"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P430" t="b">
        <f>AND(IF(metadata!C430="",FALSE,TRUE),EXACT(metadata!C430,"mouse gut metagenome"))</f>
        <v>0</v>
      </c>
      <c r="Q430" t="b">
        <f>AND(IF(metadata!D430="",FALSE,TRUE),EXACT(metadata!D430,"410661"))</f>
        <v>0</v>
      </c>
    </row>
    <row r="431" spans="1:17" x14ac:dyDescent="0.2">
      <c r="A431" s="4" t="str">
        <f ca="1">IF(B431=" "," ",HYPERLINK(CONCATENATE("#metadata!",ADDRESS(INDEX($J$2:$J$1001,MATCH(ROWS($H$2:H431),$H$2:$H$1001,0),0),1)),INDEX($M$2:$M$1001,MATCH(ROWS($H$2:H431),$H$2:$H$1001,0),0)))</f>
        <v xml:space="preserve"> </v>
      </c>
      <c r="B431" s="3" t="str">
        <f ca="1">IF(OR(INDEX($I$2:$I$1001,MATCH(ROWS($H$2:H431),$H$2:$H$1001,0),1)&gt;=100000,INDEX($O$1005:$Q$1005,1,MATCH(COLUMNS($O$1006:O1006),$O$1006:$Q$1006,0))&gt;=100000), " ",IF(INDEX($O$2:$Q$1001,MATCH(ROWS($H$2:H431),$H$2:$H$1001,0),MATCH(COLUMNS($O$1006:O1006),$O$1006:$Q$1006,0)), HYPERLINK("#",""), HYPERLINK(CONCATENATE("#metadata!", ADDRESS(INDEX($J$2:$J$1001,MATCH(ROWS($H$2:H431),$H$2:$H$1001,0),0), INDEX($O$1004:$Q$1004,1,MATCH(COLUMNS($O$1006:O1006),$O$1006:$Q$1006,0)))),"Fix")))</f>
        <v xml:space="preserve"> </v>
      </c>
      <c r="C431" s="3" t="str">
        <f ca="1">IF(OR(INDEX($I$2:$I$1001,MATCH(ROWS($H$2:H431),$H$2:$H$1001,0),1)&gt;=100000,INDEX($O$1005:$Q$1005,1,MATCH(COLUMNS($O$1006:P1006),$O$1006:$Q$1006,0))&gt;=100000), " ",IF(INDEX($O$2:$Q$1001,MATCH(ROWS($H$2:H431),$H$2:$H$1001,0),MATCH(COLUMNS($O$1006:P1006),$O$1006:$Q$1006,0)), HYPERLINK("#",""), HYPERLINK(CONCATENATE("#metadata!", ADDRESS(INDEX($J$2:$J$1001,MATCH(ROWS($H$2:H431),$H$2:$H$1001,0),0), INDEX($O$1004:$Q$1004,1,MATCH(COLUMNS($O$1006:P1006),$O$1006:$Q$1006,0)))),"Fix")))</f>
        <v xml:space="preserve"> </v>
      </c>
      <c r="D431" s="3" t="str">
        <f ca="1">IF(OR(INDEX($I$2:$I$1001,MATCH(ROWS($H$2:H431),$H$2:$H$1001,0),1)&gt;=100000,INDEX($O$1005:$Q$1005,1,MATCH(COLUMNS($O$1006:Q1006),$O$1006:$Q$1006,0))&gt;=100000), " ",IF(INDEX($O$2:$Q$1001,MATCH(ROWS($H$2:H431),$H$2:$H$1001,0),MATCH(COLUMNS($O$1006:Q1006),$O$1006:$Q$1006,0)), HYPERLINK("#",""), HYPERLINK(CONCATENATE("#metadata!", ADDRESS(INDEX($J$2:$J$1001,MATCH(ROWS($H$2:H431),$H$2:$H$1001,0),0), INDEX($O$1004:$Q$1004,1,MATCH(COLUMNS($O$1006:Q1006),$O$1006:$Q$1006,0)))),"Fix")))</f>
        <v xml:space="preserve"> </v>
      </c>
      <c r="H431">
        <v>430</v>
      </c>
      <c r="I431">
        <v>100431</v>
      </c>
      <c r="J431">
        <v>431</v>
      </c>
      <c r="K431" t="b">
        <f t="shared" si="6"/>
        <v>1</v>
      </c>
      <c r="L431" t="b">
        <f>COUNTBLANK(metadata!B431:D431)=COLUMNS(metadata!B431:D431)</f>
        <v>1</v>
      </c>
      <c r="M431" t="str">
        <v/>
      </c>
      <c r="O431" t="b">
        <f ca="1"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P431" t="b">
        <f>AND(IF(metadata!C431="",FALSE,TRUE),EXACT(metadata!C431,"mouse gut metagenome"))</f>
        <v>0</v>
      </c>
      <c r="Q431" t="b">
        <f>AND(IF(metadata!D431="",FALSE,TRUE),EXACT(metadata!D431,"410661"))</f>
        <v>0</v>
      </c>
    </row>
    <row r="432" spans="1:17" x14ac:dyDescent="0.2">
      <c r="A432" s="4" t="str">
        <f ca="1">IF(B432=" "," ",HYPERLINK(CONCATENATE("#metadata!",ADDRESS(INDEX($J$2:$J$1001,MATCH(ROWS($H$2:H432),$H$2:$H$1001,0),0),1)),INDEX($M$2:$M$1001,MATCH(ROWS($H$2:H432),$H$2:$H$1001,0),0)))</f>
        <v xml:space="preserve"> </v>
      </c>
      <c r="B432" s="3" t="str">
        <f ca="1">IF(OR(INDEX($I$2:$I$1001,MATCH(ROWS($H$2:H432),$H$2:$H$1001,0),1)&gt;=100000,INDEX($O$1005:$Q$1005,1,MATCH(COLUMNS($O$1006:O1006),$O$1006:$Q$1006,0))&gt;=100000), " ",IF(INDEX($O$2:$Q$1001,MATCH(ROWS($H$2:H432),$H$2:$H$1001,0),MATCH(COLUMNS($O$1006:O1006),$O$1006:$Q$1006,0)), HYPERLINK("#",""), HYPERLINK(CONCATENATE("#metadata!", ADDRESS(INDEX($J$2:$J$1001,MATCH(ROWS($H$2:H432),$H$2:$H$1001,0),0), INDEX($O$1004:$Q$1004,1,MATCH(COLUMNS($O$1006:O1006),$O$1006:$Q$1006,0)))),"Fix")))</f>
        <v xml:space="preserve"> </v>
      </c>
      <c r="C432" s="3" t="str">
        <f ca="1">IF(OR(INDEX($I$2:$I$1001,MATCH(ROWS($H$2:H432),$H$2:$H$1001,0),1)&gt;=100000,INDEX($O$1005:$Q$1005,1,MATCH(COLUMNS($O$1006:P1006),$O$1006:$Q$1006,0))&gt;=100000), " ",IF(INDEX($O$2:$Q$1001,MATCH(ROWS($H$2:H432),$H$2:$H$1001,0),MATCH(COLUMNS($O$1006:P1006),$O$1006:$Q$1006,0)), HYPERLINK("#",""), HYPERLINK(CONCATENATE("#metadata!", ADDRESS(INDEX($J$2:$J$1001,MATCH(ROWS($H$2:H432),$H$2:$H$1001,0),0), INDEX($O$1004:$Q$1004,1,MATCH(COLUMNS($O$1006:P1006),$O$1006:$Q$1006,0)))),"Fix")))</f>
        <v xml:space="preserve"> </v>
      </c>
      <c r="D432" s="3" t="str">
        <f ca="1">IF(OR(INDEX($I$2:$I$1001,MATCH(ROWS($H$2:H432),$H$2:$H$1001,0),1)&gt;=100000,INDEX($O$1005:$Q$1005,1,MATCH(COLUMNS($O$1006:Q1006),$O$1006:$Q$1006,0))&gt;=100000), " ",IF(INDEX($O$2:$Q$1001,MATCH(ROWS($H$2:H432),$H$2:$H$1001,0),MATCH(COLUMNS($O$1006:Q1006),$O$1006:$Q$1006,0)), HYPERLINK("#",""), HYPERLINK(CONCATENATE("#metadata!", ADDRESS(INDEX($J$2:$J$1001,MATCH(ROWS($H$2:H432),$H$2:$H$1001,0),0), INDEX($O$1004:$Q$1004,1,MATCH(COLUMNS($O$1006:Q1006),$O$1006:$Q$1006,0)))),"Fix")))</f>
        <v xml:space="preserve"> </v>
      </c>
      <c r="H432">
        <v>431</v>
      </c>
      <c r="I432">
        <v>100432</v>
      </c>
      <c r="J432">
        <v>432</v>
      </c>
      <c r="K432" t="b">
        <f t="shared" si="6"/>
        <v>1</v>
      </c>
      <c r="L432" t="b">
        <f>COUNTBLANK(metadata!B432:D432)=COLUMNS(metadata!B432:D432)</f>
        <v>1</v>
      </c>
      <c r="M432" t="str">
        <v/>
      </c>
      <c r="O432" t="b">
        <f ca="1"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P432" t="b">
        <f>AND(IF(metadata!C432="",FALSE,TRUE),EXACT(metadata!C432,"mouse gut metagenome"))</f>
        <v>0</v>
      </c>
      <c r="Q432" t="b">
        <f>AND(IF(metadata!D432="",FALSE,TRUE),EXACT(metadata!D432,"410661"))</f>
        <v>0</v>
      </c>
    </row>
    <row r="433" spans="1:17" x14ac:dyDescent="0.2">
      <c r="A433" s="4" t="str">
        <f ca="1">IF(B433=" "," ",HYPERLINK(CONCATENATE("#metadata!",ADDRESS(INDEX($J$2:$J$1001,MATCH(ROWS($H$2:H433),$H$2:$H$1001,0),0),1)),INDEX($M$2:$M$1001,MATCH(ROWS($H$2:H433),$H$2:$H$1001,0),0)))</f>
        <v xml:space="preserve"> </v>
      </c>
      <c r="B433" s="3" t="str">
        <f ca="1">IF(OR(INDEX($I$2:$I$1001,MATCH(ROWS($H$2:H433),$H$2:$H$1001,0),1)&gt;=100000,INDEX($O$1005:$Q$1005,1,MATCH(COLUMNS($O$1006:O1006),$O$1006:$Q$1006,0))&gt;=100000), " ",IF(INDEX($O$2:$Q$1001,MATCH(ROWS($H$2:H433),$H$2:$H$1001,0),MATCH(COLUMNS($O$1006:O1006),$O$1006:$Q$1006,0)), HYPERLINK("#",""), HYPERLINK(CONCATENATE("#metadata!", ADDRESS(INDEX($J$2:$J$1001,MATCH(ROWS($H$2:H433),$H$2:$H$1001,0),0), INDEX($O$1004:$Q$1004,1,MATCH(COLUMNS($O$1006:O1006),$O$1006:$Q$1006,0)))),"Fix")))</f>
        <v xml:space="preserve"> </v>
      </c>
      <c r="C433" s="3" t="str">
        <f ca="1">IF(OR(INDEX($I$2:$I$1001,MATCH(ROWS($H$2:H433),$H$2:$H$1001,0),1)&gt;=100000,INDEX($O$1005:$Q$1005,1,MATCH(COLUMNS($O$1006:P1006),$O$1006:$Q$1006,0))&gt;=100000), " ",IF(INDEX($O$2:$Q$1001,MATCH(ROWS($H$2:H433),$H$2:$H$1001,0),MATCH(COLUMNS($O$1006:P1006),$O$1006:$Q$1006,0)), HYPERLINK("#",""), HYPERLINK(CONCATENATE("#metadata!", ADDRESS(INDEX($J$2:$J$1001,MATCH(ROWS($H$2:H433),$H$2:$H$1001,0),0), INDEX($O$1004:$Q$1004,1,MATCH(COLUMNS($O$1006:P1006),$O$1006:$Q$1006,0)))),"Fix")))</f>
        <v xml:space="preserve"> </v>
      </c>
      <c r="D433" s="3" t="str">
        <f ca="1">IF(OR(INDEX($I$2:$I$1001,MATCH(ROWS($H$2:H433),$H$2:$H$1001,0),1)&gt;=100000,INDEX($O$1005:$Q$1005,1,MATCH(COLUMNS($O$1006:Q1006),$O$1006:$Q$1006,0))&gt;=100000), " ",IF(INDEX($O$2:$Q$1001,MATCH(ROWS($H$2:H433),$H$2:$H$1001,0),MATCH(COLUMNS($O$1006:Q1006),$O$1006:$Q$1006,0)), HYPERLINK("#",""), HYPERLINK(CONCATENATE("#metadata!", ADDRESS(INDEX($J$2:$J$1001,MATCH(ROWS($H$2:H433),$H$2:$H$1001,0),0), INDEX($O$1004:$Q$1004,1,MATCH(COLUMNS($O$1006:Q1006),$O$1006:$Q$1006,0)))),"Fix")))</f>
        <v xml:space="preserve"> </v>
      </c>
      <c r="H433">
        <v>432</v>
      </c>
      <c r="I433">
        <v>100433</v>
      </c>
      <c r="J433">
        <v>433</v>
      </c>
      <c r="K433" t="b">
        <f t="shared" si="6"/>
        <v>1</v>
      </c>
      <c r="L433" t="b">
        <f>COUNTBLANK(metadata!B433:D433)=COLUMNS(metadata!B433:D433)</f>
        <v>1</v>
      </c>
      <c r="M433" t="str">
        <v/>
      </c>
      <c r="O433" t="b">
        <f ca="1"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P433" t="b">
        <f>AND(IF(metadata!C433="",FALSE,TRUE),EXACT(metadata!C433,"mouse gut metagenome"))</f>
        <v>0</v>
      </c>
      <c r="Q433" t="b">
        <f>AND(IF(metadata!D433="",FALSE,TRUE),EXACT(metadata!D433,"410661"))</f>
        <v>0</v>
      </c>
    </row>
    <row r="434" spans="1:17" x14ac:dyDescent="0.2">
      <c r="A434" s="4" t="str">
        <f ca="1">IF(B434=" "," ",HYPERLINK(CONCATENATE("#metadata!",ADDRESS(INDEX($J$2:$J$1001,MATCH(ROWS($H$2:H434),$H$2:$H$1001,0),0),1)),INDEX($M$2:$M$1001,MATCH(ROWS($H$2:H434),$H$2:$H$1001,0),0)))</f>
        <v xml:space="preserve"> </v>
      </c>
      <c r="B434" s="3" t="str">
        <f ca="1">IF(OR(INDEX($I$2:$I$1001,MATCH(ROWS($H$2:H434),$H$2:$H$1001,0),1)&gt;=100000,INDEX($O$1005:$Q$1005,1,MATCH(COLUMNS($O$1006:O1006),$O$1006:$Q$1006,0))&gt;=100000), " ",IF(INDEX($O$2:$Q$1001,MATCH(ROWS($H$2:H434),$H$2:$H$1001,0),MATCH(COLUMNS($O$1006:O1006),$O$1006:$Q$1006,0)), HYPERLINK("#",""), HYPERLINK(CONCATENATE("#metadata!", ADDRESS(INDEX($J$2:$J$1001,MATCH(ROWS($H$2:H434),$H$2:$H$1001,0),0), INDEX($O$1004:$Q$1004,1,MATCH(COLUMNS($O$1006:O1006),$O$1006:$Q$1006,0)))),"Fix")))</f>
        <v xml:space="preserve"> </v>
      </c>
      <c r="C434" s="3" t="str">
        <f ca="1">IF(OR(INDEX($I$2:$I$1001,MATCH(ROWS($H$2:H434),$H$2:$H$1001,0),1)&gt;=100000,INDEX($O$1005:$Q$1005,1,MATCH(COLUMNS($O$1006:P1006),$O$1006:$Q$1006,0))&gt;=100000), " ",IF(INDEX($O$2:$Q$1001,MATCH(ROWS($H$2:H434),$H$2:$H$1001,0),MATCH(COLUMNS($O$1006:P1006),$O$1006:$Q$1006,0)), HYPERLINK("#",""), HYPERLINK(CONCATENATE("#metadata!", ADDRESS(INDEX($J$2:$J$1001,MATCH(ROWS($H$2:H434),$H$2:$H$1001,0),0), INDEX($O$1004:$Q$1004,1,MATCH(COLUMNS($O$1006:P1006),$O$1006:$Q$1006,0)))),"Fix")))</f>
        <v xml:space="preserve"> </v>
      </c>
      <c r="D434" s="3" t="str">
        <f ca="1">IF(OR(INDEX($I$2:$I$1001,MATCH(ROWS($H$2:H434),$H$2:$H$1001,0),1)&gt;=100000,INDEX($O$1005:$Q$1005,1,MATCH(COLUMNS($O$1006:Q1006),$O$1006:$Q$1006,0))&gt;=100000), " ",IF(INDEX($O$2:$Q$1001,MATCH(ROWS($H$2:H434),$H$2:$H$1001,0),MATCH(COLUMNS($O$1006:Q1006),$O$1006:$Q$1006,0)), HYPERLINK("#",""), HYPERLINK(CONCATENATE("#metadata!", ADDRESS(INDEX($J$2:$J$1001,MATCH(ROWS($H$2:H434),$H$2:$H$1001,0),0), INDEX($O$1004:$Q$1004,1,MATCH(COLUMNS($O$1006:Q1006),$O$1006:$Q$1006,0)))),"Fix")))</f>
        <v xml:space="preserve"> </v>
      </c>
      <c r="H434">
        <v>433</v>
      </c>
      <c r="I434">
        <v>100434</v>
      </c>
      <c r="J434">
        <v>434</v>
      </c>
      <c r="K434" t="b">
        <f t="shared" si="6"/>
        <v>1</v>
      </c>
      <c r="L434" t="b">
        <f>COUNTBLANK(metadata!B434:D434)=COLUMNS(metadata!B434:D434)</f>
        <v>1</v>
      </c>
      <c r="M434" t="str">
        <v/>
      </c>
      <c r="O434" t="b">
        <f ca="1"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P434" t="b">
        <f>AND(IF(metadata!C434="",FALSE,TRUE),EXACT(metadata!C434,"mouse gut metagenome"))</f>
        <v>0</v>
      </c>
      <c r="Q434" t="b">
        <f>AND(IF(metadata!D434="",FALSE,TRUE),EXACT(metadata!D434,"410661"))</f>
        <v>0</v>
      </c>
    </row>
    <row r="435" spans="1:17" x14ac:dyDescent="0.2">
      <c r="A435" s="4" t="str">
        <f ca="1">IF(B435=" "," ",HYPERLINK(CONCATENATE("#metadata!",ADDRESS(INDEX($J$2:$J$1001,MATCH(ROWS($H$2:H435),$H$2:$H$1001,0),0),1)),INDEX($M$2:$M$1001,MATCH(ROWS($H$2:H435),$H$2:$H$1001,0),0)))</f>
        <v xml:space="preserve"> </v>
      </c>
      <c r="B435" s="3" t="str">
        <f ca="1">IF(OR(INDEX($I$2:$I$1001,MATCH(ROWS($H$2:H435),$H$2:$H$1001,0),1)&gt;=100000,INDEX($O$1005:$Q$1005,1,MATCH(COLUMNS($O$1006:O1006),$O$1006:$Q$1006,0))&gt;=100000), " ",IF(INDEX($O$2:$Q$1001,MATCH(ROWS($H$2:H435),$H$2:$H$1001,0),MATCH(COLUMNS($O$1006:O1006),$O$1006:$Q$1006,0)), HYPERLINK("#",""), HYPERLINK(CONCATENATE("#metadata!", ADDRESS(INDEX($J$2:$J$1001,MATCH(ROWS($H$2:H435),$H$2:$H$1001,0),0), INDEX($O$1004:$Q$1004,1,MATCH(COLUMNS($O$1006:O1006),$O$1006:$Q$1006,0)))),"Fix")))</f>
        <v xml:space="preserve"> </v>
      </c>
      <c r="C435" s="3" t="str">
        <f ca="1">IF(OR(INDEX($I$2:$I$1001,MATCH(ROWS($H$2:H435),$H$2:$H$1001,0),1)&gt;=100000,INDEX($O$1005:$Q$1005,1,MATCH(COLUMNS($O$1006:P1006),$O$1006:$Q$1006,0))&gt;=100000), " ",IF(INDEX($O$2:$Q$1001,MATCH(ROWS($H$2:H435),$H$2:$H$1001,0),MATCH(COLUMNS($O$1006:P1006),$O$1006:$Q$1006,0)), HYPERLINK("#",""), HYPERLINK(CONCATENATE("#metadata!", ADDRESS(INDEX($J$2:$J$1001,MATCH(ROWS($H$2:H435),$H$2:$H$1001,0),0), INDEX($O$1004:$Q$1004,1,MATCH(COLUMNS($O$1006:P1006),$O$1006:$Q$1006,0)))),"Fix")))</f>
        <v xml:space="preserve"> </v>
      </c>
      <c r="D435" s="3" t="str">
        <f ca="1">IF(OR(INDEX($I$2:$I$1001,MATCH(ROWS($H$2:H435),$H$2:$H$1001,0),1)&gt;=100000,INDEX($O$1005:$Q$1005,1,MATCH(COLUMNS($O$1006:Q1006),$O$1006:$Q$1006,0))&gt;=100000), " ",IF(INDEX($O$2:$Q$1001,MATCH(ROWS($H$2:H435),$H$2:$H$1001,0),MATCH(COLUMNS($O$1006:Q1006),$O$1006:$Q$1006,0)), HYPERLINK("#",""), HYPERLINK(CONCATENATE("#metadata!", ADDRESS(INDEX($J$2:$J$1001,MATCH(ROWS($H$2:H435),$H$2:$H$1001,0),0), INDEX($O$1004:$Q$1004,1,MATCH(COLUMNS($O$1006:Q1006),$O$1006:$Q$1006,0)))),"Fix")))</f>
        <v xml:space="preserve"> </v>
      </c>
      <c r="H435">
        <v>434</v>
      </c>
      <c r="I435">
        <v>100435</v>
      </c>
      <c r="J435">
        <v>435</v>
      </c>
      <c r="K435" t="b">
        <f t="shared" si="6"/>
        <v>1</v>
      </c>
      <c r="L435" t="b">
        <f>COUNTBLANK(metadata!B435:D435)=COLUMNS(metadata!B435:D435)</f>
        <v>1</v>
      </c>
      <c r="M435" t="str">
        <v/>
      </c>
      <c r="O435" t="b">
        <f ca="1"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P435" t="b">
        <f>AND(IF(metadata!C435="",FALSE,TRUE),EXACT(metadata!C435,"mouse gut metagenome"))</f>
        <v>0</v>
      </c>
      <c r="Q435" t="b">
        <f>AND(IF(metadata!D435="",FALSE,TRUE),EXACT(metadata!D435,"410661"))</f>
        <v>0</v>
      </c>
    </row>
    <row r="436" spans="1:17" x14ac:dyDescent="0.2">
      <c r="A436" s="4" t="str">
        <f ca="1">IF(B436=" "," ",HYPERLINK(CONCATENATE("#metadata!",ADDRESS(INDEX($J$2:$J$1001,MATCH(ROWS($H$2:H436),$H$2:$H$1001,0),0),1)),INDEX($M$2:$M$1001,MATCH(ROWS($H$2:H436),$H$2:$H$1001,0),0)))</f>
        <v xml:space="preserve"> </v>
      </c>
      <c r="B436" s="3" t="str">
        <f ca="1">IF(OR(INDEX($I$2:$I$1001,MATCH(ROWS($H$2:H436),$H$2:$H$1001,0),1)&gt;=100000,INDEX($O$1005:$Q$1005,1,MATCH(COLUMNS($O$1006:O1006),$O$1006:$Q$1006,0))&gt;=100000), " ",IF(INDEX($O$2:$Q$1001,MATCH(ROWS($H$2:H436),$H$2:$H$1001,0),MATCH(COLUMNS($O$1006:O1006),$O$1006:$Q$1006,0)), HYPERLINK("#",""), HYPERLINK(CONCATENATE("#metadata!", ADDRESS(INDEX($J$2:$J$1001,MATCH(ROWS($H$2:H436),$H$2:$H$1001,0),0), INDEX($O$1004:$Q$1004,1,MATCH(COLUMNS($O$1006:O1006),$O$1006:$Q$1006,0)))),"Fix")))</f>
        <v xml:space="preserve"> </v>
      </c>
      <c r="C436" s="3" t="str">
        <f ca="1">IF(OR(INDEX($I$2:$I$1001,MATCH(ROWS($H$2:H436),$H$2:$H$1001,0),1)&gt;=100000,INDEX($O$1005:$Q$1005,1,MATCH(COLUMNS($O$1006:P1006),$O$1006:$Q$1006,0))&gt;=100000), " ",IF(INDEX($O$2:$Q$1001,MATCH(ROWS($H$2:H436),$H$2:$H$1001,0),MATCH(COLUMNS($O$1006:P1006),$O$1006:$Q$1006,0)), HYPERLINK("#",""), HYPERLINK(CONCATENATE("#metadata!", ADDRESS(INDEX($J$2:$J$1001,MATCH(ROWS($H$2:H436),$H$2:$H$1001,0),0), INDEX($O$1004:$Q$1004,1,MATCH(COLUMNS($O$1006:P1006),$O$1006:$Q$1006,0)))),"Fix")))</f>
        <v xml:space="preserve"> </v>
      </c>
      <c r="D436" s="3" t="str">
        <f ca="1">IF(OR(INDEX($I$2:$I$1001,MATCH(ROWS($H$2:H436),$H$2:$H$1001,0),1)&gt;=100000,INDEX($O$1005:$Q$1005,1,MATCH(COLUMNS($O$1006:Q1006),$O$1006:$Q$1006,0))&gt;=100000), " ",IF(INDEX($O$2:$Q$1001,MATCH(ROWS($H$2:H436),$H$2:$H$1001,0),MATCH(COLUMNS($O$1006:Q1006),$O$1006:$Q$1006,0)), HYPERLINK("#",""), HYPERLINK(CONCATENATE("#metadata!", ADDRESS(INDEX($J$2:$J$1001,MATCH(ROWS($H$2:H436),$H$2:$H$1001,0),0), INDEX($O$1004:$Q$1004,1,MATCH(COLUMNS($O$1006:Q1006),$O$1006:$Q$1006,0)))),"Fix")))</f>
        <v xml:space="preserve"> </v>
      </c>
      <c r="H436">
        <v>435</v>
      </c>
      <c r="I436">
        <v>100436</v>
      </c>
      <c r="J436">
        <v>436</v>
      </c>
      <c r="K436" t="b">
        <f t="shared" si="6"/>
        <v>1</v>
      </c>
      <c r="L436" t="b">
        <f>COUNTBLANK(metadata!B436:D436)=COLUMNS(metadata!B436:D436)</f>
        <v>1</v>
      </c>
      <c r="M436" t="str">
        <v/>
      </c>
      <c r="O436" t="b">
        <f ca="1"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P436" t="b">
        <f>AND(IF(metadata!C436="",FALSE,TRUE),EXACT(metadata!C436,"mouse gut metagenome"))</f>
        <v>0</v>
      </c>
      <c r="Q436" t="b">
        <f>AND(IF(metadata!D436="",FALSE,TRUE),EXACT(metadata!D436,"410661"))</f>
        <v>0</v>
      </c>
    </row>
    <row r="437" spans="1:17" x14ac:dyDescent="0.2">
      <c r="A437" s="4" t="str">
        <f ca="1">IF(B437=" "," ",HYPERLINK(CONCATENATE("#metadata!",ADDRESS(INDEX($J$2:$J$1001,MATCH(ROWS($H$2:H437),$H$2:$H$1001,0),0),1)),INDEX($M$2:$M$1001,MATCH(ROWS($H$2:H437),$H$2:$H$1001,0),0)))</f>
        <v xml:space="preserve"> </v>
      </c>
      <c r="B437" s="3" t="str">
        <f ca="1">IF(OR(INDEX($I$2:$I$1001,MATCH(ROWS($H$2:H437),$H$2:$H$1001,0),1)&gt;=100000,INDEX($O$1005:$Q$1005,1,MATCH(COLUMNS($O$1006:O1006),$O$1006:$Q$1006,0))&gt;=100000), " ",IF(INDEX($O$2:$Q$1001,MATCH(ROWS($H$2:H437),$H$2:$H$1001,0),MATCH(COLUMNS($O$1006:O1006),$O$1006:$Q$1006,0)), HYPERLINK("#",""), HYPERLINK(CONCATENATE("#metadata!", ADDRESS(INDEX($J$2:$J$1001,MATCH(ROWS($H$2:H437),$H$2:$H$1001,0),0), INDEX($O$1004:$Q$1004,1,MATCH(COLUMNS($O$1006:O1006),$O$1006:$Q$1006,0)))),"Fix")))</f>
        <v xml:space="preserve"> </v>
      </c>
      <c r="C437" s="3" t="str">
        <f ca="1">IF(OR(INDEX($I$2:$I$1001,MATCH(ROWS($H$2:H437),$H$2:$H$1001,0),1)&gt;=100000,INDEX($O$1005:$Q$1005,1,MATCH(COLUMNS($O$1006:P1006),$O$1006:$Q$1006,0))&gt;=100000), " ",IF(INDEX($O$2:$Q$1001,MATCH(ROWS($H$2:H437),$H$2:$H$1001,0),MATCH(COLUMNS($O$1006:P1006),$O$1006:$Q$1006,0)), HYPERLINK("#",""), HYPERLINK(CONCATENATE("#metadata!", ADDRESS(INDEX($J$2:$J$1001,MATCH(ROWS($H$2:H437),$H$2:$H$1001,0),0), INDEX($O$1004:$Q$1004,1,MATCH(COLUMNS($O$1006:P1006),$O$1006:$Q$1006,0)))),"Fix")))</f>
        <v xml:space="preserve"> </v>
      </c>
      <c r="D437" s="3" t="str">
        <f ca="1">IF(OR(INDEX($I$2:$I$1001,MATCH(ROWS($H$2:H437),$H$2:$H$1001,0),1)&gt;=100000,INDEX($O$1005:$Q$1005,1,MATCH(COLUMNS($O$1006:Q1006),$O$1006:$Q$1006,0))&gt;=100000), " ",IF(INDEX($O$2:$Q$1001,MATCH(ROWS($H$2:H437),$H$2:$H$1001,0),MATCH(COLUMNS($O$1006:Q1006),$O$1006:$Q$1006,0)), HYPERLINK("#",""), HYPERLINK(CONCATENATE("#metadata!", ADDRESS(INDEX($J$2:$J$1001,MATCH(ROWS($H$2:H437),$H$2:$H$1001,0),0), INDEX($O$1004:$Q$1004,1,MATCH(COLUMNS($O$1006:Q1006),$O$1006:$Q$1006,0)))),"Fix")))</f>
        <v xml:space="preserve"> </v>
      </c>
      <c r="H437">
        <v>436</v>
      </c>
      <c r="I437">
        <v>100437</v>
      </c>
      <c r="J437">
        <v>437</v>
      </c>
      <c r="K437" t="b">
        <f t="shared" si="6"/>
        <v>1</v>
      </c>
      <c r="L437" t="b">
        <f>COUNTBLANK(metadata!B437:D437)=COLUMNS(metadata!B437:D437)</f>
        <v>1</v>
      </c>
      <c r="M437" t="str">
        <v/>
      </c>
      <c r="O437" t="b">
        <f ca="1"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P437" t="b">
        <f>AND(IF(metadata!C437="",FALSE,TRUE),EXACT(metadata!C437,"mouse gut metagenome"))</f>
        <v>0</v>
      </c>
      <c r="Q437" t="b">
        <f>AND(IF(metadata!D437="",FALSE,TRUE),EXACT(metadata!D437,"410661"))</f>
        <v>0</v>
      </c>
    </row>
    <row r="438" spans="1:17" x14ac:dyDescent="0.2">
      <c r="A438" s="4" t="str">
        <f ca="1">IF(B438=" "," ",HYPERLINK(CONCATENATE("#metadata!",ADDRESS(INDEX($J$2:$J$1001,MATCH(ROWS($H$2:H438),$H$2:$H$1001,0),0),1)),INDEX($M$2:$M$1001,MATCH(ROWS($H$2:H438),$H$2:$H$1001,0),0)))</f>
        <v xml:space="preserve"> </v>
      </c>
      <c r="B438" s="3" t="str">
        <f ca="1">IF(OR(INDEX($I$2:$I$1001,MATCH(ROWS($H$2:H438),$H$2:$H$1001,0),1)&gt;=100000,INDEX($O$1005:$Q$1005,1,MATCH(COLUMNS($O$1006:O1006),$O$1006:$Q$1006,0))&gt;=100000), " ",IF(INDEX($O$2:$Q$1001,MATCH(ROWS($H$2:H438),$H$2:$H$1001,0),MATCH(COLUMNS($O$1006:O1006),$O$1006:$Q$1006,0)), HYPERLINK("#",""), HYPERLINK(CONCATENATE("#metadata!", ADDRESS(INDEX($J$2:$J$1001,MATCH(ROWS($H$2:H438),$H$2:$H$1001,0),0), INDEX($O$1004:$Q$1004,1,MATCH(COLUMNS($O$1006:O1006),$O$1006:$Q$1006,0)))),"Fix")))</f>
        <v xml:space="preserve"> </v>
      </c>
      <c r="C438" s="3" t="str">
        <f ca="1">IF(OR(INDEX($I$2:$I$1001,MATCH(ROWS($H$2:H438),$H$2:$H$1001,0),1)&gt;=100000,INDEX($O$1005:$Q$1005,1,MATCH(COLUMNS($O$1006:P1006),$O$1006:$Q$1006,0))&gt;=100000), " ",IF(INDEX($O$2:$Q$1001,MATCH(ROWS($H$2:H438),$H$2:$H$1001,0),MATCH(COLUMNS($O$1006:P1006),$O$1006:$Q$1006,0)), HYPERLINK("#",""), HYPERLINK(CONCATENATE("#metadata!", ADDRESS(INDEX($J$2:$J$1001,MATCH(ROWS($H$2:H438),$H$2:$H$1001,0),0), INDEX($O$1004:$Q$1004,1,MATCH(COLUMNS($O$1006:P1006),$O$1006:$Q$1006,0)))),"Fix")))</f>
        <v xml:space="preserve"> </v>
      </c>
      <c r="D438" s="3" t="str">
        <f ca="1">IF(OR(INDEX($I$2:$I$1001,MATCH(ROWS($H$2:H438),$H$2:$H$1001,0),1)&gt;=100000,INDEX($O$1005:$Q$1005,1,MATCH(COLUMNS($O$1006:Q1006),$O$1006:$Q$1006,0))&gt;=100000), " ",IF(INDEX($O$2:$Q$1001,MATCH(ROWS($H$2:H438),$H$2:$H$1001,0),MATCH(COLUMNS($O$1006:Q1006),$O$1006:$Q$1006,0)), HYPERLINK("#",""), HYPERLINK(CONCATENATE("#metadata!", ADDRESS(INDEX($J$2:$J$1001,MATCH(ROWS($H$2:H438),$H$2:$H$1001,0),0), INDEX($O$1004:$Q$1004,1,MATCH(COLUMNS($O$1006:Q1006),$O$1006:$Q$1006,0)))),"Fix")))</f>
        <v xml:space="preserve"> </v>
      </c>
      <c r="H438">
        <v>437</v>
      </c>
      <c r="I438">
        <v>100438</v>
      </c>
      <c r="J438">
        <v>438</v>
      </c>
      <c r="K438" t="b">
        <f t="shared" si="6"/>
        <v>1</v>
      </c>
      <c r="L438" t="b">
        <f>COUNTBLANK(metadata!B438:D438)=COLUMNS(metadata!B438:D438)</f>
        <v>1</v>
      </c>
      <c r="M438" t="str">
        <v/>
      </c>
      <c r="O438" t="b">
        <f ca="1"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P438" t="b">
        <f>AND(IF(metadata!C438="",FALSE,TRUE),EXACT(metadata!C438,"mouse gut metagenome"))</f>
        <v>0</v>
      </c>
      <c r="Q438" t="b">
        <f>AND(IF(metadata!D438="",FALSE,TRUE),EXACT(metadata!D438,"410661"))</f>
        <v>0</v>
      </c>
    </row>
    <row r="439" spans="1:17" x14ac:dyDescent="0.2">
      <c r="A439" s="4" t="str">
        <f ca="1">IF(B439=" "," ",HYPERLINK(CONCATENATE("#metadata!",ADDRESS(INDEX($J$2:$J$1001,MATCH(ROWS($H$2:H439),$H$2:$H$1001,0),0),1)),INDEX($M$2:$M$1001,MATCH(ROWS($H$2:H439),$H$2:$H$1001,0),0)))</f>
        <v xml:space="preserve"> </v>
      </c>
      <c r="B439" s="3" t="str">
        <f ca="1">IF(OR(INDEX($I$2:$I$1001,MATCH(ROWS($H$2:H439),$H$2:$H$1001,0),1)&gt;=100000,INDEX($O$1005:$Q$1005,1,MATCH(COLUMNS($O$1006:O1006),$O$1006:$Q$1006,0))&gt;=100000), " ",IF(INDEX($O$2:$Q$1001,MATCH(ROWS($H$2:H439),$H$2:$H$1001,0),MATCH(COLUMNS($O$1006:O1006),$O$1006:$Q$1006,0)), HYPERLINK("#",""), HYPERLINK(CONCATENATE("#metadata!", ADDRESS(INDEX($J$2:$J$1001,MATCH(ROWS($H$2:H439),$H$2:$H$1001,0),0), INDEX($O$1004:$Q$1004,1,MATCH(COLUMNS($O$1006:O1006),$O$1006:$Q$1006,0)))),"Fix")))</f>
        <v xml:space="preserve"> </v>
      </c>
      <c r="C439" s="3" t="str">
        <f ca="1">IF(OR(INDEX($I$2:$I$1001,MATCH(ROWS($H$2:H439),$H$2:$H$1001,0),1)&gt;=100000,INDEX($O$1005:$Q$1005,1,MATCH(COLUMNS($O$1006:P1006),$O$1006:$Q$1006,0))&gt;=100000), " ",IF(INDEX($O$2:$Q$1001,MATCH(ROWS($H$2:H439),$H$2:$H$1001,0),MATCH(COLUMNS($O$1006:P1006),$O$1006:$Q$1006,0)), HYPERLINK("#",""), HYPERLINK(CONCATENATE("#metadata!", ADDRESS(INDEX($J$2:$J$1001,MATCH(ROWS($H$2:H439),$H$2:$H$1001,0),0), INDEX($O$1004:$Q$1004,1,MATCH(COLUMNS($O$1006:P1006),$O$1006:$Q$1006,0)))),"Fix")))</f>
        <v xml:space="preserve"> </v>
      </c>
      <c r="D439" s="3" t="str">
        <f ca="1">IF(OR(INDEX($I$2:$I$1001,MATCH(ROWS($H$2:H439),$H$2:$H$1001,0),1)&gt;=100000,INDEX($O$1005:$Q$1005,1,MATCH(COLUMNS($O$1006:Q1006),$O$1006:$Q$1006,0))&gt;=100000), " ",IF(INDEX($O$2:$Q$1001,MATCH(ROWS($H$2:H439),$H$2:$H$1001,0),MATCH(COLUMNS($O$1006:Q1006),$O$1006:$Q$1006,0)), HYPERLINK("#",""), HYPERLINK(CONCATENATE("#metadata!", ADDRESS(INDEX($J$2:$J$1001,MATCH(ROWS($H$2:H439),$H$2:$H$1001,0),0), INDEX($O$1004:$Q$1004,1,MATCH(COLUMNS($O$1006:Q1006),$O$1006:$Q$1006,0)))),"Fix")))</f>
        <v xml:space="preserve"> </v>
      </c>
      <c r="H439">
        <v>438</v>
      </c>
      <c r="I439">
        <v>100439</v>
      </c>
      <c r="J439">
        <v>439</v>
      </c>
      <c r="K439" t="b">
        <f t="shared" si="6"/>
        <v>1</v>
      </c>
      <c r="L439" t="b">
        <f>COUNTBLANK(metadata!B439:D439)=COLUMNS(metadata!B439:D439)</f>
        <v>1</v>
      </c>
      <c r="M439" t="str">
        <v/>
      </c>
      <c r="O439" t="b">
        <f ca="1"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P439" t="b">
        <f>AND(IF(metadata!C439="",FALSE,TRUE),EXACT(metadata!C439,"mouse gut metagenome"))</f>
        <v>0</v>
      </c>
      <c r="Q439" t="b">
        <f>AND(IF(metadata!D439="",FALSE,TRUE),EXACT(metadata!D439,"410661"))</f>
        <v>0</v>
      </c>
    </row>
    <row r="440" spans="1:17" x14ac:dyDescent="0.2">
      <c r="A440" s="4" t="str">
        <f ca="1">IF(B440=" "," ",HYPERLINK(CONCATENATE("#metadata!",ADDRESS(INDEX($J$2:$J$1001,MATCH(ROWS($H$2:H440),$H$2:$H$1001,0),0),1)),INDEX($M$2:$M$1001,MATCH(ROWS($H$2:H440),$H$2:$H$1001,0),0)))</f>
        <v xml:space="preserve"> </v>
      </c>
      <c r="B440" s="3" t="str">
        <f ca="1">IF(OR(INDEX($I$2:$I$1001,MATCH(ROWS($H$2:H440),$H$2:$H$1001,0),1)&gt;=100000,INDEX($O$1005:$Q$1005,1,MATCH(COLUMNS($O$1006:O1006),$O$1006:$Q$1006,0))&gt;=100000), " ",IF(INDEX($O$2:$Q$1001,MATCH(ROWS($H$2:H440),$H$2:$H$1001,0),MATCH(COLUMNS($O$1006:O1006),$O$1006:$Q$1006,0)), HYPERLINK("#",""), HYPERLINK(CONCATENATE("#metadata!", ADDRESS(INDEX($J$2:$J$1001,MATCH(ROWS($H$2:H440),$H$2:$H$1001,0),0), INDEX($O$1004:$Q$1004,1,MATCH(COLUMNS($O$1006:O1006),$O$1006:$Q$1006,0)))),"Fix")))</f>
        <v xml:space="preserve"> </v>
      </c>
      <c r="C440" s="3" t="str">
        <f ca="1">IF(OR(INDEX($I$2:$I$1001,MATCH(ROWS($H$2:H440),$H$2:$H$1001,0),1)&gt;=100000,INDEX($O$1005:$Q$1005,1,MATCH(COLUMNS($O$1006:P1006),$O$1006:$Q$1006,0))&gt;=100000), " ",IF(INDEX($O$2:$Q$1001,MATCH(ROWS($H$2:H440),$H$2:$H$1001,0),MATCH(COLUMNS($O$1006:P1006),$O$1006:$Q$1006,0)), HYPERLINK("#",""), HYPERLINK(CONCATENATE("#metadata!", ADDRESS(INDEX($J$2:$J$1001,MATCH(ROWS($H$2:H440),$H$2:$H$1001,0),0), INDEX($O$1004:$Q$1004,1,MATCH(COLUMNS($O$1006:P1006),$O$1006:$Q$1006,0)))),"Fix")))</f>
        <v xml:space="preserve"> </v>
      </c>
      <c r="D440" s="3" t="str">
        <f ca="1">IF(OR(INDEX($I$2:$I$1001,MATCH(ROWS($H$2:H440),$H$2:$H$1001,0),1)&gt;=100000,INDEX($O$1005:$Q$1005,1,MATCH(COLUMNS($O$1006:Q1006),$O$1006:$Q$1006,0))&gt;=100000), " ",IF(INDEX($O$2:$Q$1001,MATCH(ROWS($H$2:H440),$H$2:$H$1001,0),MATCH(COLUMNS($O$1006:Q1006),$O$1006:$Q$1006,0)), HYPERLINK("#",""), HYPERLINK(CONCATENATE("#metadata!", ADDRESS(INDEX($J$2:$J$1001,MATCH(ROWS($H$2:H440),$H$2:$H$1001,0),0), INDEX($O$1004:$Q$1004,1,MATCH(COLUMNS($O$1006:Q1006),$O$1006:$Q$1006,0)))),"Fix")))</f>
        <v xml:space="preserve"> </v>
      </c>
      <c r="H440">
        <v>439</v>
      </c>
      <c r="I440">
        <v>100440</v>
      </c>
      <c r="J440">
        <v>440</v>
      </c>
      <c r="K440" t="b">
        <f t="shared" si="6"/>
        <v>1</v>
      </c>
      <c r="L440" t="b">
        <f>COUNTBLANK(metadata!B440:D440)=COLUMNS(metadata!B440:D440)</f>
        <v>1</v>
      </c>
      <c r="M440" t="str">
        <v/>
      </c>
      <c r="O440" t="b">
        <f ca="1"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P440" t="b">
        <f>AND(IF(metadata!C440="",FALSE,TRUE),EXACT(metadata!C440,"mouse gut metagenome"))</f>
        <v>0</v>
      </c>
      <c r="Q440" t="b">
        <f>AND(IF(metadata!D440="",FALSE,TRUE),EXACT(metadata!D440,"410661"))</f>
        <v>0</v>
      </c>
    </row>
    <row r="441" spans="1:17" x14ac:dyDescent="0.2">
      <c r="A441" s="4" t="str">
        <f ca="1">IF(B441=" "," ",HYPERLINK(CONCATENATE("#metadata!",ADDRESS(INDEX($J$2:$J$1001,MATCH(ROWS($H$2:H441),$H$2:$H$1001,0),0),1)),INDEX($M$2:$M$1001,MATCH(ROWS($H$2:H441),$H$2:$H$1001,0),0)))</f>
        <v xml:space="preserve"> </v>
      </c>
      <c r="B441" s="3" t="str">
        <f ca="1">IF(OR(INDEX($I$2:$I$1001,MATCH(ROWS($H$2:H441),$H$2:$H$1001,0),1)&gt;=100000,INDEX($O$1005:$Q$1005,1,MATCH(COLUMNS($O$1006:O1006),$O$1006:$Q$1006,0))&gt;=100000), " ",IF(INDEX($O$2:$Q$1001,MATCH(ROWS($H$2:H441),$H$2:$H$1001,0),MATCH(COLUMNS($O$1006:O1006),$O$1006:$Q$1006,0)), HYPERLINK("#",""), HYPERLINK(CONCATENATE("#metadata!", ADDRESS(INDEX($J$2:$J$1001,MATCH(ROWS($H$2:H441),$H$2:$H$1001,0),0), INDEX($O$1004:$Q$1004,1,MATCH(COLUMNS($O$1006:O1006),$O$1006:$Q$1006,0)))),"Fix")))</f>
        <v xml:space="preserve"> </v>
      </c>
      <c r="C441" s="3" t="str">
        <f ca="1">IF(OR(INDEX($I$2:$I$1001,MATCH(ROWS($H$2:H441),$H$2:$H$1001,0),1)&gt;=100000,INDEX($O$1005:$Q$1005,1,MATCH(COLUMNS($O$1006:P1006),$O$1006:$Q$1006,0))&gt;=100000), " ",IF(INDEX($O$2:$Q$1001,MATCH(ROWS($H$2:H441),$H$2:$H$1001,0),MATCH(COLUMNS($O$1006:P1006),$O$1006:$Q$1006,0)), HYPERLINK("#",""), HYPERLINK(CONCATENATE("#metadata!", ADDRESS(INDEX($J$2:$J$1001,MATCH(ROWS($H$2:H441),$H$2:$H$1001,0),0), INDEX($O$1004:$Q$1004,1,MATCH(COLUMNS($O$1006:P1006),$O$1006:$Q$1006,0)))),"Fix")))</f>
        <v xml:space="preserve"> </v>
      </c>
      <c r="D441" s="3" t="str">
        <f ca="1">IF(OR(INDEX($I$2:$I$1001,MATCH(ROWS($H$2:H441),$H$2:$H$1001,0),1)&gt;=100000,INDEX($O$1005:$Q$1005,1,MATCH(COLUMNS($O$1006:Q1006),$O$1006:$Q$1006,0))&gt;=100000), " ",IF(INDEX($O$2:$Q$1001,MATCH(ROWS($H$2:H441),$H$2:$H$1001,0),MATCH(COLUMNS($O$1006:Q1006),$O$1006:$Q$1006,0)), HYPERLINK("#",""), HYPERLINK(CONCATENATE("#metadata!", ADDRESS(INDEX($J$2:$J$1001,MATCH(ROWS($H$2:H441),$H$2:$H$1001,0),0), INDEX($O$1004:$Q$1004,1,MATCH(COLUMNS($O$1006:Q1006),$O$1006:$Q$1006,0)))),"Fix")))</f>
        <v xml:space="preserve"> </v>
      </c>
      <c r="H441">
        <v>440</v>
      </c>
      <c r="I441">
        <v>100441</v>
      </c>
      <c r="J441">
        <v>441</v>
      </c>
      <c r="K441" t="b">
        <f t="shared" si="6"/>
        <v>1</v>
      </c>
      <c r="L441" t="b">
        <f>COUNTBLANK(metadata!B441:D441)=COLUMNS(metadata!B441:D441)</f>
        <v>1</v>
      </c>
      <c r="M441" t="str">
        <v/>
      </c>
      <c r="O441" t="b">
        <f ca="1"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P441" t="b">
        <f>AND(IF(metadata!C441="",FALSE,TRUE),EXACT(metadata!C441,"mouse gut metagenome"))</f>
        <v>0</v>
      </c>
      <c r="Q441" t="b">
        <f>AND(IF(metadata!D441="",FALSE,TRUE),EXACT(metadata!D441,"410661"))</f>
        <v>0</v>
      </c>
    </row>
    <row r="442" spans="1:17" x14ac:dyDescent="0.2">
      <c r="A442" s="4" t="str">
        <f ca="1">IF(B442=" "," ",HYPERLINK(CONCATENATE("#metadata!",ADDRESS(INDEX($J$2:$J$1001,MATCH(ROWS($H$2:H442),$H$2:$H$1001,0),0),1)),INDEX($M$2:$M$1001,MATCH(ROWS($H$2:H442),$H$2:$H$1001,0),0)))</f>
        <v xml:space="preserve"> </v>
      </c>
      <c r="B442" s="3" t="str">
        <f ca="1">IF(OR(INDEX($I$2:$I$1001,MATCH(ROWS($H$2:H442),$H$2:$H$1001,0),1)&gt;=100000,INDEX($O$1005:$Q$1005,1,MATCH(COLUMNS($O$1006:O1006),$O$1006:$Q$1006,0))&gt;=100000), " ",IF(INDEX($O$2:$Q$1001,MATCH(ROWS($H$2:H442),$H$2:$H$1001,0),MATCH(COLUMNS($O$1006:O1006),$O$1006:$Q$1006,0)), HYPERLINK("#",""), HYPERLINK(CONCATENATE("#metadata!", ADDRESS(INDEX($J$2:$J$1001,MATCH(ROWS($H$2:H442),$H$2:$H$1001,0),0), INDEX($O$1004:$Q$1004,1,MATCH(COLUMNS($O$1006:O1006),$O$1006:$Q$1006,0)))),"Fix")))</f>
        <v xml:space="preserve"> </v>
      </c>
      <c r="C442" s="3" t="str">
        <f ca="1">IF(OR(INDEX($I$2:$I$1001,MATCH(ROWS($H$2:H442),$H$2:$H$1001,0),1)&gt;=100000,INDEX($O$1005:$Q$1005,1,MATCH(COLUMNS($O$1006:P1006),$O$1006:$Q$1006,0))&gt;=100000), " ",IF(INDEX($O$2:$Q$1001,MATCH(ROWS($H$2:H442),$H$2:$H$1001,0),MATCH(COLUMNS($O$1006:P1006),$O$1006:$Q$1006,0)), HYPERLINK("#",""), HYPERLINK(CONCATENATE("#metadata!", ADDRESS(INDEX($J$2:$J$1001,MATCH(ROWS($H$2:H442),$H$2:$H$1001,0),0), INDEX($O$1004:$Q$1004,1,MATCH(COLUMNS($O$1006:P1006),$O$1006:$Q$1006,0)))),"Fix")))</f>
        <v xml:space="preserve"> </v>
      </c>
      <c r="D442" s="3" t="str">
        <f ca="1">IF(OR(INDEX($I$2:$I$1001,MATCH(ROWS($H$2:H442),$H$2:$H$1001,0),1)&gt;=100000,INDEX($O$1005:$Q$1005,1,MATCH(COLUMNS($O$1006:Q1006),$O$1006:$Q$1006,0))&gt;=100000), " ",IF(INDEX($O$2:$Q$1001,MATCH(ROWS($H$2:H442),$H$2:$H$1001,0),MATCH(COLUMNS($O$1006:Q1006),$O$1006:$Q$1006,0)), HYPERLINK("#",""), HYPERLINK(CONCATENATE("#metadata!", ADDRESS(INDEX($J$2:$J$1001,MATCH(ROWS($H$2:H442),$H$2:$H$1001,0),0), INDEX($O$1004:$Q$1004,1,MATCH(COLUMNS($O$1006:Q1006),$O$1006:$Q$1006,0)))),"Fix")))</f>
        <v xml:space="preserve"> </v>
      </c>
      <c r="H442">
        <v>441</v>
      </c>
      <c r="I442">
        <v>100442</v>
      </c>
      <c r="J442">
        <v>442</v>
      </c>
      <c r="K442" t="b">
        <f t="shared" si="6"/>
        <v>1</v>
      </c>
      <c r="L442" t="b">
        <f>COUNTBLANK(metadata!B442:D442)=COLUMNS(metadata!B442:D442)</f>
        <v>1</v>
      </c>
      <c r="M442" t="str">
        <v/>
      </c>
      <c r="O442" t="b">
        <f ca="1"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P442" t="b">
        <f>AND(IF(metadata!C442="",FALSE,TRUE),EXACT(metadata!C442,"mouse gut metagenome"))</f>
        <v>0</v>
      </c>
      <c r="Q442" t="b">
        <f>AND(IF(metadata!D442="",FALSE,TRUE),EXACT(metadata!D442,"410661"))</f>
        <v>0</v>
      </c>
    </row>
    <row r="443" spans="1:17" x14ac:dyDescent="0.2">
      <c r="A443" s="4" t="str">
        <f ca="1">IF(B443=" "," ",HYPERLINK(CONCATENATE("#metadata!",ADDRESS(INDEX($J$2:$J$1001,MATCH(ROWS($H$2:H443),$H$2:$H$1001,0),0),1)),INDEX($M$2:$M$1001,MATCH(ROWS($H$2:H443),$H$2:$H$1001,0),0)))</f>
        <v xml:space="preserve"> </v>
      </c>
      <c r="B443" s="3" t="str">
        <f ca="1">IF(OR(INDEX($I$2:$I$1001,MATCH(ROWS($H$2:H443),$H$2:$H$1001,0),1)&gt;=100000,INDEX($O$1005:$Q$1005,1,MATCH(COLUMNS($O$1006:O1006),$O$1006:$Q$1006,0))&gt;=100000), " ",IF(INDEX($O$2:$Q$1001,MATCH(ROWS($H$2:H443),$H$2:$H$1001,0),MATCH(COLUMNS($O$1006:O1006),$O$1006:$Q$1006,0)), HYPERLINK("#",""), HYPERLINK(CONCATENATE("#metadata!", ADDRESS(INDEX($J$2:$J$1001,MATCH(ROWS($H$2:H443),$H$2:$H$1001,0),0), INDEX($O$1004:$Q$1004,1,MATCH(COLUMNS($O$1006:O1006),$O$1006:$Q$1006,0)))),"Fix")))</f>
        <v xml:space="preserve"> </v>
      </c>
      <c r="C443" s="3" t="str">
        <f ca="1">IF(OR(INDEX($I$2:$I$1001,MATCH(ROWS($H$2:H443),$H$2:$H$1001,0),1)&gt;=100000,INDEX($O$1005:$Q$1005,1,MATCH(COLUMNS($O$1006:P1006),$O$1006:$Q$1006,0))&gt;=100000), " ",IF(INDEX($O$2:$Q$1001,MATCH(ROWS($H$2:H443),$H$2:$H$1001,0),MATCH(COLUMNS($O$1006:P1006),$O$1006:$Q$1006,0)), HYPERLINK("#",""), HYPERLINK(CONCATENATE("#metadata!", ADDRESS(INDEX($J$2:$J$1001,MATCH(ROWS($H$2:H443),$H$2:$H$1001,0),0), INDEX($O$1004:$Q$1004,1,MATCH(COLUMNS($O$1006:P1006),$O$1006:$Q$1006,0)))),"Fix")))</f>
        <v xml:space="preserve"> </v>
      </c>
      <c r="D443" s="3" t="str">
        <f ca="1">IF(OR(INDEX($I$2:$I$1001,MATCH(ROWS($H$2:H443),$H$2:$H$1001,0),1)&gt;=100000,INDEX($O$1005:$Q$1005,1,MATCH(COLUMNS($O$1006:Q1006),$O$1006:$Q$1006,0))&gt;=100000), " ",IF(INDEX($O$2:$Q$1001,MATCH(ROWS($H$2:H443),$H$2:$H$1001,0),MATCH(COLUMNS($O$1006:Q1006),$O$1006:$Q$1006,0)), HYPERLINK("#",""), HYPERLINK(CONCATENATE("#metadata!", ADDRESS(INDEX($J$2:$J$1001,MATCH(ROWS($H$2:H443),$H$2:$H$1001,0),0), INDEX($O$1004:$Q$1004,1,MATCH(COLUMNS($O$1006:Q1006),$O$1006:$Q$1006,0)))),"Fix")))</f>
        <v xml:space="preserve"> </v>
      </c>
      <c r="H443">
        <v>442</v>
      </c>
      <c r="I443">
        <v>100443</v>
      </c>
      <c r="J443">
        <v>443</v>
      </c>
      <c r="K443" t="b">
        <f t="shared" si="6"/>
        <v>1</v>
      </c>
      <c r="L443" t="b">
        <f>COUNTBLANK(metadata!B443:D443)=COLUMNS(metadata!B443:D443)</f>
        <v>1</v>
      </c>
      <c r="M443" t="str">
        <v/>
      </c>
      <c r="O443" t="b">
        <f ca="1"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P443" t="b">
        <f>AND(IF(metadata!C443="",FALSE,TRUE),EXACT(metadata!C443,"mouse gut metagenome"))</f>
        <v>0</v>
      </c>
      <c r="Q443" t="b">
        <f>AND(IF(metadata!D443="",FALSE,TRUE),EXACT(metadata!D443,"410661"))</f>
        <v>0</v>
      </c>
    </row>
    <row r="444" spans="1:17" x14ac:dyDescent="0.2">
      <c r="A444" s="4" t="str">
        <f ca="1">IF(B444=" "," ",HYPERLINK(CONCATENATE("#metadata!",ADDRESS(INDEX($J$2:$J$1001,MATCH(ROWS($H$2:H444),$H$2:$H$1001,0),0),1)),INDEX($M$2:$M$1001,MATCH(ROWS($H$2:H444),$H$2:$H$1001,0),0)))</f>
        <v xml:space="preserve"> </v>
      </c>
      <c r="B444" s="3" t="str">
        <f ca="1">IF(OR(INDEX($I$2:$I$1001,MATCH(ROWS($H$2:H444),$H$2:$H$1001,0),1)&gt;=100000,INDEX($O$1005:$Q$1005,1,MATCH(COLUMNS($O$1006:O1006),$O$1006:$Q$1006,0))&gt;=100000), " ",IF(INDEX($O$2:$Q$1001,MATCH(ROWS($H$2:H444),$H$2:$H$1001,0),MATCH(COLUMNS($O$1006:O1006),$O$1006:$Q$1006,0)), HYPERLINK("#",""), HYPERLINK(CONCATENATE("#metadata!", ADDRESS(INDEX($J$2:$J$1001,MATCH(ROWS($H$2:H444),$H$2:$H$1001,0),0), INDEX($O$1004:$Q$1004,1,MATCH(COLUMNS($O$1006:O1006),$O$1006:$Q$1006,0)))),"Fix")))</f>
        <v xml:space="preserve"> </v>
      </c>
      <c r="C444" s="3" t="str">
        <f ca="1">IF(OR(INDEX($I$2:$I$1001,MATCH(ROWS($H$2:H444),$H$2:$H$1001,0),1)&gt;=100000,INDEX($O$1005:$Q$1005,1,MATCH(COLUMNS($O$1006:P1006),$O$1006:$Q$1006,0))&gt;=100000), " ",IF(INDEX($O$2:$Q$1001,MATCH(ROWS($H$2:H444),$H$2:$H$1001,0),MATCH(COLUMNS($O$1006:P1006),$O$1006:$Q$1006,0)), HYPERLINK("#",""), HYPERLINK(CONCATENATE("#metadata!", ADDRESS(INDEX($J$2:$J$1001,MATCH(ROWS($H$2:H444),$H$2:$H$1001,0),0), INDEX($O$1004:$Q$1004,1,MATCH(COLUMNS($O$1006:P1006),$O$1006:$Q$1006,0)))),"Fix")))</f>
        <v xml:space="preserve"> </v>
      </c>
      <c r="D444" s="3" t="str">
        <f ca="1">IF(OR(INDEX($I$2:$I$1001,MATCH(ROWS($H$2:H444),$H$2:$H$1001,0),1)&gt;=100000,INDEX($O$1005:$Q$1005,1,MATCH(COLUMNS($O$1006:Q1006),$O$1006:$Q$1006,0))&gt;=100000), " ",IF(INDEX($O$2:$Q$1001,MATCH(ROWS($H$2:H444),$H$2:$H$1001,0),MATCH(COLUMNS($O$1006:Q1006),$O$1006:$Q$1006,0)), HYPERLINK("#",""), HYPERLINK(CONCATENATE("#metadata!", ADDRESS(INDEX($J$2:$J$1001,MATCH(ROWS($H$2:H444),$H$2:$H$1001,0),0), INDEX($O$1004:$Q$1004,1,MATCH(COLUMNS($O$1006:Q1006),$O$1006:$Q$1006,0)))),"Fix")))</f>
        <v xml:space="preserve"> </v>
      </c>
      <c r="H444">
        <v>443</v>
      </c>
      <c r="I444">
        <v>100444</v>
      </c>
      <c r="J444">
        <v>444</v>
      </c>
      <c r="K444" t="b">
        <f t="shared" si="6"/>
        <v>1</v>
      </c>
      <c r="L444" t="b">
        <f>COUNTBLANK(metadata!B444:D444)=COLUMNS(metadata!B444:D444)</f>
        <v>1</v>
      </c>
      <c r="M444" t="str">
        <v/>
      </c>
      <c r="O444" t="b">
        <f ca="1"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P444" t="b">
        <f>AND(IF(metadata!C444="",FALSE,TRUE),EXACT(metadata!C444,"mouse gut metagenome"))</f>
        <v>0</v>
      </c>
      <c r="Q444" t="b">
        <f>AND(IF(metadata!D444="",FALSE,TRUE),EXACT(metadata!D444,"410661"))</f>
        <v>0</v>
      </c>
    </row>
    <row r="445" spans="1:17" x14ac:dyDescent="0.2">
      <c r="A445" s="4" t="str">
        <f ca="1">IF(B445=" "," ",HYPERLINK(CONCATENATE("#metadata!",ADDRESS(INDEX($J$2:$J$1001,MATCH(ROWS($H$2:H445),$H$2:$H$1001,0),0),1)),INDEX($M$2:$M$1001,MATCH(ROWS($H$2:H445),$H$2:$H$1001,0),0)))</f>
        <v xml:space="preserve"> </v>
      </c>
      <c r="B445" s="3" t="str">
        <f ca="1">IF(OR(INDEX($I$2:$I$1001,MATCH(ROWS($H$2:H445),$H$2:$H$1001,0),1)&gt;=100000,INDEX($O$1005:$Q$1005,1,MATCH(COLUMNS($O$1006:O1006),$O$1006:$Q$1006,0))&gt;=100000), " ",IF(INDEX($O$2:$Q$1001,MATCH(ROWS($H$2:H445),$H$2:$H$1001,0),MATCH(COLUMNS($O$1006:O1006),$O$1006:$Q$1006,0)), HYPERLINK("#",""), HYPERLINK(CONCATENATE("#metadata!", ADDRESS(INDEX($J$2:$J$1001,MATCH(ROWS($H$2:H445),$H$2:$H$1001,0),0), INDEX($O$1004:$Q$1004,1,MATCH(COLUMNS($O$1006:O1006),$O$1006:$Q$1006,0)))),"Fix")))</f>
        <v xml:space="preserve"> </v>
      </c>
      <c r="C445" s="3" t="str">
        <f ca="1">IF(OR(INDEX($I$2:$I$1001,MATCH(ROWS($H$2:H445),$H$2:$H$1001,0),1)&gt;=100000,INDEX($O$1005:$Q$1005,1,MATCH(COLUMNS($O$1006:P1006),$O$1006:$Q$1006,0))&gt;=100000), " ",IF(INDEX($O$2:$Q$1001,MATCH(ROWS($H$2:H445),$H$2:$H$1001,0),MATCH(COLUMNS($O$1006:P1006),$O$1006:$Q$1006,0)), HYPERLINK("#",""), HYPERLINK(CONCATENATE("#metadata!", ADDRESS(INDEX($J$2:$J$1001,MATCH(ROWS($H$2:H445),$H$2:$H$1001,0),0), INDEX($O$1004:$Q$1004,1,MATCH(COLUMNS($O$1006:P1006),$O$1006:$Q$1006,0)))),"Fix")))</f>
        <v xml:space="preserve"> </v>
      </c>
      <c r="D445" s="3" t="str">
        <f ca="1">IF(OR(INDEX($I$2:$I$1001,MATCH(ROWS($H$2:H445),$H$2:$H$1001,0),1)&gt;=100000,INDEX($O$1005:$Q$1005,1,MATCH(COLUMNS($O$1006:Q1006),$O$1006:$Q$1006,0))&gt;=100000), " ",IF(INDEX($O$2:$Q$1001,MATCH(ROWS($H$2:H445),$H$2:$H$1001,0),MATCH(COLUMNS($O$1006:Q1006),$O$1006:$Q$1006,0)), HYPERLINK("#",""), HYPERLINK(CONCATENATE("#metadata!", ADDRESS(INDEX($J$2:$J$1001,MATCH(ROWS($H$2:H445),$H$2:$H$1001,0),0), INDEX($O$1004:$Q$1004,1,MATCH(COLUMNS($O$1006:Q1006),$O$1006:$Q$1006,0)))),"Fix")))</f>
        <v xml:space="preserve"> </v>
      </c>
      <c r="H445">
        <v>444</v>
      </c>
      <c r="I445">
        <v>100445</v>
      </c>
      <c r="J445">
        <v>445</v>
      </c>
      <c r="K445" t="b">
        <f t="shared" si="6"/>
        <v>1</v>
      </c>
      <c r="L445" t="b">
        <f>COUNTBLANK(metadata!B445:D445)=COLUMNS(metadata!B445:D445)</f>
        <v>1</v>
      </c>
      <c r="M445" t="str">
        <v/>
      </c>
      <c r="O445" t="b">
        <f ca="1"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P445" t="b">
        <f>AND(IF(metadata!C445="",FALSE,TRUE),EXACT(metadata!C445,"mouse gut metagenome"))</f>
        <v>0</v>
      </c>
      <c r="Q445" t="b">
        <f>AND(IF(metadata!D445="",FALSE,TRUE),EXACT(metadata!D445,"410661"))</f>
        <v>0</v>
      </c>
    </row>
    <row r="446" spans="1:17" x14ac:dyDescent="0.2">
      <c r="A446" s="4" t="str">
        <f ca="1">IF(B446=" "," ",HYPERLINK(CONCATENATE("#metadata!",ADDRESS(INDEX($J$2:$J$1001,MATCH(ROWS($H$2:H446),$H$2:$H$1001,0),0),1)),INDEX($M$2:$M$1001,MATCH(ROWS($H$2:H446),$H$2:$H$1001,0),0)))</f>
        <v xml:space="preserve"> </v>
      </c>
      <c r="B446" s="3" t="str">
        <f ca="1">IF(OR(INDEX($I$2:$I$1001,MATCH(ROWS($H$2:H446),$H$2:$H$1001,0),1)&gt;=100000,INDEX($O$1005:$Q$1005,1,MATCH(COLUMNS($O$1006:O1006),$O$1006:$Q$1006,0))&gt;=100000), " ",IF(INDEX($O$2:$Q$1001,MATCH(ROWS($H$2:H446),$H$2:$H$1001,0),MATCH(COLUMNS($O$1006:O1006),$O$1006:$Q$1006,0)), HYPERLINK("#",""), HYPERLINK(CONCATENATE("#metadata!", ADDRESS(INDEX($J$2:$J$1001,MATCH(ROWS($H$2:H446),$H$2:$H$1001,0),0), INDEX($O$1004:$Q$1004,1,MATCH(COLUMNS($O$1006:O1006),$O$1006:$Q$1006,0)))),"Fix")))</f>
        <v xml:space="preserve"> </v>
      </c>
      <c r="C446" s="3" t="str">
        <f ca="1">IF(OR(INDEX($I$2:$I$1001,MATCH(ROWS($H$2:H446),$H$2:$H$1001,0),1)&gt;=100000,INDEX($O$1005:$Q$1005,1,MATCH(COLUMNS($O$1006:P1006),$O$1006:$Q$1006,0))&gt;=100000), " ",IF(INDEX($O$2:$Q$1001,MATCH(ROWS($H$2:H446),$H$2:$H$1001,0),MATCH(COLUMNS($O$1006:P1006),$O$1006:$Q$1006,0)), HYPERLINK("#",""), HYPERLINK(CONCATENATE("#metadata!", ADDRESS(INDEX($J$2:$J$1001,MATCH(ROWS($H$2:H446),$H$2:$H$1001,0),0), INDEX($O$1004:$Q$1004,1,MATCH(COLUMNS($O$1006:P1006),$O$1006:$Q$1006,0)))),"Fix")))</f>
        <v xml:space="preserve"> </v>
      </c>
      <c r="D446" s="3" t="str">
        <f ca="1">IF(OR(INDEX($I$2:$I$1001,MATCH(ROWS($H$2:H446),$H$2:$H$1001,0),1)&gt;=100000,INDEX($O$1005:$Q$1005,1,MATCH(COLUMNS($O$1006:Q1006),$O$1006:$Q$1006,0))&gt;=100000), " ",IF(INDEX($O$2:$Q$1001,MATCH(ROWS($H$2:H446),$H$2:$H$1001,0),MATCH(COLUMNS($O$1006:Q1006),$O$1006:$Q$1006,0)), HYPERLINK("#",""), HYPERLINK(CONCATENATE("#metadata!", ADDRESS(INDEX($J$2:$J$1001,MATCH(ROWS($H$2:H446),$H$2:$H$1001,0),0), INDEX($O$1004:$Q$1004,1,MATCH(COLUMNS($O$1006:Q1006),$O$1006:$Q$1006,0)))),"Fix")))</f>
        <v xml:space="preserve"> </v>
      </c>
      <c r="H446">
        <v>445</v>
      </c>
      <c r="I446">
        <v>100446</v>
      </c>
      <c r="J446">
        <v>446</v>
      </c>
      <c r="K446" t="b">
        <f t="shared" si="6"/>
        <v>1</v>
      </c>
      <c r="L446" t="b">
        <f>COUNTBLANK(metadata!B446:D446)=COLUMNS(metadata!B446:D446)</f>
        <v>1</v>
      </c>
      <c r="M446" t="str">
        <v/>
      </c>
      <c r="O446" t="b">
        <f ca="1"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P446" t="b">
        <f>AND(IF(metadata!C446="",FALSE,TRUE),EXACT(metadata!C446,"mouse gut metagenome"))</f>
        <v>0</v>
      </c>
      <c r="Q446" t="b">
        <f>AND(IF(metadata!D446="",FALSE,TRUE),EXACT(metadata!D446,"410661"))</f>
        <v>0</v>
      </c>
    </row>
    <row r="447" spans="1:17" x14ac:dyDescent="0.2">
      <c r="A447" s="4" t="str">
        <f ca="1">IF(B447=" "," ",HYPERLINK(CONCATENATE("#metadata!",ADDRESS(INDEX($J$2:$J$1001,MATCH(ROWS($H$2:H447),$H$2:$H$1001,0),0),1)),INDEX($M$2:$M$1001,MATCH(ROWS($H$2:H447),$H$2:$H$1001,0),0)))</f>
        <v xml:space="preserve"> </v>
      </c>
      <c r="B447" s="3" t="str">
        <f ca="1">IF(OR(INDEX($I$2:$I$1001,MATCH(ROWS($H$2:H447),$H$2:$H$1001,0),1)&gt;=100000,INDEX($O$1005:$Q$1005,1,MATCH(COLUMNS($O$1006:O1006),$O$1006:$Q$1006,0))&gt;=100000), " ",IF(INDEX($O$2:$Q$1001,MATCH(ROWS($H$2:H447),$H$2:$H$1001,0),MATCH(COLUMNS($O$1006:O1006),$O$1006:$Q$1006,0)), HYPERLINK("#",""), HYPERLINK(CONCATENATE("#metadata!", ADDRESS(INDEX($J$2:$J$1001,MATCH(ROWS($H$2:H447),$H$2:$H$1001,0),0), INDEX($O$1004:$Q$1004,1,MATCH(COLUMNS($O$1006:O1006),$O$1006:$Q$1006,0)))),"Fix")))</f>
        <v xml:space="preserve"> </v>
      </c>
      <c r="C447" s="3" t="str">
        <f ca="1">IF(OR(INDEX($I$2:$I$1001,MATCH(ROWS($H$2:H447),$H$2:$H$1001,0),1)&gt;=100000,INDEX($O$1005:$Q$1005,1,MATCH(COLUMNS($O$1006:P1006),$O$1006:$Q$1006,0))&gt;=100000), " ",IF(INDEX($O$2:$Q$1001,MATCH(ROWS($H$2:H447),$H$2:$H$1001,0),MATCH(COLUMNS($O$1006:P1006),$O$1006:$Q$1006,0)), HYPERLINK("#",""), HYPERLINK(CONCATENATE("#metadata!", ADDRESS(INDEX($J$2:$J$1001,MATCH(ROWS($H$2:H447),$H$2:$H$1001,0),0), INDEX($O$1004:$Q$1004,1,MATCH(COLUMNS($O$1006:P1006),$O$1006:$Q$1006,0)))),"Fix")))</f>
        <v xml:space="preserve"> </v>
      </c>
      <c r="D447" s="3" t="str">
        <f ca="1">IF(OR(INDEX($I$2:$I$1001,MATCH(ROWS($H$2:H447),$H$2:$H$1001,0),1)&gt;=100000,INDEX($O$1005:$Q$1005,1,MATCH(COLUMNS($O$1006:Q1006),$O$1006:$Q$1006,0))&gt;=100000), " ",IF(INDEX($O$2:$Q$1001,MATCH(ROWS($H$2:H447),$H$2:$H$1001,0),MATCH(COLUMNS($O$1006:Q1006),$O$1006:$Q$1006,0)), HYPERLINK("#",""), HYPERLINK(CONCATENATE("#metadata!", ADDRESS(INDEX($J$2:$J$1001,MATCH(ROWS($H$2:H447),$H$2:$H$1001,0),0), INDEX($O$1004:$Q$1004,1,MATCH(COLUMNS($O$1006:Q1006),$O$1006:$Q$1006,0)))),"Fix")))</f>
        <v xml:space="preserve"> </v>
      </c>
      <c r="H447">
        <v>446</v>
      </c>
      <c r="I447">
        <v>100447</v>
      </c>
      <c r="J447">
        <v>447</v>
      </c>
      <c r="K447" t="b">
        <f t="shared" si="6"/>
        <v>1</v>
      </c>
      <c r="L447" t="b">
        <f>COUNTBLANK(metadata!B447:D447)=COLUMNS(metadata!B447:D447)</f>
        <v>1</v>
      </c>
      <c r="M447" t="str">
        <v/>
      </c>
      <c r="O447" t="b">
        <f ca="1"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P447" t="b">
        <f>AND(IF(metadata!C447="",FALSE,TRUE),EXACT(metadata!C447,"mouse gut metagenome"))</f>
        <v>0</v>
      </c>
      <c r="Q447" t="b">
        <f>AND(IF(metadata!D447="",FALSE,TRUE),EXACT(metadata!D447,"410661"))</f>
        <v>0</v>
      </c>
    </row>
    <row r="448" spans="1:17" x14ac:dyDescent="0.2">
      <c r="A448" s="4" t="str">
        <f ca="1">IF(B448=" "," ",HYPERLINK(CONCATENATE("#metadata!",ADDRESS(INDEX($J$2:$J$1001,MATCH(ROWS($H$2:H448),$H$2:$H$1001,0),0),1)),INDEX($M$2:$M$1001,MATCH(ROWS($H$2:H448),$H$2:$H$1001,0),0)))</f>
        <v xml:space="preserve"> </v>
      </c>
      <c r="B448" s="3" t="str">
        <f ca="1">IF(OR(INDEX($I$2:$I$1001,MATCH(ROWS($H$2:H448),$H$2:$H$1001,0),1)&gt;=100000,INDEX($O$1005:$Q$1005,1,MATCH(COLUMNS($O$1006:O1006),$O$1006:$Q$1006,0))&gt;=100000), " ",IF(INDEX($O$2:$Q$1001,MATCH(ROWS($H$2:H448),$H$2:$H$1001,0),MATCH(COLUMNS($O$1006:O1006),$O$1006:$Q$1006,0)), HYPERLINK("#",""), HYPERLINK(CONCATENATE("#metadata!", ADDRESS(INDEX($J$2:$J$1001,MATCH(ROWS($H$2:H448),$H$2:$H$1001,0),0), INDEX($O$1004:$Q$1004,1,MATCH(COLUMNS($O$1006:O1006),$O$1006:$Q$1006,0)))),"Fix")))</f>
        <v xml:space="preserve"> </v>
      </c>
      <c r="C448" s="3" t="str">
        <f ca="1">IF(OR(INDEX($I$2:$I$1001,MATCH(ROWS($H$2:H448),$H$2:$H$1001,0),1)&gt;=100000,INDEX($O$1005:$Q$1005,1,MATCH(COLUMNS($O$1006:P1006),$O$1006:$Q$1006,0))&gt;=100000), " ",IF(INDEX($O$2:$Q$1001,MATCH(ROWS($H$2:H448),$H$2:$H$1001,0),MATCH(COLUMNS($O$1006:P1006),$O$1006:$Q$1006,0)), HYPERLINK("#",""), HYPERLINK(CONCATENATE("#metadata!", ADDRESS(INDEX($J$2:$J$1001,MATCH(ROWS($H$2:H448),$H$2:$H$1001,0),0), INDEX($O$1004:$Q$1004,1,MATCH(COLUMNS($O$1006:P1006),$O$1006:$Q$1006,0)))),"Fix")))</f>
        <v xml:space="preserve"> </v>
      </c>
      <c r="D448" s="3" t="str">
        <f ca="1">IF(OR(INDEX($I$2:$I$1001,MATCH(ROWS($H$2:H448),$H$2:$H$1001,0),1)&gt;=100000,INDEX($O$1005:$Q$1005,1,MATCH(COLUMNS($O$1006:Q1006),$O$1006:$Q$1006,0))&gt;=100000), " ",IF(INDEX($O$2:$Q$1001,MATCH(ROWS($H$2:H448),$H$2:$H$1001,0),MATCH(COLUMNS($O$1006:Q1006),$O$1006:$Q$1006,0)), HYPERLINK("#",""), HYPERLINK(CONCATENATE("#metadata!", ADDRESS(INDEX($J$2:$J$1001,MATCH(ROWS($H$2:H448),$H$2:$H$1001,0),0), INDEX($O$1004:$Q$1004,1,MATCH(COLUMNS($O$1006:Q1006),$O$1006:$Q$1006,0)))),"Fix")))</f>
        <v xml:space="preserve"> </v>
      </c>
      <c r="H448">
        <v>447</v>
      </c>
      <c r="I448">
        <v>100448</v>
      </c>
      <c r="J448">
        <v>448</v>
      </c>
      <c r="K448" t="b">
        <f t="shared" si="6"/>
        <v>1</v>
      </c>
      <c r="L448" t="b">
        <f>COUNTBLANK(metadata!B448:D448)=COLUMNS(metadata!B448:D448)</f>
        <v>1</v>
      </c>
      <c r="M448" t="str">
        <v/>
      </c>
      <c r="O448" t="b">
        <f ca="1"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P448" t="b">
        <f>AND(IF(metadata!C448="",FALSE,TRUE),EXACT(metadata!C448,"mouse gut metagenome"))</f>
        <v>0</v>
      </c>
      <c r="Q448" t="b">
        <f>AND(IF(metadata!D448="",FALSE,TRUE),EXACT(metadata!D448,"410661"))</f>
        <v>0</v>
      </c>
    </row>
    <row r="449" spans="1:17" x14ac:dyDescent="0.2">
      <c r="A449" s="4" t="str">
        <f ca="1">IF(B449=" "," ",HYPERLINK(CONCATENATE("#metadata!",ADDRESS(INDEX($J$2:$J$1001,MATCH(ROWS($H$2:H449),$H$2:$H$1001,0),0),1)),INDEX($M$2:$M$1001,MATCH(ROWS($H$2:H449),$H$2:$H$1001,0),0)))</f>
        <v xml:space="preserve"> </v>
      </c>
      <c r="B449" s="3" t="str">
        <f ca="1">IF(OR(INDEX($I$2:$I$1001,MATCH(ROWS($H$2:H449),$H$2:$H$1001,0),1)&gt;=100000,INDEX($O$1005:$Q$1005,1,MATCH(COLUMNS($O$1006:O1006),$O$1006:$Q$1006,0))&gt;=100000), " ",IF(INDEX($O$2:$Q$1001,MATCH(ROWS($H$2:H449),$H$2:$H$1001,0),MATCH(COLUMNS($O$1006:O1006),$O$1006:$Q$1006,0)), HYPERLINK("#",""), HYPERLINK(CONCATENATE("#metadata!", ADDRESS(INDEX($J$2:$J$1001,MATCH(ROWS($H$2:H449),$H$2:$H$1001,0),0), INDEX($O$1004:$Q$1004,1,MATCH(COLUMNS($O$1006:O1006),$O$1006:$Q$1006,0)))),"Fix")))</f>
        <v xml:space="preserve"> </v>
      </c>
      <c r="C449" s="3" t="str">
        <f ca="1">IF(OR(INDEX($I$2:$I$1001,MATCH(ROWS($H$2:H449),$H$2:$H$1001,0),1)&gt;=100000,INDEX($O$1005:$Q$1005,1,MATCH(COLUMNS($O$1006:P1006),$O$1006:$Q$1006,0))&gt;=100000), " ",IF(INDEX($O$2:$Q$1001,MATCH(ROWS($H$2:H449),$H$2:$H$1001,0),MATCH(COLUMNS($O$1006:P1006),$O$1006:$Q$1006,0)), HYPERLINK("#",""), HYPERLINK(CONCATENATE("#metadata!", ADDRESS(INDEX($J$2:$J$1001,MATCH(ROWS($H$2:H449),$H$2:$H$1001,0),0), INDEX($O$1004:$Q$1004,1,MATCH(COLUMNS($O$1006:P1006),$O$1006:$Q$1006,0)))),"Fix")))</f>
        <v xml:space="preserve"> </v>
      </c>
      <c r="D449" s="3" t="str">
        <f ca="1">IF(OR(INDEX($I$2:$I$1001,MATCH(ROWS($H$2:H449),$H$2:$H$1001,0),1)&gt;=100000,INDEX($O$1005:$Q$1005,1,MATCH(COLUMNS($O$1006:Q1006),$O$1006:$Q$1006,0))&gt;=100000), " ",IF(INDEX($O$2:$Q$1001,MATCH(ROWS($H$2:H449),$H$2:$H$1001,0),MATCH(COLUMNS($O$1006:Q1006),$O$1006:$Q$1006,0)), HYPERLINK("#",""), HYPERLINK(CONCATENATE("#metadata!", ADDRESS(INDEX($J$2:$J$1001,MATCH(ROWS($H$2:H449),$H$2:$H$1001,0),0), INDEX($O$1004:$Q$1004,1,MATCH(COLUMNS($O$1006:Q1006),$O$1006:$Q$1006,0)))),"Fix")))</f>
        <v xml:space="preserve"> </v>
      </c>
      <c r="H449">
        <v>448</v>
      </c>
      <c r="I449">
        <v>100449</v>
      </c>
      <c r="J449">
        <v>449</v>
      </c>
      <c r="K449" t="b">
        <f t="shared" si="6"/>
        <v>1</v>
      </c>
      <c r="L449" t="b">
        <f>COUNTBLANK(metadata!B449:D449)=COLUMNS(metadata!B449:D449)</f>
        <v>1</v>
      </c>
      <c r="M449" t="str">
        <v/>
      </c>
      <c r="O449" t="b">
        <f ca="1"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P449" t="b">
        <f>AND(IF(metadata!C449="",FALSE,TRUE),EXACT(metadata!C449,"mouse gut metagenome"))</f>
        <v>0</v>
      </c>
      <c r="Q449" t="b">
        <f>AND(IF(metadata!D449="",FALSE,TRUE),EXACT(metadata!D449,"410661"))</f>
        <v>0</v>
      </c>
    </row>
    <row r="450" spans="1:17" x14ac:dyDescent="0.2">
      <c r="A450" s="4" t="str">
        <f ca="1">IF(B450=" "," ",HYPERLINK(CONCATENATE("#metadata!",ADDRESS(INDEX($J$2:$J$1001,MATCH(ROWS($H$2:H450),$H$2:$H$1001,0),0),1)),INDEX($M$2:$M$1001,MATCH(ROWS($H$2:H450),$H$2:$H$1001,0),0)))</f>
        <v xml:space="preserve"> </v>
      </c>
      <c r="B450" s="3" t="str">
        <f ca="1">IF(OR(INDEX($I$2:$I$1001,MATCH(ROWS($H$2:H450),$H$2:$H$1001,0),1)&gt;=100000,INDEX($O$1005:$Q$1005,1,MATCH(COLUMNS($O$1006:O1006),$O$1006:$Q$1006,0))&gt;=100000), " ",IF(INDEX($O$2:$Q$1001,MATCH(ROWS($H$2:H450),$H$2:$H$1001,0),MATCH(COLUMNS($O$1006:O1006),$O$1006:$Q$1006,0)), HYPERLINK("#",""), HYPERLINK(CONCATENATE("#metadata!", ADDRESS(INDEX($J$2:$J$1001,MATCH(ROWS($H$2:H450),$H$2:$H$1001,0),0), INDEX($O$1004:$Q$1004,1,MATCH(COLUMNS($O$1006:O1006),$O$1006:$Q$1006,0)))),"Fix")))</f>
        <v xml:space="preserve"> </v>
      </c>
      <c r="C450" s="3" t="str">
        <f ca="1">IF(OR(INDEX($I$2:$I$1001,MATCH(ROWS($H$2:H450),$H$2:$H$1001,0),1)&gt;=100000,INDEX($O$1005:$Q$1005,1,MATCH(COLUMNS($O$1006:P1006),$O$1006:$Q$1006,0))&gt;=100000), " ",IF(INDEX($O$2:$Q$1001,MATCH(ROWS($H$2:H450),$H$2:$H$1001,0),MATCH(COLUMNS($O$1006:P1006),$O$1006:$Q$1006,0)), HYPERLINK("#",""), HYPERLINK(CONCATENATE("#metadata!", ADDRESS(INDEX($J$2:$J$1001,MATCH(ROWS($H$2:H450),$H$2:$H$1001,0),0), INDEX($O$1004:$Q$1004,1,MATCH(COLUMNS($O$1006:P1006),$O$1006:$Q$1006,0)))),"Fix")))</f>
        <v xml:space="preserve"> </v>
      </c>
      <c r="D450" s="3" t="str">
        <f ca="1">IF(OR(INDEX($I$2:$I$1001,MATCH(ROWS($H$2:H450),$H$2:$H$1001,0),1)&gt;=100000,INDEX($O$1005:$Q$1005,1,MATCH(COLUMNS($O$1006:Q1006),$O$1006:$Q$1006,0))&gt;=100000), " ",IF(INDEX($O$2:$Q$1001,MATCH(ROWS($H$2:H450),$H$2:$H$1001,0),MATCH(COLUMNS($O$1006:Q1006),$O$1006:$Q$1006,0)), HYPERLINK("#",""), HYPERLINK(CONCATENATE("#metadata!", ADDRESS(INDEX($J$2:$J$1001,MATCH(ROWS($H$2:H450),$H$2:$H$1001,0),0), INDEX($O$1004:$Q$1004,1,MATCH(COLUMNS($O$1006:Q1006),$O$1006:$Q$1006,0)))),"Fix")))</f>
        <v xml:space="preserve"> </v>
      </c>
      <c r="H450">
        <v>449</v>
      </c>
      <c r="I450">
        <v>100450</v>
      </c>
      <c r="J450">
        <v>450</v>
      </c>
      <c r="K450" t="b">
        <f t="shared" ref="K450:K513" si="7">IF(L450,TRUE,AND(O450:Q450))</f>
        <v>1</v>
      </c>
      <c r="L450" t="b">
        <f>COUNTBLANK(metadata!B450:D450)=COLUMNS(metadata!B450:D450)</f>
        <v>1</v>
      </c>
      <c r="M450" t="str">
        <v/>
      </c>
      <c r="O450" t="b">
        <f ca="1"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P450" t="b">
        <f>AND(IF(metadata!C450="",FALSE,TRUE),EXACT(metadata!C450,"mouse gut metagenome"))</f>
        <v>0</v>
      </c>
      <c r="Q450" t="b">
        <f>AND(IF(metadata!D450="",FALSE,TRUE),EXACT(metadata!D450,"410661"))</f>
        <v>0</v>
      </c>
    </row>
    <row r="451" spans="1:17" x14ac:dyDescent="0.2">
      <c r="A451" s="4" t="str">
        <f ca="1">IF(B451=" "," ",HYPERLINK(CONCATENATE("#metadata!",ADDRESS(INDEX($J$2:$J$1001,MATCH(ROWS($H$2:H451),$H$2:$H$1001,0),0),1)),INDEX($M$2:$M$1001,MATCH(ROWS($H$2:H451),$H$2:$H$1001,0),0)))</f>
        <v xml:space="preserve"> </v>
      </c>
      <c r="B451" s="3" t="str">
        <f ca="1">IF(OR(INDEX($I$2:$I$1001,MATCH(ROWS($H$2:H451),$H$2:$H$1001,0),1)&gt;=100000,INDEX($O$1005:$Q$1005,1,MATCH(COLUMNS($O$1006:O1006),$O$1006:$Q$1006,0))&gt;=100000), " ",IF(INDEX($O$2:$Q$1001,MATCH(ROWS($H$2:H451),$H$2:$H$1001,0),MATCH(COLUMNS($O$1006:O1006),$O$1006:$Q$1006,0)), HYPERLINK("#",""), HYPERLINK(CONCATENATE("#metadata!", ADDRESS(INDEX($J$2:$J$1001,MATCH(ROWS($H$2:H451),$H$2:$H$1001,0),0), INDEX($O$1004:$Q$1004,1,MATCH(COLUMNS($O$1006:O1006),$O$1006:$Q$1006,0)))),"Fix")))</f>
        <v xml:space="preserve"> </v>
      </c>
      <c r="C451" s="3" t="str">
        <f ca="1">IF(OR(INDEX($I$2:$I$1001,MATCH(ROWS($H$2:H451),$H$2:$H$1001,0),1)&gt;=100000,INDEX($O$1005:$Q$1005,1,MATCH(COLUMNS($O$1006:P1006),$O$1006:$Q$1006,0))&gt;=100000), " ",IF(INDEX($O$2:$Q$1001,MATCH(ROWS($H$2:H451),$H$2:$H$1001,0),MATCH(COLUMNS($O$1006:P1006),$O$1006:$Q$1006,0)), HYPERLINK("#",""), HYPERLINK(CONCATENATE("#metadata!", ADDRESS(INDEX($J$2:$J$1001,MATCH(ROWS($H$2:H451),$H$2:$H$1001,0),0), INDEX($O$1004:$Q$1004,1,MATCH(COLUMNS($O$1006:P1006),$O$1006:$Q$1006,0)))),"Fix")))</f>
        <v xml:space="preserve"> </v>
      </c>
      <c r="D451" s="3" t="str">
        <f ca="1">IF(OR(INDEX($I$2:$I$1001,MATCH(ROWS($H$2:H451),$H$2:$H$1001,0),1)&gt;=100000,INDEX($O$1005:$Q$1005,1,MATCH(COLUMNS($O$1006:Q1006),$O$1006:$Q$1006,0))&gt;=100000), " ",IF(INDEX($O$2:$Q$1001,MATCH(ROWS($H$2:H451),$H$2:$H$1001,0),MATCH(COLUMNS($O$1006:Q1006),$O$1006:$Q$1006,0)), HYPERLINK("#",""), HYPERLINK(CONCATENATE("#metadata!", ADDRESS(INDEX($J$2:$J$1001,MATCH(ROWS($H$2:H451),$H$2:$H$1001,0),0), INDEX($O$1004:$Q$1004,1,MATCH(COLUMNS($O$1006:Q1006),$O$1006:$Q$1006,0)))),"Fix")))</f>
        <v xml:space="preserve"> </v>
      </c>
      <c r="H451">
        <v>450</v>
      </c>
      <c r="I451">
        <v>100451</v>
      </c>
      <c r="J451">
        <v>451</v>
      </c>
      <c r="K451" t="b">
        <f t="shared" si="7"/>
        <v>1</v>
      </c>
      <c r="L451" t="b">
        <f>COUNTBLANK(metadata!B451:D451)=COLUMNS(metadata!B451:D451)</f>
        <v>1</v>
      </c>
      <c r="M451" t="str">
        <v/>
      </c>
      <c r="O451" t="b">
        <f ca="1"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P451" t="b">
        <f>AND(IF(metadata!C451="",FALSE,TRUE),EXACT(metadata!C451,"mouse gut metagenome"))</f>
        <v>0</v>
      </c>
      <c r="Q451" t="b">
        <f>AND(IF(metadata!D451="",FALSE,TRUE),EXACT(metadata!D451,"410661"))</f>
        <v>0</v>
      </c>
    </row>
    <row r="452" spans="1:17" x14ac:dyDescent="0.2">
      <c r="A452" s="4" t="str">
        <f ca="1">IF(B452=" "," ",HYPERLINK(CONCATENATE("#metadata!",ADDRESS(INDEX($J$2:$J$1001,MATCH(ROWS($H$2:H452),$H$2:$H$1001,0),0),1)),INDEX($M$2:$M$1001,MATCH(ROWS($H$2:H452),$H$2:$H$1001,0),0)))</f>
        <v xml:space="preserve"> </v>
      </c>
      <c r="B452" s="3" t="str">
        <f ca="1">IF(OR(INDEX($I$2:$I$1001,MATCH(ROWS($H$2:H452),$H$2:$H$1001,0),1)&gt;=100000,INDEX($O$1005:$Q$1005,1,MATCH(COLUMNS($O$1006:O1006),$O$1006:$Q$1006,0))&gt;=100000), " ",IF(INDEX($O$2:$Q$1001,MATCH(ROWS($H$2:H452),$H$2:$H$1001,0),MATCH(COLUMNS($O$1006:O1006),$O$1006:$Q$1006,0)), HYPERLINK("#",""), HYPERLINK(CONCATENATE("#metadata!", ADDRESS(INDEX($J$2:$J$1001,MATCH(ROWS($H$2:H452),$H$2:$H$1001,0),0), INDEX($O$1004:$Q$1004,1,MATCH(COLUMNS($O$1006:O1006),$O$1006:$Q$1006,0)))),"Fix")))</f>
        <v xml:space="preserve"> </v>
      </c>
      <c r="C452" s="3" t="str">
        <f ca="1">IF(OR(INDEX($I$2:$I$1001,MATCH(ROWS($H$2:H452),$H$2:$H$1001,0),1)&gt;=100000,INDEX($O$1005:$Q$1005,1,MATCH(COLUMNS($O$1006:P1006),$O$1006:$Q$1006,0))&gt;=100000), " ",IF(INDEX($O$2:$Q$1001,MATCH(ROWS($H$2:H452),$H$2:$H$1001,0),MATCH(COLUMNS($O$1006:P1006),$O$1006:$Q$1006,0)), HYPERLINK("#",""), HYPERLINK(CONCATENATE("#metadata!", ADDRESS(INDEX($J$2:$J$1001,MATCH(ROWS($H$2:H452),$H$2:$H$1001,0),0), INDEX($O$1004:$Q$1004,1,MATCH(COLUMNS($O$1006:P1006),$O$1006:$Q$1006,0)))),"Fix")))</f>
        <v xml:space="preserve"> </v>
      </c>
      <c r="D452" s="3" t="str">
        <f ca="1">IF(OR(INDEX($I$2:$I$1001,MATCH(ROWS($H$2:H452),$H$2:$H$1001,0),1)&gt;=100000,INDEX($O$1005:$Q$1005,1,MATCH(COLUMNS($O$1006:Q1006),$O$1006:$Q$1006,0))&gt;=100000), " ",IF(INDEX($O$2:$Q$1001,MATCH(ROWS($H$2:H452),$H$2:$H$1001,0),MATCH(COLUMNS($O$1006:Q1006),$O$1006:$Q$1006,0)), HYPERLINK("#",""), HYPERLINK(CONCATENATE("#metadata!", ADDRESS(INDEX($J$2:$J$1001,MATCH(ROWS($H$2:H452),$H$2:$H$1001,0),0), INDEX($O$1004:$Q$1004,1,MATCH(COLUMNS($O$1006:Q1006),$O$1006:$Q$1006,0)))),"Fix")))</f>
        <v xml:space="preserve"> </v>
      </c>
      <c r="H452">
        <v>451</v>
      </c>
      <c r="I452">
        <v>100452</v>
      </c>
      <c r="J452">
        <v>452</v>
      </c>
      <c r="K452" t="b">
        <f t="shared" si="7"/>
        <v>1</v>
      </c>
      <c r="L452" t="b">
        <f>COUNTBLANK(metadata!B452:D452)=COLUMNS(metadata!B452:D452)</f>
        <v>1</v>
      </c>
      <c r="M452" t="str">
        <v/>
      </c>
      <c r="O452" t="b">
        <f ca="1"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P452" t="b">
        <f>AND(IF(metadata!C452="",FALSE,TRUE),EXACT(metadata!C452,"mouse gut metagenome"))</f>
        <v>0</v>
      </c>
      <c r="Q452" t="b">
        <f>AND(IF(metadata!D452="",FALSE,TRUE),EXACT(metadata!D452,"410661"))</f>
        <v>0</v>
      </c>
    </row>
    <row r="453" spans="1:17" x14ac:dyDescent="0.2">
      <c r="A453" s="4" t="str">
        <f ca="1">IF(B453=" "," ",HYPERLINK(CONCATENATE("#metadata!",ADDRESS(INDEX($J$2:$J$1001,MATCH(ROWS($H$2:H453),$H$2:$H$1001,0),0),1)),INDEX($M$2:$M$1001,MATCH(ROWS($H$2:H453),$H$2:$H$1001,0),0)))</f>
        <v xml:space="preserve"> </v>
      </c>
      <c r="B453" s="3" t="str">
        <f ca="1">IF(OR(INDEX($I$2:$I$1001,MATCH(ROWS($H$2:H453),$H$2:$H$1001,0),1)&gt;=100000,INDEX($O$1005:$Q$1005,1,MATCH(COLUMNS($O$1006:O1006),$O$1006:$Q$1006,0))&gt;=100000), " ",IF(INDEX($O$2:$Q$1001,MATCH(ROWS($H$2:H453),$H$2:$H$1001,0),MATCH(COLUMNS($O$1006:O1006),$O$1006:$Q$1006,0)), HYPERLINK("#",""), HYPERLINK(CONCATENATE("#metadata!", ADDRESS(INDEX($J$2:$J$1001,MATCH(ROWS($H$2:H453),$H$2:$H$1001,0),0), INDEX($O$1004:$Q$1004,1,MATCH(COLUMNS($O$1006:O1006),$O$1006:$Q$1006,0)))),"Fix")))</f>
        <v xml:space="preserve"> </v>
      </c>
      <c r="C453" s="3" t="str">
        <f ca="1">IF(OR(INDEX($I$2:$I$1001,MATCH(ROWS($H$2:H453),$H$2:$H$1001,0),1)&gt;=100000,INDEX($O$1005:$Q$1005,1,MATCH(COLUMNS($O$1006:P1006),$O$1006:$Q$1006,0))&gt;=100000), " ",IF(INDEX($O$2:$Q$1001,MATCH(ROWS($H$2:H453),$H$2:$H$1001,0),MATCH(COLUMNS($O$1006:P1006),$O$1006:$Q$1006,0)), HYPERLINK("#",""), HYPERLINK(CONCATENATE("#metadata!", ADDRESS(INDEX($J$2:$J$1001,MATCH(ROWS($H$2:H453),$H$2:$H$1001,0),0), INDEX($O$1004:$Q$1004,1,MATCH(COLUMNS($O$1006:P1006),$O$1006:$Q$1006,0)))),"Fix")))</f>
        <v xml:space="preserve"> </v>
      </c>
      <c r="D453" s="3" t="str">
        <f ca="1">IF(OR(INDEX($I$2:$I$1001,MATCH(ROWS($H$2:H453),$H$2:$H$1001,0),1)&gt;=100000,INDEX($O$1005:$Q$1005,1,MATCH(COLUMNS($O$1006:Q1006),$O$1006:$Q$1006,0))&gt;=100000), " ",IF(INDEX($O$2:$Q$1001,MATCH(ROWS($H$2:H453),$H$2:$H$1001,0),MATCH(COLUMNS($O$1006:Q1006),$O$1006:$Q$1006,0)), HYPERLINK("#",""), HYPERLINK(CONCATENATE("#metadata!", ADDRESS(INDEX($J$2:$J$1001,MATCH(ROWS($H$2:H453),$H$2:$H$1001,0),0), INDEX($O$1004:$Q$1004,1,MATCH(COLUMNS($O$1006:Q1006),$O$1006:$Q$1006,0)))),"Fix")))</f>
        <v xml:space="preserve"> </v>
      </c>
      <c r="H453">
        <v>452</v>
      </c>
      <c r="I453">
        <v>100453</v>
      </c>
      <c r="J453">
        <v>453</v>
      </c>
      <c r="K453" t="b">
        <f t="shared" si="7"/>
        <v>1</v>
      </c>
      <c r="L453" t="b">
        <f>COUNTBLANK(metadata!B453:D453)=COLUMNS(metadata!B453:D453)</f>
        <v>1</v>
      </c>
      <c r="M453" t="str">
        <v/>
      </c>
      <c r="O453" t="b">
        <f ca="1"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P453" t="b">
        <f>AND(IF(metadata!C453="",FALSE,TRUE),EXACT(metadata!C453,"mouse gut metagenome"))</f>
        <v>0</v>
      </c>
      <c r="Q453" t="b">
        <f>AND(IF(metadata!D453="",FALSE,TRUE),EXACT(metadata!D453,"410661"))</f>
        <v>0</v>
      </c>
    </row>
    <row r="454" spans="1:17" x14ac:dyDescent="0.2">
      <c r="A454" s="4" t="str">
        <f ca="1">IF(B454=" "," ",HYPERLINK(CONCATENATE("#metadata!",ADDRESS(INDEX($J$2:$J$1001,MATCH(ROWS($H$2:H454),$H$2:$H$1001,0),0),1)),INDEX($M$2:$M$1001,MATCH(ROWS($H$2:H454),$H$2:$H$1001,0),0)))</f>
        <v xml:space="preserve"> </v>
      </c>
      <c r="B454" s="3" t="str">
        <f ca="1">IF(OR(INDEX($I$2:$I$1001,MATCH(ROWS($H$2:H454),$H$2:$H$1001,0),1)&gt;=100000,INDEX($O$1005:$Q$1005,1,MATCH(COLUMNS($O$1006:O1006),$O$1006:$Q$1006,0))&gt;=100000), " ",IF(INDEX($O$2:$Q$1001,MATCH(ROWS($H$2:H454),$H$2:$H$1001,0),MATCH(COLUMNS($O$1006:O1006),$O$1006:$Q$1006,0)), HYPERLINK("#",""), HYPERLINK(CONCATENATE("#metadata!", ADDRESS(INDEX($J$2:$J$1001,MATCH(ROWS($H$2:H454),$H$2:$H$1001,0),0), INDEX($O$1004:$Q$1004,1,MATCH(COLUMNS($O$1006:O1006),$O$1006:$Q$1006,0)))),"Fix")))</f>
        <v xml:space="preserve"> </v>
      </c>
      <c r="C454" s="3" t="str">
        <f ca="1">IF(OR(INDEX($I$2:$I$1001,MATCH(ROWS($H$2:H454),$H$2:$H$1001,0),1)&gt;=100000,INDEX($O$1005:$Q$1005,1,MATCH(COLUMNS($O$1006:P1006),$O$1006:$Q$1006,0))&gt;=100000), " ",IF(INDEX($O$2:$Q$1001,MATCH(ROWS($H$2:H454),$H$2:$H$1001,0),MATCH(COLUMNS($O$1006:P1006),$O$1006:$Q$1006,0)), HYPERLINK("#",""), HYPERLINK(CONCATENATE("#metadata!", ADDRESS(INDEX($J$2:$J$1001,MATCH(ROWS($H$2:H454),$H$2:$H$1001,0),0), INDEX($O$1004:$Q$1004,1,MATCH(COLUMNS($O$1006:P1006),$O$1006:$Q$1006,0)))),"Fix")))</f>
        <v xml:space="preserve"> </v>
      </c>
      <c r="D454" s="3" t="str">
        <f ca="1">IF(OR(INDEX($I$2:$I$1001,MATCH(ROWS($H$2:H454),$H$2:$H$1001,0),1)&gt;=100000,INDEX($O$1005:$Q$1005,1,MATCH(COLUMNS($O$1006:Q1006),$O$1006:$Q$1006,0))&gt;=100000), " ",IF(INDEX($O$2:$Q$1001,MATCH(ROWS($H$2:H454),$H$2:$H$1001,0),MATCH(COLUMNS($O$1006:Q1006),$O$1006:$Q$1006,0)), HYPERLINK("#",""), HYPERLINK(CONCATENATE("#metadata!", ADDRESS(INDEX($J$2:$J$1001,MATCH(ROWS($H$2:H454),$H$2:$H$1001,0),0), INDEX($O$1004:$Q$1004,1,MATCH(COLUMNS($O$1006:Q1006),$O$1006:$Q$1006,0)))),"Fix")))</f>
        <v xml:space="preserve"> </v>
      </c>
      <c r="H454">
        <v>453</v>
      </c>
      <c r="I454">
        <v>100454</v>
      </c>
      <c r="J454">
        <v>454</v>
      </c>
      <c r="K454" t="b">
        <f t="shared" si="7"/>
        <v>1</v>
      </c>
      <c r="L454" t="b">
        <f>COUNTBLANK(metadata!B454:D454)=COLUMNS(metadata!B454:D454)</f>
        <v>1</v>
      </c>
      <c r="M454" t="str">
        <v/>
      </c>
      <c r="O454" t="b">
        <f ca="1"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P454" t="b">
        <f>AND(IF(metadata!C454="",FALSE,TRUE),EXACT(metadata!C454,"mouse gut metagenome"))</f>
        <v>0</v>
      </c>
      <c r="Q454" t="b">
        <f>AND(IF(metadata!D454="",FALSE,TRUE),EXACT(metadata!D454,"410661"))</f>
        <v>0</v>
      </c>
    </row>
    <row r="455" spans="1:17" x14ac:dyDescent="0.2">
      <c r="A455" s="4" t="str">
        <f ca="1">IF(B455=" "," ",HYPERLINK(CONCATENATE("#metadata!",ADDRESS(INDEX($J$2:$J$1001,MATCH(ROWS($H$2:H455),$H$2:$H$1001,0),0),1)),INDEX($M$2:$M$1001,MATCH(ROWS($H$2:H455),$H$2:$H$1001,0),0)))</f>
        <v xml:space="preserve"> </v>
      </c>
      <c r="B455" s="3" t="str">
        <f ca="1">IF(OR(INDEX($I$2:$I$1001,MATCH(ROWS($H$2:H455),$H$2:$H$1001,0),1)&gt;=100000,INDEX($O$1005:$Q$1005,1,MATCH(COLUMNS($O$1006:O1006),$O$1006:$Q$1006,0))&gt;=100000), " ",IF(INDEX($O$2:$Q$1001,MATCH(ROWS($H$2:H455),$H$2:$H$1001,0),MATCH(COLUMNS($O$1006:O1006),$O$1006:$Q$1006,0)), HYPERLINK("#",""), HYPERLINK(CONCATENATE("#metadata!", ADDRESS(INDEX($J$2:$J$1001,MATCH(ROWS($H$2:H455),$H$2:$H$1001,0),0), INDEX($O$1004:$Q$1004,1,MATCH(COLUMNS($O$1006:O1006),$O$1006:$Q$1006,0)))),"Fix")))</f>
        <v xml:space="preserve"> </v>
      </c>
      <c r="C455" s="3" t="str">
        <f ca="1">IF(OR(INDEX($I$2:$I$1001,MATCH(ROWS($H$2:H455),$H$2:$H$1001,0),1)&gt;=100000,INDEX($O$1005:$Q$1005,1,MATCH(COLUMNS($O$1006:P1006),$O$1006:$Q$1006,0))&gt;=100000), " ",IF(INDEX($O$2:$Q$1001,MATCH(ROWS($H$2:H455),$H$2:$H$1001,0),MATCH(COLUMNS($O$1006:P1006),$O$1006:$Q$1006,0)), HYPERLINK("#",""), HYPERLINK(CONCATENATE("#metadata!", ADDRESS(INDEX($J$2:$J$1001,MATCH(ROWS($H$2:H455),$H$2:$H$1001,0),0), INDEX($O$1004:$Q$1004,1,MATCH(COLUMNS($O$1006:P1006),$O$1006:$Q$1006,0)))),"Fix")))</f>
        <v xml:space="preserve"> </v>
      </c>
      <c r="D455" s="3" t="str">
        <f ca="1">IF(OR(INDEX($I$2:$I$1001,MATCH(ROWS($H$2:H455),$H$2:$H$1001,0),1)&gt;=100000,INDEX($O$1005:$Q$1005,1,MATCH(COLUMNS($O$1006:Q1006),$O$1006:$Q$1006,0))&gt;=100000), " ",IF(INDEX($O$2:$Q$1001,MATCH(ROWS($H$2:H455),$H$2:$H$1001,0),MATCH(COLUMNS($O$1006:Q1006),$O$1006:$Q$1006,0)), HYPERLINK("#",""), HYPERLINK(CONCATENATE("#metadata!", ADDRESS(INDEX($J$2:$J$1001,MATCH(ROWS($H$2:H455),$H$2:$H$1001,0),0), INDEX($O$1004:$Q$1004,1,MATCH(COLUMNS($O$1006:Q1006),$O$1006:$Q$1006,0)))),"Fix")))</f>
        <v xml:space="preserve"> </v>
      </c>
      <c r="H455">
        <v>454</v>
      </c>
      <c r="I455">
        <v>100455</v>
      </c>
      <c r="J455">
        <v>455</v>
      </c>
      <c r="K455" t="b">
        <f t="shared" si="7"/>
        <v>1</v>
      </c>
      <c r="L455" t="b">
        <f>COUNTBLANK(metadata!B455:D455)=COLUMNS(metadata!B455:D455)</f>
        <v>1</v>
      </c>
      <c r="M455" t="str">
        <v/>
      </c>
      <c r="O455" t="b">
        <f ca="1"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P455" t="b">
        <f>AND(IF(metadata!C455="",FALSE,TRUE),EXACT(metadata!C455,"mouse gut metagenome"))</f>
        <v>0</v>
      </c>
      <c r="Q455" t="b">
        <f>AND(IF(metadata!D455="",FALSE,TRUE),EXACT(metadata!D455,"410661"))</f>
        <v>0</v>
      </c>
    </row>
    <row r="456" spans="1:17" x14ac:dyDescent="0.2">
      <c r="A456" s="4" t="str">
        <f ca="1">IF(B456=" "," ",HYPERLINK(CONCATENATE("#metadata!",ADDRESS(INDEX($J$2:$J$1001,MATCH(ROWS($H$2:H456),$H$2:$H$1001,0),0),1)),INDEX($M$2:$M$1001,MATCH(ROWS($H$2:H456),$H$2:$H$1001,0),0)))</f>
        <v xml:space="preserve"> </v>
      </c>
      <c r="B456" s="3" t="str">
        <f ca="1">IF(OR(INDEX($I$2:$I$1001,MATCH(ROWS($H$2:H456),$H$2:$H$1001,0),1)&gt;=100000,INDEX($O$1005:$Q$1005,1,MATCH(COLUMNS($O$1006:O1006),$O$1006:$Q$1006,0))&gt;=100000), " ",IF(INDEX($O$2:$Q$1001,MATCH(ROWS($H$2:H456),$H$2:$H$1001,0),MATCH(COLUMNS($O$1006:O1006),$O$1006:$Q$1006,0)), HYPERLINK("#",""), HYPERLINK(CONCATENATE("#metadata!", ADDRESS(INDEX($J$2:$J$1001,MATCH(ROWS($H$2:H456),$H$2:$H$1001,0),0), INDEX($O$1004:$Q$1004,1,MATCH(COLUMNS($O$1006:O1006),$O$1006:$Q$1006,0)))),"Fix")))</f>
        <v xml:space="preserve"> </v>
      </c>
      <c r="C456" s="3" t="str">
        <f ca="1">IF(OR(INDEX($I$2:$I$1001,MATCH(ROWS($H$2:H456),$H$2:$H$1001,0),1)&gt;=100000,INDEX($O$1005:$Q$1005,1,MATCH(COLUMNS($O$1006:P1006),$O$1006:$Q$1006,0))&gt;=100000), " ",IF(INDEX($O$2:$Q$1001,MATCH(ROWS($H$2:H456),$H$2:$H$1001,0),MATCH(COLUMNS($O$1006:P1006),$O$1006:$Q$1006,0)), HYPERLINK("#",""), HYPERLINK(CONCATENATE("#metadata!", ADDRESS(INDEX($J$2:$J$1001,MATCH(ROWS($H$2:H456),$H$2:$H$1001,0),0), INDEX($O$1004:$Q$1004,1,MATCH(COLUMNS($O$1006:P1006),$O$1006:$Q$1006,0)))),"Fix")))</f>
        <v xml:space="preserve"> </v>
      </c>
      <c r="D456" s="3" t="str">
        <f ca="1">IF(OR(INDEX($I$2:$I$1001,MATCH(ROWS($H$2:H456),$H$2:$H$1001,0),1)&gt;=100000,INDEX($O$1005:$Q$1005,1,MATCH(COLUMNS($O$1006:Q1006),$O$1006:$Q$1006,0))&gt;=100000), " ",IF(INDEX($O$2:$Q$1001,MATCH(ROWS($H$2:H456),$H$2:$H$1001,0),MATCH(COLUMNS($O$1006:Q1006),$O$1006:$Q$1006,0)), HYPERLINK("#",""), HYPERLINK(CONCATENATE("#metadata!", ADDRESS(INDEX($J$2:$J$1001,MATCH(ROWS($H$2:H456),$H$2:$H$1001,0),0), INDEX($O$1004:$Q$1004,1,MATCH(COLUMNS($O$1006:Q1006),$O$1006:$Q$1006,0)))),"Fix")))</f>
        <v xml:space="preserve"> </v>
      </c>
      <c r="H456">
        <v>455</v>
      </c>
      <c r="I456">
        <v>100456</v>
      </c>
      <c r="J456">
        <v>456</v>
      </c>
      <c r="K456" t="b">
        <f t="shared" si="7"/>
        <v>1</v>
      </c>
      <c r="L456" t="b">
        <f>COUNTBLANK(metadata!B456:D456)=COLUMNS(metadata!B456:D456)</f>
        <v>1</v>
      </c>
      <c r="M456" t="str">
        <v/>
      </c>
      <c r="O456" t="b">
        <f ca="1"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P456" t="b">
        <f>AND(IF(metadata!C456="",FALSE,TRUE),EXACT(metadata!C456,"mouse gut metagenome"))</f>
        <v>0</v>
      </c>
      <c r="Q456" t="b">
        <f>AND(IF(metadata!D456="",FALSE,TRUE),EXACT(metadata!D456,"410661"))</f>
        <v>0</v>
      </c>
    </row>
    <row r="457" spans="1:17" x14ac:dyDescent="0.2">
      <c r="A457" s="4" t="str">
        <f ca="1">IF(B457=" "," ",HYPERLINK(CONCATENATE("#metadata!",ADDRESS(INDEX($J$2:$J$1001,MATCH(ROWS($H$2:H457),$H$2:$H$1001,0),0),1)),INDEX($M$2:$M$1001,MATCH(ROWS($H$2:H457),$H$2:$H$1001,0),0)))</f>
        <v xml:space="preserve"> </v>
      </c>
      <c r="B457" s="3" t="str">
        <f ca="1">IF(OR(INDEX($I$2:$I$1001,MATCH(ROWS($H$2:H457),$H$2:$H$1001,0),1)&gt;=100000,INDEX($O$1005:$Q$1005,1,MATCH(COLUMNS($O$1006:O1006),$O$1006:$Q$1006,0))&gt;=100000), " ",IF(INDEX($O$2:$Q$1001,MATCH(ROWS($H$2:H457),$H$2:$H$1001,0),MATCH(COLUMNS($O$1006:O1006),$O$1006:$Q$1006,0)), HYPERLINK("#",""), HYPERLINK(CONCATENATE("#metadata!", ADDRESS(INDEX($J$2:$J$1001,MATCH(ROWS($H$2:H457),$H$2:$H$1001,0),0), INDEX($O$1004:$Q$1004,1,MATCH(COLUMNS($O$1006:O1006),$O$1006:$Q$1006,0)))),"Fix")))</f>
        <v xml:space="preserve"> </v>
      </c>
      <c r="C457" s="3" t="str">
        <f ca="1">IF(OR(INDEX($I$2:$I$1001,MATCH(ROWS($H$2:H457),$H$2:$H$1001,0),1)&gt;=100000,INDEX($O$1005:$Q$1005,1,MATCH(COLUMNS($O$1006:P1006),$O$1006:$Q$1006,0))&gt;=100000), " ",IF(INDEX($O$2:$Q$1001,MATCH(ROWS($H$2:H457),$H$2:$H$1001,0),MATCH(COLUMNS($O$1006:P1006),$O$1006:$Q$1006,0)), HYPERLINK("#",""), HYPERLINK(CONCATENATE("#metadata!", ADDRESS(INDEX($J$2:$J$1001,MATCH(ROWS($H$2:H457),$H$2:$H$1001,0),0), INDEX($O$1004:$Q$1004,1,MATCH(COLUMNS($O$1006:P1006),$O$1006:$Q$1006,0)))),"Fix")))</f>
        <v xml:space="preserve"> </v>
      </c>
      <c r="D457" s="3" t="str">
        <f ca="1">IF(OR(INDEX($I$2:$I$1001,MATCH(ROWS($H$2:H457),$H$2:$H$1001,0),1)&gt;=100000,INDEX($O$1005:$Q$1005,1,MATCH(COLUMNS($O$1006:Q1006),$O$1006:$Q$1006,0))&gt;=100000), " ",IF(INDEX($O$2:$Q$1001,MATCH(ROWS($H$2:H457),$H$2:$H$1001,0),MATCH(COLUMNS($O$1006:Q1006),$O$1006:$Q$1006,0)), HYPERLINK("#",""), HYPERLINK(CONCATENATE("#metadata!", ADDRESS(INDEX($J$2:$J$1001,MATCH(ROWS($H$2:H457),$H$2:$H$1001,0),0), INDEX($O$1004:$Q$1004,1,MATCH(COLUMNS($O$1006:Q1006),$O$1006:$Q$1006,0)))),"Fix")))</f>
        <v xml:space="preserve"> </v>
      </c>
      <c r="H457">
        <v>456</v>
      </c>
      <c r="I457">
        <v>100457</v>
      </c>
      <c r="J457">
        <v>457</v>
      </c>
      <c r="K457" t="b">
        <f t="shared" si="7"/>
        <v>1</v>
      </c>
      <c r="L457" t="b">
        <f>COUNTBLANK(metadata!B457:D457)=COLUMNS(metadata!B457:D457)</f>
        <v>1</v>
      </c>
      <c r="M457" t="str">
        <v/>
      </c>
      <c r="O457" t="b">
        <f ca="1"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P457" t="b">
        <f>AND(IF(metadata!C457="",FALSE,TRUE),EXACT(metadata!C457,"mouse gut metagenome"))</f>
        <v>0</v>
      </c>
      <c r="Q457" t="b">
        <f>AND(IF(metadata!D457="",FALSE,TRUE),EXACT(metadata!D457,"410661"))</f>
        <v>0</v>
      </c>
    </row>
    <row r="458" spans="1:17" x14ac:dyDescent="0.2">
      <c r="A458" s="4" t="str">
        <f ca="1">IF(B458=" "," ",HYPERLINK(CONCATENATE("#metadata!",ADDRESS(INDEX($J$2:$J$1001,MATCH(ROWS($H$2:H458),$H$2:$H$1001,0),0),1)),INDEX($M$2:$M$1001,MATCH(ROWS($H$2:H458),$H$2:$H$1001,0),0)))</f>
        <v xml:space="preserve"> </v>
      </c>
      <c r="B458" s="3" t="str">
        <f ca="1">IF(OR(INDEX($I$2:$I$1001,MATCH(ROWS($H$2:H458),$H$2:$H$1001,0),1)&gt;=100000,INDEX($O$1005:$Q$1005,1,MATCH(COLUMNS($O$1006:O1006),$O$1006:$Q$1006,0))&gt;=100000), " ",IF(INDEX($O$2:$Q$1001,MATCH(ROWS($H$2:H458),$H$2:$H$1001,0),MATCH(COLUMNS($O$1006:O1006),$O$1006:$Q$1006,0)), HYPERLINK("#",""), HYPERLINK(CONCATENATE("#metadata!", ADDRESS(INDEX($J$2:$J$1001,MATCH(ROWS($H$2:H458),$H$2:$H$1001,0),0), INDEX($O$1004:$Q$1004,1,MATCH(COLUMNS($O$1006:O1006),$O$1006:$Q$1006,0)))),"Fix")))</f>
        <v xml:space="preserve"> </v>
      </c>
      <c r="C458" s="3" t="str">
        <f ca="1">IF(OR(INDEX($I$2:$I$1001,MATCH(ROWS($H$2:H458),$H$2:$H$1001,0),1)&gt;=100000,INDEX($O$1005:$Q$1005,1,MATCH(COLUMNS($O$1006:P1006),$O$1006:$Q$1006,0))&gt;=100000), " ",IF(INDEX($O$2:$Q$1001,MATCH(ROWS($H$2:H458),$H$2:$H$1001,0),MATCH(COLUMNS($O$1006:P1006),$O$1006:$Q$1006,0)), HYPERLINK("#",""), HYPERLINK(CONCATENATE("#metadata!", ADDRESS(INDEX($J$2:$J$1001,MATCH(ROWS($H$2:H458),$H$2:$H$1001,0),0), INDEX($O$1004:$Q$1004,1,MATCH(COLUMNS($O$1006:P1006),$O$1006:$Q$1006,0)))),"Fix")))</f>
        <v xml:space="preserve"> </v>
      </c>
      <c r="D458" s="3" t="str">
        <f ca="1">IF(OR(INDEX($I$2:$I$1001,MATCH(ROWS($H$2:H458),$H$2:$H$1001,0),1)&gt;=100000,INDEX($O$1005:$Q$1005,1,MATCH(COLUMNS($O$1006:Q1006),$O$1006:$Q$1006,0))&gt;=100000), " ",IF(INDEX($O$2:$Q$1001,MATCH(ROWS($H$2:H458),$H$2:$H$1001,0),MATCH(COLUMNS($O$1006:Q1006),$O$1006:$Q$1006,0)), HYPERLINK("#",""), HYPERLINK(CONCATENATE("#metadata!", ADDRESS(INDEX($J$2:$J$1001,MATCH(ROWS($H$2:H458),$H$2:$H$1001,0),0), INDEX($O$1004:$Q$1004,1,MATCH(COLUMNS($O$1006:Q1006),$O$1006:$Q$1006,0)))),"Fix")))</f>
        <v xml:space="preserve"> </v>
      </c>
      <c r="H458">
        <v>457</v>
      </c>
      <c r="I458">
        <v>100458</v>
      </c>
      <c r="J458">
        <v>458</v>
      </c>
      <c r="K458" t="b">
        <f t="shared" si="7"/>
        <v>1</v>
      </c>
      <c r="L458" t="b">
        <f>COUNTBLANK(metadata!B458:D458)=COLUMNS(metadata!B458:D458)</f>
        <v>1</v>
      </c>
      <c r="M458" t="str">
        <v/>
      </c>
      <c r="O458" t="b">
        <f ca="1"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P458" t="b">
        <f>AND(IF(metadata!C458="",FALSE,TRUE),EXACT(metadata!C458,"mouse gut metagenome"))</f>
        <v>0</v>
      </c>
      <c r="Q458" t="b">
        <f>AND(IF(metadata!D458="",FALSE,TRUE),EXACT(metadata!D458,"410661"))</f>
        <v>0</v>
      </c>
    </row>
    <row r="459" spans="1:17" x14ac:dyDescent="0.2">
      <c r="A459" s="4" t="str">
        <f ca="1">IF(B459=" "," ",HYPERLINK(CONCATENATE("#metadata!",ADDRESS(INDEX($J$2:$J$1001,MATCH(ROWS($H$2:H459),$H$2:$H$1001,0),0),1)),INDEX($M$2:$M$1001,MATCH(ROWS($H$2:H459),$H$2:$H$1001,0),0)))</f>
        <v xml:space="preserve"> </v>
      </c>
      <c r="B459" s="3" t="str">
        <f ca="1">IF(OR(INDEX($I$2:$I$1001,MATCH(ROWS($H$2:H459),$H$2:$H$1001,0),1)&gt;=100000,INDEX($O$1005:$Q$1005,1,MATCH(COLUMNS($O$1006:O1006),$O$1006:$Q$1006,0))&gt;=100000), " ",IF(INDEX($O$2:$Q$1001,MATCH(ROWS($H$2:H459),$H$2:$H$1001,0),MATCH(COLUMNS($O$1006:O1006),$O$1006:$Q$1006,0)), HYPERLINK("#",""), HYPERLINK(CONCATENATE("#metadata!", ADDRESS(INDEX($J$2:$J$1001,MATCH(ROWS($H$2:H459),$H$2:$H$1001,0),0), INDEX($O$1004:$Q$1004,1,MATCH(COLUMNS($O$1006:O1006),$O$1006:$Q$1006,0)))),"Fix")))</f>
        <v xml:space="preserve"> </v>
      </c>
      <c r="C459" s="3" t="str">
        <f ca="1">IF(OR(INDEX($I$2:$I$1001,MATCH(ROWS($H$2:H459),$H$2:$H$1001,0),1)&gt;=100000,INDEX($O$1005:$Q$1005,1,MATCH(COLUMNS($O$1006:P1006),$O$1006:$Q$1006,0))&gt;=100000), " ",IF(INDEX($O$2:$Q$1001,MATCH(ROWS($H$2:H459),$H$2:$H$1001,0),MATCH(COLUMNS($O$1006:P1006),$O$1006:$Q$1006,0)), HYPERLINK("#",""), HYPERLINK(CONCATENATE("#metadata!", ADDRESS(INDEX($J$2:$J$1001,MATCH(ROWS($H$2:H459),$H$2:$H$1001,0),0), INDEX($O$1004:$Q$1004,1,MATCH(COLUMNS($O$1006:P1006),$O$1006:$Q$1006,0)))),"Fix")))</f>
        <v xml:space="preserve"> </v>
      </c>
      <c r="D459" s="3" t="str">
        <f ca="1">IF(OR(INDEX($I$2:$I$1001,MATCH(ROWS($H$2:H459),$H$2:$H$1001,0),1)&gt;=100000,INDEX($O$1005:$Q$1005,1,MATCH(COLUMNS($O$1006:Q1006),$O$1006:$Q$1006,0))&gt;=100000), " ",IF(INDEX($O$2:$Q$1001,MATCH(ROWS($H$2:H459),$H$2:$H$1001,0),MATCH(COLUMNS($O$1006:Q1006),$O$1006:$Q$1006,0)), HYPERLINK("#",""), HYPERLINK(CONCATENATE("#metadata!", ADDRESS(INDEX($J$2:$J$1001,MATCH(ROWS($H$2:H459),$H$2:$H$1001,0),0), INDEX($O$1004:$Q$1004,1,MATCH(COLUMNS($O$1006:Q1006),$O$1006:$Q$1006,0)))),"Fix")))</f>
        <v xml:space="preserve"> </v>
      </c>
      <c r="H459">
        <v>458</v>
      </c>
      <c r="I459">
        <v>100459</v>
      </c>
      <c r="J459">
        <v>459</v>
      </c>
      <c r="K459" t="b">
        <f t="shared" si="7"/>
        <v>1</v>
      </c>
      <c r="L459" t="b">
        <f>COUNTBLANK(metadata!B459:D459)=COLUMNS(metadata!B459:D459)</f>
        <v>1</v>
      </c>
      <c r="M459" t="str">
        <v/>
      </c>
      <c r="O459" t="b">
        <f ca="1"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P459" t="b">
        <f>AND(IF(metadata!C459="",FALSE,TRUE),EXACT(metadata!C459,"mouse gut metagenome"))</f>
        <v>0</v>
      </c>
      <c r="Q459" t="b">
        <f>AND(IF(metadata!D459="",FALSE,TRUE),EXACT(metadata!D459,"410661"))</f>
        <v>0</v>
      </c>
    </row>
    <row r="460" spans="1:17" x14ac:dyDescent="0.2">
      <c r="A460" s="4" t="str">
        <f ca="1">IF(B460=" "," ",HYPERLINK(CONCATENATE("#metadata!",ADDRESS(INDEX($J$2:$J$1001,MATCH(ROWS($H$2:H460),$H$2:$H$1001,0),0),1)),INDEX($M$2:$M$1001,MATCH(ROWS($H$2:H460),$H$2:$H$1001,0),0)))</f>
        <v xml:space="preserve"> </v>
      </c>
      <c r="B460" s="3" t="str">
        <f ca="1">IF(OR(INDEX($I$2:$I$1001,MATCH(ROWS($H$2:H460),$H$2:$H$1001,0),1)&gt;=100000,INDEX($O$1005:$Q$1005,1,MATCH(COLUMNS($O$1006:O1006),$O$1006:$Q$1006,0))&gt;=100000), " ",IF(INDEX($O$2:$Q$1001,MATCH(ROWS($H$2:H460),$H$2:$H$1001,0),MATCH(COLUMNS($O$1006:O1006),$O$1006:$Q$1006,0)), HYPERLINK("#",""), HYPERLINK(CONCATENATE("#metadata!", ADDRESS(INDEX($J$2:$J$1001,MATCH(ROWS($H$2:H460),$H$2:$H$1001,0),0), INDEX($O$1004:$Q$1004,1,MATCH(COLUMNS($O$1006:O1006),$O$1006:$Q$1006,0)))),"Fix")))</f>
        <v xml:space="preserve"> </v>
      </c>
      <c r="C460" s="3" t="str">
        <f ca="1">IF(OR(INDEX($I$2:$I$1001,MATCH(ROWS($H$2:H460),$H$2:$H$1001,0),1)&gt;=100000,INDEX($O$1005:$Q$1005,1,MATCH(COLUMNS($O$1006:P1006),$O$1006:$Q$1006,0))&gt;=100000), " ",IF(INDEX($O$2:$Q$1001,MATCH(ROWS($H$2:H460),$H$2:$H$1001,0),MATCH(COLUMNS($O$1006:P1006),$O$1006:$Q$1006,0)), HYPERLINK("#",""), HYPERLINK(CONCATENATE("#metadata!", ADDRESS(INDEX($J$2:$J$1001,MATCH(ROWS($H$2:H460),$H$2:$H$1001,0),0), INDEX($O$1004:$Q$1004,1,MATCH(COLUMNS($O$1006:P1006),$O$1006:$Q$1006,0)))),"Fix")))</f>
        <v xml:space="preserve"> </v>
      </c>
      <c r="D460" s="3" t="str">
        <f ca="1">IF(OR(INDEX($I$2:$I$1001,MATCH(ROWS($H$2:H460),$H$2:$H$1001,0),1)&gt;=100000,INDEX($O$1005:$Q$1005,1,MATCH(COLUMNS($O$1006:Q1006),$O$1006:$Q$1006,0))&gt;=100000), " ",IF(INDEX($O$2:$Q$1001,MATCH(ROWS($H$2:H460),$H$2:$H$1001,0),MATCH(COLUMNS($O$1006:Q1006),$O$1006:$Q$1006,0)), HYPERLINK("#",""), HYPERLINK(CONCATENATE("#metadata!", ADDRESS(INDEX($J$2:$J$1001,MATCH(ROWS($H$2:H460),$H$2:$H$1001,0),0), INDEX($O$1004:$Q$1004,1,MATCH(COLUMNS($O$1006:Q1006),$O$1006:$Q$1006,0)))),"Fix")))</f>
        <v xml:space="preserve"> </v>
      </c>
      <c r="H460">
        <v>459</v>
      </c>
      <c r="I460">
        <v>100460</v>
      </c>
      <c r="J460">
        <v>460</v>
      </c>
      <c r="K460" t="b">
        <f t="shared" si="7"/>
        <v>1</v>
      </c>
      <c r="L460" t="b">
        <f>COUNTBLANK(metadata!B460:D460)=COLUMNS(metadata!B460:D460)</f>
        <v>1</v>
      </c>
      <c r="M460" t="str">
        <v/>
      </c>
      <c r="O460" t="b">
        <f ca="1"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P460" t="b">
        <f>AND(IF(metadata!C460="",FALSE,TRUE),EXACT(metadata!C460,"mouse gut metagenome"))</f>
        <v>0</v>
      </c>
      <c r="Q460" t="b">
        <f>AND(IF(metadata!D460="",FALSE,TRUE),EXACT(metadata!D460,"410661"))</f>
        <v>0</v>
      </c>
    </row>
    <row r="461" spans="1:17" x14ac:dyDescent="0.2">
      <c r="A461" s="4" t="str">
        <f ca="1">IF(B461=" "," ",HYPERLINK(CONCATENATE("#metadata!",ADDRESS(INDEX($J$2:$J$1001,MATCH(ROWS($H$2:H461),$H$2:$H$1001,0),0),1)),INDEX($M$2:$M$1001,MATCH(ROWS($H$2:H461),$H$2:$H$1001,0),0)))</f>
        <v xml:space="preserve"> </v>
      </c>
      <c r="B461" s="3" t="str">
        <f ca="1">IF(OR(INDEX($I$2:$I$1001,MATCH(ROWS($H$2:H461),$H$2:$H$1001,0),1)&gt;=100000,INDEX($O$1005:$Q$1005,1,MATCH(COLUMNS($O$1006:O1006),$O$1006:$Q$1006,0))&gt;=100000), " ",IF(INDEX($O$2:$Q$1001,MATCH(ROWS($H$2:H461),$H$2:$H$1001,0),MATCH(COLUMNS($O$1006:O1006),$O$1006:$Q$1006,0)), HYPERLINK("#",""), HYPERLINK(CONCATENATE("#metadata!", ADDRESS(INDEX($J$2:$J$1001,MATCH(ROWS($H$2:H461),$H$2:$H$1001,0),0), INDEX($O$1004:$Q$1004,1,MATCH(COLUMNS($O$1006:O1006),$O$1006:$Q$1006,0)))),"Fix")))</f>
        <v xml:space="preserve"> </v>
      </c>
      <c r="C461" s="3" t="str">
        <f ca="1">IF(OR(INDEX($I$2:$I$1001,MATCH(ROWS($H$2:H461),$H$2:$H$1001,0),1)&gt;=100000,INDEX($O$1005:$Q$1005,1,MATCH(COLUMNS($O$1006:P1006),$O$1006:$Q$1006,0))&gt;=100000), " ",IF(INDEX($O$2:$Q$1001,MATCH(ROWS($H$2:H461),$H$2:$H$1001,0),MATCH(COLUMNS($O$1006:P1006),$O$1006:$Q$1006,0)), HYPERLINK("#",""), HYPERLINK(CONCATENATE("#metadata!", ADDRESS(INDEX($J$2:$J$1001,MATCH(ROWS($H$2:H461),$H$2:$H$1001,0),0), INDEX($O$1004:$Q$1004,1,MATCH(COLUMNS($O$1006:P1006),$O$1006:$Q$1006,0)))),"Fix")))</f>
        <v xml:space="preserve"> </v>
      </c>
      <c r="D461" s="3" t="str">
        <f ca="1">IF(OR(INDEX($I$2:$I$1001,MATCH(ROWS($H$2:H461),$H$2:$H$1001,0),1)&gt;=100000,INDEX($O$1005:$Q$1005,1,MATCH(COLUMNS($O$1006:Q1006),$O$1006:$Q$1006,0))&gt;=100000), " ",IF(INDEX($O$2:$Q$1001,MATCH(ROWS($H$2:H461),$H$2:$H$1001,0),MATCH(COLUMNS($O$1006:Q1006),$O$1006:$Q$1006,0)), HYPERLINK("#",""), HYPERLINK(CONCATENATE("#metadata!", ADDRESS(INDEX($J$2:$J$1001,MATCH(ROWS($H$2:H461),$H$2:$H$1001,0),0), INDEX($O$1004:$Q$1004,1,MATCH(COLUMNS($O$1006:Q1006),$O$1006:$Q$1006,0)))),"Fix")))</f>
        <v xml:space="preserve"> </v>
      </c>
      <c r="H461">
        <v>460</v>
      </c>
      <c r="I461">
        <v>100461</v>
      </c>
      <c r="J461">
        <v>461</v>
      </c>
      <c r="K461" t="b">
        <f t="shared" si="7"/>
        <v>1</v>
      </c>
      <c r="L461" t="b">
        <f>COUNTBLANK(metadata!B461:D461)=COLUMNS(metadata!B461:D461)</f>
        <v>1</v>
      </c>
      <c r="M461" t="str">
        <v/>
      </c>
      <c r="O461" t="b">
        <f ca="1"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P461" t="b">
        <f>AND(IF(metadata!C461="",FALSE,TRUE),EXACT(metadata!C461,"mouse gut metagenome"))</f>
        <v>0</v>
      </c>
      <c r="Q461" t="b">
        <f>AND(IF(metadata!D461="",FALSE,TRUE),EXACT(metadata!D461,"410661"))</f>
        <v>0</v>
      </c>
    </row>
    <row r="462" spans="1:17" x14ac:dyDescent="0.2">
      <c r="A462" s="4" t="str">
        <f ca="1">IF(B462=" "," ",HYPERLINK(CONCATENATE("#metadata!",ADDRESS(INDEX($J$2:$J$1001,MATCH(ROWS($H$2:H462),$H$2:$H$1001,0),0),1)),INDEX($M$2:$M$1001,MATCH(ROWS($H$2:H462),$H$2:$H$1001,0),0)))</f>
        <v xml:space="preserve"> </v>
      </c>
      <c r="B462" s="3" t="str">
        <f ca="1">IF(OR(INDEX($I$2:$I$1001,MATCH(ROWS($H$2:H462),$H$2:$H$1001,0),1)&gt;=100000,INDEX($O$1005:$Q$1005,1,MATCH(COLUMNS($O$1006:O1006),$O$1006:$Q$1006,0))&gt;=100000), " ",IF(INDEX($O$2:$Q$1001,MATCH(ROWS($H$2:H462),$H$2:$H$1001,0),MATCH(COLUMNS($O$1006:O1006),$O$1006:$Q$1006,0)), HYPERLINK("#",""), HYPERLINK(CONCATENATE("#metadata!", ADDRESS(INDEX($J$2:$J$1001,MATCH(ROWS($H$2:H462),$H$2:$H$1001,0),0), INDEX($O$1004:$Q$1004,1,MATCH(COLUMNS($O$1006:O1006),$O$1006:$Q$1006,0)))),"Fix")))</f>
        <v xml:space="preserve"> </v>
      </c>
      <c r="C462" s="3" t="str">
        <f ca="1">IF(OR(INDEX($I$2:$I$1001,MATCH(ROWS($H$2:H462),$H$2:$H$1001,0),1)&gt;=100000,INDEX($O$1005:$Q$1005,1,MATCH(COLUMNS($O$1006:P1006),$O$1006:$Q$1006,0))&gt;=100000), " ",IF(INDEX($O$2:$Q$1001,MATCH(ROWS($H$2:H462),$H$2:$H$1001,0),MATCH(COLUMNS($O$1006:P1006),$O$1006:$Q$1006,0)), HYPERLINK("#",""), HYPERLINK(CONCATENATE("#metadata!", ADDRESS(INDEX($J$2:$J$1001,MATCH(ROWS($H$2:H462),$H$2:$H$1001,0),0), INDEX($O$1004:$Q$1004,1,MATCH(COLUMNS($O$1006:P1006),$O$1006:$Q$1006,0)))),"Fix")))</f>
        <v xml:space="preserve"> </v>
      </c>
      <c r="D462" s="3" t="str">
        <f ca="1">IF(OR(INDEX($I$2:$I$1001,MATCH(ROWS($H$2:H462),$H$2:$H$1001,0),1)&gt;=100000,INDEX($O$1005:$Q$1005,1,MATCH(COLUMNS($O$1006:Q1006),$O$1006:$Q$1006,0))&gt;=100000), " ",IF(INDEX($O$2:$Q$1001,MATCH(ROWS($H$2:H462),$H$2:$H$1001,0),MATCH(COLUMNS($O$1006:Q1006),$O$1006:$Q$1006,0)), HYPERLINK("#",""), HYPERLINK(CONCATENATE("#metadata!", ADDRESS(INDEX($J$2:$J$1001,MATCH(ROWS($H$2:H462),$H$2:$H$1001,0),0), INDEX($O$1004:$Q$1004,1,MATCH(COLUMNS($O$1006:Q1006),$O$1006:$Q$1006,0)))),"Fix")))</f>
        <v xml:space="preserve"> </v>
      </c>
      <c r="H462">
        <v>461</v>
      </c>
      <c r="I462">
        <v>100462</v>
      </c>
      <c r="J462">
        <v>462</v>
      </c>
      <c r="K462" t="b">
        <f t="shared" si="7"/>
        <v>1</v>
      </c>
      <c r="L462" t="b">
        <f>COUNTBLANK(metadata!B462:D462)=COLUMNS(metadata!B462:D462)</f>
        <v>1</v>
      </c>
      <c r="M462" t="str">
        <v/>
      </c>
      <c r="O462" t="b">
        <f ca="1"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P462" t="b">
        <f>AND(IF(metadata!C462="",FALSE,TRUE),EXACT(metadata!C462,"mouse gut metagenome"))</f>
        <v>0</v>
      </c>
      <c r="Q462" t="b">
        <f>AND(IF(metadata!D462="",FALSE,TRUE),EXACT(metadata!D462,"410661"))</f>
        <v>0</v>
      </c>
    </row>
    <row r="463" spans="1:17" x14ac:dyDescent="0.2">
      <c r="A463" s="4" t="str">
        <f ca="1">IF(B463=" "," ",HYPERLINK(CONCATENATE("#metadata!",ADDRESS(INDEX($J$2:$J$1001,MATCH(ROWS($H$2:H463),$H$2:$H$1001,0),0),1)),INDEX($M$2:$M$1001,MATCH(ROWS($H$2:H463),$H$2:$H$1001,0),0)))</f>
        <v xml:space="preserve"> </v>
      </c>
      <c r="B463" s="3" t="str">
        <f ca="1">IF(OR(INDEX($I$2:$I$1001,MATCH(ROWS($H$2:H463),$H$2:$H$1001,0),1)&gt;=100000,INDEX($O$1005:$Q$1005,1,MATCH(COLUMNS($O$1006:O1006),$O$1006:$Q$1006,0))&gt;=100000), " ",IF(INDEX($O$2:$Q$1001,MATCH(ROWS($H$2:H463),$H$2:$H$1001,0),MATCH(COLUMNS($O$1006:O1006),$O$1006:$Q$1006,0)), HYPERLINK("#",""), HYPERLINK(CONCATENATE("#metadata!", ADDRESS(INDEX($J$2:$J$1001,MATCH(ROWS($H$2:H463),$H$2:$H$1001,0),0), INDEX($O$1004:$Q$1004,1,MATCH(COLUMNS($O$1006:O1006),$O$1006:$Q$1006,0)))),"Fix")))</f>
        <v xml:space="preserve"> </v>
      </c>
      <c r="C463" s="3" t="str">
        <f ca="1">IF(OR(INDEX($I$2:$I$1001,MATCH(ROWS($H$2:H463),$H$2:$H$1001,0),1)&gt;=100000,INDEX($O$1005:$Q$1005,1,MATCH(COLUMNS($O$1006:P1006),$O$1006:$Q$1006,0))&gt;=100000), " ",IF(INDEX($O$2:$Q$1001,MATCH(ROWS($H$2:H463),$H$2:$H$1001,0),MATCH(COLUMNS($O$1006:P1006),$O$1006:$Q$1006,0)), HYPERLINK("#",""), HYPERLINK(CONCATENATE("#metadata!", ADDRESS(INDEX($J$2:$J$1001,MATCH(ROWS($H$2:H463),$H$2:$H$1001,0),0), INDEX($O$1004:$Q$1004,1,MATCH(COLUMNS($O$1006:P1006),$O$1006:$Q$1006,0)))),"Fix")))</f>
        <v xml:space="preserve"> </v>
      </c>
      <c r="D463" s="3" t="str">
        <f ca="1">IF(OR(INDEX($I$2:$I$1001,MATCH(ROWS($H$2:H463),$H$2:$H$1001,0),1)&gt;=100000,INDEX($O$1005:$Q$1005,1,MATCH(COLUMNS($O$1006:Q1006),$O$1006:$Q$1006,0))&gt;=100000), " ",IF(INDEX($O$2:$Q$1001,MATCH(ROWS($H$2:H463),$H$2:$H$1001,0),MATCH(COLUMNS($O$1006:Q1006),$O$1006:$Q$1006,0)), HYPERLINK("#",""), HYPERLINK(CONCATENATE("#metadata!", ADDRESS(INDEX($J$2:$J$1001,MATCH(ROWS($H$2:H463),$H$2:$H$1001,0),0), INDEX($O$1004:$Q$1004,1,MATCH(COLUMNS($O$1006:Q1006),$O$1006:$Q$1006,0)))),"Fix")))</f>
        <v xml:space="preserve"> </v>
      </c>
      <c r="H463">
        <v>462</v>
      </c>
      <c r="I463">
        <v>100463</v>
      </c>
      <c r="J463">
        <v>463</v>
      </c>
      <c r="K463" t="b">
        <f t="shared" si="7"/>
        <v>1</v>
      </c>
      <c r="L463" t="b">
        <f>COUNTBLANK(metadata!B463:D463)=COLUMNS(metadata!B463:D463)</f>
        <v>1</v>
      </c>
      <c r="M463" t="str">
        <v/>
      </c>
      <c r="O463" t="b">
        <f ca="1"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P463" t="b">
        <f>AND(IF(metadata!C463="",FALSE,TRUE),EXACT(metadata!C463,"mouse gut metagenome"))</f>
        <v>0</v>
      </c>
      <c r="Q463" t="b">
        <f>AND(IF(metadata!D463="",FALSE,TRUE),EXACT(metadata!D463,"410661"))</f>
        <v>0</v>
      </c>
    </row>
    <row r="464" spans="1:17" x14ac:dyDescent="0.2">
      <c r="A464" s="4" t="str">
        <f ca="1">IF(B464=" "," ",HYPERLINK(CONCATENATE("#metadata!",ADDRESS(INDEX($J$2:$J$1001,MATCH(ROWS($H$2:H464),$H$2:$H$1001,0),0),1)),INDEX($M$2:$M$1001,MATCH(ROWS($H$2:H464),$H$2:$H$1001,0),0)))</f>
        <v xml:space="preserve"> </v>
      </c>
      <c r="B464" s="3" t="str">
        <f ca="1">IF(OR(INDEX($I$2:$I$1001,MATCH(ROWS($H$2:H464),$H$2:$H$1001,0),1)&gt;=100000,INDEX($O$1005:$Q$1005,1,MATCH(COLUMNS($O$1006:O1006),$O$1006:$Q$1006,0))&gt;=100000), " ",IF(INDEX($O$2:$Q$1001,MATCH(ROWS($H$2:H464),$H$2:$H$1001,0),MATCH(COLUMNS($O$1006:O1006),$O$1006:$Q$1006,0)), HYPERLINK("#",""), HYPERLINK(CONCATENATE("#metadata!", ADDRESS(INDEX($J$2:$J$1001,MATCH(ROWS($H$2:H464),$H$2:$H$1001,0),0), INDEX($O$1004:$Q$1004,1,MATCH(COLUMNS($O$1006:O1006),$O$1006:$Q$1006,0)))),"Fix")))</f>
        <v xml:space="preserve"> </v>
      </c>
      <c r="C464" s="3" t="str">
        <f ca="1">IF(OR(INDEX($I$2:$I$1001,MATCH(ROWS($H$2:H464),$H$2:$H$1001,0),1)&gt;=100000,INDEX($O$1005:$Q$1005,1,MATCH(COLUMNS($O$1006:P1006),$O$1006:$Q$1006,0))&gt;=100000), " ",IF(INDEX($O$2:$Q$1001,MATCH(ROWS($H$2:H464),$H$2:$H$1001,0),MATCH(COLUMNS($O$1006:P1006),$O$1006:$Q$1006,0)), HYPERLINK("#",""), HYPERLINK(CONCATENATE("#metadata!", ADDRESS(INDEX($J$2:$J$1001,MATCH(ROWS($H$2:H464),$H$2:$H$1001,0),0), INDEX($O$1004:$Q$1004,1,MATCH(COLUMNS($O$1006:P1006),$O$1006:$Q$1006,0)))),"Fix")))</f>
        <v xml:space="preserve"> </v>
      </c>
      <c r="D464" s="3" t="str">
        <f ca="1">IF(OR(INDEX($I$2:$I$1001,MATCH(ROWS($H$2:H464),$H$2:$H$1001,0),1)&gt;=100000,INDEX($O$1005:$Q$1005,1,MATCH(COLUMNS($O$1006:Q1006),$O$1006:$Q$1006,0))&gt;=100000), " ",IF(INDEX($O$2:$Q$1001,MATCH(ROWS($H$2:H464),$H$2:$H$1001,0),MATCH(COLUMNS($O$1006:Q1006),$O$1006:$Q$1006,0)), HYPERLINK("#",""), HYPERLINK(CONCATENATE("#metadata!", ADDRESS(INDEX($J$2:$J$1001,MATCH(ROWS($H$2:H464),$H$2:$H$1001,0),0), INDEX($O$1004:$Q$1004,1,MATCH(COLUMNS($O$1006:Q1006),$O$1006:$Q$1006,0)))),"Fix")))</f>
        <v xml:space="preserve"> </v>
      </c>
      <c r="H464">
        <v>463</v>
      </c>
      <c r="I464">
        <v>100464</v>
      </c>
      <c r="J464">
        <v>464</v>
      </c>
      <c r="K464" t="b">
        <f t="shared" si="7"/>
        <v>1</v>
      </c>
      <c r="L464" t="b">
        <f>COUNTBLANK(metadata!B464:D464)=COLUMNS(metadata!B464:D464)</f>
        <v>1</v>
      </c>
      <c r="M464" t="str">
        <v/>
      </c>
      <c r="O464" t="b">
        <f ca="1"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P464" t="b">
        <f>AND(IF(metadata!C464="",FALSE,TRUE),EXACT(metadata!C464,"mouse gut metagenome"))</f>
        <v>0</v>
      </c>
      <c r="Q464" t="b">
        <f>AND(IF(metadata!D464="",FALSE,TRUE),EXACT(metadata!D464,"410661"))</f>
        <v>0</v>
      </c>
    </row>
    <row r="465" spans="1:17" x14ac:dyDescent="0.2">
      <c r="A465" s="4" t="str">
        <f ca="1">IF(B465=" "," ",HYPERLINK(CONCATENATE("#metadata!",ADDRESS(INDEX($J$2:$J$1001,MATCH(ROWS($H$2:H465),$H$2:$H$1001,0),0),1)),INDEX($M$2:$M$1001,MATCH(ROWS($H$2:H465),$H$2:$H$1001,0),0)))</f>
        <v xml:space="preserve"> </v>
      </c>
      <c r="B465" s="3" t="str">
        <f ca="1">IF(OR(INDEX($I$2:$I$1001,MATCH(ROWS($H$2:H465),$H$2:$H$1001,0),1)&gt;=100000,INDEX($O$1005:$Q$1005,1,MATCH(COLUMNS($O$1006:O1006),$O$1006:$Q$1006,0))&gt;=100000), " ",IF(INDEX($O$2:$Q$1001,MATCH(ROWS($H$2:H465),$H$2:$H$1001,0),MATCH(COLUMNS($O$1006:O1006),$O$1006:$Q$1006,0)), HYPERLINK("#",""), HYPERLINK(CONCATENATE("#metadata!", ADDRESS(INDEX($J$2:$J$1001,MATCH(ROWS($H$2:H465),$H$2:$H$1001,0),0), INDEX($O$1004:$Q$1004,1,MATCH(COLUMNS($O$1006:O1006),$O$1006:$Q$1006,0)))),"Fix")))</f>
        <v xml:space="preserve"> </v>
      </c>
      <c r="C465" s="3" t="str">
        <f ca="1">IF(OR(INDEX($I$2:$I$1001,MATCH(ROWS($H$2:H465),$H$2:$H$1001,0),1)&gt;=100000,INDEX($O$1005:$Q$1005,1,MATCH(COLUMNS($O$1006:P1006),$O$1006:$Q$1006,0))&gt;=100000), " ",IF(INDEX($O$2:$Q$1001,MATCH(ROWS($H$2:H465),$H$2:$H$1001,0),MATCH(COLUMNS($O$1006:P1006),$O$1006:$Q$1006,0)), HYPERLINK("#",""), HYPERLINK(CONCATENATE("#metadata!", ADDRESS(INDEX($J$2:$J$1001,MATCH(ROWS($H$2:H465),$H$2:$H$1001,0),0), INDEX($O$1004:$Q$1004,1,MATCH(COLUMNS($O$1006:P1006),$O$1006:$Q$1006,0)))),"Fix")))</f>
        <v xml:space="preserve"> </v>
      </c>
      <c r="D465" s="3" t="str">
        <f ca="1">IF(OR(INDEX($I$2:$I$1001,MATCH(ROWS($H$2:H465),$H$2:$H$1001,0),1)&gt;=100000,INDEX($O$1005:$Q$1005,1,MATCH(COLUMNS($O$1006:Q1006),$O$1006:$Q$1006,0))&gt;=100000), " ",IF(INDEX($O$2:$Q$1001,MATCH(ROWS($H$2:H465),$H$2:$H$1001,0),MATCH(COLUMNS($O$1006:Q1006),$O$1006:$Q$1006,0)), HYPERLINK("#",""), HYPERLINK(CONCATENATE("#metadata!", ADDRESS(INDEX($J$2:$J$1001,MATCH(ROWS($H$2:H465),$H$2:$H$1001,0),0), INDEX($O$1004:$Q$1004,1,MATCH(COLUMNS($O$1006:Q1006),$O$1006:$Q$1006,0)))),"Fix")))</f>
        <v xml:space="preserve"> </v>
      </c>
      <c r="H465">
        <v>464</v>
      </c>
      <c r="I465">
        <v>100465</v>
      </c>
      <c r="J465">
        <v>465</v>
      </c>
      <c r="K465" t="b">
        <f t="shared" si="7"/>
        <v>1</v>
      </c>
      <c r="L465" t="b">
        <f>COUNTBLANK(metadata!B465:D465)=COLUMNS(metadata!B465:D465)</f>
        <v>1</v>
      </c>
      <c r="M465" t="str">
        <v/>
      </c>
      <c r="O465" t="b">
        <f ca="1"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P465" t="b">
        <f>AND(IF(metadata!C465="",FALSE,TRUE),EXACT(metadata!C465,"mouse gut metagenome"))</f>
        <v>0</v>
      </c>
      <c r="Q465" t="b">
        <f>AND(IF(metadata!D465="",FALSE,TRUE),EXACT(metadata!D465,"410661"))</f>
        <v>0</v>
      </c>
    </row>
    <row r="466" spans="1:17" x14ac:dyDescent="0.2">
      <c r="A466" s="4" t="str">
        <f ca="1">IF(B466=" "," ",HYPERLINK(CONCATENATE("#metadata!",ADDRESS(INDEX($J$2:$J$1001,MATCH(ROWS($H$2:H466),$H$2:$H$1001,0),0),1)),INDEX($M$2:$M$1001,MATCH(ROWS($H$2:H466),$H$2:$H$1001,0),0)))</f>
        <v xml:space="preserve"> </v>
      </c>
      <c r="B466" s="3" t="str">
        <f ca="1">IF(OR(INDEX($I$2:$I$1001,MATCH(ROWS($H$2:H466),$H$2:$H$1001,0),1)&gt;=100000,INDEX($O$1005:$Q$1005,1,MATCH(COLUMNS($O$1006:O1006),$O$1006:$Q$1006,0))&gt;=100000), " ",IF(INDEX($O$2:$Q$1001,MATCH(ROWS($H$2:H466),$H$2:$H$1001,0),MATCH(COLUMNS($O$1006:O1006),$O$1006:$Q$1006,0)), HYPERLINK("#",""), HYPERLINK(CONCATENATE("#metadata!", ADDRESS(INDEX($J$2:$J$1001,MATCH(ROWS($H$2:H466),$H$2:$H$1001,0),0), INDEX($O$1004:$Q$1004,1,MATCH(COLUMNS($O$1006:O1006),$O$1006:$Q$1006,0)))),"Fix")))</f>
        <v xml:space="preserve"> </v>
      </c>
      <c r="C466" s="3" t="str">
        <f ca="1">IF(OR(INDEX($I$2:$I$1001,MATCH(ROWS($H$2:H466),$H$2:$H$1001,0),1)&gt;=100000,INDEX($O$1005:$Q$1005,1,MATCH(COLUMNS($O$1006:P1006),$O$1006:$Q$1006,0))&gt;=100000), " ",IF(INDEX($O$2:$Q$1001,MATCH(ROWS($H$2:H466),$H$2:$H$1001,0),MATCH(COLUMNS($O$1006:P1006),$O$1006:$Q$1006,0)), HYPERLINK("#",""), HYPERLINK(CONCATENATE("#metadata!", ADDRESS(INDEX($J$2:$J$1001,MATCH(ROWS($H$2:H466),$H$2:$H$1001,0),0), INDEX($O$1004:$Q$1004,1,MATCH(COLUMNS($O$1006:P1006),$O$1006:$Q$1006,0)))),"Fix")))</f>
        <v xml:space="preserve"> </v>
      </c>
      <c r="D466" s="3" t="str">
        <f ca="1">IF(OR(INDEX($I$2:$I$1001,MATCH(ROWS($H$2:H466),$H$2:$H$1001,0),1)&gt;=100000,INDEX($O$1005:$Q$1005,1,MATCH(COLUMNS($O$1006:Q1006),$O$1006:$Q$1006,0))&gt;=100000), " ",IF(INDEX($O$2:$Q$1001,MATCH(ROWS($H$2:H466),$H$2:$H$1001,0),MATCH(COLUMNS($O$1006:Q1006),$O$1006:$Q$1006,0)), HYPERLINK("#",""), HYPERLINK(CONCATENATE("#metadata!", ADDRESS(INDEX($J$2:$J$1001,MATCH(ROWS($H$2:H466),$H$2:$H$1001,0),0), INDEX($O$1004:$Q$1004,1,MATCH(COLUMNS($O$1006:Q1006),$O$1006:$Q$1006,0)))),"Fix")))</f>
        <v xml:space="preserve"> </v>
      </c>
      <c r="H466">
        <v>465</v>
      </c>
      <c r="I466">
        <v>100466</v>
      </c>
      <c r="J466">
        <v>466</v>
      </c>
      <c r="K466" t="b">
        <f t="shared" si="7"/>
        <v>1</v>
      </c>
      <c r="L466" t="b">
        <f>COUNTBLANK(metadata!B466:D466)=COLUMNS(metadata!B466:D466)</f>
        <v>1</v>
      </c>
      <c r="M466" t="str">
        <v/>
      </c>
      <c r="O466" t="b">
        <f ca="1"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P466" t="b">
        <f>AND(IF(metadata!C466="",FALSE,TRUE),EXACT(metadata!C466,"mouse gut metagenome"))</f>
        <v>0</v>
      </c>
      <c r="Q466" t="b">
        <f>AND(IF(metadata!D466="",FALSE,TRUE),EXACT(metadata!D466,"410661"))</f>
        <v>0</v>
      </c>
    </row>
    <row r="467" spans="1:17" x14ac:dyDescent="0.2">
      <c r="A467" s="4" t="str">
        <f ca="1">IF(B467=" "," ",HYPERLINK(CONCATENATE("#metadata!",ADDRESS(INDEX($J$2:$J$1001,MATCH(ROWS($H$2:H467),$H$2:$H$1001,0),0),1)),INDEX($M$2:$M$1001,MATCH(ROWS($H$2:H467),$H$2:$H$1001,0),0)))</f>
        <v xml:space="preserve"> </v>
      </c>
      <c r="B467" s="3" t="str">
        <f ca="1">IF(OR(INDEX($I$2:$I$1001,MATCH(ROWS($H$2:H467),$H$2:$H$1001,0),1)&gt;=100000,INDEX($O$1005:$Q$1005,1,MATCH(COLUMNS($O$1006:O1006),$O$1006:$Q$1006,0))&gt;=100000), " ",IF(INDEX($O$2:$Q$1001,MATCH(ROWS($H$2:H467),$H$2:$H$1001,0),MATCH(COLUMNS($O$1006:O1006),$O$1006:$Q$1006,0)), HYPERLINK("#",""), HYPERLINK(CONCATENATE("#metadata!", ADDRESS(INDEX($J$2:$J$1001,MATCH(ROWS($H$2:H467),$H$2:$H$1001,0),0), INDEX($O$1004:$Q$1004,1,MATCH(COLUMNS($O$1006:O1006),$O$1006:$Q$1006,0)))),"Fix")))</f>
        <v xml:space="preserve"> </v>
      </c>
      <c r="C467" s="3" t="str">
        <f ca="1">IF(OR(INDEX($I$2:$I$1001,MATCH(ROWS($H$2:H467),$H$2:$H$1001,0),1)&gt;=100000,INDEX($O$1005:$Q$1005,1,MATCH(COLUMNS($O$1006:P1006),$O$1006:$Q$1006,0))&gt;=100000), " ",IF(INDEX($O$2:$Q$1001,MATCH(ROWS($H$2:H467),$H$2:$H$1001,0),MATCH(COLUMNS($O$1006:P1006),$O$1006:$Q$1006,0)), HYPERLINK("#",""), HYPERLINK(CONCATENATE("#metadata!", ADDRESS(INDEX($J$2:$J$1001,MATCH(ROWS($H$2:H467),$H$2:$H$1001,0),0), INDEX($O$1004:$Q$1004,1,MATCH(COLUMNS($O$1006:P1006),$O$1006:$Q$1006,0)))),"Fix")))</f>
        <v xml:space="preserve"> </v>
      </c>
      <c r="D467" s="3" t="str">
        <f ca="1">IF(OR(INDEX($I$2:$I$1001,MATCH(ROWS($H$2:H467),$H$2:$H$1001,0),1)&gt;=100000,INDEX($O$1005:$Q$1005,1,MATCH(COLUMNS($O$1006:Q1006),$O$1006:$Q$1006,0))&gt;=100000), " ",IF(INDEX($O$2:$Q$1001,MATCH(ROWS($H$2:H467),$H$2:$H$1001,0),MATCH(COLUMNS($O$1006:Q1006),$O$1006:$Q$1006,0)), HYPERLINK("#",""), HYPERLINK(CONCATENATE("#metadata!", ADDRESS(INDEX($J$2:$J$1001,MATCH(ROWS($H$2:H467),$H$2:$H$1001,0),0), INDEX($O$1004:$Q$1004,1,MATCH(COLUMNS($O$1006:Q1006),$O$1006:$Q$1006,0)))),"Fix")))</f>
        <v xml:space="preserve"> </v>
      </c>
      <c r="H467">
        <v>466</v>
      </c>
      <c r="I467">
        <v>100467</v>
      </c>
      <c r="J467">
        <v>467</v>
      </c>
      <c r="K467" t="b">
        <f t="shared" si="7"/>
        <v>1</v>
      </c>
      <c r="L467" t="b">
        <f>COUNTBLANK(metadata!B467:D467)=COLUMNS(metadata!B467:D467)</f>
        <v>1</v>
      </c>
      <c r="M467" t="str">
        <v/>
      </c>
      <c r="O467" t="b">
        <f ca="1"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P467" t="b">
        <f>AND(IF(metadata!C467="",FALSE,TRUE),EXACT(metadata!C467,"mouse gut metagenome"))</f>
        <v>0</v>
      </c>
      <c r="Q467" t="b">
        <f>AND(IF(metadata!D467="",FALSE,TRUE),EXACT(metadata!D467,"410661"))</f>
        <v>0</v>
      </c>
    </row>
    <row r="468" spans="1:17" x14ac:dyDescent="0.2">
      <c r="A468" s="4" t="str">
        <f ca="1">IF(B468=" "," ",HYPERLINK(CONCATENATE("#metadata!",ADDRESS(INDEX($J$2:$J$1001,MATCH(ROWS($H$2:H468),$H$2:$H$1001,0),0),1)),INDEX($M$2:$M$1001,MATCH(ROWS($H$2:H468),$H$2:$H$1001,0),0)))</f>
        <v xml:space="preserve"> </v>
      </c>
      <c r="B468" s="3" t="str">
        <f ca="1">IF(OR(INDEX($I$2:$I$1001,MATCH(ROWS($H$2:H468),$H$2:$H$1001,0),1)&gt;=100000,INDEX($O$1005:$Q$1005,1,MATCH(COLUMNS($O$1006:O1006),$O$1006:$Q$1006,0))&gt;=100000), " ",IF(INDEX($O$2:$Q$1001,MATCH(ROWS($H$2:H468),$H$2:$H$1001,0),MATCH(COLUMNS($O$1006:O1006),$O$1006:$Q$1006,0)), HYPERLINK("#",""), HYPERLINK(CONCATENATE("#metadata!", ADDRESS(INDEX($J$2:$J$1001,MATCH(ROWS($H$2:H468),$H$2:$H$1001,0),0), INDEX($O$1004:$Q$1004,1,MATCH(COLUMNS($O$1006:O1006),$O$1006:$Q$1006,0)))),"Fix")))</f>
        <v xml:space="preserve"> </v>
      </c>
      <c r="C468" s="3" t="str">
        <f ca="1">IF(OR(INDEX($I$2:$I$1001,MATCH(ROWS($H$2:H468),$H$2:$H$1001,0),1)&gt;=100000,INDEX($O$1005:$Q$1005,1,MATCH(COLUMNS($O$1006:P1006),$O$1006:$Q$1006,0))&gt;=100000), " ",IF(INDEX($O$2:$Q$1001,MATCH(ROWS($H$2:H468),$H$2:$H$1001,0),MATCH(COLUMNS($O$1006:P1006),$O$1006:$Q$1006,0)), HYPERLINK("#",""), HYPERLINK(CONCATENATE("#metadata!", ADDRESS(INDEX($J$2:$J$1001,MATCH(ROWS($H$2:H468),$H$2:$H$1001,0),0), INDEX($O$1004:$Q$1004,1,MATCH(COLUMNS($O$1006:P1006),$O$1006:$Q$1006,0)))),"Fix")))</f>
        <v xml:space="preserve"> </v>
      </c>
      <c r="D468" s="3" t="str">
        <f ca="1">IF(OR(INDEX($I$2:$I$1001,MATCH(ROWS($H$2:H468),$H$2:$H$1001,0),1)&gt;=100000,INDEX($O$1005:$Q$1005,1,MATCH(COLUMNS($O$1006:Q1006),$O$1006:$Q$1006,0))&gt;=100000), " ",IF(INDEX($O$2:$Q$1001,MATCH(ROWS($H$2:H468),$H$2:$H$1001,0),MATCH(COLUMNS($O$1006:Q1006),$O$1006:$Q$1006,0)), HYPERLINK("#",""), HYPERLINK(CONCATENATE("#metadata!", ADDRESS(INDEX($J$2:$J$1001,MATCH(ROWS($H$2:H468),$H$2:$H$1001,0),0), INDEX($O$1004:$Q$1004,1,MATCH(COLUMNS($O$1006:Q1006),$O$1006:$Q$1006,0)))),"Fix")))</f>
        <v xml:space="preserve"> </v>
      </c>
      <c r="H468">
        <v>467</v>
      </c>
      <c r="I468">
        <v>100468</v>
      </c>
      <c r="J468">
        <v>468</v>
      </c>
      <c r="K468" t="b">
        <f t="shared" si="7"/>
        <v>1</v>
      </c>
      <c r="L468" t="b">
        <f>COUNTBLANK(metadata!B468:D468)=COLUMNS(metadata!B468:D468)</f>
        <v>1</v>
      </c>
      <c r="M468" t="str">
        <v/>
      </c>
      <c r="O468" t="b">
        <f ca="1"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P468" t="b">
        <f>AND(IF(metadata!C468="",FALSE,TRUE),EXACT(metadata!C468,"mouse gut metagenome"))</f>
        <v>0</v>
      </c>
      <c r="Q468" t="b">
        <f>AND(IF(metadata!D468="",FALSE,TRUE),EXACT(metadata!D468,"410661"))</f>
        <v>0</v>
      </c>
    </row>
    <row r="469" spans="1:17" x14ac:dyDescent="0.2">
      <c r="A469" s="4" t="str">
        <f ca="1">IF(B469=" "," ",HYPERLINK(CONCATENATE("#metadata!",ADDRESS(INDEX($J$2:$J$1001,MATCH(ROWS($H$2:H469),$H$2:$H$1001,0),0),1)),INDEX($M$2:$M$1001,MATCH(ROWS($H$2:H469),$H$2:$H$1001,0),0)))</f>
        <v xml:space="preserve"> </v>
      </c>
      <c r="B469" s="3" t="str">
        <f ca="1">IF(OR(INDEX($I$2:$I$1001,MATCH(ROWS($H$2:H469),$H$2:$H$1001,0),1)&gt;=100000,INDEX($O$1005:$Q$1005,1,MATCH(COLUMNS($O$1006:O1006),$O$1006:$Q$1006,0))&gt;=100000), " ",IF(INDEX($O$2:$Q$1001,MATCH(ROWS($H$2:H469),$H$2:$H$1001,0),MATCH(COLUMNS($O$1006:O1006),$O$1006:$Q$1006,0)), HYPERLINK("#",""), HYPERLINK(CONCATENATE("#metadata!", ADDRESS(INDEX($J$2:$J$1001,MATCH(ROWS($H$2:H469),$H$2:$H$1001,0),0), INDEX($O$1004:$Q$1004,1,MATCH(COLUMNS($O$1006:O1006),$O$1006:$Q$1006,0)))),"Fix")))</f>
        <v xml:space="preserve"> </v>
      </c>
      <c r="C469" s="3" t="str">
        <f ca="1">IF(OR(INDEX($I$2:$I$1001,MATCH(ROWS($H$2:H469),$H$2:$H$1001,0),1)&gt;=100000,INDEX($O$1005:$Q$1005,1,MATCH(COLUMNS($O$1006:P1006),$O$1006:$Q$1006,0))&gt;=100000), " ",IF(INDEX($O$2:$Q$1001,MATCH(ROWS($H$2:H469),$H$2:$H$1001,0),MATCH(COLUMNS($O$1006:P1006),$O$1006:$Q$1006,0)), HYPERLINK("#",""), HYPERLINK(CONCATENATE("#metadata!", ADDRESS(INDEX($J$2:$J$1001,MATCH(ROWS($H$2:H469),$H$2:$H$1001,0),0), INDEX($O$1004:$Q$1004,1,MATCH(COLUMNS($O$1006:P1006),$O$1006:$Q$1006,0)))),"Fix")))</f>
        <v xml:space="preserve"> </v>
      </c>
      <c r="D469" s="3" t="str">
        <f ca="1">IF(OR(INDEX($I$2:$I$1001,MATCH(ROWS($H$2:H469),$H$2:$H$1001,0),1)&gt;=100000,INDEX($O$1005:$Q$1005,1,MATCH(COLUMNS($O$1006:Q1006),$O$1006:$Q$1006,0))&gt;=100000), " ",IF(INDEX($O$2:$Q$1001,MATCH(ROWS($H$2:H469),$H$2:$H$1001,0),MATCH(COLUMNS($O$1006:Q1006),$O$1006:$Q$1006,0)), HYPERLINK("#",""), HYPERLINK(CONCATENATE("#metadata!", ADDRESS(INDEX($J$2:$J$1001,MATCH(ROWS($H$2:H469),$H$2:$H$1001,0),0), INDEX($O$1004:$Q$1004,1,MATCH(COLUMNS($O$1006:Q1006),$O$1006:$Q$1006,0)))),"Fix")))</f>
        <v xml:space="preserve"> </v>
      </c>
      <c r="H469">
        <v>468</v>
      </c>
      <c r="I469">
        <v>100469</v>
      </c>
      <c r="J469">
        <v>469</v>
      </c>
      <c r="K469" t="b">
        <f t="shared" si="7"/>
        <v>1</v>
      </c>
      <c r="L469" t="b">
        <f>COUNTBLANK(metadata!B469:D469)=COLUMNS(metadata!B469:D469)</f>
        <v>1</v>
      </c>
      <c r="M469" t="str">
        <v/>
      </c>
      <c r="O469" t="b">
        <f ca="1"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P469" t="b">
        <f>AND(IF(metadata!C469="",FALSE,TRUE),EXACT(metadata!C469,"mouse gut metagenome"))</f>
        <v>0</v>
      </c>
      <c r="Q469" t="b">
        <f>AND(IF(metadata!D469="",FALSE,TRUE),EXACT(metadata!D469,"410661"))</f>
        <v>0</v>
      </c>
    </row>
    <row r="470" spans="1:17" x14ac:dyDescent="0.2">
      <c r="A470" s="4" t="str">
        <f ca="1">IF(B470=" "," ",HYPERLINK(CONCATENATE("#metadata!",ADDRESS(INDEX($J$2:$J$1001,MATCH(ROWS($H$2:H470),$H$2:$H$1001,0),0),1)),INDEX($M$2:$M$1001,MATCH(ROWS($H$2:H470),$H$2:$H$1001,0),0)))</f>
        <v xml:space="preserve"> </v>
      </c>
      <c r="B470" s="3" t="str">
        <f ca="1">IF(OR(INDEX($I$2:$I$1001,MATCH(ROWS($H$2:H470),$H$2:$H$1001,0),1)&gt;=100000,INDEX($O$1005:$Q$1005,1,MATCH(COLUMNS($O$1006:O1006),$O$1006:$Q$1006,0))&gt;=100000), " ",IF(INDEX($O$2:$Q$1001,MATCH(ROWS($H$2:H470),$H$2:$H$1001,0),MATCH(COLUMNS($O$1006:O1006),$O$1006:$Q$1006,0)), HYPERLINK("#",""), HYPERLINK(CONCATENATE("#metadata!", ADDRESS(INDEX($J$2:$J$1001,MATCH(ROWS($H$2:H470),$H$2:$H$1001,0),0), INDEX($O$1004:$Q$1004,1,MATCH(COLUMNS($O$1006:O1006),$O$1006:$Q$1006,0)))),"Fix")))</f>
        <v xml:space="preserve"> </v>
      </c>
      <c r="C470" s="3" t="str">
        <f ca="1">IF(OR(INDEX($I$2:$I$1001,MATCH(ROWS($H$2:H470),$H$2:$H$1001,0),1)&gt;=100000,INDEX($O$1005:$Q$1005,1,MATCH(COLUMNS($O$1006:P1006),$O$1006:$Q$1006,0))&gt;=100000), " ",IF(INDEX($O$2:$Q$1001,MATCH(ROWS($H$2:H470),$H$2:$H$1001,0),MATCH(COLUMNS($O$1006:P1006),$O$1006:$Q$1006,0)), HYPERLINK("#",""), HYPERLINK(CONCATENATE("#metadata!", ADDRESS(INDEX($J$2:$J$1001,MATCH(ROWS($H$2:H470),$H$2:$H$1001,0),0), INDEX($O$1004:$Q$1004,1,MATCH(COLUMNS($O$1006:P1006),$O$1006:$Q$1006,0)))),"Fix")))</f>
        <v xml:space="preserve"> </v>
      </c>
      <c r="D470" s="3" t="str">
        <f ca="1">IF(OR(INDEX($I$2:$I$1001,MATCH(ROWS($H$2:H470),$H$2:$H$1001,0),1)&gt;=100000,INDEX($O$1005:$Q$1005,1,MATCH(COLUMNS($O$1006:Q1006),$O$1006:$Q$1006,0))&gt;=100000), " ",IF(INDEX($O$2:$Q$1001,MATCH(ROWS($H$2:H470),$H$2:$H$1001,0),MATCH(COLUMNS($O$1006:Q1006),$O$1006:$Q$1006,0)), HYPERLINK("#",""), HYPERLINK(CONCATENATE("#metadata!", ADDRESS(INDEX($J$2:$J$1001,MATCH(ROWS($H$2:H470),$H$2:$H$1001,0),0), INDEX($O$1004:$Q$1004,1,MATCH(COLUMNS($O$1006:Q1006),$O$1006:$Q$1006,0)))),"Fix")))</f>
        <v xml:space="preserve"> </v>
      </c>
      <c r="H470">
        <v>469</v>
      </c>
      <c r="I470">
        <v>100470</v>
      </c>
      <c r="J470">
        <v>470</v>
      </c>
      <c r="K470" t="b">
        <f t="shared" si="7"/>
        <v>1</v>
      </c>
      <c r="L470" t="b">
        <f>COUNTBLANK(metadata!B470:D470)=COLUMNS(metadata!B470:D470)</f>
        <v>1</v>
      </c>
      <c r="M470" t="str">
        <v/>
      </c>
      <c r="O470" t="b">
        <f ca="1"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P470" t="b">
        <f>AND(IF(metadata!C470="",FALSE,TRUE),EXACT(metadata!C470,"mouse gut metagenome"))</f>
        <v>0</v>
      </c>
      <c r="Q470" t="b">
        <f>AND(IF(metadata!D470="",FALSE,TRUE),EXACT(metadata!D470,"410661"))</f>
        <v>0</v>
      </c>
    </row>
    <row r="471" spans="1:17" x14ac:dyDescent="0.2">
      <c r="A471" s="4" t="str">
        <f ca="1">IF(B471=" "," ",HYPERLINK(CONCATENATE("#metadata!",ADDRESS(INDEX($J$2:$J$1001,MATCH(ROWS($H$2:H471),$H$2:$H$1001,0),0),1)),INDEX($M$2:$M$1001,MATCH(ROWS($H$2:H471),$H$2:$H$1001,0),0)))</f>
        <v xml:space="preserve"> </v>
      </c>
      <c r="B471" s="3" t="str">
        <f ca="1">IF(OR(INDEX($I$2:$I$1001,MATCH(ROWS($H$2:H471),$H$2:$H$1001,0),1)&gt;=100000,INDEX($O$1005:$Q$1005,1,MATCH(COLUMNS($O$1006:O1006),$O$1006:$Q$1006,0))&gt;=100000), " ",IF(INDEX($O$2:$Q$1001,MATCH(ROWS($H$2:H471),$H$2:$H$1001,0),MATCH(COLUMNS($O$1006:O1006),$O$1006:$Q$1006,0)), HYPERLINK("#",""), HYPERLINK(CONCATENATE("#metadata!", ADDRESS(INDEX($J$2:$J$1001,MATCH(ROWS($H$2:H471),$H$2:$H$1001,0),0), INDEX($O$1004:$Q$1004,1,MATCH(COLUMNS($O$1006:O1006),$O$1006:$Q$1006,0)))),"Fix")))</f>
        <v xml:space="preserve"> </v>
      </c>
      <c r="C471" s="3" t="str">
        <f ca="1">IF(OR(INDEX($I$2:$I$1001,MATCH(ROWS($H$2:H471),$H$2:$H$1001,0),1)&gt;=100000,INDEX($O$1005:$Q$1005,1,MATCH(COLUMNS($O$1006:P1006),$O$1006:$Q$1006,0))&gt;=100000), " ",IF(INDEX($O$2:$Q$1001,MATCH(ROWS($H$2:H471),$H$2:$H$1001,0),MATCH(COLUMNS($O$1006:P1006),$O$1006:$Q$1006,0)), HYPERLINK("#",""), HYPERLINK(CONCATENATE("#metadata!", ADDRESS(INDEX($J$2:$J$1001,MATCH(ROWS($H$2:H471),$H$2:$H$1001,0),0), INDEX($O$1004:$Q$1004,1,MATCH(COLUMNS($O$1006:P1006),$O$1006:$Q$1006,0)))),"Fix")))</f>
        <v xml:space="preserve"> </v>
      </c>
      <c r="D471" s="3" t="str">
        <f ca="1">IF(OR(INDEX($I$2:$I$1001,MATCH(ROWS($H$2:H471),$H$2:$H$1001,0),1)&gt;=100000,INDEX($O$1005:$Q$1005,1,MATCH(COLUMNS($O$1006:Q1006),$O$1006:$Q$1006,0))&gt;=100000), " ",IF(INDEX($O$2:$Q$1001,MATCH(ROWS($H$2:H471),$H$2:$H$1001,0),MATCH(COLUMNS($O$1006:Q1006),$O$1006:$Q$1006,0)), HYPERLINK("#",""), HYPERLINK(CONCATENATE("#metadata!", ADDRESS(INDEX($J$2:$J$1001,MATCH(ROWS($H$2:H471),$H$2:$H$1001,0),0), INDEX($O$1004:$Q$1004,1,MATCH(COLUMNS($O$1006:Q1006),$O$1006:$Q$1006,0)))),"Fix")))</f>
        <v xml:space="preserve"> </v>
      </c>
      <c r="H471">
        <v>470</v>
      </c>
      <c r="I471">
        <v>100471</v>
      </c>
      <c r="J471">
        <v>471</v>
      </c>
      <c r="K471" t="b">
        <f t="shared" si="7"/>
        <v>1</v>
      </c>
      <c r="L471" t="b">
        <f>COUNTBLANK(metadata!B471:D471)=COLUMNS(metadata!B471:D471)</f>
        <v>1</v>
      </c>
      <c r="M471" t="str">
        <v/>
      </c>
      <c r="O471" t="b">
        <f ca="1"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P471" t="b">
        <f>AND(IF(metadata!C471="",FALSE,TRUE),EXACT(metadata!C471,"mouse gut metagenome"))</f>
        <v>0</v>
      </c>
      <c r="Q471" t="b">
        <f>AND(IF(metadata!D471="",FALSE,TRUE),EXACT(metadata!D471,"410661"))</f>
        <v>0</v>
      </c>
    </row>
    <row r="472" spans="1:17" x14ac:dyDescent="0.2">
      <c r="A472" s="4" t="str">
        <f ca="1">IF(B472=" "," ",HYPERLINK(CONCATENATE("#metadata!",ADDRESS(INDEX($J$2:$J$1001,MATCH(ROWS($H$2:H472),$H$2:$H$1001,0),0),1)),INDEX($M$2:$M$1001,MATCH(ROWS($H$2:H472),$H$2:$H$1001,0),0)))</f>
        <v xml:space="preserve"> </v>
      </c>
      <c r="B472" s="3" t="str">
        <f ca="1">IF(OR(INDEX($I$2:$I$1001,MATCH(ROWS($H$2:H472),$H$2:$H$1001,0),1)&gt;=100000,INDEX($O$1005:$Q$1005,1,MATCH(COLUMNS($O$1006:O1006),$O$1006:$Q$1006,0))&gt;=100000), " ",IF(INDEX($O$2:$Q$1001,MATCH(ROWS($H$2:H472),$H$2:$H$1001,0),MATCH(COLUMNS($O$1006:O1006),$O$1006:$Q$1006,0)), HYPERLINK("#",""), HYPERLINK(CONCATENATE("#metadata!", ADDRESS(INDEX($J$2:$J$1001,MATCH(ROWS($H$2:H472),$H$2:$H$1001,0),0), INDEX($O$1004:$Q$1004,1,MATCH(COLUMNS($O$1006:O1006),$O$1006:$Q$1006,0)))),"Fix")))</f>
        <v xml:space="preserve"> </v>
      </c>
      <c r="C472" s="3" t="str">
        <f ca="1">IF(OR(INDEX($I$2:$I$1001,MATCH(ROWS($H$2:H472),$H$2:$H$1001,0),1)&gt;=100000,INDEX($O$1005:$Q$1005,1,MATCH(COLUMNS($O$1006:P1006),$O$1006:$Q$1006,0))&gt;=100000), " ",IF(INDEX($O$2:$Q$1001,MATCH(ROWS($H$2:H472),$H$2:$H$1001,0),MATCH(COLUMNS($O$1006:P1006),$O$1006:$Q$1006,0)), HYPERLINK("#",""), HYPERLINK(CONCATENATE("#metadata!", ADDRESS(INDEX($J$2:$J$1001,MATCH(ROWS($H$2:H472),$H$2:$H$1001,0),0), INDEX($O$1004:$Q$1004,1,MATCH(COLUMNS($O$1006:P1006),$O$1006:$Q$1006,0)))),"Fix")))</f>
        <v xml:space="preserve"> </v>
      </c>
      <c r="D472" s="3" t="str">
        <f ca="1">IF(OR(INDEX($I$2:$I$1001,MATCH(ROWS($H$2:H472),$H$2:$H$1001,0),1)&gt;=100000,INDEX($O$1005:$Q$1005,1,MATCH(COLUMNS($O$1006:Q1006),$O$1006:$Q$1006,0))&gt;=100000), " ",IF(INDEX($O$2:$Q$1001,MATCH(ROWS($H$2:H472),$H$2:$H$1001,0),MATCH(COLUMNS($O$1006:Q1006),$O$1006:$Q$1006,0)), HYPERLINK("#",""), HYPERLINK(CONCATENATE("#metadata!", ADDRESS(INDEX($J$2:$J$1001,MATCH(ROWS($H$2:H472),$H$2:$H$1001,0),0), INDEX($O$1004:$Q$1004,1,MATCH(COLUMNS($O$1006:Q1006),$O$1006:$Q$1006,0)))),"Fix")))</f>
        <v xml:space="preserve"> </v>
      </c>
      <c r="H472">
        <v>471</v>
      </c>
      <c r="I472">
        <v>100472</v>
      </c>
      <c r="J472">
        <v>472</v>
      </c>
      <c r="K472" t="b">
        <f t="shared" si="7"/>
        <v>1</v>
      </c>
      <c r="L472" t="b">
        <f>COUNTBLANK(metadata!B472:D472)=COLUMNS(metadata!B472:D472)</f>
        <v>1</v>
      </c>
      <c r="M472" t="str">
        <v/>
      </c>
      <c r="O472" t="b">
        <f ca="1"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P472" t="b">
        <f>AND(IF(metadata!C472="",FALSE,TRUE),EXACT(metadata!C472,"mouse gut metagenome"))</f>
        <v>0</v>
      </c>
      <c r="Q472" t="b">
        <f>AND(IF(metadata!D472="",FALSE,TRUE),EXACT(metadata!D472,"410661"))</f>
        <v>0</v>
      </c>
    </row>
    <row r="473" spans="1:17" x14ac:dyDescent="0.2">
      <c r="A473" s="4" t="str">
        <f ca="1">IF(B473=" "," ",HYPERLINK(CONCATENATE("#metadata!",ADDRESS(INDEX($J$2:$J$1001,MATCH(ROWS($H$2:H473),$H$2:$H$1001,0),0),1)),INDEX($M$2:$M$1001,MATCH(ROWS($H$2:H473),$H$2:$H$1001,0),0)))</f>
        <v xml:space="preserve"> </v>
      </c>
      <c r="B473" s="3" t="str">
        <f ca="1">IF(OR(INDEX($I$2:$I$1001,MATCH(ROWS($H$2:H473),$H$2:$H$1001,0),1)&gt;=100000,INDEX($O$1005:$Q$1005,1,MATCH(COLUMNS($O$1006:O1006),$O$1006:$Q$1006,0))&gt;=100000), " ",IF(INDEX($O$2:$Q$1001,MATCH(ROWS($H$2:H473),$H$2:$H$1001,0),MATCH(COLUMNS($O$1006:O1006),$O$1006:$Q$1006,0)), HYPERLINK("#",""), HYPERLINK(CONCATENATE("#metadata!", ADDRESS(INDEX($J$2:$J$1001,MATCH(ROWS($H$2:H473),$H$2:$H$1001,0),0), INDEX($O$1004:$Q$1004,1,MATCH(COLUMNS($O$1006:O1006),$O$1006:$Q$1006,0)))),"Fix")))</f>
        <v xml:space="preserve"> </v>
      </c>
      <c r="C473" s="3" t="str">
        <f ca="1">IF(OR(INDEX($I$2:$I$1001,MATCH(ROWS($H$2:H473),$H$2:$H$1001,0),1)&gt;=100000,INDEX($O$1005:$Q$1005,1,MATCH(COLUMNS($O$1006:P1006),$O$1006:$Q$1006,0))&gt;=100000), " ",IF(INDEX($O$2:$Q$1001,MATCH(ROWS($H$2:H473),$H$2:$H$1001,0),MATCH(COLUMNS($O$1006:P1006),$O$1006:$Q$1006,0)), HYPERLINK("#",""), HYPERLINK(CONCATENATE("#metadata!", ADDRESS(INDEX($J$2:$J$1001,MATCH(ROWS($H$2:H473),$H$2:$H$1001,0),0), INDEX($O$1004:$Q$1004,1,MATCH(COLUMNS($O$1006:P1006),$O$1006:$Q$1006,0)))),"Fix")))</f>
        <v xml:space="preserve"> </v>
      </c>
      <c r="D473" s="3" t="str">
        <f ca="1">IF(OR(INDEX($I$2:$I$1001,MATCH(ROWS($H$2:H473),$H$2:$H$1001,0),1)&gt;=100000,INDEX($O$1005:$Q$1005,1,MATCH(COLUMNS($O$1006:Q1006),$O$1006:$Q$1006,0))&gt;=100000), " ",IF(INDEX($O$2:$Q$1001,MATCH(ROWS($H$2:H473),$H$2:$H$1001,0),MATCH(COLUMNS($O$1006:Q1006),$O$1006:$Q$1006,0)), HYPERLINK("#",""), HYPERLINK(CONCATENATE("#metadata!", ADDRESS(INDEX($J$2:$J$1001,MATCH(ROWS($H$2:H473),$H$2:$H$1001,0),0), INDEX($O$1004:$Q$1004,1,MATCH(COLUMNS($O$1006:Q1006),$O$1006:$Q$1006,0)))),"Fix")))</f>
        <v xml:space="preserve"> </v>
      </c>
      <c r="H473">
        <v>472</v>
      </c>
      <c r="I473">
        <v>100473</v>
      </c>
      <c r="J473">
        <v>473</v>
      </c>
      <c r="K473" t="b">
        <f t="shared" si="7"/>
        <v>1</v>
      </c>
      <c r="L473" t="b">
        <f>COUNTBLANK(metadata!B473:D473)=COLUMNS(metadata!B473:D473)</f>
        <v>1</v>
      </c>
      <c r="M473" t="str">
        <v/>
      </c>
      <c r="O473" t="b">
        <f ca="1"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P473" t="b">
        <f>AND(IF(metadata!C473="",FALSE,TRUE),EXACT(metadata!C473,"mouse gut metagenome"))</f>
        <v>0</v>
      </c>
      <c r="Q473" t="b">
        <f>AND(IF(metadata!D473="",FALSE,TRUE),EXACT(metadata!D473,"410661"))</f>
        <v>0</v>
      </c>
    </row>
    <row r="474" spans="1:17" x14ac:dyDescent="0.2">
      <c r="A474" s="4" t="str">
        <f ca="1">IF(B474=" "," ",HYPERLINK(CONCATENATE("#metadata!",ADDRESS(INDEX($J$2:$J$1001,MATCH(ROWS($H$2:H474),$H$2:$H$1001,0),0),1)),INDEX($M$2:$M$1001,MATCH(ROWS($H$2:H474),$H$2:$H$1001,0),0)))</f>
        <v xml:space="preserve"> </v>
      </c>
      <c r="B474" s="3" t="str">
        <f ca="1">IF(OR(INDEX($I$2:$I$1001,MATCH(ROWS($H$2:H474),$H$2:$H$1001,0),1)&gt;=100000,INDEX($O$1005:$Q$1005,1,MATCH(COLUMNS($O$1006:O1006),$O$1006:$Q$1006,0))&gt;=100000), " ",IF(INDEX($O$2:$Q$1001,MATCH(ROWS($H$2:H474),$H$2:$H$1001,0),MATCH(COLUMNS($O$1006:O1006),$O$1006:$Q$1006,0)), HYPERLINK("#",""), HYPERLINK(CONCATENATE("#metadata!", ADDRESS(INDEX($J$2:$J$1001,MATCH(ROWS($H$2:H474),$H$2:$H$1001,0),0), INDEX($O$1004:$Q$1004,1,MATCH(COLUMNS($O$1006:O1006),$O$1006:$Q$1006,0)))),"Fix")))</f>
        <v xml:space="preserve"> </v>
      </c>
      <c r="C474" s="3" t="str">
        <f ca="1">IF(OR(INDEX($I$2:$I$1001,MATCH(ROWS($H$2:H474),$H$2:$H$1001,0),1)&gt;=100000,INDEX($O$1005:$Q$1005,1,MATCH(COLUMNS($O$1006:P1006),$O$1006:$Q$1006,0))&gt;=100000), " ",IF(INDEX($O$2:$Q$1001,MATCH(ROWS($H$2:H474),$H$2:$H$1001,0),MATCH(COLUMNS($O$1006:P1006),$O$1006:$Q$1006,0)), HYPERLINK("#",""), HYPERLINK(CONCATENATE("#metadata!", ADDRESS(INDEX($J$2:$J$1001,MATCH(ROWS($H$2:H474),$H$2:$H$1001,0),0), INDEX($O$1004:$Q$1004,1,MATCH(COLUMNS($O$1006:P1006),$O$1006:$Q$1006,0)))),"Fix")))</f>
        <v xml:space="preserve"> </v>
      </c>
      <c r="D474" s="3" t="str">
        <f ca="1">IF(OR(INDEX($I$2:$I$1001,MATCH(ROWS($H$2:H474),$H$2:$H$1001,0),1)&gt;=100000,INDEX($O$1005:$Q$1005,1,MATCH(COLUMNS($O$1006:Q1006),$O$1006:$Q$1006,0))&gt;=100000), " ",IF(INDEX($O$2:$Q$1001,MATCH(ROWS($H$2:H474),$H$2:$H$1001,0),MATCH(COLUMNS($O$1006:Q1006),$O$1006:$Q$1006,0)), HYPERLINK("#",""), HYPERLINK(CONCATENATE("#metadata!", ADDRESS(INDEX($J$2:$J$1001,MATCH(ROWS($H$2:H474),$H$2:$H$1001,0),0), INDEX($O$1004:$Q$1004,1,MATCH(COLUMNS($O$1006:Q1006),$O$1006:$Q$1006,0)))),"Fix")))</f>
        <v xml:space="preserve"> </v>
      </c>
      <c r="H474">
        <v>473</v>
      </c>
      <c r="I474">
        <v>100474</v>
      </c>
      <c r="J474">
        <v>474</v>
      </c>
      <c r="K474" t="b">
        <f t="shared" si="7"/>
        <v>1</v>
      </c>
      <c r="L474" t="b">
        <f>COUNTBLANK(metadata!B474:D474)=COLUMNS(metadata!B474:D474)</f>
        <v>1</v>
      </c>
      <c r="M474" t="str">
        <v/>
      </c>
      <c r="O474" t="b">
        <f ca="1"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P474" t="b">
        <f>AND(IF(metadata!C474="",FALSE,TRUE),EXACT(metadata!C474,"mouse gut metagenome"))</f>
        <v>0</v>
      </c>
      <c r="Q474" t="b">
        <f>AND(IF(metadata!D474="",FALSE,TRUE),EXACT(metadata!D474,"410661"))</f>
        <v>0</v>
      </c>
    </row>
    <row r="475" spans="1:17" x14ac:dyDescent="0.2">
      <c r="A475" s="4" t="str">
        <f ca="1">IF(B475=" "," ",HYPERLINK(CONCATENATE("#metadata!",ADDRESS(INDEX($J$2:$J$1001,MATCH(ROWS($H$2:H475),$H$2:$H$1001,0),0),1)),INDEX($M$2:$M$1001,MATCH(ROWS($H$2:H475),$H$2:$H$1001,0),0)))</f>
        <v xml:space="preserve"> </v>
      </c>
      <c r="B475" s="3" t="str">
        <f ca="1">IF(OR(INDEX($I$2:$I$1001,MATCH(ROWS($H$2:H475),$H$2:$H$1001,0),1)&gt;=100000,INDEX($O$1005:$Q$1005,1,MATCH(COLUMNS($O$1006:O1006),$O$1006:$Q$1006,0))&gt;=100000), " ",IF(INDEX($O$2:$Q$1001,MATCH(ROWS($H$2:H475),$H$2:$H$1001,0),MATCH(COLUMNS($O$1006:O1006),$O$1006:$Q$1006,0)), HYPERLINK("#",""), HYPERLINK(CONCATENATE("#metadata!", ADDRESS(INDEX($J$2:$J$1001,MATCH(ROWS($H$2:H475),$H$2:$H$1001,0),0), INDEX($O$1004:$Q$1004,1,MATCH(COLUMNS($O$1006:O1006),$O$1006:$Q$1006,0)))),"Fix")))</f>
        <v xml:space="preserve"> </v>
      </c>
      <c r="C475" s="3" t="str">
        <f ca="1">IF(OR(INDEX($I$2:$I$1001,MATCH(ROWS($H$2:H475),$H$2:$H$1001,0),1)&gt;=100000,INDEX($O$1005:$Q$1005,1,MATCH(COLUMNS($O$1006:P1006),$O$1006:$Q$1006,0))&gt;=100000), " ",IF(INDEX($O$2:$Q$1001,MATCH(ROWS($H$2:H475),$H$2:$H$1001,0),MATCH(COLUMNS($O$1006:P1006),$O$1006:$Q$1006,0)), HYPERLINK("#",""), HYPERLINK(CONCATENATE("#metadata!", ADDRESS(INDEX($J$2:$J$1001,MATCH(ROWS($H$2:H475),$H$2:$H$1001,0),0), INDEX($O$1004:$Q$1004,1,MATCH(COLUMNS($O$1006:P1006),$O$1006:$Q$1006,0)))),"Fix")))</f>
        <v xml:space="preserve"> </v>
      </c>
      <c r="D475" s="3" t="str">
        <f ca="1">IF(OR(INDEX($I$2:$I$1001,MATCH(ROWS($H$2:H475),$H$2:$H$1001,0),1)&gt;=100000,INDEX($O$1005:$Q$1005,1,MATCH(COLUMNS($O$1006:Q1006),$O$1006:$Q$1006,0))&gt;=100000), " ",IF(INDEX($O$2:$Q$1001,MATCH(ROWS($H$2:H475),$H$2:$H$1001,0),MATCH(COLUMNS($O$1006:Q1006),$O$1006:$Q$1006,0)), HYPERLINK("#",""), HYPERLINK(CONCATENATE("#metadata!", ADDRESS(INDEX($J$2:$J$1001,MATCH(ROWS($H$2:H475),$H$2:$H$1001,0),0), INDEX($O$1004:$Q$1004,1,MATCH(COLUMNS($O$1006:Q1006),$O$1006:$Q$1006,0)))),"Fix")))</f>
        <v xml:space="preserve"> </v>
      </c>
      <c r="H475">
        <v>474</v>
      </c>
      <c r="I475">
        <v>100475</v>
      </c>
      <c r="J475">
        <v>475</v>
      </c>
      <c r="K475" t="b">
        <f t="shared" si="7"/>
        <v>1</v>
      </c>
      <c r="L475" t="b">
        <f>COUNTBLANK(metadata!B475:D475)=COLUMNS(metadata!B475:D475)</f>
        <v>1</v>
      </c>
      <c r="M475" t="str">
        <v/>
      </c>
      <c r="O475" t="b">
        <f ca="1"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P475" t="b">
        <f>AND(IF(metadata!C475="",FALSE,TRUE),EXACT(metadata!C475,"mouse gut metagenome"))</f>
        <v>0</v>
      </c>
      <c r="Q475" t="b">
        <f>AND(IF(metadata!D475="",FALSE,TRUE),EXACT(metadata!D475,"410661"))</f>
        <v>0</v>
      </c>
    </row>
    <row r="476" spans="1:17" x14ac:dyDescent="0.2">
      <c r="A476" s="4" t="str">
        <f ca="1">IF(B476=" "," ",HYPERLINK(CONCATENATE("#metadata!",ADDRESS(INDEX($J$2:$J$1001,MATCH(ROWS($H$2:H476),$H$2:$H$1001,0),0),1)),INDEX($M$2:$M$1001,MATCH(ROWS($H$2:H476),$H$2:$H$1001,0),0)))</f>
        <v xml:space="preserve"> </v>
      </c>
      <c r="B476" s="3" t="str">
        <f ca="1">IF(OR(INDEX($I$2:$I$1001,MATCH(ROWS($H$2:H476),$H$2:$H$1001,0),1)&gt;=100000,INDEX($O$1005:$Q$1005,1,MATCH(COLUMNS($O$1006:O1006),$O$1006:$Q$1006,0))&gt;=100000), " ",IF(INDEX($O$2:$Q$1001,MATCH(ROWS($H$2:H476),$H$2:$H$1001,0),MATCH(COLUMNS($O$1006:O1006),$O$1006:$Q$1006,0)), HYPERLINK("#",""), HYPERLINK(CONCATENATE("#metadata!", ADDRESS(INDEX($J$2:$J$1001,MATCH(ROWS($H$2:H476),$H$2:$H$1001,0),0), INDEX($O$1004:$Q$1004,1,MATCH(COLUMNS($O$1006:O1006),$O$1006:$Q$1006,0)))),"Fix")))</f>
        <v xml:space="preserve"> </v>
      </c>
      <c r="C476" s="3" t="str">
        <f ca="1">IF(OR(INDEX($I$2:$I$1001,MATCH(ROWS($H$2:H476),$H$2:$H$1001,0),1)&gt;=100000,INDEX($O$1005:$Q$1005,1,MATCH(COLUMNS($O$1006:P1006),$O$1006:$Q$1006,0))&gt;=100000), " ",IF(INDEX($O$2:$Q$1001,MATCH(ROWS($H$2:H476),$H$2:$H$1001,0),MATCH(COLUMNS($O$1006:P1006),$O$1006:$Q$1006,0)), HYPERLINK("#",""), HYPERLINK(CONCATENATE("#metadata!", ADDRESS(INDEX($J$2:$J$1001,MATCH(ROWS($H$2:H476),$H$2:$H$1001,0),0), INDEX($O$1004:$Q$1004,1,MATCH(COLUMNS($O$1006:P1006),$O$1006:$Q$1006,0)))),"Fix")))</f>
        <v xml:space="preserve"> </v>
      </c>
      <c r="D476" s="3" t="str">
        <f ca="1">IF(OR(INDEX($I$2:$I$1001,MATCH(ROWS($H$2:H476),$H$2:$H$1001,0),1)&gt;=100000,INDEX($O$1005:$Q$1005,1,MATCH(COLUMNS($O$1006:Q1006),$O$1006:$Q$1006,0))&gt;=100000), " ",IF(INDEX($O$2:$Q$1001,MATCH(ROWS($H$2:H476),$H$2:$H$1001,0),MATCH(COLUMNS($O$1006:Q1006),$O$1006:$Q$1006,0)), HYPERLINK("#",""), HYPERLINK(CONCATENATE("#metadata!", ADDRESS(INDEX($J$2:$J$1001,MATCH(ROWS($H$2:H476),$H$2:$H$1001,0),0), INDEX($O$1004:$Q$1004,1,MATCH(COLUMNS($O$1006:Q1006),$O$1006:$Q$1006,0)))),"Fix")))</f>
        <v xml:space="preserve"> </v>
      </c>
      <c r="H476">
        <v>475</v>
      </c>
      <c r="I476">
        <v>100476</v>
      </c>
      <c r="J476">
        <v>476</v>
      </c>
      <c r="K476" t="b">
        <f t="shared" si="7"/>
        <v>1</v>
      </c>
      <c r="L476" t="b">
        <f>COUNTBLANK(metadata!B476:D476)=COLUMNS(metadata!B476:D476)</f>
        <v>1</v>
      </c>
      <c r="M476" t="str">
        <v/>
      </c>
      <c r="O476" t="b">
        <f ca="1"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P476" t="b">
        <f>AND(IF(metadata!C476="",FALSE,TRUE),EXACT(metadata!C476,"mouse gut metagenome"))</f>
        <v>0</v>
      </c>
      <c r="Q476" t="b">
        <f>AND(IF(metadata!D476="",FALSE,TRUE),EXACT(metadata!D476,"410661"))</f>
        <v>0</v>
      </c>
    </row>
    <row r="477" spans="1:17" x14ac:dyDescent="0.2">
      <c r="A477" s="4" t="str">
        <f ca="1">IF(B477=" "," ",HYPERLINK(CONCATENATE("#metadata!",ADDRESS(INDEX($J$2:$J$1001,MATCH(ROWS($H$2:H477),$H$2:$H$1001,0),0),1)),INDEX($M$2:$M$1001,MATCH(ROWS($H$2:H477),$H$2:$H$1001,0),0)))</f>
        <v xml:space="preserve"> </v>
      </c>
      <c r="B477" s="3" t="str">
        <f ca="1">IF(OR(INDEX($I$2:$I$1001,MATCH(ROWS($H$2:H477),$H$2:$H$1001,0),1)&gt;=100000,INDEX($O$1005:$Q$1005,1,MATCH(COLUMNS($O$1006:O1006),$O$1006:$Q$1006,0))&gt;=100000), " ",IF(INDEX($O$2:$Q$1001,MATCH(ROWS($H$2:H477),$H$2:$H$1001,0),MATCH(COLUMNS($O$1006:O1006),$O$1006:$Q$1006,0)), HYPERLINK("#",""), HYPERLINK(CONCATENATE("#metadata!", ADDRESS(INDEX($J$2:$J$1001,MATCH(ROWS($H$2:H477),$H$2:$H$1001,0),0), INDEX($O$1004:$Q$1004,1,MATCH(COLUMNS($O$1006:O1006),$O$1006:$Q$1006,0)))),"Fix")))</f>
        <v xml:space="preserve"> </v>
      </c>
      <c r="C477" s="3" t="str">
        <f ca="1">IF(OR(INDEX($I$2:$I$1001,MATCH(ROWS($H$2:H477),$H$2:$H$1001,0),1)&gt;=100000,INDEX($O$1005:$Q$1005,1,MATCH(COLUMNS($O$1006:P1006),$O$1006:$Q$1006,0))&gt;=100000), " ",IF(INDEX($O$2:$Q$1001,MATCH(ROWS($H$2:H477),$H$2:$H$1001,0),MATCH(COLUMNS($O$1006:P1006),$O$1006:$Q$1006,0)), HYPERLINK("#",""), HYPERLINK(CONCATENATE("#metadata!", ADDRESS(INDEX($J$2:$J$1001,MATCH(ROWS($H$2:H477),$H$2:$H$1001,0),0), INDEX($O$1004:$Q$1004,1,MATCH(COLUMNS($O$1006:P1006),$O$1006:$Q$1006,0)))),"Fix")))</f>
        <v xml:space="preserve"> </v>
      </c>
      <c r="D477" s="3" t="str">
        <f ca="1">IF(OR(INDEX($I$2:$I$1001,MATCH(ROWS($H$2:H477),$H$2:$H$1001,0),1)&gt;=100000,INDEX($O$1005:$Q$1005,1,MATCH(COLUMNS($O$1006:Q1006),$O$1006:$Q$1006,0))&gt;=100000), " ",IF(INDEX($O$2:$Q$1001,MATCH(ROWS($H$2:H477),$H$2:$H$1001,0),MATCH(COLUMNS($O$1006:Q1006),$O$1006:$Q$1006,0)), HYPERLINK("#",""), HYPERLINK(CONCATENATE("#metadata!", ADDRESS(INDEX($J$2:$J$1001,MATCH(ROWS($H$2:H477),$H$2:$H$1001,0),0), INDEX($O$1004:$Q$1004,1,MATCH(COLUMNS($O$1006:Q1006),$O$1006:$Q$1006,0)))),"Fix")))</f>
        <v xml:space="preserve"> </v>
      </c>
      <c r="H477">
        <v>476</v>
      </c>
      <c r="I477">
        <v>100477</v>
      </c>
      <c r="J477">
        <v>477</v>
      </c>
      <c r="K477" t="b">
        <f t="shared" si="7"/>
        <v>1</v>
      </c>
      <c r="L477" t="b">
        <f>COUNTBLANK(metadata!B477:D477)=COLUMNS(metadata!B477:D477)</f>
        <v>1</v>
      </c>
      <c r="M477" t="str">
        <v/>
      </c>
      <c r="O477" t="b">
        <f ca="1"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P477" t="b">
        <f>AND(IF(metadata!C477="",FALSE,TRUE),EXACT(metadata!C477,"mouse gut metagenome"))</f>
        <v>0</v>
      </c>
      <c r="Q477" t="b">
        <f>AND(IF(metadata!D477="",FALSE,TRUE),EXACT(metadata!D477,"410661"))</f>
        <v>0</v>
      </c>
    </row>
    <row r="478" spans="1:17" x14ac:dyDescent="0.2">
      <c r="A478" s="4" t="str">
        <f ca="1">IF(B478=" "," ",HYPERLINK(CONCATENATE("#metadata!",ADDRESS(INDEX($J$2:$J$1001,MATCH(ROWS($H$2:H478),$H$2:$H$1001,0),0),1)),INDEX($M$2:$M$1001,MATCH(ROWS($H$2:H478),$H$2:$H$1001,0),0)))</f>
        <v xml:space="preserve"> </v>
      </c>
      <c r="B478" s="3" t="str">
        <f ca="1">IF(OR(INDEX($I$2:$I$1001,MATCH(ROWS($H$2:H478),$H$2:$H$1001,0),1)&gt;=100000,INDEX($O$1005:$Q$1005,1,MATCH(COLUMNS($O$1006:O1006),$O$1006:$Q$1006,0))&gt;=100000), " ",IF(INDEX($O$2:$Q$1001,MATCH(ROWS($H$2:H478),$H$2:$H$1001,0),MATCH(COLUMNS($O$1006:O1006),$O$1006:$Q$1006,0)), HYPERLINK("#",""), HYPERLINK(CONCATENATE("#metadata!", ADDRESS(INDEX($J$2:$J$1001,MATCH(ROWS($H$2:H478),$H$2:$H$1001,0),0), INDEX($O$1004:$Q$1004,1,MATCH(COLUMNS($O$1006:O1006),$O$1006:$Q$1006,0)))),"Fix")))</f>
        <v xml:space="preserve"> </v>
      </c>
      <c r="C478" s="3" t="str">
        <f ca="1">IF(OR(INDEX($I$2:$I$1001,MATCH(ROWS($H$2:H478),$H$2:$H$1001,0),1)&gt;=100000,INDEX($O$1005:$Q$1005,1,MATCH(COLUMNS($O$1006:P1006),$O$1006:$Q$1006,0))&gt;=100000), " ",IF(INDEX($O$2:$Q$1001,MATCH(ROWS($H$2:H478),$H$2:$H$1001,0),MATCH(COLUMNS($O$1006:P1006),$O$1006:$Q$1006,0)), HYPERLINK("#",""), HYPERLINK(CONCATENATE("#metadata!", ADDRESS(INDEX($J$2:$J$1001,MATCH(ROWS($H$2:H478),$H$2:$H$1001,0),0), INDEX($O$1004:$Q$1004,1,MATCH(COLUMNS($O$1006:P1006),$O$1006:$Q$1006,0)))),"Fix")))</f>
        <v xml:space="preserve"> </v>
      </c>
      <c r="D478" s="3" t="str">
        <f ca="1">IF(OR(INDEX($I$2:$I$1001,MATCH(ROWS($H$2:H478),$H$2:$H$1001,0),1)&gt;=100000,INDEX($O$1005:$Q$1005,1,MATCH(COLUMNS($O$1006:Q1006),$O$1006:$Q$1006,0))&gt;=100000), " ",IF(INDEX($O$2:$Q$1001,MATCH(ROWS($H$2:H478),$H$2:$H$1001,0),MATCH(COLUMNS($O$1006:Q1006),$O$1006:$Q$1006,0)), HYPERLINK("#",""), HYPERLINK(CONCATENATE("#metadata!", ADDRESS(INDEX($J$2:$J$1001,MATCH(ROWS($H$2:H478),$H$2:$H$1001,0),0), INDEX($O$1004:$Q$1004,1,MATCH(COLUMNS($O$1006:Q1006),$O$1006:$Q$1006,0)))),"Fix")))</f>
        <v xml:space="preserve"> </v>
      </c>
      <c r="H478">
        <v>477</v>
      </c>
      <c r="I478">
        <v>100478</v>
      </c>
      <c r="J478">
        <v>478</v>
      </c>
      <c r="K478" t="b">
        <f t="shared" si="7"/>
        <v>1</v>
      </c>
      <c r="L478" t="b">
        <f>COUNTBLANK(metadata!B478:D478)=COLUMNS(metadata!B478:D478)</f>
        <v>1</v>
      </c>
      <c r="M478" t="str">
        <v/>
      </c>
      <c r="O478" t="b">
        <f ca="1"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P478" t="b">
        <f>AND(IF(metadata!C478="",FALSE,TRUE),EXACT(metadata!C478,"mouse gut metagenome"))</f>
        <v>0</v>
      </c>
      <c r="Q478" t="b">
        <f>AND(IF(metadata!D478="",FALSE,TRUE),EXACT(metadata!D478,"410661"))</f>
        <v>0</v>
      </c>
    </row>
    <row r="479" spans="1:17" x14ac:dyDescent="0.2">
      <c r="A479" s="4" t="str">
        <f ca="1">IF(B479=" "," ",HYPERLINK(CONCATENATE("#metadata!",ADDRESS(INDEX($J$2:$J$1001,MATCH(ROWS($H$2:H479),$H$2:$H$1001,0),0),1)),INDEX($M$2:$M$1001,MATCH(ROWS($H$2:H479),$H$2:$H$1001,0),0)))</f>
        <v xml:space="preserve"> </v>
      </c>
      <c r="B479" s="3" t="str">
        <f ca="1">IF(OR(INDEX($I$2:$I$1001,MATCH(ROWS($H$2:H479),$H$2:$H$1001,0),1)&gt;=100000,INDEX($O$1005:$Q$1005,1,MATCH(COLUMNS($O$1006:O1006),$O$1006:$Q$1006,0))&gt;=100000), " ",IF(INDEX($O$2:$Q$1001,MATCH(ROWS($H$2:H479),$H$2:$H$1001,0),MATCH(COLUMNS($O$1006:O1006),$O$1006:$Q$1006,0)), HYPERLINK("#",""), HYPERLINK(CONCATENATE("#metadata!", ADDRESS(INDEX($J$2:$J$1001,MATCH(ROWS($H$2:H479),$H$2:$H$1001,0),0), INDEX($O$1004:$Q$1004,1,MATCH(COLUMNS($O$1006:O1006),$O$1006:$Q$1006,0)))),"Fix")))</f>
        <v xml:space="preserve"> </v>
      </c>
      <c r="C479" s="3" t="str">
        <f ca="1">IF(OR(INDEX($I$2:$I$1001,MATCH(ROWS($H$2:H479),$H$2:$H$1001,0),1)&gt;=100000,INDEX($O$1005:$Q$1005,1,MATCH(COLUMNS($O$1006:P1006),$O$1006:$Q$1006,0))&gt;=100000), " ",IF(INDEX($O$2:$Q$1001,MATCH(ROWS($H$2:H479),$H$2:$H$1001,0),MATCH(COLUMNS($O$1006:P1006),$O$1006:$Q$1006,0)), HYPERLINK("#",""), HYPERLINK(CONCATENATE("#metadata!", ADDRESS(INDEX($J$2:$J$1001,MATCH(ROWS($H$2:H479),$H$2:$H$1001,0),0), INDEX($O$1004:$Q$1004,1,MATCH(COLUMNS($O$1006:P1006),$O$1006:$Q$1006,0)))),"Fix")))</f>
        <v xml:space="preserve"> </v>
      </c>
      <c r="D479" s="3" t="str">
        <f ca="1">IF(OR(INDEX($I$2:$I$1001,MATCH(ROWS($H$2:H479),$H$2:$H$1001,0),1)&gt;=100000,INDEX($O$1005:$Q$1005,1,MATCH(COLUMNS($O$1006:Q1006),$O$1006:$Q$1006,0))&gt;=100000), " ",IF(INDEX($O$2:$Q$1001,MATCH(ROWS($H$2:H479),$H$2:$H$1001,0),MATCH(COLUMNS($O$1006:Q1006),$O$1006:$Q$1006,0)), HYPERLINK("#",""), HYPERLINK(CONCATENATE("#metadata!", ADDRESS(INDEX($J$2:$J$1001,MATCH(ROWS($H$2:H479),$H$2:$H$1001,0),0), INDEX($O$1004:$Q$1004,1,MATCH(COLUMNS($O$1006:Q1006),$O$1006:$Q$1006,0)))),"Fix")))</f>
        <v xml:space="preserve"> </v>
      </c>
      <c r="H479">
        <v>478</v>
      </c>
      <c r="I479">
        <v>100479</v>
      </c>
      <c r="J479">
        <v>479</v>
      </c>
      <c r="K479" t="b">
        <f t="shared" si="7"/>
        <v>1</v>
      </c>
      <c r="L479" t="b">
        <f>COUNTBLANK(metadata!B479:D479)=COLUMNS(metadata!B479:D479)</f>
        <v>1</v>
      </c>
      <c r="M479" t="str">
        <v/>
      </c>
      <c r="O479" t="b">
        <f ca="1"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P479" t="b">
        <f>AND(IF(metadata!C479="",FALSE,TRUE),EXACT(metadata!C479,"mouse gut metagenome"))</f>
        <v>0</v>
      </c>
      <c r="Q479" t="b">
        <f>AND(IF(metadata!D479="",FALSE,TRUE),EXACT(metadata!D479,"410661"))</f>
        <v>0</v>
      </c>
    </row>
    <row r="480" spans="1:17" x14ac:dyDescent="0.2">
      <c r="A480" s="4" t="str">
        <f ca="1">IF(B480=" "," ",HYPERLINK(CONCATENATE("#metadata!",ADDRESS(INDEX($J$2:$J$1001,MATCH(ROWS($H$2:H480),$H$2:$H$1001,0),0),1)),INDEX($M$2:$M$1001,MATCH(ROWS($H$2:H480),$H$2:$H$1001,0),0)))</f>
        <v xml:space="preserve"> </v>
      </c>
      <c r="B480" s="3" t="str">
        <f ca="1">IF(OR(INDEX($I$2:$I$1001,MATCH(ROWS($H$2:H480),$H$2:$H$1001,0),1)&gt;=100000,INDEX($O$1005:$Q$1005,1,MATCH(COLUMNS($O$1006:O1006),$O$1006:$Q$1006,0))&gt;=100000), " ",IF(INDEX($O$2:$Q$1001,MATCH(ROWS($H$2:H480),$H$2:$H$1001,0),MATCH(COLUMNS($O$1006:O1006),$O$1006:$Q$1006,0)), HYPERLINK("#",""), HYPERLINK(CONCATENATE("#metadata!", ADDRESS(INDEX($J$2:$J$1001,MATCH(ROWS($H$2:H480),$H$2:$H$1001,0),0), INDEX($O$1004:$Q$1004,1,MATCH(COLUMNS($O$1006:O1006),$O$1006:$Q$1006,0)))),"Fix")))</f>
        <v xml:space="preserve"> </v>
      </c>
      <c r="C480" s="3" t="str">
        <f ca="1">IF(OR(INDEX($I$2:$I$1001,MATCH(ROWS($H$2:H480),$H$2:$H$1001,0),1)&gt;=100000,INDEX($O$1005:$Q$1005,1,MATCH(COLUMNS($O$1006:P1006),$O$1006:$Q$1006,0))&gt;=100000), " ",IF(INDEX($O$2:$Q$1001,MATCH(ROWS($H$2:H480),$H$2:$H$1001,0),MATCH(COLUMNS($O$1006:P1006),$O$1006:$Q$1006,0)), HYPERLINK("#",""), HYPERLINK(CONCATENATE("#metadata!", ADDRESS(INDEX($J$2:$J$1001,MATCH(ROWS($H$2:H480),$H$2:$H$1001,0),0), INDEX($O$1004:$Q$1004,1,MATCH(COLUMNS($O$1006:P1006),$O$1006:$Q$1006,0)))),"Fix")))</f>
        <v xml:space="preserve"> </v>
      </c>
      <c r="D480" s="3" t="str">
        <f ca="1">IF(OR(INDEX($I$2:$I$1001,MATCH(ROWS($H$2:H480),$H$2:$H$1001,0),1)&gt;=100000,INDEX($O$1005:$Q$1005,1,MATCH(COLUMNS($O$1006:Q1006),$O$1006:$Q$1006,0))&gt;=100000), " ",IF(INDEX($O$2:$Q$1001,MATCH(ROWS($H$2:H480),$H$2:$H$1001,0),MATCH(COLUMNS($O$1006:Q1006),$O$1006:$Q$1006,0)), HYPERLINK("#",""), HYPERLINK(CONCATENATE("#metadata!", ADDRESS(INDEX($J$2:$J$1001,MATCH(ROWS($H$2:H480),$H$2:$H$1001,0),0), INDEX($O$1004:$Q$1004,1,MATCH(COLUMNS($O$1006:Q1006),$O$1006:$Q$1006,0)))),"Fix")))</f>
        <v xml:space="preserve"> </v>
      </c>
      <c r="H480">
        <v>479</v>
      </c>
      <c r="I480">
        <v>100480</v>
      </c>
      <c r="J480">
        <v>480</v>
      </c>
      <c r="K480" t="b">
        <f t="shared" si="7"/>
        <v>1</v>
      </c>
      <c r="L480" t="b">
        <f>COUNTBLANK(metadata!B480:D480)=COLUMNS(metadata!B480:D480)</f>
        <v>1</v>
      </c>
      <c r="M480" t="str">
        <v/>
      </c>
      <c r="O480" t="b">
        <f ca="1"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P480" t="b">
        <f>AND(IF(metadata!C480="",FALSE,TRUE),EXACT(metadata!C480,"mouse gut metagenome"))</f>
        <v>0</v>
      </c>
      <c r="Q480" t="b">
        <f>AND(IF(metadata!D480="",FALSE,TRUE),EXACT(metadata!D480,"410661"))</f>
        <v>0</v>
      </c>
    </row>
    <row r="481" spans="1:17" x14ac:dyDescent="0.2">
      <c r="A481" s="4" t="str">
        <f ca="1">IF(B481=" "," ",HYPERLINK(CONCATENATE("#metadata!",ADDRESS(INDEX($J$2:$J$1001,MATCH(ROWS($H$2:H481),$H$2:$H$1001,0),0),1)),INDEX($M$2:$M$1001,MATCH(ROWS($H$2:H481),$H$2:$H$1001,0),0)))</f>
        <v xml:space="preserve"> </v>
      </c>
      <c r="B481" s="3" t="str">
        <f ca="1">IF(OR(INDEX($I$2:$I$1001,MATCH(ROWS($H$2:H481),$H$2:$H$1001,0),1)&gt;=100000,INDEX($O$1005:$Q$1005,1,MATCH(COLUMNS($O$1006:O1006),$O$1006:$Q$1006,0))&gt;=100000), " ",IF(INDEX($O$2:$Q$1001,MATCH(ROWS($H$2:H481),$H$2:$H$1001,0),MATCH(COLUMNS($O$1006:O1006),$O$1006:$Q$1006,0)), HYPERLINK("#",""), HYPERLINK(CONCATENATE("#metadata!", ADDRESS(INDEX($J$2:$J$1001,MATCH(ROWS($H$2:H481),$H$2:$H$1001,0),0), INDEX($O$1004:$Q$1004,1,MATCH(COLUMNS($O$1006:O1006),$O$1006:$Q$1006,0)))),"Fix")))</f>
        <v xml:space="preserve"> </v>
      </c>
      <c r="C481" s="3" t="str">
        <f ca="1">IF(OR(INDEX($I$2:$I$1001,MATCH(ROWS($H$2:H481),$H$2:$H$1001,0),1)&gt;=100000,INDEX($O$1005:$Q$1005,1,MATCH(COLUMNS($O$1006:P1006),$O$1006:$Q$1006,0))&gt;=100000), " ",IF(INDEX($O$2:$Q$1001,MATCH(ROWS($H$2:H481),$H$2:$H$1001,0),MATCH(COLUMNS($O$1006:P1006),$O$1006:$Q$1006,0)), HYPERLINK("#",""), HYPERLINK(CONCATENATE("#metadata!", ADDRESS(INDEX($J$2:$J$1001,MATCH(ROWS($H$2:H481),$H$2:$H$1001,0),0), INDEX($O$1004:$Q$1004,1,MATCH(COLUMNS($O$1006:P1006),$O$1006:$Q$1006,0)))),"Fix")))</f>
        <v xml:space="preserve"> </v>
      </c>
      <c r="D481" s="3" t="str">
        <f ca="1">IF(OR(INDEX($I$2:$I$1001,MATCH(ROWS($H$2:H481),$H$2:$H$1001,0),1)&gt;=100000,INDEX($O$1005:$Q$1005,1,MATCH(COLUMNS($O$1006:Q1006),$O$1006:$Q$1006,0))&gt;=100000), " ",IF(INDEX($O$2:$Q$1001,MATCH(ROWS($H$2:H481),$H$2:$H$1001,0),MATCH(COLUMNS($O$1006:Q1006),$O$1006:$Q$1006,0)), HYPERLINK("#",""), HYPERLINK(CONCATENATE("#metadata!", ADDRESS(INDEX($J$2:$J$1001,MATCH(ROWS($H$2:H481),$H$2:$H$1001,0),0), INDEX($O$1004:$Q$1004,1,MATCH(COLUMNS($O$1006:Q1006),$O$1006:$Q$1006,0)))),"Fix")))</f>
        <v xml:space="preserve"> </v>
      </c>
      <c r="H481">
        <v>480</v>
      </c>
      <c r="I481">
        <v>100481</v>
      </c>
      <c r="J481">
        <v>481</v>
      </c>
      <c r="K481" t="b">
        <f t="shared" si="7"/>
        <v>1</v>
      </c>
      <c r="L481" t="b">
        <f>COUNTBLANK(metadata!B481:D481)=COLUMNS(metadata!B481:D481)</f>
        <v>1</v>
      </c>
      <c r="M481" t="str">
        <v/>
      </c>
      <c r="O481" t="b">
        <f ca="1"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P481" t="b">
        <f>AND(IF(metadata!C481="",FALSE,TRUE),EXACT(metadata!C481,"mouse gut metagenome"))</f>
        <v>0</v>
      </c>
      <c r="Q481" t="b">
        <f>AND(IF(metadata!D481="",FALSE,TRUE),EXACT(metadata!D481,"410661"))</f>
        <v>0</v>
      </c>
    </row>
    <row r="482" spans="1:17" x14ac:dyDescent="0.2">
      <c r="A482" s="4" t="str">
        <f ca="1">IF(B482=" "," ",HYPERLINK(CONCATENATE("#metadata!",ADDRESS(INDEX($J$2:$J$1001,MATCH(ROWS($H$2:H482),$H$2:$H$1001,0),0),1)),INDEX($M$2:$M$1001,MATCH(ROWS($H$2:H482),$H$2:$H$1001,0),0)))</f>
        <v xml:space="preserve"> </v>
      </c>
      <c r="B482" s="3" t="str">
        <f ca="1">IF(OR(INDEX($I$2:$I$1001,MATCH(ROWS($H$2:H482),$H$2:$H$1001,0),1)&gt;=100000,INDEX($O$1005:$Q$1005,1,MATCH(COLUMNS($O$1006:O1006),$O$1006:$Q$1006,0))&gt;=100000), " ",IF(INDEX($O$2:$Q$1001,MATCH(ROWS($H$2:H482),$H$2:$H$1001,0),MATCH(COLUMNS($O$1006:O1006),$O$1006:$Q$1006,0)), HYPERLINK("#",""), HYPERLINK(CONCATENATE("#metadata!", ADDRESS(INDEX($J$2:$J$1001,MATCH(ROWS($H$2:H482),$H$2:$H$1001,0),0), INDEX($O$1004:$Q$1004,1,MATCH(COLUMNS($O$1006:O1006),$O$1006:$Q$1006,0)))),"Fix")))</f>
        <v xml:space="preserve"> </v>
      </c>
      <c r="C482" s="3" t="str">
        <f ca="1">IF(OR(INDEX($I$2:$I$1001,MATCH(ROWS($H$2:H482),$H$2:$H$1001,0),1)&gt;=100000,INDEX($O$1005:$Q$1005,1,MATCH(COLUMNS($O$1006:P1006),$O$1006:$Q$1006,0))&gt;=100000), " ",IF(INDEX($O$2:$Q$1001,MATCH(ROWS($H$2:H482),$H$2:$H$1001,0),MATCH(COLUMNS($O$1006:P1006),$O$1006:$Q$1006,0)), HYPERLINK("#",""), HYPERLINK(CONCATENATE("#metadata!", ADDRESS(INDEX($J$2:$J$1001,MATCH(ROWS($H$2:H482),$H$2:$H$1001,0),0), INDEX($O$1004:$Q$1004,1,MATCH(COLUMNS($O$1006:P1006),$O$1006:$Q$1006,0)))),"Fix")))</f>
        <v xml:space="preserve"> </v>
      </c>
      <c r="D482" s="3" t="str">
        <f ca="1">IF(OR(INDEX($I$2:$I$1001,MATCH(ROWS($H$2:H482),$H$2:$H$1001,0),1)&gt;=100000,INDEX($O$1005:$Q$1005,1,MATCH(COLUMNS($O$1006:Q1006),$O$1006:$Q$1006,0))&gt;=100000), " ",IF(INDEX($O$2:$Q$1001,MATCH(ROWS($H$2:H482),$H$2:$H$1001,0),MATCH(COLUMNS($O$1006:Q1006),$O$1006:$Q$1006,0)), HYPERLINK("#",""), HYPERLINK(CONCATENATE("#metadata!", ADDRESS(INDEX($J$2:$J$1001,MATCH(ROWS($H$2:H482),$H$2:$H$1001,0),0), INDEX($O$1004:$Q$1004,1,MATCH(COLUMNS($O$1006:Q1006),$O$1006:$Q$1006,0)))),"Fix")))</f>
        <v xml:space="preserve"> </v>
      </c>
      <c r="H482">
        <v>481</v>
      </c>
      <c r="I482">
        <v>100482</v>
      </c>
      <c r="J482">
        <v>482</v>
      </c>
      <c r="K482" t="b">
        <f t="shared" si="7"/>
        <v>1</v>
      </c>
      <c r="L482" t="b">
        <f>COUNTBLANK(metadata!B482:D482)=COLUMNS(metadata!B482:D482)</f>
        <v>1</v>
      </c>
      <c r="M482" t="str">
        <v/>
      </c>
      <c r="O482" t="b">
        <f ca="1"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P482" t="b">
        <f>AND(IF(metadata!C482="",FALSE,TRUE),EXACT(metadata!C482,"mouse gut metagenome"))</f>
        <v>0</v>
      </c>
      <c r="Q482" t="b">
        <f>AND(IF(metadata!D482="",FALSE,TRUE),EXACT(metadata!D482,"410661"))</f>
        <v>0</v>
      </c>
    </row>
    <row r="483" spans="1:17" x14ac:dyDescent="0.2">
      <c r="A483" s="4" t="str">
        <f ca="1">IF(B483=" "," ",HYPERLINK(CONCATENATE("#metadata!",ADDRESS(INDEX($J$2:$J$1001,MATCH(ROWS($H$2:H483),$H$2:$H$1001,0),0),1)),INDEX($M$2:$M$1001,MATCH(ROWS($H$2:H483),$H$2:$H$1001,0),0)))</f>
        <v xml:space="preserve"> </v>
      </c>
      <c r="B483" s="3" t="str">
        <f ca="1">IF(OR(INDEX($I$2:$I$1001,MATCH(ROWS($H$2:H483),$H$2:$H$1001,0),1)&gt;=100000,INDEX($O$1005:$Q$1005,1,MATCH(COLUMNS($O$1006:O1006),$O$1006:$Q$1006,0))&gt;=100000), " ",IF(INDEX($O$2:$Q$1001,MATCH(ROWS($H$2:H483),$H$2:$H$1001,0),MATCH(COLUMNS($O$1006:O1006),$O$1006:$Q$1006,0)), HYPERLINK("#",""), HYPERLINK(CONCATENATE("#metadata!", ADDRESS(INDEX($J$2:$J$1001,MATCH(ROWS($H$2:H483),$H$2:$H$1001,0),0), INDEX($O$1004:$Q$1004,1,MATCH(COLUMNS($O$1006:O1006),$O$1006:$Q$1006,0)))),"Fix")))</f>
        <v xml:space="preserve"> </v>
      </c>
      <c r="C483" s="3" t="str">
        <f ca="1">IF(OR(INDEX($I$2:$I$1001,MATCH(ROWS($H$2:H483),$H$2:$H$1001,0),1)&gt;=100000,INDEX($O$1005:$Q$1005,1,MATCH(COLUMNS($O$1006:P1006),$O$1006:$Q$1006,0))&gt;=100000), " ",IF(INDEX($O$2:$Q$1001,MATCH(ROWS($H$2:H483),$H$2:$H$1001,0),MATCH(COLUMNS($O$1006:P1006),$O$1006:$Q$1006,0)), HYPERLINK("#",""), HYPERLINK(CONCATENATE("#metadata!", ADDRESS(INDEX($J$2:$J$1001,MATCH(ROWS($H$2:H483),$H$2:$H$1001,0),0), INDEX($O$1004:$Q$1004,1,MATCH(COLUMNS($O$1006:P1006),$O$1006:$Q$1006,0)))),"Fix")))</f>
        <v xml:space="preserve"> </v>
      </c>
      <c r="D483" s="3" t="str">
        <f ca="1">IF(OR(INDEX($I$2:$I$1001,MATCH(ROWS($H$2:H483),$H$2:$H$1001,0),1)&gt;=100000,INDEX($O$1005:$Q$1005,1,MATCH(COLUMNS($O$1006:Q1006),$O$1006:$Q$1006,0))&gt;=100000), " ",IF(INDEX($O$2:$Q$1001,MATCH(ROWS($H$2:H483),$H$2:$H$1001,0),MATCH(COLUMNS($O$1006:Q1006),$O$1006:$Q$1006,0)), HYPERLINK("#",""), HYPERLINK(CONCATENATE("#metadata!", ADDRESS(INDEX($J$2:$J$1001,MATCH(ROWS($H$2:H483),$H$2:$H$1001,0),0), INDEX($O$1004:$Q$1004,1,MATCH(COLUMNS($O$1006:Q1006),$O$1006:$Q$1006,0)))),"Fix")))</f>
        <v xml:space="preserve"> </v>
      </c>
      <c r="H483">
        <v>482</v>
      </c>
      <c r="I483">
        <v>100483</v>
      </c>
      <c r="J483">
        <v>483</v>
      </c>
      <c r="K483" t="b">
        <f t="shared" si="7"/>
        <v>1</v>
      </c>
      <c r="L483" t="b">
        <f>COUNTBLANK(metadata!B483:D483)=COLUMNS(metadata!B483:D483)</f>
        <v>1</v>
      </c>
      <c r="M483" t="str">
        <v/>
      </c>
      <c r="O483" t="b">
        <f ca="1"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P483" t="b">
        <f>AND(IF(metadata!C483="",FALSE,TRUE),EXACT(metadata!C483,"mouse gut metagenome"))</f>
        <v>0</v>
      </c>
      <c r="Q483" t="b">
        <f>AND(IF(metadata!D483="",FALSE,TRUE),EXACT(metadata!D483,"410661"))</f>
        <v>0</v>
      </c>
    </row>
    <row r="484" spans="1:17" x14ac:dyDescent="0.2">
      <c r="A484" s="4" t="str">
        <f ca="1">IF(B484=" "," ",HYPERLINK(CONCATENATE("#metadata!",ADDRESS(INDEX($J$2:$J$1001,MATCH(ROWS($H$2:H484),$H$2:$H$1001,0),0),1)),INDEX($M$2:$M$1001,MATCH(ROWS($H$2:H484),$H$2:$H$1001,0),0)))</f>
        <v xml:space="preserve"> </v>
      </c>
      <c r="B484" s="3" t="str">
        <f ca="1">IF(OR(INDEX($I$2:$I$1001,MATCH(ROWS($H$2:H484),$H$2:$H$1001,0),1)&gt;=100000,INDEX($O$1005:$Q$1005,1,MATCH(COLUMNS($O$1006:O1006),$O$1006:$Q$1006,0))&gt;=100000), " ",IF(INDEX($O$2:$Q$1001,MATCH(ROWS($H$2:H484),$H$2:$H$1001,0),MATCH(COLUMNS($O$1006:O1006),$O$1006:$Q$1006,0)), HYPERLINK("#",""), HYPERLINK(CONCATENATE("#metadata!", ADDRESS(INDEX($J$2:$J$1001,MATCH(ROWS($H$2:H484),$H$2:$H$1001,0),0), INDEX($O$1004:$Q$1004,1,MATCH(COLUMNS($O$1006:O1006),$O$1006:$Q$1006,0)))),"Fix")))</f>
        <v xml:space="preserve"> </v>
      </c>
      <c r="C484" s="3" t="str">
        <f ca="1">IF(OR(INDEX($I$2:$I$1001,MATCH(ROWS($H$2:H484),$H$2:$H$1001,0),1)&gt;=100000,INDEX($O$1005:$Q$1005,1,MATCH(COLUMNS($O$1006:P1006),$O$1006:$Q$1006,0))&gt;=100000), " ",IF(INDEX($O$2:$Q$1001,MATCH(ROWS($H$2:H484),$H$2:$H$1001,0),MATCH(COLUMNS($O$1006:P1006),$O$1006:$Q$1006,0)), HYPERLINK("#",""), HYPERLINK(CONCATENATE("#metadata!", ADDRESS(INDEX($J$2:$J$1001,MATCH(ROWS($H$2:H484),$H$2:$H$1001,0),0), INDEX($O$1004:$Q$1004,1,MATCH(COLUMNS($O$1006:P1006),$O$1006:$Q$1006,0)))),"Fix")))</f>
        <v xml:space="preserve"> </v>
      </c>
      <c r="D484" s="3" t="str">
        <f ca="1">IF(OR(INDEX($I$2:$I$1001,MATCH(ROWS($H$2:H484),$H$2:$H$1001,0),1)&gt;=100000,INDEX($O$1005:$Q$1005,1,MATCH(COLUMNS($O$1006:Q1006),$O$1006:$Q$1006,0))&gt;=100000), " ",IF(INDEX($O$2:$Q$1001,MATCH(ROWS($H$2:H484),$H$2:$H$1001,0),MATCH(COLUMNS($O$1006:Q1006),$O$1006:$Q$1006,0)), HYPERLINK("#",""), HYPERLINK(CONCATENATE("#metadata!", ADDRESS(INDEX($J$2:$J$1001,MATCH(ROWS($H$2:H484),$H$2:$H$1001,0),0), INDEX($O$1004:$Q$1004,1,MATCH(COLUMNS($O$1006:Q1006),$O$1006:$Q$1006,0)))),"Fix")))</f>
        <v xml:space="preserve"> </v>
      </c>
      <c r="H484">
        <v>483</v>
      </c>
      <c r="I484">
        <v>100484</v>
      </c>
      <c r="J484">
        <v>484</v>
      </c>
      <c r="K484" t="b">
        <f t="shared" si="7"/>
        <v>1</v>
      </c>
      <c r="L484" t="b">
        <f>COUNTBLANK(metadata!B484:D484)=COLUMNS(metadata!B484:D484)</f>
        <v>1</v>
      </c>
      <c r="M484" t="str">
        <v/>
      </c>
      <c r="O484" t="b">
        <f ca="1"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P484" t="b">
        <f>AND(IF(metadata!C484="",FALSE,TRUE),EXACT(metadata!C484,"mouse gut metagenome"))</f>
        <v>0</v>
      </c>
      <c r="Q484" t="b">
        <f>AND(IF(metadata!D484="",FALSE,TRUE),EXACT(metadata!D484,"410661"))</f>
        <v>0</v>
      </c>
    </row>
    <row r="485" spans="1:17" x14ac:dyDescent="0.2">
      <c r="A485" s="4" t="str">
        <f ca="1">IF(B485=" "," ",HYPERLINK(CONCATENATE("#metadata!",ADDRESS(INDEX($J$2:$J$1001,MATCH(ROWS($H$2:H485),$H$2:$H$1001,0),0),1)),INDEX($M$2:$M$1001,MATCH(ROWS($H$2:H485),$H$2:$H$1001,0),0)))</f>
        <v xml:space="preserve"> </v>
      </c>
      <c r="B485" s="3" t="str">
        <f ca="1">IF(OR(INDEX($I$2:$I$1001,MATCH(ROWS($H$2:H485),$H$2:$H$1001,0),1)&gt;=100000,INDEX($O$1005:$Q$1005,1,MATCH(COLUMNS($O$1006:O1006),$O$1006:$Q$1006,0))&gt;=100000), " ",IF(INDEX($O$2:$Q$1001,MATCH(ROWS($H$2:H485),$H$2:$H$1001,0),MATCH(COLUMNS($O$1006:O1006),$O$1006:$Q$1006,0)), HYPERLINK("#",""), HYPERLINK(CONCATENATE("#metadata!", ADDRESS(INDEX($J$2:$J$1001,MATCH(ROWS($H$2:H485),$H$2:$H$1001,0),0), INDEX($O$1004:$Q$1004,1,MATCH(COLUMNS($O$1006:O1006),$O$1006:$Q$1006,0)))),"Fix")))</f>
        <v xml:space="preserve"> </v>
      </c>
      <c r="C485" s="3" t="str">
        <f ca="1">IF(OR(INDEX($I$2:$I$1001,MATCH(ROWS($H$2:H485),$H$2:$H$1001,0),1)&gt;=100000,INDEX($O$1005:$Q$1005,1,MATCH(COLUMNS($O$1006:P1006),$O$1006:$Q$1006,0))&gt;=100000), " ",IF(INDEX($O$2:$Q$1001,MATCH(ROWS($H$2:H485),$H$2:$H$1001,0),MATCH(COLUMNS($O$1006:P1006),$O$1006:$Q$1006,0)), HYPERLINK("#",""), HYPERLINK(CONCATENATE("#metadata!", ADDRESS(INDEX($J$2:$J$1001,MATCH(ROWS($H$2:H485),$H$2:$H$1001,0),0), INDEX($O$1004:$Q$1004,1,MATCH(COLUMNS($O$1006:P1006),$O$1006:$Q$1006,0)))),"Fix")))</f>
        <v xml:space="preserve"> </v>
      </c>
      <c r="D485" s="3" t="str">
        <f ca="1">IF(OR(INDEX($I$2:$I$1001,MATCH(ROWS($H$2:H485),$H$2:$H$1001,0),1)&gt;=100000,INDEX($O$1005:$Q$1005,1,MATCH(COLUMNS($O$1006:Q1006),$O$1006:$Q$1006,0))&gt;=100000), " ",IF(INDEX($O$2:$Q$1001,MATCH(ROWS($H$2:H485),$H$2:$H$1001,0),MATCH(COLUMNS($O$1006:Q1006),$O$1006:$Q$1006,0)), HYPERLINK("#",""), HYPERLINK(CONCATENATE("#metadata!", ADDRESS(INDEX($J$2:$J$1001,MATCH(ROWS($H$2:H485),$H$2:$H$1001,0),0), INDEX($O$1004:$Q$1004,1,MATCH(COLUMNS($O$1006:Q1006),$O$1006:$Q$1006,0)))),"Fix")))</f>
        <v xml:space="preserve"> </v>
      </c>
      <c r="H485">
        <v>484</v>
      </c>
      <c r="I485">
        <v>100485</v>
      </c>
      <c r="J485">
        <v>485</v>
      </c>
      <c r="K485" t="b">
        <f t="shared" si="7"/>
        <v>1</v>
      </c>
      <c r="L485" t="b">
        <f>COUNTBLANK(metadata!B485:D485)=COLUMNS(metadata!B485:D485)</f>
        <v>1</v>
      </c>
      <c r="M485" t="str">
        <v/>
      </c>
      <c r="O485" t="b">
        <f ca="1"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P485" t="b">
        <f>AND(IF(metadata!C485="",FALSE,TRUE),EXACT(metadata!C485,"mouse gut metagenome"))</f>
        <v>0</v>
      </c>
      <c r="Q485" t="b">
        <f>AND(IF(metadata!D485="",FALSE,TRUE),EXACT(metadata!D485,"410661"))</f>
        <v>0</v>
      </c>
    </row>
    <row r="486" spans="1:17" x14ac:dyDescent="0.2">
      <c r="A486" s="4" t="str">
        <f ca="1">IF(B486=" "," ",HYPERLINK(CONCATENATE("#metadata!",ADDRESS(INDEX($J$2:$J$1001,MATCH(ROWS($H$2:H486),$H$2:$H$1001,0),0),1)),INDEX($M$2:$M$1001,MATCH(ROWS($H$2:H486),$H$2:$H$1001,0),0)))</f>
        <v xml:space="preserve"> </v>
      </c>
      <c r="B486" s="3" t="str">
        <f ca="1">IF(OR(INDEX($I$2:$I$1001,MATCH(ROWS($H$2:H486),$H$2:$H$1001,0),1)&gt;=100000,INDEX($O$1005:$Q$1005,1,MATCH(COLUMNS($O$1006:O1006),$O$1006:$Q$1006,0))&gt;=100000), " ",IF(INDEX($O$2:$Q$1001,MATCH(ROWS($H$2:H486),$H$2:$H$1001,0),MATCH(COLUMNS($O$1006:O1006),$O$1006:$Q$1006,0)), HYPERLINK("#",""), HYPERLINK(CONCATENATE("#metadata!", ADDRESS(INDEX($J$2:$J$1001,MATCH(ROWS($H$2:H486),$H$2:$H$1001,0),0), INDEX($O$1004:$Q$1004,1,MATCH(COLUMNS($O$1006:O1006),$O$1006:$Q$1006,0)))),"Fix")))</f>
        <v xml:space="preserve"> </v>
      </c>
      <c r="C486" s="3" t="str">
        <f ca="1">IF(OR(INDEX($I$2:$I$1001,MATCH(ROWS($H$2:H486),$H$2:$H$1001,0),1)&gt;=100000,INDEX($O$1005:$Q$1005,1,MATCH(COLUMNS($O$1006:P1006),$O$1006:$Q$1006,0))&gt;=100000), " ",IF(INDEX($O$2:$Q$1001,MATCH(ROWS($H$2:H486),$H$2:$H$1001,0),MATCH(COLUMNS($O$1006:P1006),$O$1006:$Q$1006,0)), HYPERLINK("#",""), HYPERLINK(CONCATENATE("#metadata!", ADDRESS(INDEX($J$2:$J$1001,MATCH(ROWS($H$2:H486),$H$2:$H$1001,0),0), INDEX($O$1004:$Q$1004,1,MATCH(COLUMNS($O$1006:P1006),$O$1006:$Q$1006,0)))),"Fix")))</f>
        <v xml:space="preserve"> </v>
      </c>
      <c r="D486" s="3" t="str">
        <f ca="1">IF(OR(INDEX($I$2:$I$1001,MATCH(ROWS($H$2:H486),$H$2:$H$1001,0),1)&gt;=100000,INDEX($O$1005:$Q$1005,1,MATCH(COLUMNS($O$1006:Q1006),$O$1006:$Q$1006,0))&gt;=100000), " ",IF(INDEX($O$2:$Q$1001,MATCH(ROWS($H$2:H486),$H$2:$H$1001,0),MATCH(COLUMNS($O$1006:Q1006),$O$1006:$Q$1006,0)), HYPERLINK("#",""), HYPERLINK(CONCATENATE("#metadata!", ADDRESS(INDEX($J$2:$J$1001,MATCH(ROWS($H$2:H486),$H$2:$H$1001,0),0), INDEX($O$1004:$Q$1004,1,MATCH(COLUMNS($O$1006:Q1006),$O$1006:$Q$1006,0)))),"Fix")))</f>
        <v xml:space="preserve"> </v>
      </c>
      <c r="H486">
        <v>485</v>
      </c>
      <c r="I486">
        <v>100486</v>
      </c>
      <c r="J486">
        <v>486</v>
      </c>
      <c r="K486" t="b">
        <f t="shared" si="7"/>
        <v>1</v>
      </c>
      <c r="L486" t="b">
        <f>COUNTBLANK(metadata!B486:D486)=COLUMNS(metadata!B486:D486)</f>
        <v>1</v>
      </c>
      <c r="M486" t="str">
        <v/>
      </c>
      <c r="O486" t="b">
        <f ca="1"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P486" t="b">
        <f>AND(IF(metadata!C486="",FALSE,TRUE),EXACT(metadata!C486,"mouse gut metagenome"))</f>
        <v>0</v>
      </c>
      <c r="Q486" t="b">
        <f>AND(IF(metadata!D486="",FALSE,TRUE),EXACT(metadata!D486,"410661"))</f>
        <v>0</v>
      </c>
    </row>
    <row r="487" spans="1:17" x14ac:dyDescent="0.2">
      <c r="A487" s="4" t="str">
        <f ca="1">IF(B487=" "," ",HYPERLINK(CONCATENATE("#metadata!",ADDRESS(INDEX($J$2:$J$1001,MATCH(ROWS($H$2:H487),$H$2:$H$1001,0),0),1)),INDEX($M$2:$M$1001,MATCH(ROWS($H$2:H487),$H$2:$H$1001,0),0)))</f>
        <v xml:space="preserve"> </v>
      </c>
      <c r="B487" s="3" t="str">
        <f ca="1">IF(OR(INDEX($I$2:$I$1001,MATCH(ROWS($H$2:H487),$H$2:$H$1001,0),1)&gt;=100000,INDEX($O$1005:$Q$1005,1,MATCH(COLUMNS($O$1006:O1006),$O$1006:$Q$1006,0))&gt;=100000), " ",IF(INDEX($O$2:$Q$1001,MATCH(ROWS($H$2:H487),$H$2:$H$1001,0),MATCH(COLUMNS($O$1006:O1006),$O$1006:$Q$1006,0)), HYPERLINK("#",""), HYPERLINK(CONCATENATE("#metadata!", ADDRESS(INDEX($J$2:$J$1001,MATCH(ROWS($H$2:H487),$H$2:$H$1001,0),0), INDEX($O$1004:$Q$1004,1,MATCH(COLUMNS($O$1006:O1006),$O$1006:$Q$1006,0)))),"Fix")))</f>
        <v xml:space="preserve"> </v>
      </c>
      <c r="C487" s="3" t="str">
        <f ca="1">IF(OR(INDEX($I$2:$I$1001,MATCH(ROWS($H$2:H487),$H$2:$H$1001,0),1)&gt;=100000,INDEX($O$1005:$Q$1005,1,MATCH(COLUMNS($O$1006:P1006),$O$1006:$Q$1006,0))&gt;=100000), " ",IF(INDEX($O$2:$Q$1001,MATCH(ROWS($H$2:H487),$H$2:$H$1001,0),MATCH(COLUMNS($O$1006:P1006),$O$1006:$Q$1006,0)), HYPERLINK("#",""), HYPERLINK(CONCATENATE("#metadata!", ADDRESS(INDEX($J$2:$J$1001,MATCH(ROWS($H$2:H487),$H$2:$H$1001,0),0), INDEX($O$1004:$Q$1004,1,MATCH(COLUMNS($O$1006:P1006),$O$1006:$Q$1006,0)))),"Fix")))</f>
        <v xml:space="preserve"> </v>
      </c>
      <c r="D487" s="3" t="str">
        <f ca="1">IF(OR(INDEX($I$2:$I$1001,MATCH(ROWS($H$2:H487),$H$2:$H$1001,0),1)&gt;=100000,INDEX($O$1005:$Q$1005,1,MATCH(COLUMNS($O$1006:Q1006),$O$1006:$Q$1006,0))&gt;=100000), " ",IF(INDEX($O$2:$Q$1001,MATCH(ROWS($H$2:H487),$H$2:$H$1001,0),MATCH(COLUMNS($O$1006:Q1006),$O$1006:$Q$1006,0)), HYPERLINK("#",""), HYPERLINK(CONCATENATE("#metadata!", ADDRESS(INDEX($J$2:$J$1001,MATCH(ROWS($H$2:H487),$H$2:$H$1001,0),0), INDEX($O$1004:$Q$1004,1,MATCH(COLUMNS($O$1006:Q1006),$O$1006:$Q$1006,0)))),"Fix")))</f>
        <v xml:space="preserve"> </v>
      </c>
      <c r="H487">
        <v>486</v>
      </c>
      <c r="I487">
        <v>100487</v>
      </c>
      <c r="J487">
        <v>487</v>
      </c>
      <c r="K487" t="b">
        <f t="shared" si="7"/>
        <v>1</v>
      </c>
      <c r="L487" t="b">
        <f>COUNTBLANK(metadata!B487:D487)=COLUMNS(metadata!B487:D487)</f>
        <v>1</v>
      </c>
      <c r="M487" t="str">
        <v/>
      </c>
      <c r="O487" t="b">
        <f ca="1"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P487" t="b">
        <f>AND(IF(metadata!C487="",FALSE,TRUE),EXACT(metadata!C487,"mouse gut metagenome"))</f>
        <v>0</v>
      </c>
      <c r="Q487" t="b">
        <f>AND(IF(metadata!D487="",FALSE,TRUE),EXACT(metadata!D487,"410661"))</f>
        <v>0</v>
      </c>
    </row>
    <row r="488" spans="1:17" x14ac:dyDescent="0.2">
      <c r="A488" s="4" t="str">
        <f ca="1">IF(B488=" "," ",HYPERLINK(CONCATENATE("#metadata!",ADDRESS(INDEX($J$2:$J$1001,MATCH(ROWS($H$2:H488),$H$2:$H$1001,0),0),1)),INDEX($M$2:$M$1001,MATCH(ROWS($H$2:H488),$H$2:$H$1001,0),0)))</f>
        <v xml:space="preserve"> </v>
      </c>
      <c r="B488" s="3" t="str">
        <f ca="1">IF(OR(INDEX($I$2:$I$1001,MATCH(ROWS($H$2:H488),$H$2:$H$1001,0),1)&gt;=100000,INDEX($O$1005:$Q$1005,1,MATCH(COLUMNS($O$1006:O1006),$O$1006:$Q$1006,0))&gt;=100000), " ",IF(INDEX($O$2:$Q$1001,MATCH(ROWS($H$2:H488),$H$2:$H$1001,0),MATCH(COLUMNS($O$1006:O1006),$O$1006:$Q$1006,0)), HYPERLINK("#",""), HYPERLINK(CONCATENATE("#metadata!", ADDRESS(INDEX($J$2:$J$1001,MATCH(ROWS($H$2:H488),$H$2:$H$1001,0),0), INDEX($O$1004:$Q$1004,1,MATCH(COLUMNS($O$1006:O1006),$O$1006:$Q$1006,0)))),"Fix")))</f>
        <v xml:space="preserve"> </v>
      </c>
      <c r="C488" s="3" t="str">
        <f ca="1">IF(OR(INDEX($I$2:$I$1001,MATCH(ROWS($H$2:H488),$H$2:$H$1001,0),1)&gt;=100000,INDEX($O$1005:$Q$1005,1,MATCH(COLUMNS($O$1006:P1006),$O$1006:$Q$1006,0))&gt;=100000), " ",IF(INDEX($O$2:$Q$1001,MATCH(ROWS($H$2:H488),$H$2:$H$1001,0),MATCH(COLUMNS($O$1006:P1006),$O$1006:$Q$1006,0)), HYPERLINK("#",""), HYPERLINK(CONCATENATE("#metadata!", ADDRESS(INDEX($J$2:$J$1001,MATCH(ROWS($H$2:H488),$H$2:$H$1001,0),0), INDEX($O$1004:$Q$1004,1,MATCH(COLUMNS($O$1006:P1006),$O$1006:$Q$1006,0)))),"Fix")))</f>
        <v xml:space="preserve"> </v>
      </c>
      <c r="D488" s="3" t="str">
        <f ca="1">IF(OR(INDEX($I$2:$I$1001,MATCH(ROWS($H$2:H488),$H$2:$H$1001,0),1)&gt;=100000,INDEX($O$1005:$Q$1005,1,MATCH(COLUMNS($O$1006:Q1006),$O$1006:$Q$1006,0))&gt;=100000), " ",IF(INDEX($O$2:$Q$1001,MATCH(ROWS($H$2:H488),$H$2:$H$1001,0),MATCH(COLUMNS($O$1006:Q1006),$O$1006:$Q$1006,0)), HYPERLINK("#",""), HYPERLINK(CONCATENATE("#metadata!", ADDRESS(INDEX($J$2:$J$1001,MATCH(ROWS($H$2:H488),$H$2:$H$1001,0),0), INDEX($O$1004:$Q$1004,1,MATCH(COLUMNS($O$1006:Q1006),$O$1006:$Q$1006,0)))),"Fix")))</f>
        <v xml:space="preserve"> </v>
      </c>
      <c r="H488">
        <v>487</v>
      </c>
      <c r="I488">
        <v>100488</v>
      </c>
      <c r="J488">
        <v>488</v>
      </c>
      <c r="K488" t="b">
        <f t="shared" si="7"/>
        <v>1</v>
      </c>
      <c r="L488" t="b">
        <f>COUNTBLANK(metadata!B488:D488)=COLUMNS(metadata!B488:D488)</f>
        <v>1</v>
      </c>
      <c r="M488" t="str">
        <v/>
      </c>
      <c r="O488" t="b">
        <f ca="1"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P488" t="b">
        <f>AND(IF(metadata!C488="",FALSE,TRUE),EXACT(metadata!C488,"mouse gut metagenome"))</f>
        <v>0</v>
      </c>
      <c r="Q488" t="b">
        <f>AND(IF(metadata!D488="",FALSE,TRUE),EXACT(metadata!D488,"410661"))</f>
        <v>0</v>
      </c>
    </row>
    <row r="489" spans="1:17" x14ac:dyDescent="0.2">
      <c r="A489" s="4" t="str">
        <f ca="1">IF(B489=" "," ",HYPERLINK(CONCATENATE("#metadata!",ADDRESS(INDEX($J$2:$J$1001,MATCH(ROWS($H$2:H489),$H$2:$H$1001,0),0),1)),INDEX($M$2:$M$1001,MATCH(ROWS($H$2:H489),$H$2:$H$1001,0),0)))</f>
        <v xml:space="preserve"> </v>
      </c>
      <c r="B489" s="3" t="str">
        <f ca="1">IF(OR(INDEX($I$2:$I$1001,MATCH(ROWS($H$2:H489),$H$2:$H$1001,0),1)&gt;=100000,INDEX($O$1005:$Q$1005,1,MATCH(COLUMNS($O$1006:O1006),$O$1006:$Q$1006,0))&gt;=100000), " ",IF(INDEX($O$2:$Q$1001,MATCH(ROWS($H$2:H489),$H$2:$H$1001,0),MATCH(COLUMNS($O$1006:O1006),$O$1006:$Q$1006,0)), HYPERLINK("#",""), HYPERLINK(CONCATENATE("#metadata!", ADDRESS(INDEX($J$2:$J$1001,MATCH(ROWS($H$2:H489),$H$2:$H$1001,0),0), INDEX($O$1004:$Q$1004,1,MATCH(COLUMNS($O$1006:O1006),$O$1006:$Q$1006,0)))),"Fix")))</f>
        <v xml:space="preserve"> </v>
      </c>
      <c r="C489" s="3" t="str">
        <f ca="1">IF(OR(INDEX($I$2:$I$1001,MATCH(ROWS($H$2:H489),$H$2:$H$1001,0),1)&gt;=100000,INDEX($O$1005:$Q$1005,1,MATCH(COLUMNS($O$1006:P1006),$O$1006:$Q$1006,0))&gt;=100000), " ",IF(INDEX($O$2:$Q$1001,MATCH(ROWS($H$2:H489),$H$2:$H$1001,0),MATCH(COLUMNS($O$1006:P1006),$O$1006:$Q$1006,0)), HYPERLINK("#",""), HYPERLINK(CONCATENATE("#metadata!", ADDRESS(INDEX($J$2:$J$1001,MATCH(ROWS($H$2:H489),$H$2:$H$1001,0),0), INDEX($O$1004:$Q$1004,1,MATCH(COLUMNS($O$1006:P1006),$O$1006:$Q$1006,0)))),"Fix")))</f>
        <v xml:space="preserve"> </v>
      </c>
      <c r="D489" s="3" t="str">
        <f ca="1">IF(OR(INDEX($I$2:$I$1001,MATCH(ROWS($H$2:H489),$H$2:$H$1001,0),1)&gt;=100000,INDEX($O$1005:$Q$1005,1,MATCH(COLUMNS($O$1006:Q1006),$O$1006:$Q$1006,0))&gt;=100000), " ",IF(INDEX($O$2:$Q$1001,MATCH(ROWS($H$2:H489),$H$2:$H$1001,0),MATCH(COLUMNS($O$1006:Q1006),$O$1006:$Q$1006,0)), HYPERLINK("#",""), HYPERLINK(CONCATENATE("#metadata!", ADDRESS(INDEX($J$2:$J$1001,MATCH(ROWS($H$2:H489),$H$2:$H$1001,0),0), INDEX($O$1004:$Q$1004,1,MATCH(COLUMNS($O$1006:Q1006),$O$1006:$Q$1006,0)))),"Fix")))</f>
        <v xml:space="preserve"> </v>
      </c>
      <c r="H489">
        <v>488</v>
      </c>
      <c r="I489">
        <v>100489</v>
      </c>
      <c r="J489">
        <v>489</v>
      </c>
      <c r="K489" t="b">
        <f t="shared" si="7"/>
        <v>1</v>
      </c>
      <c r="L489" t="b">
        <f>COUNTBLANK(metadata!B489:D489)=COLUMNS(metadata!B489:D489)</f>
        <v>1</v>
      </c>
      <c r="M489" t="str">
        <v/>
      </c>
      <c r="O489" t="b">
        <f ca="1"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P489" t="b">
        <f>AND(IF(metadata!C489="",FALSE,TRUE),EXACT(metadata!C489,"mouse gut metagenome"))</f>
        <v>0</v>
      </c>
      <c r="Q489" t="b">
        <f>AND(IF(metadata!D489="",FALSE,TRUE),EXACT(metadata!D489,"410661"))</f>
        <v>0</v>
      </c>
    </row>
    <row r="490" spans="1:17" x14ac:dyDescent="0.2">
      <c r="A490" s="4" t="str">
        <f ca="1">IF(B490=" "," ",HYPERLINK(CONCATENATE("#metadata!",ADDRESS(INDEX($J$2:$J$1001,MATCH(ROWS($H$2:H490),$H$2:$H$1001,0),0),1)),INDEX($M$2:$M$1001,MATCH(ROWS($H$2:H490),$H$2:$H$1001,0),0)))</f>
        <v xml:space="preserve"> </v>
      </c>
      <c r="B490" s="3" t="str">
        <f ca="1">IF(OR(INDEX($I$2:$I$1001,MATCH(ROWS($H$2:H490),$H$2:$H$1001,0),1)&gt;=100000,INDEX($O$1005:$Q$1005,1,MATCH(COLUMNS($O$1006:O1006),$O$1006:$Q$1006,0))&gt;=100000), " ",IF(INDEX($O$2:$Q$1001,MATCH(ROWS($H$2:H490),$H$2:$H$1001,0),MATCH(COLUMNS($O$1006:O1006),$O$1006:$Q$1006,0)), HYPERLINK("#",""), HYPERLINK(CONCATENATE("#metadata!", ADDRESS(INDEX($J$2:$J$1001,MATCH(ROWS($H$2:H490),$H$2:$H$1001,0),0), INDEX($O$1004:$Q$1004,1,MATCH(COLUMNS($O$1006:O1006),$O$1006:$Q$1006,0)))),"Fix")))</f>
        <v xml:space="preserve"> </v>
      </c>
      <c r="C490" s="3" t="str">
        <f ca="1">IF(OR(INDEX($I$2:$I$1001,MATCH(ROWS($H$2:H490),$H$2:$H$1001,0),1)&gt;=100000,INDEX($O$1005:$Q$1005,1,MATCH(COLUMNS($O$1006:P1006),$O$1006:$Q$1006,0))&gt;=100000), " ",IF(INDEX($O$2:$Q$1001,MATCH(ROWS($H$2:H490),$H$2:$H$1001,0),MATCH(COLUMNS($O$1006:P1006),$O$1006:$Q$1006,0)), HYPERLINK("#",""), HYPERLINK(CONCATENATE("#metadata!", ADDRESS(INDEX($J$2:$J$1001,MATCH(ROWS($H$2:H490),$H$2:$H$1001,0),0), INDEX($O$1004:$Q$1004,1,MATCH(COLUMNS($O$1006:P1006),$O$1006:$Q$1006,0)))),"Fix")))</f>
        <v xml:space="preserve"> </v>
      </c>
      <c r="D490" s="3" t="str">
        <f ca="1">IF(OR(INDEX($I$2:$I$1001,MATCH(ROWS($H$2:H490),$H$2:$H$1001,0),1)&gt;=100000,INDEX($O$1005:$Q$1005,1,MATCH(COLUMNS($O$1006:Q1006),$O$1006:$Q$1006,0))&gt;=100000), " ",IF(INDEX($O$2:$Q$1001,MATCH(ROWS($H$2:H490),$H$2:$H$1001,0),MATCH(COLUMNS($O$1006:Q1006),$O$1006:$Q$1006,0)), HYPERLINK("#",""), HYPERLINK(CONCATENATE("#metadata!", ADDRESS(INDEX($J$2:$J$1001,MATCH(ROWS($H$2:H490),$H$2:$H$1001,0),0), INDEX($O$1004:$Q$1004,1,MATCH(COLUMNS($O$1006:Q1006),$O$1006:$Q$1006,0)))),"Fix")))</f>
        <v xml:space="preserve"> </v>
      </c>
      <c r="H490">
        <v>489</v>
      </c>
      <c r="I490">
        <v>100490</v>
      </c>
      <c r="J490">
        <v>490</v>
      </c>
      <c r="K490" t="b">
        <f t="shared" si="7"/>
        <v>1</v>
      </c>
      <c r="L490" t="b">
        <f>COUNTBLANK(metadata!B490:D490)=COLUMNS(metadata!B490:D490)</f>
        <v>1</v>
      </c>
      <c r="M490" t="str">
        <v/>
      </c>
      <c r="O490" t="b">
        <f ca="1"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P490" t="b">
        <f>AND(IF(metadata!C490="",FALSE,TRUE),EXACT(metadata!C490,"mouse gut metagenome"))</f>
        <v>0</v>
      </c>
      <c r="Q490" t="b">
        <f>AND(IF(metadata!D490="",FALSE,TRUE),EXACT(metadata!D490,"410661"))</f>
        <v>0</v>
      </c>
    </row>
    <row r="491" spans="1:17" x14ac:dyDescent="0.2">
      <c r="A491" s="4" t="str">
        <f ca="1">IF(B491=" "," ",HYPERLINK(CONCATENATE("#metadata!",ADDRESS(INDEX($J$2:$J$1001,MATCH(ROWS($H$2:H491),$H$2:$H$1001,0),0),1)),INDEX($M$2:$M$1001,MATCH(ROWS($H$2:H491),$H$2:$H$1001,0),0)))</f>
        <v xml:space="preserve"> </v>
      </c>
      <c r="B491" s="3" t="str">
        <f ca="1">IF(OR(INDEX($I$2:$I$1001,MATCH(ROWS($H$2:H491),$H$2:$H$1001,0),1)&gt;=100000,INDEX($O$1005:$Q$1005,1,MATCH(COLUMNS($O$1006:O1006),$O$1006:$Q$1006,0))&gt;=100000), " ",IF(INDEX($O$2:$Q$1001,MATCH(ROWS($H$2:H491),$H$2:$H$1001,0),MATCH(COLUMNS($O$1006:O1006),$O$1006:$Q$1006,0)), HYPERLINK("#",""), HYPERLINK(CONCATENATE("#metadata!", ADDRESS(INDEX($J$2:$J$1001,MATCH(ROWS($H$2:H491),$H$2:$H$1001,0),0), INDEX($O$1004:$Q$1004,1,MATCH(COLUMNS($O$1006:O1006),$O$1006:$Q$1006,0)))),"Fix")))</f>
        <v xml:space="preserve"> </v>
      </c>
      <c r="C491" s="3" t="str">
        <f ca="1">IF(OR(INDEX($I$2:$I$1001,MATCH(ROWS($H$2:H491),$H$2:$H$1001,0),1)&gt;=100000,INDEX($O$1005:$Q$1005,1,MATCH(COLUMNS($O$1006:P1006),$O$1006:$Q$1006,0))&gt;=100000), " ",IF(INDEX($O$2:$Q$1001,MATCH(ROWS($H$2:H491),$H$2:$H$1001,0),MATCH(COLUMNS($O$1006:P1006),$O$1006:$Q$1006,0)), HYPERLINK("#",""), HYPERLINK(CONCATENATE("#metadata!", ADDRESS(INDEX($J$2:$J$1001,MATCH(ROWS($H$2:H491),$H$2:$H$1001,0),0), INDEX($O$1004:$Q$1004,1,MATCH(COLUMNS($O$1006:P1006),$O$1006:$Q$1006,0)))),"Fix")))</f>
        <v xml:space="preserve"> </v>
      </c>
      <c r="D491" s="3" t="str">
        <f ca="1">IF(OR(INDEX($I$2:$I$1001,MATCH(ROWS($H$2:H491),$H$2:$H$1001,0),1)&gt;=100000,INDEX($O$1005:$Q$1005,1,MATCH(COLUMNS($O$1006:Q1006),$O$1006:$Q$1006,0))&gt;=100000), " ",IF(INDEX($O$2:$Q$1001,MATCH(ROWS($H$2:H491),$H$2:$H$1001,0),MATCH(COLUMNS($O$1006:Q1006),$O$1006:$Q$1006,0)), HYPERLINK("#",""), HYPERLINK(CONCATENATE("#metadata!", ADDRESS(INDEX($J$2:$J$1001,MATCH(ROWS($H$2:H491),$H$2:$H$1001,0),0), INDEX($O$1004:$Q$1004,1,MATCH(COLUMNS($O$1006:Q1006),$O$1006:$Q$1006,0)))),"Fix")))</f>
        <v xml:space="preserve"> </v>
      </c>
      <c r="H491">
        <v>490</v>
      </c>
      <c r="I491">
        <v>100491</v>
      </c>
      <c r="J491">
        <v>491</v>
      </c>
      <c r="K491" t="b">
        <f t="shared" si="7"/>
        <v>1</v>
      </c>
      <c r="L491" t="b">
        <f>COUNTBLANK(metadata!B491:D491)=COLUMNS(metadata!B491:D491)</f>
        <v>1</v>
      </c>
      <c r="M491" t="str">
        <v/>
      </c>
      <c r="O491" t="b">
        <f ca="1"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P491" t="b">
        <f>AND(IF(metadata!C491="",FALSE,TRUE),EXACT(metadata!C491,"mouse gut metagenome"))</f>
        <v>0</v>
      </c>
      <c r="Q491" t="b">
        <f>AND(IF(metadata!D491="",FALSE,TRUE),EXACT(metadata!D491,"410661"))</f>
        <v>0</v>
      </c>
    </row>
    <row r="492" spans="1:17" x14ac:dyDescent="0.2">
      <c r="A492" s="4" t="str">
        <f ca="1">IF(B492=" "," ",HYPERLINK(CONCATENATE("#metadata!",ADDRESS(INDEX($J$2:$J$1001,MATCH(ROWS($H$2:H492),$H$2:$H$1001,0),0),1)),INDEX($M$2:$M$1001,MATCH(ROWS($H$2:H492),$H$2:$H$1001,0),0)))</f>
        <v xml:space="preserve"> </v>
      </c>
      <c r="B492" s="3" t="str">
        <f ca="1">IF(OR(INDEX($I$2:$I$1001,MATCH(ROWS($H$2:H492),$H$2:$H$1001,0),1)&gt;=100000,INDEX($O$1005:$Q$1005,1,MATCH(COLUMNS($O$1006:O1006),$O$1006:$Q$1006,0))&gt;=100000), " ",IF(INDEX($O$2:$Q$1001,MATCH(ROWS($H$2:H492),$H$2:$H$1001,0),MATCH(COLUMNS($O$1006:O1006),$O$1006:$Q$1006,0)), HYPERLINK("#",""), HYPERLINK(CONCATENATE("#metadata!", ADDRESS(INDEX($J$2:$J$1001,MATCH(ROWS($H$2:H492),$H$2:$H$1001,0),0), INDEX($O$1004:$Q$1004,1,MATCH(COLUMNS($O$1006:O1006),$O$1006:$Q$1006,0)))),"Fix")))</f>
        <v xml:space="preserve"> </v>
      </c>
      <c r="C492" s="3" t="str">
        <f ca="1">IF(OR(INDEX($I$2:$I$1001,MATCH(ROWS($H$2:H492),$H$2:$H$1001,0),1)&gt;=100000,INDEX($O$1005:$Q$1005,1,MATCH(COLUMNS($O$1006:P1006),$O$1006:$Q$1006,0))&gt;=100000), " ",IF(INDEX($O$2:$Q$1001,MATCH(ROWS($H$2:H492),$H$2:$H$1001,0),MATCH(COLUMNS($O$1006:P1006),$O$1006:$Q$1006,0)), HYPERLINK("#",""), HYPERLINK(CONCATENATE("#metadata!", ADDRESS(INDEX($J$2:$J$1001,MATCH(ROWS($H$2:H492),$H$2:$H$1001,0),0), INDEX($O$1004:$Q$1004,1,MATCH(COLUMNS($O$1006:P1006),$O$1006:$Q$1006,0)))),"Fix")))</f>
        <v xml:space="preserve"> </v>
      </c>
      <c r="D492" s="3" t="str">
        <f ca="1">IF(OR(INDEX($I$2:$I$1001,MATCH(ROWS($H$2:H492),$H$2:$H$1001,0),1)&gt;=100000,INDEX($O$1005:$Q$1005,1,MATCH(COLUMNS($O$1006:Q1006),$O$1006:$Q$1006,0))&gt;=100000), " ",IF(INDEX($O$2:$Q$1001,MATCH(ROWS($H$2:H492),$H$2:$H$1001,0),MATCH(COLUMNS($O$1006:Q1006),$O$1006:$Q$1006,0)), HYPERLINK("#",""), HYPERLINK(CONCATENATE("#metadata!", ADDRESS(INDEX($J$2:$J$1001,MATCH(ROWS($H$2:H492),$H$2:$H$1001,0),0), INDEX($O$1004:$Q$1004,1,MATCH(COLUMNS($O$1006:Q1006),$O$1006:$Q$1006,0)))),"Fix")))</f>
        <v xml:space="preserve"> </v>
      </c>
      <c r="H492">
        <v>491</v>
      </c>
      <c r="I492">
        <v>100492</v>
      </c>
      <c r="J492">
        <v>492</v>
      </c>
      <c r="K492" t="b">
        <f t="shared" si="7"/>
        <v>1</v>
      </c>
      <c r="L492" t="b">
        <f>COUNTBLANK(metadata!B492:D492)=COLUMNS(metadata!B492:D492)</f>
        <v>1</v>
      </c>
      <c r="M492" t="str">
        <v/>
      </c>
      <c r="O492" t="b">
        <f ca="1"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P492" t="b">
        <f>AND(IF(metadata!C492="",FALSE,TRUE),EXACT(metadata!C492,"mouse gut metagenome"))</f>
        <v>0</v>
      </c>
      <c r="Q492" t="b">
        <f>AND(IF(metadata!D492="",FALSE,TRUE),EXACT(metadata!D492,"410661"))</f>
        <v>0</v>
      </c>
    </row>
    <row r="493" spans="1:17" x14ac:dyDescent="0.2">
      <c r="A493" s="4" t="str">
        <f ca="1">IF(B493=" "," ",HYPERLINK(CONCATENATE("#metadata!",ADDRESS(INDEX($J$2:$J$1001,MATCH(ROWS($H$2:H493),$H$2:$H$1001,0),0),1)),INDEX($M$2:$M$1001,MATCH(ROWS($H$2:H493),$H$2:$H$1001,0),0)))</f>
        <v xml:space="preserve"> </v>
      </c>
      <c r="B493" s="3" t="str">
        <f ca="1">IF(OR(INDEX($I$2:$I$1001,MATCH(ROWS($H$2:H493),$H$2:$H$1001,0),1)&gt;=100000,INDEX($O$1005:$Q$1005,1,MATCH(COLUMNS($O$1006:O1006),$O$1006:$Q$1006,0))&gt;=100000), " ",IF(INDEX($O$2:$Q$1001,MATCH(ROWS($H$2:H493),$H$2:$H$1001,0),MATCH(COLUMNS($O$1006:O1006),$O$1006:$Q$1006,0)), HYPERLINK("#",""), HYPERLINK(CONCATENATE("#metadata!", ADDRESS(INDEX($J$2:$J$1001,MATCH(ROWS($H$2:H493),$H$2:$H$1001,0),0), INDEX($O$1004:$Q$1004,1,MATCH(COLUMNS($O$1006:O1006),$O$1006:$Q$1006,0)))),"Fix")))</f>
        <v xml:space="preserve"> </v>
      </c>
      <c r="C493" s="3" t="str">
        <f ca="1">IF(OR(INDEX($I$2:$I$1001,MATCH(ROWS($H$2:H493),$H$2:$H$1001,0),1)&gt;=100000,INDEX($O$1005:$Q$1005,1,MATCH(COLUMNS($O$1006:P1006),$O$1006:$Q$1006,0))&gt;=100000), " ",IF(INDEX($O$2:$Q$1001,MATCH(ROWS($H$2:H493),$H$2:$H$1001,0),MATCH(COLUMNS($O$1006:P1006),$O$1006:$Q$1006,0)), HYPERLINK("#",""), HYPERLINK(CONCATENATE("#metadata!", ADDRESS(INDEX($J$2:$J$1001,MATCH(ROWS($H$2:H493),$H$2:$H$1001,0),0), INDEX($O$1004:$Q$1004,1,MATCH(COLUMNS($O$1006:P1006),$O$1006:$Q$1006,0)))),"Fix")))</f>
        <v xml:space="preserve"> </v>
      </c>
      <c r="D493" s="3" t="str">
        <f ca="1">IF(OR(INDEX($I$2:$I$1001,MATCH(ROWS($H$2:H493),$H$2:$H$1001,0),1)&gt;=100000,INDEX($O$1005:$Q$1005,1,MATCH(COLUMNS($O$1006:Q1006),$O$1006:$Q$1006,0))&gt;=100000), " ",IF(INDEX($O$2:$Q$1001,MATCH(ROWS($H$2:H493),$H$2:$H$1001,0),MATCH(COLUMNS($O$1006:Q1006),$O$1006:$Q$1006,0)), HYPERLINK("#",""), HYPERLINK(CONCATENATE("#metadata!", ADDRESS(INDEX($J$2:$J$1001,MATCH(ROWS($H$2:H493),$H$2:$H$1001,0),0), INDEX($O$1004:$Q$1004,1,MATCH(COLUMNS($O$1006:Q1006),$O$1006:$Q$1006,0)))),"Fix")))</f>
        <v xml:space="preserve"> </v>
      </c>
      <c r="H493">
        <v>492</v>
      </c>
      <c r="I493">
        <v>100493</v>
      </c>
      <c r="J493">
        <v>493</v>
      </c>
      <c r="K493" t="b">
        <f t="shared" si="7"/>
        <v>1</v>
      </c>
      <c r="L493" t="b">
        <f>COUNTBLANK(metadata!B493:D493)=COLUMNS(metadata!B493:D493)</f>
        <v>1</v>
      </c>
      <c r="M493" t="str">
        <v/>
      </c>
      <c r="O493" t="b">
        <f ca="1"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P493" t="b">
        <f>AND(IF(metadata!C493="",FALSE,TRUE),EXACT(metadata!C493,"mouse gut metagenome"))</f>
        <v>0</v>
      </c>
      <c r="Q493" t="b">
        <f>AND(IF(metadata!D493="",FALSE,TRUE),EXACT(metadata!D493,"410661"))</f>
        <v>0</v>
      </c>
    </row>
    <row r="494" spans="1:17" x14ac:dyDescent="0.2">
      <c r="A494" s="4" t="str">
        <f ca="1">IF(B494=" "," ",HYPERLINK(CONCATENATE("#metadata!",ADDRESS(INDEX($J$2:$J$1001,MATCH(ROWS($H$2:H494),$H$2:$H$1001,0),0),1)),INDEX($M$2:$M$1001,MATCH(ROWS($H$2:H494),$H$2:$H$1001,0),0)))</f>
        <v xml:space="preserve"> </v>
      </c>
      <c r="B494" s="3" t="str">
        <f ca="1">IF(OR(INDEX($I$2:$I$1001,MATCH(ROWS($H$2:H494),$H$2:$H$1001,0),1)&gt;=100000,INDEX($O$1005:$Q$1005,1,MATCH(COLUMNS($O$1006:O1006),$O$1006:$Q$1006,0))&gt;=100000), " ",IF(INDEX($O$2:$Q$1001,MATCH(ROWS($H$2:H494),$H$2:$H$1001,0),MATCH(COLUMNS($O$1006:O1006),$O$1006:$Q$1006,0)), HYPERLINK("#",""), HYPERLINK(CONCATENATE("#metadata!", ADDRESS(INDEX($J$2:$J$1001,MATCH(ROWS($H$2:H494),$H$2:$H$1001,0),0), INDEX($O$1004:$Q$1004,1,MATCH(COLUMNS($O$1006:O1006),$O$1006:$Q$1006,0)))),"Fix")))</f>
        <v xml:space="preserve"> </v>
      </c>
      <c r="C494" s="3" t="str">
        <f ca="1">IF(OR(INDEX($I$2:$I$1001,MATCH(ROWS($H$2:H494),$H$2:$H$1001,0),1)&gt;=100000,INDEX($O$1005:$Q$1005,1,MATCH(COLUMNS($O$1006:P1006),$O$1006:$Q$1006,0))&gt;=100000), " ",IF(INDEX($O$2:$Q$1001,MATCH(ROWS($H$2:H494),$H$2:$H$1001,0),MATCH(COLUMNS($O$1006:P1006),$O$1006:$Q$1006,0)), HYPERLINK("#",""), HYPERLINK(CONCATENATE("#metadata!", ADDRESS(INDEX($J$2:$J$1001,MATCH(ROWS($H$2:H494),$H$2:$H$1001,0),0), INDEX($O$1004:$Q$1004,1,MATCH(COLUMNS($O$1006:P1006),$O$1006:$Q$1006,0)))),"Fix")))</f>
        <v xml:space="preserve"> </v>
      </c>
      <c r="D494" s="3" t="str">
        <f ca="1">IF(OR(INDEX($I$2:$I$1001,MATCH(ROWS($H$2:H494),$H$2:$H$1001,0),1)&gt;=100000,INDEX($O$1005:$Q$1005,1,MATCH(COLUMNS($O$1006:Q1006),$O$1006:$Q$1006,0))&gt;=100000), " ",IF(INDEX($O$2:$Q$1001,MATCH(ROWS($H$2:H494),$H$2:$H$1001,0),MATCH(COLUMNS($O$1006:Q1006),$O$1006:$Q$1006,0)), HYPERLINK("#",""), HYPERLINK(CONCATENATE("#metadata!", ADDRESS(INDEX($J$2:$J$1001,MATCH(ROWS($H$2:H494),$H$2:$H$1001,0),0), INDEX($O$1004:$Q$1004,1,MATCH(COLUMNS($O$1006:Q1006),$O$1006:$Q$1006,0)))),"Fix")))</f>
        <v xml:space="preserve"> </v>
      </c>
      <c r="H494">
        <v>493</v>
      </c>
      <c r="I494">
        <v>100494</v>
      </c>
      <c r="J494">
        <v>494</v>
      </c>
      <c r="K494" t="b">
        <f t="shared" si="7"/>
        <v>1</v>
      </c>
      <c r="L494" t="b">
        <f>COUNTBLANK(metadata!B494:D494)=COLUMNS(metadata!B494:D494)</f>
        <v>1</v>
      </c>
      <c r="M494" t="str">
        <v/>
      </c>
      <c r="O494" t="b">
        <f ca="1"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P494" t="b">
        <f>AND(IF(metadata!C494="",FALSE,TRUE),EXACT(metadata!C494,"mouse gut metagenome"))</f>
        <v>0</v>
      </c>
      <c r="Q494" t="b">
        <f>AND(IF(metadata!D494="",FALSE,TRUE),EXACT(metadata!D494,"410661"))</f>
        <v>0</v>
      </c>
    </row>
    <row r="495" spans="1:17" x14ac:dyDescent="0.2">
      <c r="A495" s="4" t="str">
        <f ca="1">IF(B495=" "," ",HYPERLINK(CONCATENATE("#metadata!",ADDRESS(INDEX($J$2:$J$1001,MATCH(ROWS($H$2:H495),$H$2:$H$1001,0),0),1)),INDEX($M$2:$M$1001,MATCH(ROWS($H$2:H495),$H$2:$H$1001,0),0)))</f>
        <v xml:space="preserve"> </v>
      </c>
      <c r="B495" s="3" t="str">
        <f ca="1">IF(OR(INDEX($I$2:$I$1001,MATCH(ROWS($H$2:H495),$H$2:$H$1001,0),1)&gt;=100000,INDEX($O$1005:$Q$1005,1,MATCH(COLUMNS($O$1006:O1006),$O$1006:$Q$1006,0))&gt;=100000), " ",IF(INDEX($O$2:$Q$1001,MATCH(ROWS($H$2:H495),$H$2:$H$1001,0),MATCH(COLUMNS($O$1006:O1006),$O$1006:$Q$1006,0)), HYPERLINK("#",""), HYPERLINK(CONCATENATE("#metadata!", ADDRESS(INDEX($J$2:$J$1001,MATCH(ROWS($H$2:H495),$H$2:$H$1001,0),0), INDEX($O$1004:$Q$1004,1,MATCH(COLUMNS($O$1006:O1006),$O$1006:$Q$1006,0)))),"Fix")))</f>
        <v xml:space="preserve"> </v>
      </c>
      <c r="C495" s="3" t="str">
        <f ca="1">IF(OR(INDEX($I$2:$I$1001,MATCH(ROWS($H$2:H495),$H$2:$H$1001,0),1)&gt;=100000,INDEX($O$1005:$Q$1005,1,MATCH(COLUMNS($O$1006:P1006),$O$1006:$Q$1006,0))&gt;=100000), " ",IF(INDEX($O$2:$Q$1001,MATCH(ROWS($H$2:H495),$H$2:$H$1001,0),MATCH(COLUMNS($O$1006:P1006),$O$1006:$Q$1006,0)), HYPERLINK("#",""), HYPERLINK(CONCATENATE("#metadata!", ADDRESS(INDEX($J$2:$J$1001,MATCH(ROWS($H$2:H495),$H$2:$H$1001,0),0), INDEX($O$1004:$Q$1004,1,MATCH(COLUMNS($O$1006:P1006),$O$1006:$Q$1006,0)))),"Fix")))</f>
        <v xml:space="preserve"> </v>
      </c>
      <c r="D495" s="3" t="str">
        <f ca="1">IF(OR(INDEX($I$2:$I$1001,MATCH(ROWS($H$2:H495),$H$2:$H$1001,0),1)&gt;=100000,INDEX($O$1005:$Q$1005,1,MATCH(COLUMNS($O$1006:Q1006),$O$1006:$Q$1006,0))&gt;=100000), " ",IF(INDEX($O$2:$Q$1001,MATCH(ROWS($H$2:H495),$H$2:$H$1001,0),MATCH(COLUMNS($O$1006:Q1006),$O$1006:$Q$1006,0)), HYPERLINK("#",""), HYPERLINK(CONCATENATE("#metadata!", ADDRESS(INDEX($J$2:$J$1001,MATCH(ROWS($H$2:H495),$H$2:$H$1001,0),0), INDEX($O$1004:$Q$1004,1,MATCH(COLUMNS($O$1006:Q1006),$O$1006:$Q$1006,0)))),"Fix")))</f>
        <v xml:space="preserve"> </v>
      </c>
      <c r="H495">
        <v>494</v>
      </c>
      <c r="I495">
        <v>100495</v>
      </c>
      <c r="J495">
        <v>495</v>
      </c>
      <c r="K495" t="b">
        <f t="shared" si="7"/>
        <v>1</v>
      </c>
      <c r="L495" t="b">
        <f>COUNTBLANK(metadata!B495:D495)=COLUMNS(metadata!B495:D495)</f>
        <v>1</v>
      </c>
      <c r="M495" t="str">
        <v/>
      </c>
      <c r="O495" t="b">
        <f ca="1"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P495" t="b">
        <f>AND(IF(metadata!C495="",FALSE,TRUE),EXACT(metadata!C495,"mouse gut metagenome"))</f>
        <v>0</v>
      </c>
      <c r="Q495" t="b">
        <f>AND(IF(metadata!D495="",FALSE,TRUE),EXACT(metadata!D495,"410661"))</f>
        <v>0</v>
      </c>
    </row>
    <row r="496" spans="1:17" x14ac:dyDescent="0.2">
      <c r="A496" s="4" t="str">
        <f ca="1">IF(B496=" "," ",HYPERLINK(CONCATENATE("#metadata!",ADDRESS(INDEX($J$2:$J$1001,MATCH(ROWS($H$2:H496),$H$2:$H$1001,0),0),1)),INDEX($M$2:$M$1001,MATCH(ROWS($H$2:H496),$H$2:$H$1001,0),0)))</f>
        <v xml:space="preserve"> </v>
      </c>
      <c r="B496" s="3" t="str">
        <f ca="1">IF(OR(INDEX($I$2:$I$1001,MATCH(ROWS($H$2:H496),$H$2:$H$1001,0),1)&gt;=100000,INDEX($O$1005:$Q$1005,1,MATCH(COLUMNS($O$1006:O1006),$O$1006:$Q$1006,0))&gt;=100000), " ",IF(INDEX($O$2:$Q$1001,MATCH(ROWS($H$2:H496),$H$2:$H$1001,0),MATCH(COLUMNS($O$1006:O1006),$O$1006:$Q$1006,0)), HYPERLINK("#",""), HYPERLINK(CONCATENATE("#metadata!", ADDRESS(INDEX($J$2:$J$1001,MATCH(ROWS($H$2:H496),$H$2:$H$1001,0),0), INDEX($O$1004:$Q$1004,1,MATCH(COLUMNS($O$1006:O1006),$O$1006:$Q$1006,0)))),"Fix")))</f>
        <v xml:space="preserve"> </v>
      </c>
      <c r="C496" s="3" t="str">
        <f ca="1">IF(OR(INDEX($I$2:$I$1001,MATCH(ROWS($H$2:H496),$H$2:$H$1001,0),1)&gt;=100000,INDEX($O$1005:$Q$1005,1,MATCH(COLUMNS($O$1006:P1006),$O$1006:$Q$1006,0))&gt;=100000), " ",IF(INDEX($O$2:$Q$1001,MATCH(ROWS($H$2:H496),$H$2:$H$1001,0),MATCH(COLUMNS($O$1006:P1006),$O$1006:$Q$1006,0)), HYPERLINK("#",""), HYPERLINK(CONCATENATE("#metadata!", ADDRESS(INDEX($J$2:$J$1001,MATCH(ROWS($H$2:H496),$H$2:$H$1001,0),0), INDEX($O$1004:$Q$1004,1,MATCH(COLUMNS($O$1006:P1006),$O$1006:$Q$1006,0)))),"Fix")))</f>
        <v xml:space="preserve"> </v>
      </c>
      <c r="D496" s="3" t="str">
        <f ca="1">IF(OR(INDEX($I$2:$I$1001,MATCH(ROWS($H$2:H496),$H$2:$H$1001,0),1)&gt;=100000,INDEX($O$1005:$Q$1005,1,MATCH(COLUMNS($O$1006:Q1006),$O$1006:$Q$1006,0))&gt;=100000), " ",IF(INDEX($O$2:$Q$1001,MATCH(ROWS($H$2:H496),$H$2:$H$1001,0),MATCH(COLUMNS($O$1006:Q1006),$O$1006:$Q$1006,0)), HYPERLINK("#",""), HYPERLINK(CONCATENATE("#metadata!", ADDRESS(INDEX($J$2:$J$1001,MATCH(ROWS($H$2:H496),$H$2:$H$1001,0),0), INDEX($O$1004:$Q$1004,1,MATCH(COLUMNS($O$1006:Q1006),$O$1006:$Q$1006,0)))),"Fix")))</f>
        <v xml:space="preserve"> </v>
      </c>
      <c r="H496">
        <v>495</v>
      </c>
      <c r="I496">
        <v>100496</v>
      </c>
      <c r="J496">
        <v>496</v>
      </c>
      <c r="K496" t="b">
        <f t="shared" si="7"/>
        <v>1</v>
      </c>
      <c r="L496" t="b">
        <f>COUNTBLANK(metadata!B496:D496)=COLUMNS(metadata!B496:D496)</f>
        <v>1</v>
      </c>
      <c r="M496" t="str">
        <v/>
      </c>
      <c r="O496" t="b">
        <f ca="1"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P496" t="b">
        <f>AND(IF(metadata!C496="",FALSE,TRUE),EXACT(metadata!C496,"mouse gut metagenome"))</f>
        <v>0</v>
      </c>
      <c r="Q496" t="b">
        <f>AND(IF(metadata!D496="",FALSE,TRUE),EXACT(metadata!D496,"410661"))</f>
        <v>0</v>
      </c>
    </row>
    <row r="497" spans="1:17" x14ac:dyDescent="0.2">
      <c r="A497" s="4" t="str">
        <f ca="1">IF(B497=" "," ",HYPERLINK(CONCATENATE("#metadata!",ADDRESS(INDEX($J$2:$J$1001,MATCH(ROWS($H$2:H497),$H$2:$H$1001,0),0),1)),INDEX($M$2:$M$1001,MATCH(ROWS($H$2:H497),$H$2:$H$1001,0),0)))</f>
        <v xml:space="preserve"> </v>
      </c>
      <c r="B497" s="3" t="str">
        <f ca="1">IF(OR(INDEX($I$2:$I$1001,MATCH(ROWS($H$2:H497),$H$2:$H$1001,0),1)&gt;=100000,INDEX($O$1005:$Q$1005,1,MATCH(COLUMNS($O$1006:O1006),$O$1006:$Q$1006,0))&gt;=100000), " ",IF(INDEX($O$2:$Q$1001,MATCH(ROWS($H$2:H497),$H$2:$H$1001,0),MATCH(COLUMNS($O$1006:O1006),$O$1006:$Q$1006,0)), HYPERLINK("#",""), HYPERLINK(CONCATENATE("#metadata!", ADDRESS(INDEX($J$2:$J$1001,MATCH(ROWS($H$2:H497),$H$2:$H$1001,0),0), INDEX($O$1004:$Q$1004,1,MATCH(COLUMNS($O$1006:O1006),$O$1006:$Q$1006,0)))),"Fix")))</f>
        <v xml:space="preserve"> </v>
      </c>
      <c r="C497" s="3" t="str">
        <f ca="1">IF(OR(INDEX($I$2:$I$1001,MATCH(ROWS($H$2:H497),$H$2:$H$1001,0),1)&gt;=100000,INDEX($O$1005:$Q$1005,1,MATCH(COLUMNS($O$1006:P1006),$O$1006:$Q$1006,0))&gt;=100000), " ",IF(INDEX($O$2:$Q$1001,MATCH(ROWS($H$2:H497),$H$2:$H$1001,0),MATCH(COLUMNS($O$1006:P1006),$O$1006:$Q$1006,0)), HYPERLINK("#",""), HYPERLINK(CONCATENATE("#metadata!", ADDRESS(INDEX($J$2:$J$1001,MATCH(ROWS($H$2:H497),$H$2:$H$1001,0),0), INDEX($O$1004:$Q$1004,1,MATCH(COLUMNS($O$1006:P1006),$O$1006:$Q$1006,0)))),"Fix")))</f>
        <v xml:space="preserve"> </v>
      </c>
      <c r="D497" s="3" t="str">
        <f ca="1">IF(OR(INDEX($I$2:$I$1001,MATCH(ROWS($H$2:H497),$H$2:$H$1001,0),1)&gt;=100000,INDEX($O$1005:$Q$1005,1,MATCH(COLUMNS($O$1006:Q1006),$O$1006:$Q$1006,0))&gt;=100000), " ",IF(INDEX($O$2:$Q$1001,MATCH(ROWS($H$2:H497),$H$2:$H$1001,0),MATCH(COLUMNS($O$1006:Q1006),$O$1006:$Q$1006,0)), HYPERLINK("#",""), HYPERLINK(CONCATENATE("#metadata!", ADDRESS(INDEX($J$2:$J$1001,MATCH(ROWS($H$2:H497),$H$2:$H$1001,0),0), INDEX($O$1004:$Q$1004,1,MATCH(COLUMNS($O$1006:Q1006),$O$1006:$Q$1006,0)))),"Fix")))</f>
        <v xml:space="preserve"> </v>
      </c>
      <c r="H497">
        <v>496</v>
      </c>
      <c r="I497">
        <v>100497</v>
      </c>
      <c r="J497">
        <v>497</v>
      </c>
      <c r="K497" t="b">
        <f t="shared" si="7"/>
        <v>1</v>
      </c>
      <c r="L497" t="b">
        <f>COUNTBLANK(metadata!B497:D497)=COLUMNS(metadata!B497:D497)</f>
        <v>1</v>
      </c>
      <c r="M497" t="str">
        <v/>
      </c>
      <c r="O497" t="b">
        <f ca="1"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P497" t="b">
        <f>AND(IF(metadata!C497="",FALSE,TRUE),EXACT(metadata!C497,"mouse gut metagenome"))</f>
        <v>0</v>
      </c>
      <c r="Q497" t="b">
        <f>AND(IF(metadata!D497="",FALSE,TRUE),EXACT(metadata!D497,"410661"))</f>
        <v>0</v>
      </c>
    </row>
    <row r="498" spans="1:17" x14ac:dyDescent="0.2">
      <c r="A498" s="4" t="str">
        <f ca="1">IF(B498=" "," ",HYPERLINK(CONCATENATE("#metadata!",ADDRESS(INDEX($J$2:$J$1001,MATCH(ROWS($H$2:H498),$H$2:$H$1001,0),0),1)),INDEX($M$2:$M$1001,MATCH(ROWS($H$2:H498),$H$2:$H$1001,0),0)))</f>
        <v xml:space="preserve"> </v>
      </c>
      <c r="B498" s="3" t="str">
        <f ca="1">IF(OR(INDEX($I$2:$I$1001,MATCH(ROWS($H$2:H498),$H$2:$H$1001,0),1)&gt;=100000,INDEX($O$1005:$Q$1005,1,MATCH(COLUMNS($O$1006:O1006),$O$1006:$Q$1006,0))&gt;=100000), " ",IF(INDEX($O$2:$Q$1001,MATCH(ROWS($H$2:H498),$H$2:$H$1001,0),MATCH(COLUMNS($O$1006:O1006),$O$1006:$Q$1006,0)), HYPERLINK("#",""), HYPERLINK(CONCATENATE("#metadata!", ADDRESS(INDEX($J$2:$J$1001,MATCH(ROWS($H$2:H498),$H$2:$H$1001,0),0), INDEX($O$1004:$Q$1004,1,MATCH(COLUMNS($O$1006:O1006),$O$1006:$Q$1006,0)))),"Fix")))</f>
        <v xml:space="preserve"> </v>
      </c>
      <c r="C498" s="3" t="str">
        <f ca="1">IF(OR(INDEX($I$2:$I$1001,MATCH(ROWS($H$2:H498),$H$2:$H$1001,0),1)&gt;=100000,INDEX($O$1005:$Q$1005,1,MATCH(COLUMNS($O$1006:P1006),$O$1006:$Q$1006,0))&gt;=100000), " ",IF(INDEX($O$2:$Q$1001,MATCH(ROWS($H$2:H498),$H$2:$H$1001,0),MATCH(COLUMNS($O$1006:P1006),$O$1006:$Q$1006,0)), HYPERLINK("#",""), HYPERLINK(CONCATENATE("#metadata!", ADDRESS(INDEX($J$2:$J$1001,MATCH(ROWS($H$2:H498),$H$2:$H$1001,0),0), INDEX($O$1004:$Q$1004,1,MATCH(COLUMNS($O$1006:P1006),$O$1006:$Q$1006,0)))),"Fix")))</f>
        <v xml:space="preserve"> </v>
      </c>
      <c r="D498" s="3" t="str">
        <f ca="1">IF(OR(INDEX($I$2:$I$1001,MATCH(ROWS($H$2:H498),$H$2:$H$1001,0),1)&gt;=100000,INDEX($O$1005:$Q$1005,1,MATCH(COLUMNS($O$1006:Q1006),$O$1006:$Q$1006,0))&gt;=100000), " ",IF(INDEX($O$2:$Q$1001,MATCH(ROWS($H$2:H498),$H$2:$H$1001,0),MATCH(COLUMNS($O$1006:Q1006),$O$1006:$Q$1006,0)), HYPERLINK("#",""), HYPERLINK(CONCATENATE("#metadata!", ADDRESS(INDEX($J$2:$J$1001,MATCH(ROWS($H$2:H498),$H$2:$H$1001,0),0), INDEX($O$1004:$Q$1004,1,MATCH(COLUMNS($O$1006:Q1006),$O$1006:$Q$1006,0)))),"Fix")))</f>
        <v xml:space="preserve"> </v>
      </c>
      <c r="H498">
        <v>497</v>
      </c>
      <c r="I498">
        <v>100498</v>
      </c>
      <c r="J498">
        <v>498</v>
      </c>
      <c r="K498" t="b">
        <f t="shared" si="7"/>
        <v>1</v>
      </c>
      <c r="L498" t="b">
        <f>COUNTBLANK(metadata!B498:D498)=COLUMNS(metadata!B498:D498)</f>
        <v>1</v>
      </c>
      <c r="M498" t="str">
        <v/>
      </c>
      <c r="O498" t="b">
        <f ca="1"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P498" t="b">
        <f>AND(IF(metadata!C498="",FALSE,TRUE),EXACT(metadata!C498,"mouse gut metagenome"))</f>
        <v>0</v>
      </c>
      <c r="Q498" t="b">
        <f>AND(IF(metadata!D498="",FALSE,TRUE),EXACT(metadata!D498,"410661"))</f>
        <v>0</v>
      </c>
    </row>
    <row r="499" spans="1:17" x14ac:dyDescent="0.2">
      <c r="A499" s="4" t="str">
        <f ca="1">IF(B499=" "," ",HYPERLINK(CONCATENATE("#metadata!",ADDRESS(INDEX($J$2:$J$1001,MATCH(ROWS($H$2:H499),$H$2:$H$1001,0),0),1)),INDEX($M$2:$M$1001,MATCH(ROWS($H$2:H499),$H$2:$H$1001,0),0)))</f>
        <v xml:space="preserve"> </v>
      </c>
      <c r="B499" s="3" t="str">
        <f ca="1">IF(OR(INDEX($I$2:$I$1001,MATCH(ROWS($H$2:H499),$H$2:$H$1001,0),1)&gt;=100000,INDEX($O$1005:$Q$1005,1,MATCH(COLUMNS($O$1006:O1006),$O$1006:$Q$1006,0))&gt;=100000), " ",IF(INDEX($O$2:$Q$1001,MATCH(ROWS($H$2:H499),$H$2:$H$1001,0),MATCH(COLUMNS($O$1006:O1006),$O$1006:$Q$1006,0)), HYPERLINK("#",""), HYPERLINK(CONCATENATE("#metadata!", ADDRESS(INDEX($J$2:$J$1001,MATCH(ROWS($H$2:H499),$H$2:$H$1001,0),0), INDEX($O$1004:$Q$1004,1,MATCH(COLUMNS($O$1006:O1006),$O$1006:$Q$1006,0)))),"Fix")))</f>
        <v xml:space="preserve"> </v>
      </c>
      <c r="C499" s="3" t="str">
        <f ca="1">IF(OR(INDEX($I$2:$I$1001,MATCH(ROWS($H$2:H499),$H$2:$H$1001,0),1)&gt;=100000,INDEX($O$1005:$Q$1005,1,MATCH(COLUMNS($O$1006:P1006),$O$1006:$Q$1006,0))&gt;=100000), " ",IF(INDEX($O$2:$Q$1001,MATCH(ROWS($H$2:H499),$H$2:$H$1001,0),MATCH(COLUMNS($O$1006:P1006),$O$1006:$Q$1006,0)), HYPERLINK("#",""), HYPERLINK(CONCATENATE("#metadata!", ADDRESS(INDEX($J$2:$J$1001,MATCH(ROWS($H$2:H499),$H$2:$H$1001,0),0), INDEX($O$1004:$Q$1004,1,MATCH(COLUMNS($O$1006:P1006),$O$1006:$Q$1006,0)))),"Fix")))</f>
        <v xml:space="preserve"> </v>
      </c>
      <c r="D499" s="3" t="str">
        <f ca="1">IF(OR(INDEX($I$2:$I$1001,MATCH(ROWS($H$2:H499),$H$2:$H$1001,0),1)&gt;=100000,INDEX($O$1005:$Q$1005,1,MATCH(COLUMNS($O$1006:Q1006),$O$1006:$Q$1006,0))&gt;=100000), " ",IF(INDEX($O$2:$Q$1001,MATCH(ROWS($H$2:H499),$H$2:$H$1001,0),MATCH(COLUMNS($O$1006:Q1006),$O$1006:$Q$1006,0)), HYPERLINK("#",""), HYPERLINK(CONCATENATE("#metadata!", ADDRESS(INDEX($J$2:$J$1001,MATCH(ROWS($H$2:H499),$H$2:$H$1001,0),0), INDEX($O$1004:$Q$1004,1,MATCH(COLUMNS($O$1006:Q1006),$O$1006:$Q$1006,0)))),"Fix")))</f>
        <v xml:space="preserve"> </v>
      </c>
      <c r="H499">
        <v>498</v>
      </c>
      <c r="I499">
        <v>100499</v>
      </c>
      <c r="J499">
        <v>499</v>
      </c>
      <c r="K499" t="b">
        <f t="shared" si="7"/>
        <v>1</v>
      </c>
      <c r="L499" t="b">
        <f>COUNTBLANK(metadata!B499:D499)=COLUMNS(metadata!B499:D499)</f>
        <v>1</v>
      </c>
      <c r="M499" t="str">
        <v/>
      </c>
      <c r="O499" t="b">
        <f ca="1"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P499" t="b">
        <f>AND(IF(metadata!C499="",FALSE,TRUE),EXACT(metadata!C499,"mouse gut metagenome"))</f>
        <v>0</v>
      </c>
      <c r="Q499" t="b">
        <f>AND(IF(metadata!D499="",FALSE,TRUE),EXACT(metadata!D499,"410661"))</f>
        <v>0</v>
      </c>
    </row>
    <row r="500" spans="1:17" x14ac:dyDescent="0.2">
      <c r="A500" s="4" t="str">
        <f ca="1">IF(B500=" "," ",HYPERLINK(CONCATENATE("#metadata!",ADDRESS(INDEX($J$2:$J$1001,MATCH(ROWS($H$2:H500),$H$2:$H$1001,0),0),1)),INDEX($M$2:$M$1001,MATCH(ROWS($H$2:H500),$H$2:$H$1001,0),0)))</f>
        <v xml:space="preserve"> </v>
      </c>
      <c r="B500" s="3" t="str">
        <f ca="1">IF(OR(INDEX($I$2:$I$1001,MATCH(ROWS($H$2:H500),$H$2:$H$1001,0),1)&gt;=100000,INDEX($O$1005:$Q$1005,1,MATCH(COLUMNS($O$1006:O1006),$O$1006:$Q$1006,0))&gt;=100000), " ",IF(INDEX($O$2:$Q$1001,MATCH(ROWS($H$2:H500),$H$2:$H$1001,0),MATCH(COLUMNS($O$1006:O1006),$O$1006:$Q$1006,0)), HYPERLINK("#",""), HYPERLINK(CONCATENATE("#metadata!", ADDRESS(INDEX($J$2:$J$1001,MATCH(ROWS($H$2:H500),$H$2:$H$1001,0),0), INDEX($O$1004:$Q$1004,1,MATCH(COLUMNS($O$1006:O1006),$O$1006:$Q$1006,0)))),"Fix")))</f>
        <v xml:space="preserve"> </v>
      </c>
      <c r="C500" s="3" t="str">
        <f ca="1">IF(OR(INDEX($I$2:$I$1001,MATCH(ROWS($H$2:H500),$H$2:$H$1001,0),1)&gt;=100000,INDEX($O$1005:$Q$1005,1,MATCH(COLUMNS($O$1006:P1006),$O$1006:$Q$1006,0))&gt;=100000), " ",IF(INDEX($O$2:$Q$1001,MATCH(ROWS($H$2:H500),$H$2:$H$1001,0),MATCH(COLUMNS($O$1006:P1006),$O$1006:$Q$1006,0)), HYPERLINK("#",""), HYPERLINK(CONCATENATE("#metadata!", ADDRESS(INDEX($J$2:$J$1001,MATCH(ROWS($H$2:H500),$H$2:$H$1001,0),0), INDEX($O$1004:$Q$1004,1,MATCH(COLUMNS($O$1006:P1006),$O$1006:$Q$1006,0)))),"Fix")))</f>
        <v xml:space="preserve"> </v>
      </c>
      <c r="D500" s="3" t="str">
        <f ca="1">IF(OR(INDEX($I$2:$I$1001,MATCH(ROWS($H$2:H500),$H$2:$H$1001,0),1)&gt;=100000,INDEX($O$1005:$Q$1005,1,MATCH(COLUMNS($O$1006:Q1006),$O$1006:$Q$1006,0))&gt;=100000), " ",IF(INDEX($O$2:$Q$1001,MATCH(ROWS($H$2:H500),$H$2:$H$1001,0),MATCH(COLUMNS($O$1006:Q1006),$O$1006:$Q$1006,0)), HYPERLINK("#",""), HYPERLINK(CONCATENATE("#metadata!", ADDRESS(INDEX($J$2:$J$1001,MATCH(ROWS($H$2:H500),$H$2:$H$1001,0),0), INDEX($O$1004:$Q$1004,1,MATCH(COLUMNS($O$1006:Q1006),$O$1006:$Q$1006,0)))),"Fix")))</f>
        <v xml:space="preserve"> </v>
      </c>
      <c r="H500">
        <v>499</v>
      </c>
      <c r="I500">
        <v>100500</v>
      </c>
      <c r="J500">
        <v>500</v>
      </c>
      <c r="K500" t="b">
        <f t="shared" si="7"/>
        <v>1</v>
      </c>
      <c r="L500" t="b">
        <f>COUNTBLANK(metadata!B500:D500)=COLUMNS(metadata!B500:D500)</f>
        <v>1</v>
      </c>
      <c r="M500" t="str">
        <v/>
      </c>
      <c r="O500" t="b">
        <f ca="1"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P500" t="b">
        <f>AND(IF(metadata!C500="",FALSE,TRUE),EXACT(metadata!C500,"mouse gut metagenome"))</f>
        <v>0</v>
      </c>
      <c r="Q500" t="b">
        <f>AND(IF(metadata!D500="",FALSE,TRUE),EXACT(metadata!D500,"410661"))</f>
        <v>0</v>
      </c>
    </row>
    <row r="501" spans="1:17" x14ac:dyDescent="0.2">
      <c r="A501" s="4" t="str">
        <f ca="1">IF(B501=" "," ",HYPERLINK(CONCATENATE("#metadata!",ADDRESS(INDEX($J$2:$J$1001,MATCH(ROWS($H$2:H501),$H$2:$H$1001,0),0),1)),INDEX($M$2:$M$1001,MATCH(ROWS($H$2:H501),$H$2:$H$1001,0),0)))</f>
        <v xml:space="preserve"> </v>
      </c>
      <c r="B501" s="3" t="str">
        <f ca="1">IF(OR(INDEX($I$2:$I$1001,MATCH(ROWS($H$2:H501),$H$2:$H$1001,0),1)&gt;=100000,INDEX($O$1005:$Q$1005,1,MATCH(COLUMNS($O$1006:O1006),$O$1006:$Q$1006,0))&gt;=100000), " ",IF(INDEX($O$2:$Q$1001,MATCH(ROWS($H$2:H501),$H$2:$H$1001,0),MATCH(COLUMNS($O$1006:O1006),$O$1006:$Q$1006,0)), HYPERLINK("#",""), HYPERLINK(CONCATENATE("#metadata!", ADDRESS(INDEX($J$2:$J$1001,MATCH(ROWS($H$2:H501),$H$2:$H$1001,0),0), INDEX($O$1004:$Q$1004,1,MATCH(COLUMNS($O$1006:O1006),$O$1006:$Q$1006,0)))),"Fix")))</f>
        <v xml:space="preserve"> </v>
      </c>
      <c r="C501" s="3" t="str">
        <f ca="1">IF(OR(INDEX($I$2:$I$1001,MATCH(ROWS($H$2:H501),$H$2:$H$1001,0),1)&gt;=100000,INDEX($O$1005:$Q$1005,1,MATCH(COLUMNS($O$1006:P1006),$O$1006:$Q$1006,0))&gt;=100000), " ",IF(INDEX($O$2:$Q$1001,MATCH(ROWS($H$2:H501),$H$2:$H$1001,0),MATCH(COLUMNS($O$1006:P1006),$O$1006:$Q$1006,0)), HYPERLINK("#",""), HYPERLINK(CONCATENATE("#metadata!", ADDRESS(INDEX($J$2:$J$1001,MATCH(ROWS($H$2:H501),$H$2:$H$1001,0),0), INDEX($O$1004:$Q$1004,1,MATCH(COLUMNS($O$1006:P1006),$O$1006:$Q$1006,0)))),"Fix")))</f>
        <v xml:space="preserve"> </v>
      </c>
      <c r="D501" s="3" t="str">
        <f ca="1">IF(OR(INDEX($I$2:$I$1001,MATCH(ROWS($H$2:H501),$H$2:$H$1001,0),1)&gt;=100000,INDEX($O$1005:$Q$1005,1,MATCH(COLUMNS($O$1006:Q1006),$O$1006:$Q$1006,0))&gt;=100000), " ",IF(INDEX($O$2:$Q$1001,MATCH(ROWS($H$2:H501),$H$2:$H$1001,0),MATCH(COLUMNS($O$1006:Q1006),$O$1006:$Q$1006,0)), HYPERLINK("#",""), HYPERLINK(CONCATENATE("#metadata!", ADDRESS(INDEX($J$2:$J$1001,MATCH(ROWS($H$2:H501),$H$2:$H$1001,0),0), INDEX($O$1004:$Q$1004,1,MATCH(COLUMNS($O$1006:Q1006),$O$1006:$Q$1006,0)))),"Fix")))</f>
        <v xml:space="preserve"> </v>
      </c>
      <c r="H501">
        <v>500</v>
      </c>
      <c r="I501">
        <v>100501</v>
      </c>
      <c r="J501">
        <v>501</v>
      </c>
      <c r="K501" t="b">
        <f t="shared" si="7"/>
        <v>1</v>
      </c>
      <c r="L501" t="b">
        <f>COUNTBLANK(metadata!B501:D501)=COLUMNS(metadata!B501:D501)</f>
        <v>1</v>
      </c>
      <c r="M501" t="str">
        <v/>
      </c>
      <c r="O501" t="b">
        <f ca="1"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P501" t="b">
        <f>AND(IF(metadata!C501="",FALSE,TRUE),EXACT(metadata!C501,"mouse gut metagenome"))</f>
        <v>0</v>
      </c>
      <c r="Q501" t="b">
        <f>AND(IF(metadata!D501="",FALSE,TRUE),EXACT(metadata!D501,"410661"))</f>
        <v>0</v>
      </c>
    </row>
    <row r="502" spans="1:17" x14ac:dyDescent="0.2">
      <c r="A502" s="4" t="str">
        <f ca="1">IF(B502=" "," ",HYPERLINK(CONCATENATE("#metadata!",ADDRESS(INDEX($J$2:$J$1001,MATCH(ROWS($H$2:H502),$H$2:$H$1001,0),0),1)),INDEX($M$2:$M$1001,MATCH(ROWS($H$2:H502),$H$2:$H$1001,0),0)))</f>
        <v xml:space="preserve"> </v>
      </c>
      <c r="B502" s="3" t="str">
        <f ca="1">IF(OR(INDEX($I$2:$I$1001,MATCH(ROWS($H$2:H502),$H$2:$H$1001,0),1)&gt;=100000,INDEX($O$1005:$Q$1005,1,MATCH(COLUMNS($O$1006:O1006),$O$1006:$Q$1006,0))&gt;=100000), " ",IF(INDEX($O$2:$Q$1001,MATCH(ROWS($H$2:H502),$H$2:$H$1001,0),MATCH(COLUMNS($O$1006:O1006),$O$1006:$Q$1006,0)), HYPERLINK("#",""), HYPERLINK(CONCATENATE("#metadata!", ADDRESS(INDEX($J$2:$J$1001,MATCH(ROWS($H$2:H502),$H$2:$H$1001,0),0), INDEX($O$1004:$Q$1004,1,MATCH(COLUMNS($O$1006:O1006),$O$1006:$Q$1006,0)))),"Fix")))</f>
        <v xml:space="preserve"> </v>
      </c>
      <c r="C502" s="3" t="str">
        <f ca="1">IF(OR(INDEX($I$2:$I$1001,MATCH(ROWS($H$2:H502),$H$2:$H$1001,0),1)&gt;=100000,INDEX($O$1005:$Q$1005,1,MATCH(COLUMNS($O$1006:P1006),$O$1006:$Q$1006,0))&gt;=100000), " ",IF(INDEX($O$2:$Q$1001,MATCH(ROWS($H$2:H502),$H$2:$H$1001,0),MATCH(COLUMNS($O$1006:P1006),$O$1006:$Q$1006,0)), HYPERLINK("#",""), HYPERLINK(CONCATENATE("#metadata!", ADDRESS(INDEX($J$2:$J$1001,MATCH(ROWS($H$2:H502),$H$2:$H$1001,0),0), INDEX($O$1004:$Q$1004,1,MATCH(COLUMNS($O$1006:P1006),$O$1006:$Q$1006,0)))),"Fix")))</f>
        <v xml:space="preserve"> </v>
      </c>
      <c r="D502" s="3" t="str">
        <f ca="1">IF(OR(INDEX($I$2:$I$1001,MATCH(ROWS($H$2:H502),$H$2:$H$1001,0),1)&gt;=100000,INDEX($O$1005:$Q$1005,1,MATCH(COLUMNS($O$1006:Q1006),$O$1006:$Q$1006,0))&gt;=100000), " ",IF(INDEX($O$2:$Q$1001,MATCH(ROWS($H$2:H502),$H$2:$H$1001,0),MATCH(COLUMNS($O$1006:Q1006),$O$1006:$Q$1006,0)), HYPERLINK("#",""), HYPERLINK(CONCATENATE("#metadata!", ADDRESS(INDEX($J$2:$J$1001,MATCH(ROWS($H$2:H502),$H$2:$H$1001,0),0), INDEX($O$1004:$Q$1004,1,MATCH(COLUMNS($O$1006:Q1006),$O$1006:$Q$1006,0)))),"Fix")))</f>
        <v xml:space="preserve"> </v>
      </c>
      <c r="H502">
        <v>501</v>
      </c>
      <c r="I502">
        <v>100502</v>
      </c>
      <c r="J502">
        <v>502</v>
      </c>
      <c r="K502" t="b">
        <f t="shared" si="7"/>
        <v>1</v>
      </c>
      <c r="L502" t="b">
        <f>COUNTBLANK(metadata!B502:D502)=COLUMNS(metadata!B502:D502)</f>
        <v>1</v>
      </c>
      <c r="M502" t="str">
        <v/>
      </c>
      <c r="O502" t="b">
        <f ca="1"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P502" t="b">
        <f>AND(IF(metadata!C502="",FALSE,TRUE),EXACT(metadata!C502,"mouse gut metagenome"))</f>
        <v>0</v>
      </c>
      <c r="Q502" t="b">
        <f>AND(IF(metadata!D502="",FALSE,TRUE),EXACT(metadata!D502,"410661"))</f>
        <v>0</v>
      </c>
    </row>
    <row r="503" spans="1:17" x14ac:dyDescent="0.2">
      <c r="A503" s="4" t="str">
        <f ca="1">IF(B503=" "," ",HYPERLINK(CONCATENATE("#metadata!",ADDRESS(INDEX($J$2:$J$1001,MATCH(ROWS($H$2:H503),$H$2:$H$1001,0),0),1)),INDEX($M$2:$M$1001,MATCH(ROWS($H$2:H503),$H$2:$H$1001,0),0)))</f>
        <v xml:space="preserve"> </v>
      </c>
      <c r="B503" s="3" t="str">
        <f ca="1">IF(OR(INDEX($I$2:$I$1001,MATCH(ROWS($H$2:H503),$H$2:$H$1001,0),1)&gt;=100000,INDEX($O$1005:$Q$1005,1,MATCH(COLUMNS($O$1006:O1006),$O$1006:$Q$1006,0))&gt;=100000), " ",IF(INDEX($O$2:$Q$1001,MATCH(ROWS($H$2:H503),$H$2:$H$1001,0),MATCH(COLUMNS($O$1006:O1006),$O$1006:$Q$1006,0)), HYPERLINK("#",""), HYPERLINK(CONCATENATE("#metadata!", ADDRESS(INDEX($J$2:$J$1001,MATCH(ROWS($H$2:H503),$H$2:$H$1001,0),0), INDEX($O$1004:$Q$1004,1,MATCH(COLUMNS($O$1006:O1006),$O$1006:$Q$1006,0)))),"Fix")))</f>
        <v xml:space="preserve"> </v>
      </c>
      <c r="C503" s="3" t="str">
        <f ca="1">IF(OR(INDEX($I$2:$I$1001,MATCH(ROWS($H$2:H503),$H$2:$H$1001,0),1)&gt;=100000,INDEX($O$1005:$Q$1005,1,MATCH(COLUMNS($O$1006:P1006),$O$1006:$Q$1006,0))&gt;=100000), " ",IF(INDEX($O$2:$Q$1001,MATCH(ROWS($H$2:H503),$H$2:$H$1001,0),MATCH(COLUMNS($O$1006:P1006),$O$1006:$Q$1006,0)), HYPERLINK("#",""), HYPERLINK(CONCATENATE("#metadata!", ADDRESS(INDEX($J$2:$J$1001,MATCH(ROWS($H$2:H503),$H$2:$H$1001,0),0), INDEX($O$1004:$Q$1004,1,MATCH(COLUMNS($O$1006:P1006),$O$1006:$Q$1006,0)))),"Fix")))</f>
        <v xml:space="preserve"> </v>
      </c>
      <c r="D503" s="3" t="str">
        <f ca="1">IF(OR(INDEX($I$2:$I$1001,MATCH(ROWS($H$2:H503),$H$2:$H$1001,0),1)&gt;=100000,INDEX($O$1005:$Q$1005,1,MATCH(COLUMNS($O$1006:Q1006),$O$1006:$Q$1006,0))&gt;=100000), " ",IF(INDEX($O$2:$Q$1001,MATCH(ROWS($H$2:H503),$H$2:$H$1001,0),MATCH(COLUMNS($O$1006:Q1006),$O$1006:$Q$1006,0)), HYPERLINK("#",""), HYPERLINK(CONCATENATE("#metadata!", ADDRESS(INDEX($J$2:$J$1001,MATCH(ROWS($H$2:H503),$H$2:$H$1001,0),0), INDEX($O$1004:$Q$1004,1,MATCH(COLUMNS($O$1006:Q1006),$O$1006:$Q$1006,0)))),"Fix")))</f>
        <v xml:space="preserve"> </v>
      </c>
      <c r="H503">
        <v>502</v>
      </c>
      <c r="I503">
        <v>100503</v>
      </c>
      <c r="J503">
        <v>503</v>
      </c>
      <c r="K503" t="b">
        <f t="shared" si="7"/>
        <v>1</v>
      </c>
      <c r="L503" t="b">
        <f>COUNTBLANK(metadata!B503:D503)=COLUMNS(metadata!B503:D503)</f>
        <v>1</v>
      </c>
      <c r="M503" t="str">
        <v/>
      </c>
      <c r="O503" t="b">
        <f ca="1"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P503" t="b">
        <f>AND(IF(metadata!C503="",FALSE,TRUE),EXACT(metadata!C503,"mouse gut metagenome"))</f>
        <v>0</v>
      </c>
      <c r="Q503" t="b">
        <f>AND(IF(metadata!D503="",FALSE,TRUE),EXACT(metadata!D503,"410661"))</f>
        <v>0</v>
      </c>
    </row>
    <row r="504" spans="1:17" x14ac:dyDescent="0.2">
      <c r="A504" s="4" t="str">
        <f ca="1">IF(B504=" "," ",HYPERLINK(CONCATENATE("#metadata!",ADDRESS(INDEX($J$2:$J$1001,MATCH(ROWS($H$2:H504),$H$2:$H$1001,0),0),1)),INDEX($M$2:$M$1001,MATCH(ROWS($H$2:H504),$H$2:$H$1001,0),0)))</f>
        <v xml:space="preserve"> </v>
      </c>
      <c r="B504" s="3" t="str">
        <f ca="1">IF(OR(INDEX($I$2:$I$1001,MATCH(ROWS($H$2:H504),$H$2:$H$1001,0),1)&gt;=100000,INDEX($O$1005:$Q$1005,1,MATCH(COLUMNS($O$1006:O1006),$O$1006:$Q$1006,0))&gt;=100000), " ",IF(INDEX($O$2:$Q$1001,MATCH(ROWS($H$2:H504),$H$2:$H$1001,0),MATCH(COLUMNS($O$1006:O1006),$O$1006:$Q$1006,0)), HYPERLINK("#",""), HYPERLINK(CONCATENATE("#metadata!", ADDRESS(INDEX($J$2:$J$1001,MATCH(ROWS($H$2:H504),$H$2:$H$1001,0),0), INDEX($O$1004:$Q$1004,1,MATCH(COLUMNS($O$1006:O1006),$O$1006:$Q$1006,0)))),"Fix")))</f>
        <v xml:space="preserve"> </v>
      </c>
      <c r="C504" s="3" t="str">
        <f ca="1">IF(OR(INDEX($I$2:$I$1001,MATCH(ROWS($H$2:H504),$H$2:$H$1001,0),1)&gt;=100000,INDEX($O$1005:$Q$1005,1,MATCH(COLUMNS($O$1006:P1006),$O$1006:$Q$1006,0))&gt;=100000), " ",IF(INDEX($O$2:$Q$1001,MATCH(ROWS($H$2:H504),$H$2:$H$1001,0),MATCH(COLUMNS($O$1006:P1006),$O$1006:$Q$1006,0)), HYPERLINK("#",""), HYPERLINK(CONCATENATE("#metadata!", ADDRESS(INDEX($J$2:$J$1001,MATCH(ROWS($H$2:H504),$H$2:$H$1001,0),0), INDEX($O$1004:$Q$1004,1,MATCH(COLUMNS($O$1006:P1006),$O$1006:$Q$1006,0)))),"Fix")))</f>
        <v xml:space="preserve"> </v>
      </c>
      <c r="D504" s="3" t="str">
        <f ca="1">IF(OR(INDEX($I$2:$I$1001,MATCH(ROWS($H$2:H504),$H$2:$H$1001,0),1)&gt;=100000,INDEX($O$1005:$Q$1005,1,MATCH(COLUMNS($O$1006:Q1006),$O$1006:$Q$1006,0))&gt;=100000), " ",IF(INDEX($O$2:$Q$1001,MATCH(ROWS($H$2:H504),$H$2:$H$1001,0),MATCH(COLUMNS($O$1006:Q1006),$O$1006:$Q$1006,0)), HYPERLINK("#",""), HYPERLINK(CONCATENATE("#metadata!", ADDRESS(INDEX($J$2:$J$1001,MATCH(ROWS($H$2:H504),$H$2:$H$1001,0),0), INDEX($O$1004:$Q$1004,1,MATCH(COLUMNS($O$1006:Q1006),$O$1006:$Q$1006,0)))),"Fix")))</f>
        <v xml:space="preserve"> </v>
      </c>
      <c r="H504">
        <v>503</v>
      </c>
      <c r="I504">
        <v>100504</v>
      </c>
      <c r="J504">
        <v>504</v>
      </c>
      <c r="K504" t="b">
        <f t="shared" si="7"/>
        <v>1</v>
      </c>
      <c r="L504" t="b">
        <f>COUNTBLANK(metadata!B504:D504)=COLUMNS(metadata!B504:D504)</f>
        <v>1</v>
      </c>
      <c r="M504" t="str">
        <v/>
      </c>
      <c r="O504" t="b">
        <f ca="1"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P504" t="b">
        <f>AND(IF(metadata!C504="",FALSE,TRUE),EXACT(metadata!C504,"mouse gut metagenome"))</f>
        <v>0</v>
      </c>
      <c r="Q504" t="b">
        <f>AND(IF(metadata!D504="",FALSE,TRUE),EXACT(metadata!D504,"410661"))</f>
        <v>0</v>
      </c>
    </row>
    <row r="505" spans="1:17" x14ac:dyDescent="0.2">
      <c r="A505" s="4" t="str">
        <f ca="1">IF(B505=" "," ",HYPERLINK(CONCATENATE("#metadata!",ADDRESS(INDEX($J$2:$J$1001,MATCH(ROWS($H$2:H505),$H$2:$H$1001,0),0),1)),INDEX($M$2:$M$1001,MATCH(ROWS($H$2:H505),$H$2:$H$1001,0),0)))</f>
        <v xml:space="preserve"> </v>
      </c>
      <c r="B505" s="3" t="str">
        <f ca="1">IF(OR(INDEX($I$2:$I$1001,MATCH(ROWS($H$2:H505),$H$2:$H$1001,0),1)&gt;=100000,INDEX($O$1005:$Q$1005,1,MATCH(COLUMNS($O$1006:O1006),$O$1006:$Q$1006,0))&gt;=100000), " ",IF(INDEX($O$2:$Q$1001,MATCH(ROWS($H$2:H505),$H$2:$H$1001,0),MATCH(COLUMNS($O$1006:O1006),$O$1006:$Q$1006,0)), HYPERLINK("#",""), HYPERLINK(CONCATENATE("#metadata!", ADDRESS(INDEX($J$2:$J$1001,MATCH(ROWS($H$2:H505),$H$2:$H$1001,0),0), INDEX($O$1004:$Q$1004,1,MATCH(COLUMNS($O$1006:O1006),$O$1006:$Q$1006,0)))),"Fix")))</f>
        <v xml:space="preserve"> </v>
      </c>
      <c r="C505" s="3" t="str">
        <f ca="1">IF(OR(INDEX($I$2:$I$1001,MATCH(ROWS($H$2:H505),$H$2:$H$1001,0),1)&gt;=100000,INDEX($O$1005:$Q$1005,1,MATCH(COLUMNS($O$1006:P1006),$O$1006:$Q$1006,0))&gt;=100000), " ",IF(INDEX($O$2:$Q$1001,MATCH(ROWS($H$2:H505),$H$2:$H$1001,0),MATCH(COLUMNS($O$1006:P1006),$O$1006:$Q$1006,0)), HYPERLINK("#",""), HYPERLINK(CONCATENATE("#metadata!", ADDRESS(INDEX($J$2:$J$1001,MATCH(ROWS($H$2:H505),$H$2:$H$1001,0),0), INDEX($O$1004:$Q$1004,1,MATCH(COLUMNS($O$1006:P1006),$O$1006:$Q$1006,0)))),"Fix")))</f>
        <v xml:space="preserve"> </v>
      </c>
      <c r="D505" s="3" t="str">
        <f ca="1">IF(OR(INDEX($I$2:$I$1001,MATCH(ROWS($H$2:H505),$H$2:$H$1001,0),1)&gt;=100000,INDEX($O$1005:$Q$1005,1,MATCH(COLUMNS($O$1006:Q1006),$O$1006:$Q$1006,0))&gt;=100000), " ",IF(INDEX($O$2:$Q$1001,MATCH(ROWS($H$2:H505),$H$2:$H$1001,0),MATCH(COLUMNS($O$1006:Q1006),$O$1006:$Q$1006,0)), HYPERLINK("#",""), HYPERLINK(CONCATENATE("#metadata!", ADDRESS(INDEX($J$2:$J$1001,MATCH(ROWS($H$2:H505),$H$2:$H$1001,0),0), INDEX($O$1004:$Q$1004,1,MATCH(COLUMNS($O$1006:Q1006),$O$1006:$Q$1006,0)))),"Fix")))</f>
        <v xml:space="preserve"> </v>
      </c>
      <c r="H505">
        <v>504</v>
      </c>
      <c r="I505">
        <v>100505</v>
      </c>
      <c r="J505">
        <v>505</v>
      </c>
      <c r="K505" t="b">
        <f t="shared" si="7"/>
        <v>1</v>
      </c>
      <c r="L505" t="b">
        <f>COUNTBLANK(metadata!B505:D505)=COLUMNS(metadata!B505:D505)</f>
        <v>1</v>
      </c>
      <c r="M505" t="str">
        <v/>
      </c>
      <c r="O505" t="b">
        <f ca="1"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P505" t="b">
        <f>AND(IF(metadata!C505="",FALSE,TRUE),EXACT(metadata!C505,"mouse gut metagenome"))</f>
        <v>0</v>
      </c>
      <c r="Q505" t="b">
        <f>AND(IF(metadata!D505="",FALSE,TRUE),EXACT(metadata!D505,"410661"))</f>
        <v>0</v>
      </c>
    </row>
    <row r="506" spans="1:17" x14ac:dyDescent="0.2">
      <c r="A506" s="4" t="str">
        <f ca="1">IF(B506=" "," ",HYPERLINK(CONCATENATE("#metadata!",ADDRESS(INDEX($J$2:$J$1001,MATCH(ROWS($H$2:H506),$H$2:$H$1001,0),0),1)),INDEX($M$2:$M$1001,MATCH(ROWS($H$2:H506),$H$2:$H$1001,0),0)))</f>
        <v xml:space="preserve"> </v>
      </c>
      <c r="B506" s="3" t="str">
        <f ca="1">IF(OR(INDEX($I$2:$I$1001,MATCH(ROWS($H$2:H506),$H$2:$H$1001,0),1)&gt;=100000,INDEX($O$1005:$Q$1005,1,MATCH(COLUMNS($O$1006:O1006),$O$1006:$Q$1006,0))&gt;=100000), " ",IF(INDEX($O$2:$Q$1001,MATCH(ROWS($H$2:H506),$H$2:$H$1001,0),MATCH(COLUMNS($O$1006:O1006),$O$1006:$Q$1006,0)), HYPERLINK("#",""), HYPERLINK(CONCATENATE("#metadata!", ADDRESS(INDEX($J$2:$J$1001,MATCH(ROWS($H$2:H506),$H$2:$H$1001,0),0), INDEX($O$1004:$Q$1004,1,MATCH(COLUMNS($O$1006:O1006),$O$1006:$Q$1006,0)))),"Fix")))</f>
        <v xml:space="preserve"> </v>
      </c>
      <c r="C506" s="3" t="str">
        <f ca="1">IF(OR(INDEX($I$2:$I$1001,MATCH(ROWS($H$2:H506),$H$2:$H$1001,0),1)&gt;=100000,INDEX($O$1005:$Q$1005,1,MATCH(COLUMNS($O$1006:P1006),$O$1006:$Q$1006,0))&gt;=100000), " ",IF(INDEX($O$2:$Q$1001,MATCH(ROWS($H$2:H506),$H$2:$H$1001,0),MATCH(COLUMNS($O$1006:P1006),$O$1006:$Q$1006,0)), HYPERLINK("#",""), HYPERLINK(CONCATENATE("#metadata!", ADDRESS(INDEX($J$2:$J$1001,MATCH(ROWS($H$2:H506),$H$2:$H$1001,0),0), INDEX($O$1004:$Q$1004,1,MATCH(COLUMNS($O$1006:P1006),$O$1006:$Q$1006,0)))),"Fix")))</f>
        <v xml:space="preserve"> </v>
      </c>
      <c r="D506" s="3" t="str">
        <f ca="1">IF(OR(INDEX($I$2:$I$1001,MATCH(ROWS($H$2:H506),$H$2:$H$1001,0),1)&gt;=100000,INDEX($O$1005:$Q$1005,1,MATCH(COLUMNS($O$1006:Q1006),$O$1006:$Q$1006,0))&gt;=100000), " ",IF(INDEX($O$2:$Q$1001,MATCH(ROWS($H$2:H506),$H$2:$H$1001,0),MATCH(COLUMNS($O$1006:Q1006),$O$1006:$Q$1006,0)), HYPERLINK("#",""), HYPERLINK(CONCATENATE("#metadata!", ADDRESS(INDEX($J$2:$J$1001,MATCH(ROWS($H$2:H506),$H$2:$H$1001,0),0), INDEX($O$1004:$Q$1004,1,MATCH(COLUMNS($O$1006:Q1006),$O$1006:$Q$1006,0)))),"Fix")))</f>
        <v xml:space="preserve"> </v>
      </c>
      <c r="H506">
        <v>505</v>
      </c>
      <c r="I506">
        <v>100506</v>
      </c>
      <c r="J506">
        <v>506</v>
      </c>
      <c r="K506" t="b">
        <f t="shared" si="7"/>
        <v>1</v>
      </c>
      <c r="L506" t="b">
        <f>COUNTBLANK(metadata!B506:D506)=COLUMNS(metadata!B506:D506)</f>
        <v>1</v>
      </c>
      <c r="M506" t="str">
        <v/>
      </c>
      <c r="O506" t="b">
        <f ca="1"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P506" t="b">
        <f>AND(IF(metadata!C506="",FALSE,TRUE),EXACT(metadata!C506,"mouse gut metagenome"))</f>
        <v>0</v>
      </c>
      <c r="Q506" t="b">
        <f>AND(IF(metadata!D506="",FALSE,TRUE),EXACT(metadata!D506,"410661"))</f>
        <v>0</v>
      </c>
    </row>
    <row r="507" spans="1:17" x14ac:dyDescent="0.2">
      <c r="A507" s="4" t="str">
        <f ca="1">IF(B507=" "," ",HYPERLINK(CONCATENATE("#metadata!",ADDRESS(INDEX($J$2:$J$1001,MATCH(ROWS($H$2:H507),$H$2:$H$1001,0),0),1)),INDEX($M$2:$M$1001,MATCH(ROWS($H$2:H507),$H$2:$H$1001,0),0)))</f>
        <v xml:space="preserve"> </v>
      </c>
      <c r="B507" s="3" t="str">
        <f ca="1">IF(OR(INDEX($I$2:$I$1001,MATCH(ROWS($H$2:H507),$H$2:$H$1001,0),1)&gt;=100000,INDEX($O$1005:$Q$1005,1,MATCH(COLUMNS($O$1006:O1006),$O$1006:$Q$1006,0))&gt;=100000), " ",IF(INDEX($O$2:$Q$1001,MATCH(ROWS($H$2:H507),$H$2:$H$1001,0),MATCH(COLUMNS($O$1006:O1006),$O$1006:$Q$1006,0)), HYPERLINK("#",""), HYPERLINK(CONCATENATE("#metadata!", ADDRESS(INDEX($J$2:$J$1001,MATCH(ROWS($H$2:H507),$H$2:$H$1001,0),0), INDEX($O$1004:$Q$1004,1,MATCH(COLUMNS($O$1006:O1006),$O$1006:$Q$1006,0)))),"Fix")))</f>
        <v xml:space="preserve"> </v>
      </c>
      <c r="C507" s="3" t="str">
        <f ca="1">IF(OR(INDEX($I$2:$I$1001,MATCH(ROWS($H$2:H507),$H$2:$H$1001,0),1)&gt;=100000,INDEX($O$1005:$Q$1005,1,MATCH(COLUMNS($O$1006:P1006),$O$1006:$Q$1006,0))&gt;=100000), " ",IF(INDEX($O$2:$Q$1001,MATCH(ROWS($H$2:H507),$H$2:$H$1001,0),MATCH(COLUMNS($O$1006:P1006),$O$1006:$Q$1006,0)), HYPERLINK("#",""), HYPERLINK(CONCATENATE("#metadata!", ADDRESS(INDEX($J$2:$J$1001,MATCH(ROWS($H$2:H507),$H$2:$H$1001,0),0), INDEX($O$1004:$Q$1004,1,MATCH(COLUMNS($O$1006:P1006),$O$1006:$Q$1006,0)))),"Fix")))</f>
        <v xml:space="preserve"> </v>
      </c>
      <c r="D507" s="3" t="str">
        <f ca="1">IF(OR(INDEX($I$2:$I$1001,MATCH(ROWS($H$2:H507),$H$2:$H$1001,0),1)&gt;=100000,INDEX($O$1005:$Q$1005,1,MATCH(COLUMNS($O$1006:Q1006),$O$1006:$Q$1006,0))&gt;=100000), " ",IF(INDEX($O$2:$Q$1001,MATCH(ROWS($H$2:H507),$H$2:$H$1001,0),MATCH(COLUMNS($O$1006:Q1006),$O$1006:$Q$1006,0)), HYPERLINK("#",""), HYPERLINK(CONCATENATE("#metadata!", ADDRESS(INDEX($J$2:$J$1001,MATCH(ROWS($H$2:H507),$H$2:$H$1001,0),0), INDEX($O$1004:$Q$1004,1,MATCH(COLUMNS($O$1006:Q1006),$O$1006:$Q$1006,0)))),"Fix")))</f>
        <v xml:space="preserve"> </v>
      </c>
      <c r="H507">
        <v>506</v>
      </c>
      <c r="I507">
        <v>100507</v>
      </c>
      <c r="J507">
        <v>507</v>
      </c>
      <c r="K507" t="b">
        <f t="shared" si="7"/>
        <v>1</v>
      </c>
      <c r="L507" t="b">
        <f>COUNTBLANK(metadata!B507:D507)=COLUMNS(metadata!B507:D507)</f>
        <v>1</v>
      </c>
      <c r="M507" t="str">
        <v/>
      </c>
      <c r="O507" t="b">
        <f ca="1"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P507" t="b">
        <f>AND(IF(metadata!C507="",FALSE,TRUE),EXACT(metadata!C507,"mouse gut metagenome"))</f>
        <v>0</v>
      </c>
      <c r="Q507" t="b">
        <f>AND(IF(metadata!D507="",FALSE,TRUE),EXACT(metadata!D507,"410661"))</f>
        <v>0</v>
      </c>
    </row>
    <row r="508" spans="1:17" x14ac:dyDescent="0.2">
      <c r="A508" s="4" t="str">
        <f ca="1">IF(B508=" "," ",HYPERLINK(CONCATENATE("#metadata!",ADDRESS(INDEX($J$2:$J$1001,MATCH(ROWS($H$2:H508),$H$2:$H$1001,0),0),1)),INDEX($M$2:$M$1001,MATCH(ROWS($H$2:H508),$H$2:$H$1001,0),0)))</f>
        <v xml:space="preserve"> </v>
      </c>
      <c r="B508" s="3" t="str">
        <f ca="1">IF(OR(INDEX($I$2:$I$1001,MATCH(ROWS($H$2:H508),$H$2:$H$1001,0),1)&gt;=100000,INDEX($O$1005:$Q$1005,1,MATCH(COLUMNS($O$1006:O1006),$O$1006:$Q$1006,0))&gt;=100000), " ",IF(INDEX($O$2:$Q$1001,MATCH(ROWS($H$2:H508),$H$2:$H$1001,0),MATCH(COLUMNS($O$1006:O1006),$O$1006:$Q$1006,0)), HYPERLINK("#",""), HYPERLINK(CONCATENATE("#metadata!", ADDRESS(INDEX($J$2:$J$1001,MATCH(ROWS($H$2:H508),$H$2:$H$1001,0),0), INDEX($O$1004:$Q$1004,1,MATCH(COLUMNS($O$1006:O1006),$O$1006:$Q$1006,0)))),"Fix")))</f>
        <v xml:space="preserve"> </v>
      </c>
      <c r="C508" s="3" t="str">
        <f ca="1">IF(OR(INDEX($I$2:$I$1001,MATCH(ROWS($H$2:H508),$H$2:$H$1001,0),1)&gt;=100000,INDEX($O$1005:$Q$1005,1,MATCH(COLUMNS($O$1006:P1006),$O$1006:$Q$1006,0))&gt;=100000), " ",IF(INDEX($O$2:$Q$1001,MATCH(ROWS($H$2:H508),$H$2:$H$1001,0),MATCH(COLUMNS($O$1006:P1006),$O$1006:$Q$1006,0)), HYPERLINK("#",""), HYPERLINK(CONCATENATE("#metadata!", ADDRESS(INDEX($J$2:$J$1001,MATCH(ROWS($H$2:H508),$H$2:$H$1001,0),0), INDEX($O$1004:$Q$1004,1,MATCH(COLUMNS($O$1006:P1006),$O$1006:$Q$1006,0)))),"Fix")))</f>
        <v xml:space="preserve"> </v>
      </c>
      <c r="D508" s="3" t="str">
        <f ca="1">IF(OR(INDEX($I$2:$I$1001,MATCH(ROWS($H$2:H508),$H$2:$H$1001,0),1)&gt;=100000,INDEX($O$1005:$Q$1005,1,MATCH(COLUMNS($O$1006:Q1006),$O$1006:$Q$1006,0))&gt;=100000), " ",IF(INDEX($O$2:$Q$1001,MATCH(ROWS($H$2:H508),$H$2:$H$1001,0),MATCH(COLUMNS($O$1006:Q1006),$O$1006:$Q$1006,0)), HYPERLINK("#",""), HYPERLINK(CONCATENATE("#metadata!", ADDRESS(INDEX($J$2:$J$1001,MATCH(ROWS($H$2:H508),$H$2:$H$1001,0),0), INDEX($O$1004:$Q$1004,1,MATCH(COLUMNS($O$1006:Q1006),$O$1006:$Q$1006,0)))),"Fix")))</f>
        <v xml:space="preserve"> </v>
      </c>
      <c r="H508">
        <v>507</v>
      </c>
      <c r="I508">
        <v>100508</v>
      </c>
      <c r="J508">
        <v>508</v>
      </c>
      <c r="K508" t="b">
        <f t="shared" si="7"/>
        <v>1</v>
      </c>
      <c r="L508" t="b">
        <f>COUNTBLANK(metadata!B508:D508)=COLUMNS(metadata!B508:D508)</f>
        <v>1</v>
      </c>
      <c r="M508" t="str">
        <v/>
      </c>
      <c r="O508" t="b">
        <f ca="1"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P508" t="b">
        <f>AND(IF(metadata!C508="",FALSE,TRUE),EXACT(metadata!C508,"mouse gut metagenome"))</f>
        <v>0</v>
      </c>
      <c r="Q508" t="b">
        <f>AND(IF(metadata!D508="",FALSE,TRUE),EXACT(metadata!D508,"410661"))</f>
        <v>0</v>
      </c>
    </row>
    <row r="509" spans="1:17" x14ac:dyDescent="0.2">
      <c r="A509" s="4" t="str">
        <f ca="1">IF(B509=" "," ",HYPERLINK(CONCATENATE("#metadata!",ADDRESS(INDEX($J$2:$J$1001,MATCH(ROWS($H$2:H509),$H$2:$H$1001,0),0),1)),INDEX($M$2:$M$1001,MATCH(ROWS($H$2:H509),$H$2:$H$1001,0),0)))</f>
        <v xml:space="preserve"> </v>
      </c>
      <c r="B509" s="3" t="str">
        <f ca="1">IF(OR(INDEX($I$2:$I$1001,MATCH(ROWS($H$2:H509),$H$2:$H$1001,0),1)&gt;=100000,INDEX($O$1005:$Q$1005,1,MATCH(COLUMNS($O$1006:O1006),$O$1006:$Q$1006,0))&gt;=100000), " ",IF(INDEX($O$2:$Q$1001,MATCH(ROWS($H$2:H509),$H$2:$H$1001,0),MATCH(COLUMNS($O$1006:O1006),$O$1006:$Q$1006,0)), HYPERLINK("#",""), HYPERLINK(CONCATENATE("#metadata!", ADDRESS(INDEX($J$2:$J$1001,MATCH(ROWS($H$2:H509),$H$2:$H$1001,0),0), INDEX($O$1004:$Q$1004,1,MATCH(COLUMNS($O$1006:O1006),$O$1006:$Q$1006,0)))),"Fix")))</f>
        <v xml:space="preserve"> </v>
      </c>
      <c r="C509" s="3" t="str">
        <f ca="1">IF(OR(INDEX($I$2:$I$1001,MATCH(ROWS($H$2:H509),$H$2:$H$1001,0),1)&gt;=100000,INDEX($O$1005:$Q$1005,1,MATCH(COLUMNS($O$1006:P1006),$O$1006:$Q$1006,0))&gt;=100000), " ",IF(INDEX($O$2:$Q$1001,MATCH(ROWS($H$2:H509),$H$2:$H$1001,0),MATCH(COLUMNS($O$1006:P1006),$O$1006:$Q$1006,0)), HYPERLINK("#",""), HYPERLINK(CONCATENATE("#metadata!", ADDRESS(INDEX($J$2:$J$1001,MATCH(ROWS($H$2:H509),$H$2:$H$1001,0),0), INDEX($O$1004:$Q$1004,1,MATCH(COLUMNS($O$1006:P1006),$O$1006:$Q$1006,0)))),"Fix")))</f>
        <v xml:space="preserve"> </v>
      </c>
      <c r="D509" s="3" t="str">
        <f ca="1">IF(OR(INDEX($I$2:$I$1001,MATCH(ROWS($H$2:H509),$H$2:$H$1001,0),1)&gt;=100000,INDEX($O$1005:$Q$1005,1,MATCH(COLUMNS($O$1006:Q1006),$O$1006:$Q$1006,0))&gt;=100000), " ",IF(INDEX($O$2:$Q$1001,MATCH(ROWS($H$2:H509),$H$2:$H$1001,0),MATCH(COLUMNS($O$1006:Q1006),$O$1006:$Q$1006,0)), HYPERLINK("#",""), HYPERLINK(CONCATENATE("#metadata!", ADDRESS(INDEX($J$2:$J$1001,MATCH(ROWS($H$2:H509),$H$2:$H$1001,0),0), INDEX($O$1004:$Q$1004,1,MATCH(COLUMNS($O$1006:Q1006),$O$1006:$Q$1006,0)))),"Fix")))</f>
        <v xml:space="preserve"> </v>
      </c>
      <c r="H509">
        <v>508</v>
      </c>
      <c r="I509">
        <v>100509</v>
      </c>
      <c r="J509">
        <v>509</v>
      </c>
      <c r="K509" t="b">
        <f t="shared" si="7"/>
        <v>1</v>
      </c>
      <c r="L509" t="b">
        <f>COUNTBLANK(metadata!B509:D509)=COLUMNS(metadata!B509:D509)</f>
        <v>1</v>
      </c>
      <c r="M509" t="str">
        <v/>
      </c>
      <c r="O509" t="b">
        <f ca="1"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P509" t="b">
        <f>AND(IF(metadata!C509="",FALSE,TRUE),EXACT(metadata!C509,"mouse gut metagenome"))</f>
        <v>0</v>
      </c>
      <c r="Q509" t="b">
        <f>AND(IF(metadata!D509="",FALSE,TRUE),EXACT(metadata!D509,"410661"))</f>
        <v>0</v>
      </c>
    </row>
    <row r="510" spans="1:17" x14ac:dyDescent="0.2">
      <c r="A510" s="4" t="str">
        <f ca="1">IF(B510=" "," ",HYPERLINK(CONCATENATE("#metadata!",ADDRESS(INDEX($J$2:$J$1001,MATCH(ROWS($H$2:H510),$H$2:$H$1001,0),0),1)),INDEX($M$2:$M$1001,MATCH(ROWS($H$2:H510),$H$2:$H$1001,0),0)))</f>
        <v xml:space="preserve"> </v>
      </c>
      <c r="B510" s="3" t="str">
        <f ca="1">IF(OR(INDEX($I$2:$I$1001,MATCH(ROWS($H$2:H510),$H$2:$H$1001,0),1)&gt;=100000,INDEX($O$1005:$Q$1005,1,MATCH(COLUMNS($O$1006:O1006),$O$1006:$Q$1006,0))&gt;=100000), " ",IF(INDEX($O$2:$Q$1001,MATCH(ROWS($H$2:H510),$H$2:$H$1001,0),MATCH(COLUMNS($O$1006:O1006),$O$1006:$Q$1006,0)), HYPERLINK("#",""), HYPERLINK(CONCATENATE("#metadata!", ADDRESS(INDEX($J$2:$J$1001,MATCH(ROWS($H$2:H510),$H$2:$H$1001,0),0), INDEX($O$1004:$Q$1004,1,MATCH(COLUMNS($O$1006:O1006),$O$1006:$Q$1006,0)))),"Fix")))</f>
        <v xml:space="preserve"> </v>
      </c>
      <c r="C510" s="3" t="str">
        <f ca="1">IF(OR(INDEX($I$2:$I$1001,MATCH(ROWS($H$2:H510),$H$2:$H$1001,0),1)&gt;=100000,INDEX($O$1005:$Q$1005,1,MATCH(COLUMNS($O$1006:P1006),$O$1006:$Q$1006,0))&gt;=100000), " ",IF(INDEX($O$2:$Q$1001,MATCH(ROWS($H$2:H510),$H$2:$H$1001,0),MATCH(COLUMNS($O$1006:P1006),$O$1006:$Q$1006,0)), HYPERLINK("#",""), HYPERLINK(CONCATENATE("#metadata!", ADDRESS(INDEX($J$2:$J$1001,MATCH(ROWS($H$2:H510),$H$2:$H$1001,0),0), INDEX($O$1004:$Q$1004,1,MATCH(COLUMNS($O$1006:P1006),$O$1006:$Q$1006,0)))),"Fix")))</f>
        <v xml:space="preserve"> </v>
      </c>
      <c r="D510" s="3" t="str">
        <f ca="1">IF(OR(INDEX($I$2:$I$1001,MATCH(ROWS($H$2:H510),$H$2:$H$1001,0),1)&gt;=100000,INDEX($O$1005:$Q$1005,1,MATCH(COLUMNS($O$1006:Q1006),$O$1006:$Q$1006,0))&gt;=100000), " ",IF(INDEX($O$2:$Q$1001,MATCH(ROWS($H$2:H510),$H$2:$H$1001,0),MATCH(COLUMNS($O$1006:Q1006),$O$1006:$Q$1006,0)), HYPERLINK("#",""), HYPERLINK(CONCATENATE("#metadata!", ADDRESS(INDEX($J$2:$J$1001,MATCH(ROWS($H$2:H510),$H$2:$H$1001,0),0), INDEX($O$1004:$Q$1004,1,MATCH(COLUMNS($O$1006:Q1006),$O$1006:$Q$1006,0)))),"Fix")))</f>
        <v xml:space="preserve"> </v>
      </c>
      <c r="H510">
        <v>509</v>
      </c>
      <c r="I510">
        <v>100510</v>
      </c>
      <c r="J510">
        <v>510</v>
      </c>
      <c r="K510" t="b">
        <f t="shared" si="7"/>
        <v>1</v>
      </c>
      <c r="L510" t="b">
        <f>COUNTBLANK(metadata!B510:D510)=COLUMNS(metadata!B510:D510)</f>
        <v>1</v>
      </c>
      <c r="M510" t="str">
        <v/>
      </c>
      <c r="O510" t="b">
        <f ca="1"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P510" t="b">
        <f>AND(IF(metadata!C510="",FALSE,TRUE),EXACT(metadata!C510,"mouse gut metagenome"))</f>
        <v>0</v>
      </c>
      <c r="Q510" t="b">
        <f>AND(IF(metadata!D510="",FALSE,TRUE),EXACT(metadata!D510,"410661"))</f>
        <v>0</v>
      </c>
    </row>
    <row r="511" spans="1:17" x14ac:dyDescent="0.2">
      <c r="A511" s="4" t="str">
        <f ca="1">IF(B511=" "," ",HYPERLINK(CONCATENATE("#metadata!",ADDRESS(INDEX($J$2:$J$1001,MATCH(ROWS($H$2:H511),$H$2:$H$1001,0),0),1)),INDEX($M$2:$M$1001,MATCH(ROWS($H$2:H511),$H$2:$H$1001,0),0)))</f>
        <v xml:space="preserve"> </v>
      </c>
      <c r="B511" s="3" t="str">
        <f ca="1">IF(OR(INDEX($I$2:$I$1001,MATCH(ROWS($H$2:H511),$H$2:$H$1001,0),1)&gt;=100000,INDEX($O$1005:$Q$1005,1,MATCH(COLUMNS($O$1006:O1006),$O$1006:$Q$1006,0))&gt;=100000), " ",IF(INDEX($O$2:$Q$1001,MATCH(ROWS($H$2:H511),$H$2:$H$1001,0),MATCH(COLUMNS($O$1006:O1006),$O$1006:$Q$1006,0)), HYPERLINK("#",""), HYPERLINK(CONCATENATE("#metadata!", ADDRESS(INDEX($J$2:$J$1001,MATCH(ROWS($H$2:H511),$H$2:$H$1001,0),0), INDEX($O$1004:$Q$1004,1,MATCH(COLUMNS($O$1006:O1006),$O$1006:$Q$1006,0)))),"Fix")))</f>
        <v xml:space="preserve"> </v>
      </c>
      <c r="C511" s="3" t="str">
        <f ca="1">IF(OR(INDEX($I$2:$I$1001,MATCH(ROWS($H$2:H511),$H$2:$H$1001,0),1)&gt;=100000,INDEX($O$1005:$Q$1005,1,MATCH(COLUMNS($O$1006:P1006),$O$1006:$Q$1006,0))&gt;=100000), " ",IF(INDEX($O$2:$Q$1001,MATCH(ROWS($H$2:H511),$H$2:$H$1001,0),MATCH(COLUMNS($O$1006:P1006),$O$1006:$Q$1006,0)), HYPERLINK("#",""), HYPERLINK(CONCATENATE("#metadata!", ADDRESS(INDEX($J$2:$J$1001,MATCH(ROWS($H$2:H511),$H$2:$H$1001,0),0), INDEX($O$1004:$Q$1004,1,MATCH(COLUMNS($O$1006:P1006),$O$1006:$Q$1006,0)))),"Fix")))</f>
        <v xml:space="preserve"> </v>
      </c>
      <c r="D511" s="3" t="str">
        <f ca="1">IF(OR(INDEX($I$2:$I$1001,MATCH(ROWS($H$2:H511),$H$2:$H$1001,0),1)&gt;=100000,INDEX($O$1005:$Q$1005,1,MATCH(COLUMNS($O$1006:Q1006),$O$1006:$Q$1006,0))&gt;=100000), " ",IF(INDEX($O$2:$Q$1001,MATCH(ROWS($H$2:H511),$H$2:$H$1001,0),MATCH(COLUMNS($O$1006:Q1006),$O$1006:$Q$1006,0)), HYPERLINK("#",""), HYPERLINK(CONCATENATE("#metadata!", ADDRESS(INDEX($J$2:$J$1001,MATCH(ROWS($H$2:H511),$H$2:$H$1001,0),0), INDEX($O$1004:$Q$1004,1,MATCH(COLUMNS($O$1006:Q1006),$O$1006:$Q$1006,0)))),"Fix")))</f>
        <v xml:space="preserve"> </v>
      </c>
      <c r="H511">
        <v>510</v>
      </c>
      <c r="I511">
        <v>100511</v>
      </c>
      <c r="J511">
        <v>511</v>
      </c>
      <c r="K511" t="b">
        <f t="shared" si="7"/>
        <v>1</v>
      </c>
      <c r="L511" t="b">
        <f>COUNTBLANK(metadata!B511:D511)=COLUMNS(metadata!B511:D511)</f>
        <v>1</v>
      </c>
      <c r="M511" t="str">
        <v/>
      </c>
      <c r="O511" t="b">
        <f ca="1"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P511" t="b">
        <f>AND(IF(metadata!C511="",FALSE,TRUE),EXACT(metadata!C511,"mouse gut metagenome"))</f>
        <v>0</v>
      </c>
      <c r="Q511" t="b">
        <f>AND(IF(metadata!D511="",FALSE,TRUE),EXACT(metadata!D511,"410661"))</f>
        <v>0</v>
      </c>
    </row>
    <row r="512" spans="1:17" x14ac:dyDescent="0.2">
      <c r="A512" s="4" t="str">
        <f ca="1">IF(B512=" "," ",HYPERLINK(CONCATENATE("#metadata!",ADDRESS(INDEX($J$2:$J$1001,MATCH(ROWS($H$2:H512),$H$2:$H$1001,0),0),1)),INDEX($M$2:$M$1001,MATCH(ROWS($H$2:H512),$H$2:$H$1001,0),0)))</f>
        <v xml:space="preserve"> </v>
      </c>
      <c r="B512" s="3" t="str">
        <f ca="1">IF(OR(INDEX($I$2:$I$1001,MATCH(ROWS($H$2:H512),$H$2:$H$1001,0),1)&gt;=100000,INDEX($O$1005:$Q$1005,1,MATCH(COLUMNS($O$1006:O1006),$O$1006:$Q$1006,0))&gt;=100000), " ",IF(INDEX($O$2:$Q$1001,MATCH(ROWS($H$2:H512),$H$2:$H$1001,0),MATCH(COLUMNS($O$1006:O1006),$O$1006:$Q$1006,0)), HYPERLINK("#",""), HYPERLINK(CONCATENATE("#metadata!", ADDRESS(INDEX($J$2:$J$1001,MATCH(ROWS($H$2:H512),$H$2:$H$1001,0),0), INDEX($O$1004:$Q$1004,1,MATCH(COLUMNS($O$1006:O1006),$O$1006:$Q$1006,0)))),"Fix")))</f>
        <v xml:space="preserve"> </v>
      </c>
      <c r="C512" s="3" t="str">
        <f ca="1">IF(OR(INDEX($I$2:$I$1001,MATCH(ROWS($H$2:H512),$H$2:$H$1001,0),1)&gt;=100000,INDEX($O$1005:$Q$1005,1,MATCH(COLUMNS($O$1006:P1006),$O$1006:$Q$1006,0))&gt;=100000), " ",IF(INDEX($O$2:$Q$1001,MATCH(ROWS($H$2:H512),$H$2:$H$1001,0),MATCH(COLUMNS($O$1006:P1006),$O$1006:$Q$1006,0)), HYPERLINK("#",""), HYPERLINK(CONCATENATE("#metadata!", ADDRESS(INDEX($J$2:$J$1001,MATCH(ROWS($H$2:H512),$H$2:$H$1001,0),0), INDEX($O$1004:$Q$1004,1,MATCH(COLUMNS($O$1006:P1006),$O$1006:$Q$1006,0)))),"Fix")))</f>
        <v xml:space="preserve"> </v>
      </c>
      <c r="D512" s="3" t="str">
        <f ca="1">IF(OR(INDEX($I$2:$I$1001,MATCH(ROWS($H$2:H512),$H$2:$H$1001,0),1)&gt;=100000,INDEX($O$1005:$Q$1005,1,MATCH(COLUMNS($O$1006:Q1006),$O$1006:$Q$1006,0))&gt;=100000), " ",IF(INDEX($O$2:$Q$1001,MATCH(ROWS($H$2:H512),$H$2:$H$1001,0),MATCH(COLUMNS($O$1006:Q1006),$O$1006:$Q$1006,0)), HYPERLINK("#",""), HYPERLINK(CONCATENATE("#metadata!", ADDRESS(INDEX($J$2:$J$1001,MATCH(ROWS($H$2:H512),$H$2:$H$1001,0),0), INDEX($O$1004:$Q$1004,1,MATCH(COLUMNS($O$1006:Q1006),$O$1006:$Q$1006,0)))),"Fix")))</f>
        <v xml:space="preserve"> </v>
      </c>
      <c r="H512">
        <v>511</v>
      </c>
      <c r="I512">
        <v>100512</v>
      </c>
      <c r="J512">
        <v>512</v>
      </c>
      <c r="K512" t="b">
        <f t="shared" si="7"/>
        <v>1</v>
      </c>
      <c r="L512" t="b">
        <f>COUNTBLANK(metadata!B512:D512)=COLUMNS(metadata!B512:D512)</f>
        <v>1</v>
      </c>
      <c r="M512" t="str">
        <v/>
      </c>
      <c r="O512" t="b">
        <f ca="1"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P512" t="b">
        <f>AND(IF(metadata!C512="",FALSE,TRUE),EXACT(metadata!C512,"mouse gut metagenome"))</f>
        <v>0</v>
      </c>
      <c r="Q512" t="b">
        <f>AND(IF(metadata!D512="",FALSE,TRUE),EXACT(metadata!D512,"410661"))</f>
        <v>0</v>
      </c>
    </row>
    <row r="513" spans="1:17" x14ac:dyDescent="0.2">
      <c r="A513" s="4" t="str">
        <f ca="1">IF(B513=" "," ",HYPERLINK(CONCATENATE("#metadata!",ADDRESS(INDEX($J$2:$J$1001,MATCH(ROWS($H$2:H513),$H$2:$H$1001,0),0),1)),INDEX($M$2:$M$1001,MATCH(ROWS($H$2:H513),$H$2:$H$1001,0),0)))</f>
        <v xml:space="preserve"> </v>
      </c>
      <c r="B513" s="3" t="str">
        <f ca="1">IF(OR(INDEX($I$2:$I$1001,MATCH(ROWS($H$2:H513),$H$2:$H$1001,0),1)&gt;=100000,INDEX($O$1005:$Q$1005,1,MATCH(COLUMNS($O$1006:O1006),$O$1006:$Q$1006,0))&gt;=100000), " ",IF(INDEX($O$2:$Q$1001,MATCH(ROWS($H$2:H513),$H$2:$H$1001,0),MATCH(COLUMNS($O$1006:O1006),$O$1006:$Q$1006,0)), HYPERLINK("#",""), HYPERLINK(CONCATENATE("#metadata!", ADDRESS(INDEX($J$2:$J$1001,MATCH(ROWS($H$2:H513),$H$2:$H$1001,0),0), INDEX($O$1004:$Q$1004,1,MATCH(COLUMNS($O$1006:O1006),$O$1006:$Q$1006,0)))),"Fix")))</f>
        <v xml:space="preserve"> </v>
      </c>
      <c r="C513" s="3" t="str">
        <f ca="1">IF(OR(INDEX($I$2:$I$1001,MATCH(ROWS($H$2:H513),$H$2:$H$1001,0),1)&gt;=100000,INDEX($O$1005:$Q$1005,1,MATCH(COLUMNS($O$1006:P1006),$O$1006:$Q$1006,0))&gt;=100000), " ",IF(INDEX($O$2:$Q$1001,MATCH(ROWS($H$2:H513),$H$2:$H$1001,0),MATCH(COLUMNS($O$1006:P1006),$O$1006:$Q$1006,0)), HYPERLINK("#",""), HYPERLINK(CONCATENATE("#metadata!", ADDRESS(INDEX($J$2:$J$1001,MATCH(ROWS($H$2:H513),$H$2:$H$1001,0),0), INDEX($O$1004:$Q$1004,1,MATCH(COLUMNS($O$1006:P1006),$O$1006:$Q$1006,0)))),"Fix")))</f>
        <v xml:space="preserve"> </v>
      </c>
      <c r="D513" s="3" t="str">
        <f ca="1">IF(OR(INDEX($I$2:$I$1001,MATCH(ROWS($H$2:H513),$H$2:$H$1001,0),1)&gt;=100000,INDEX($O$1005:$Q$1005,1,MATCH(COLUMNS($O$1006:Q1006),$O$1006:$Q$1006,0))&gt;=100000), " ",IF(INDEX($O$2:$Q$1001,MATCH(ROWS($H$2:H513),$H$2:$H$1001,0),MATCH(COLUMNS($O$1006:Q1006),$O$1006:$Q$1006,0)), HYPERLINK("#",""), HYPERLINK(CONCATENATE("#metadata!", ADDRESS(INDEX($J$2:$J$1001,MATCH(ROWS($H$2:H513),$H$2:$H$1001,0),0), INDEX($O$1004:$Q$1004,1,MATCH(COLUMNS($O$1006:Q1006),$O$1006:$Q$1006,0)))),"Fix")))</f>
        <v xml:space="preserve"> </v>
      </c>
      <c r="H513">
        <v>512</v>
      </c>
      <c r="I513">
        <v>100513</v>
      </c>
      <c r="J513">
        <v>513</v>
      </c>
      <c r="K513" t="b">
        <f t="shared" si="7"/>
        <v>1</v>
      </c>
      <c r="L513" t="b">
        <f>COUNTBLANK(metadata!B513:D513)=COLUMNS(metadata!B513:D513)</f>
        <v>1</v>
      </c>
      <c r="M513" t="str">
        <v/>
      </c>
      <c r="O513" t="b">
        <f ca="1"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P513" t="b">
        <f>AND(IF(metadata!C513="",FALSE,TRUE),EXACT(metadata!C513,"mouse gut metagenome"))</f>
        <v>0</v>
      </c>
      <c r="Q513" t="b">
        <f>AND(IF(metadata!D513="",FALSE,TRUE),EXACT(metadata!D513,"410661"))</f>
        <v>0</v>
      </c>
    </row>
    <row r="514" spans="1:17" x14ac:dyDescent="0.2">
      <c r="A514" s="4" t="str">
        <f ca="1">IF(B514=" "," ",HYPERLINK(CONCATENATE("#metadata!",ADDRESS(INDEX($J$2:$J$1001,MATCH(ROWS($H$2:H514),$H$2:$H$1001,0),0),1)),INDEX($M$2:$M$1001,MATCH(ROWS($H$2:H514),$H$2:$H$1001,0),0)))</f>
        <v xml:space="preserve"> </v>
      </c>
      <c r="B514" s="3" t="str">
        <f ca="1">IF(OR(INDEX($I$2:$I$1001,MATCH(ROWS($H$2:H514),$H$2:$H$1001,0),1)&gt;=100000,INDEX($O$1005:$Q$1005,1,MATCH(COLUMNS($O$1006:O1006),$O$1006:$Q$1006,0))&gt;=100000), " ",IF(INDEX($O$2:$Q$1001,MATCH(ROWS($H$2:H514),$H$2:$H$1001,0),MATCH(COLUMNS($O$1006:O1006),$O$1006:$Q$1006,0)), HYPERLINK("#",""), HYPERLINK(CONCATENATE("#metadata!", ADDRESS(INDEX($J$2:$J$1001,MATCH(ROWS($H$2:H514),$H$2:$H$1001,0),0), INDEX($O$1004:$Q$1004,1,MATCH(COLUMNS($O$1006:O1006),$O$1006:$Q$1006,0)))),"Fix")))</f>
        <v xml:space="preserve"> </v>
      </c>
      <c r="C514" s="3" t="str">
        <f ca="1">IF(OR(INDEX($I$2:$I$1001,MATCH(ROWS($H$2:H514),$H$2:$H$1001,0),1)&gt;=100000,INDEX($O$1005:$Q$1005,1,MATCH(COLUMNS($O$1006:P1006),$O$1006:$Q$1006,0))&gt;=100000), " ",IF(INDEX($O$2:$Q$1001,MATCH(ROWS($H$2:H514),$H$2:$H$1001,0),MATCH(COLUMNS($O$1006:P1006),$O$1006:$Q$1006,0)), HYPERLINK("#",""), HYPERLINK(CONCATENATE("#metadata!", ADDRESS(INDEX($J$2:$J$1001,MATCH(ROWS($H$2:H514),$H$2:$H$1001,0),0), INDEX($O$1004:$Q$1004,1,MATCH(COLUMNS($O$1006:P1006),$O$1006:$Q$1006,0)))),"Fix")))</f>
        <v xml:space="preserve"> </v>
      </c>
      <c r="D514" s="3" t="str">
        <f ca="1">IF(OR(INDEX($I$2:$I$1001,MATCH(ROWS($H$2:H514),$H$2:$H$1001,0),1)&gt;=100000,INDEX($O$1005:$Q$1005,1,MATCH(COLUMNS($O$1006:Q1006),$O$1006:$Q$1006,0))&gt;=100000), " ",IF(INDEX($O$2:$Q$1001,MATCH(ROWS($H$2:H514),$H$2:$H$1001,0),MATCH(COLUMNS($O$1006:Q1006),$O$1006:$Q$1006,0)), HYPERLINK("#",""), HYPERLINK(CONCATENATE("#metadata!", ADDRESS(INDEX($J$2:$J$1001,MATCH(ROWS($H$2:H514),$H$2:$H$1001,0),0), INDEX($O$1004:$Q$1004,1,MATCH(COLUMNS($O$1006:Q1006),$O$1006:$Q$1006,0)))),"Fix")))</f>
        <v xml:space="preserve"> </v>
      </c>
      <c r="H514">
        <v>513</v>
      </c>
      <c r="I514">
        <v>100514</v>
      </c>
      <c r="J514">
        <v>514</v>
      </c>
      <c r="K514" t="b">
        <f t="shared" ref="K514:K577" si="8">IF(L514,TRUE,AND(O514:Q514))</f>
        <v>1</v>
      </c>
      <c r="L514" t="b">
        <f>COUNTBLANK(metadata!B514:D514)=COLUMNS(metadata!B514:D514)</f>
        <v>1</v>
      </c>
      <c r="M514" t="str">
        <v/>
      </c>
      <c r="O514" t="b">
        <f ca="1"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P514" t="b">
        <f>AND(IF(metadata!C514="",FALSE,TRUE),EXACT(metadata!C514,"mouse gut metagenome"))</f>
        <v>0</v>
      </c>
      <c r="Q514" t="b">
        <f>AND(IF(metadata!D514="",FALSE,TRUE),EXACT(metadata!D514,"410661"))</f>
        <v>0</v>
      </c>
    </row>
    <row r="515" spans="1:17" x14ac:dyDescent="0.2">
      <c r="A515" s="4" t="str">
        <f ca="1">IF(B515=" "," ",HYPERLINK(CONCATENATE("#metadata!",ADDRESS(INDEX($J$2:$J$1001,MATCH(ROWS($H$2:H515),$H$2:$H$1001,0),0),1)),INDEX($M$2:$M$1001,MATCH(ROWS($H$2:H515),$H$2:$H$1001,0),0)))</f>
        <v xml:space="preserve"> </v>
      </c>
      <c r="B515" s="3" t="str">
        <f ca="1">IF(OR(INDEX($I$2:$I$1001,MATCH(ROWS($H$2:H515),$H$2:$H$1001,0),1)&gt;=100000,INDEX($O$1005:$Q$1005,1,MATCH(COLUMNS($O$1006:O1006),$O$1006:$Q$1006,0))&gt;=100000), " ",IF(INDEX($O$2:$Q$1001,MATCH(ROWS($H$2:H515),$H$2:$H$1001,0),MATCH(COLUMNS($O$1006:O1006),$O$1006:$Q$1006,0)), HYPERLINK("#",""), HYPERLINK(CONCATENATE("#metadata!", ADDRESS(INDEX($J$2:$J$1001,MATCH(ROWS($H$2:H515),$H$2:$H$1001,0),0), INDEX($O$1004:$Q$1004,1,MATCH(COLUMNS($O$1006:O1006),$O$1006:$Q$1006,0)))),"Fix")))</f>
        <v xml:space="preserve"> </v>
      </c>
      <c r="C515" s="3" t="str">
        <f ca="1">IF(OR(INDEX($I$2:$I$1001,MATCH(ROWS($H$2:H515),$H$2:$H$1001,0),1)&gt;=100000,INDEX($O$1005:$Q$1005,1,MATCH(COLUMNS($O$1006:P1006),$O$1006:$Q$1006,0))&gt;=100000), " ",IF(INDEX($O$2:$Q$1001,MATCH(ROWS($H$2:H515),$H$2:$H$1001,0),MATCH(COLUMNS($O$1006:P1006),$O$1006:$Q$1006,0)), HYPERLINK("#",""), HYPERLINK(CONCATENATE("#metadata!", ADDRESS(INDEX($J$2:$J$1001,MATCH(ROWS($H$2:H515),$H$2:$H$1001,0),0), INDEX($O$1004:$Q$1004,1,MATCH(COLUMNS($O$1006:P1006),$O$1006:$Q$1006,0)))),"Fix")))</f>
        <v xml:space="preserve"> </v>
      </c>
      <c r="D515" s="3" t="str">
        <f ca="1">IF(OR(INDEX($I$2:$I$1001,MATCH(ROWS($H$2:H515),$H$2:$H$1001,0),1)&gt;=100000,INDEX($O$1005:$Q$1005,1,MATCH(COLUMNS($O$1006:Q1006),$O$1006:$Q$1006,0))&gt;=100000), " ",IF(INDEX($O$2:$Q$1001,MATCH(ROWS($H$2:H515),$H$2:$H$1001,0),MATCH(COLUMNS($O$1006:Q1006),$O$1006:$Q$1006,0)), HYPERLINK("#",""), HYPERLINK(CONCATENATE("#metadata!", ADDRESS(INDEX($J$2:$J$1001,MATCH(ROWS($H$2:H515),$H$2:$H$1001,0),0), INDEX($O$1004:$Q$1004,1,MATCH(COLUMNS($O$1006:Q1006),$O$1006:$Q$1006,0)))),"Fix")))</f>
        <v xml:space="preserve"> </v>
      </c>
      <c r="H515">
        <v>514</v>
      </c>
      <c r="I515">
        <v>100515</v>
      </c>
      <c r="J515">
        <v>515</v>
      </c>
      <c r="K515" t="b">
        <f t="shared" si="8"/>
        <v>1</v>
      </c>
      <c r="L515" t="b">
        <f>COUNTBLANK(metadata!B515:D515)=COLUMNS(metadata!B515:D515)</f>
        <v>1</v>
      </c>
      <c r="M515" t="str">
        <v/>
      </c>
      <c r="O515" t="b">
        <f ca="1"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P515" t="b">
        <f>AND(IF(metadata!C515="",FALSE,TRUE),EXACT(metadata!C515,"mouse gut metagenome"))</f>
        <v>0</v>
      </c>
      <c r="Q515" t="b">
        <f>AND(IF(metadata!D515="",FALSE,TRUE),EXACT(metadata!D515,"410661"))</f>
        <v>0</v>
      </c>
    </row>
    <row r="516" spans="1:17" x14ac:dyDescent="0.2">
      <c r="A516" s="4" t="str">
        <f ca="1">IF(B516=" "," ",HYPERLINK(CONCATENATE("#metadata!",ADDRESS(INDEX($J$2:$J$1001,MATCH(ROWS($H$2:H516),$H$2:$H$1001,0),0),1)),INDEX($M$2:$M$1001,MATCH(ROWS($H$2:H516),$H$2:$H$1001,0),0)))</f>
        <v xml:space="preserve"> </v>
      </c>
      <c r="B516" s="3" t="str">
        <f ca="1">IF(OR(INDEX($I$2:$I$1001,MATCH(ROWS($H$2:H516),$H$2:$H$1001,0),1)&gt;=100000,INDEX($O$1005:$Q$1005,1,MATCH(COLUMNS($O$1006:O1006),$O$1006:$Q$1006,0))&gt;=100000), " ",IF(INDEX($O$2:$Q$1001,MATCH(ROWS($H$2:H516),$H$2:$H$1001,0),MATCH(COLUMNS($O$1006:O1006),$O$1006:$Q$1006,0)), HYPERLINK("#",""), HYPERLINK(CONCATENATE("#metadata!", ADDRESS(INDEX($J$2:$J$1001,MATCH(ROWS($H$2:H516),$H$2:$H$1001,0),0), INDEX($O$1004:$Q$1004,1,MATCH(COLUMNS($O$1006:O1006),$O$1006:$Q$1006,0)))),"Fix")))</f>
        <v xml:space="preserve"> </v>
      </c>
      <c r="C516" s="3" t="str">
        <f ca="1">IF(OR(INDEX($I$2:$I$1001,MATCH(ROWS($H$2:H516),$H$2:$H$1001,0),1)&gt;=100000,INDEX($O$1005:$Q$1005,1,MATCH(COLUMNS($O$1006:P1006),$O$1006:$Q$1006,0))&gt;=100000), " ",IF(INDEX($O$2:$Q$1001,MATCH(ROWS($H$2:H516),$H$2:$H$1001,0),MATCH(COLUMNS($O$1006:P1006),$O$1006:$Q$1006,0)), HYPERLINK("#",""), HYPERLINK(CONCATENATE("#metadata!", ADDRESS(INDEX($J$2:$J$1001,MATCH(ROWS($H$2:H516),$H$2:$H$1001,0),0), INDEX($O$1004:$Q$1004,1,MATCH(COLUMNS($O$1006:P1006),$O$1006:$Q$1006,0)))),"Fix")))</f>
        <v xml:space="preserve"> </v>
      </c>
      <c r="D516" s="3" t="str">
        <f ca="1">IF(OR(INDEX($I$2:$I$1001,MATCH(ROWS($H$2:H516),$H$2:$H$1001,0),1)&gt;=100000,INDEX($O$1005:$Q$1005,1,MATCH(COLUMNS($O$1006:Q1006),$O$1006:$Q$1006,0))&gt;=100000), " ",IF(INDEX($O$2:$Q$1001,MATCH(ROWS($H$2:H516),$H$2:$H$1001,0),MATCH(COLUMNS($O$1006:Q1006),$O$1006:$Q$1006,0)), HYPERLINK("#",""), HYPERLINK(CONCATENATE("#metadata!", ADDRESS(INDEX($J$2:$J$1001,MATCH(ROWS($H$2:H516),$H$2:$H$1001,0),0), INDEX($O$1004:$Q$1004,1,MATCH(COLUMNS($O$1006:Q1006),$O$1006:$Q$1006,0)))),"Fix")))</f>
        <v xml:space="preserve"> </v>
      </c>
      <c r="H516">
        <v>515</v>
      </c>
      <c r="I516">
        <v>100516</v>
      </c>
      <c r="J516">
        <v>516</v>
      </c>
      <c r="K516" t="b">
        <f t="shared" si="8"/>
        <v>1</v>
      </c>
      <c r="L516" t="b">
        <f>COUNTBLANK(metadata!B516:D516)=COLUMNS(metadata!B516:D516)</f>
        <v>1</v>
      </c>
      <c r="M516" t="str">
        <v/>
      </c>
      <c r="O516" t="b">
        <f ca="1"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P516" t="b">
        <f>AND(IF(metadata!C516="",FALSE,TRUE),EXACT(metadata!C516,"mouse gut metagenome"))</f>
        <v>0</v>
      </c>
      <c r="Q516" t="b">
        <f>AND(IF(metadata!D516="",FALSE,TRUE),EXACT(metadata!D516,"410661"))</f>
        <v>0</v>
      </c>
    </row>
    <row r="517" spans="1:17" x14ac:dyDescent="0.2">
      <c r="A517" s="4" t="str">
        <f ca="1">IF(B517=" "," ",HYPERLINK(CONCATENATE("#metadata!",ADDRESS(INDEX($J$2:$J$1001,MATCH(ROWS($H$2:H517),$H$2:$H$1001,0),0),1)),INDEX($M$2:$M$1001,MATCH(ROWS($H$2:H517),$H$2:$H$1001,0),0)))</f>
        <v xml:space="preserve"> </v>
      </c>
      <c r="B517" s="3" t="str">
        <f ca="1">IF(OR(INDEX($I$2:$I$1001,MATCH(ROWS($H$2:H517),$H$2:$H$1001,0),1)&gt;=100000,INDEX($O$1005:$Q$1005,1,MATCH(COLUMNS($O$1006:O1006),$O$1006:$Q$1006,0))&gt;=100000), " ",IF(INDEX($O$2:$Q$1001,MATCH(ROWS($H$2:H517),$H$2:$H$1001,0),MATCH(COLUMNS($O$1006:O1006),$O$1006:$Q$1006,0)), HYPERLINK("#",""), HYPERLINK(CONCATENATE("#metadata!", ADDRESS(INDEX($J$2:$J$1001,MATCH(ROWS($H$2:H517),$H$2:$H$1001,0),0), INDEX($O$1004:$Q$1004,1,MATCH(COLUMNS($O$1006:O1006),$O$1006:$Q$1006,0)))),"Fix")))</f>
        <v xml:space="preserve"> </v>
      </c>
      <c r="C517" s="3" t="str">
        <f ca="1">IF(OR(INDEX($I$2:$I$1001,MATCH(ROWS($H$2:H517),$H$2:$H$1001,0),1)&gt;=100000,INDEX($O$1005:$Q$1005,1,MATCH(COLUMNS($O$1006:P1006),$O$1006:$Q$1006,0))&gt;=100000), " ",IF(INDEX($O$2:$Q$1001,MATCH(ROWS($H$2:H517),$H$2:$H$1001,0),MATCH(COLUMNS($O$1006:P1006),$O$1006:$Q$1006,0)), HYPERLINK("#",""), HYPERLINK(CONCATENATE("#metadata!", ADDRESS(INDEX($J$2:$J$1001,MATCH(ROWS($H$2:H517),$H$2:$H$1001,0),0), INDEX($O$1004:$Q$1004,1,MATCH(COLUMNS($O$1006:P1006),$O$1006:$Q$1006,0)))),"Fix")))</f>
        <v xml:space="preserve"> </v>
      </c>
      <c r="D517" s="3" t="str">
        <f ca="1">IF(OR(INDEX($I$2:$I$1001,MATCH(ROWS($H$2:H517),$H$2:$H$1001,0),1)&gt;=100000,INDEX($O$1005:$Q$1005,1,MATCH(COLUMNS($O$1006:Q1006),$O$1006:$Q$1006,0))&gt;=100000), " ",IF(INDEX($O$2:$Q$1001,MATCH(ROWS($H$2:H517),$H$2:$H$1001,0),MATCH(COLUMNS($O$1006:Q1006),$O$1006:$Q$1006,0)), HYPERLINK("#",""), HYPERLINK(CONCATENATE("#metadata!", ADDRESS(INDEX($J$2:$J$1001,MATCH(ROWS($H$2:H517),$H$2:$H$1001,0),0), INDEX($O$1004:$Q$1004,1,MATCH(COLUMNS($O$1006:Q1006),$O$1006:$Q$1006,0)))),"Fix")))</f>
        <v xml:space="preserve"> </v>
      </c>
      <c r="H517">
        <v>516</v>
      </c>
      <c r="I517">
        <v>100517</v>
      </c>
      <c r="J517">
        <v>517</v>
      </c>
      <c r="K517" t="b">
        <f t="shared" si="8"/>
        <v>1</v>
      </c>
      <c r="L517" t="b">
        <f>COUNTBLANK(metadata!B517:D517)=COLUMNS(metadata!B517:D517)</f>
        <v>1</v>
      </c>
      <c r="M517" t="str">
        <v/>
      </c>
      <c r="O517" t="b">
        <f ca="1"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P517" t="b">
        <f>AND(IF(metadata!C517="",FALSE,TRUE),EXACT(metadata!C517,"mouse gut metagenome"))</f>
        <v>0</v>
      </c>
      <c r="Q517" t="b">
        <f>AND(IF(metadata!D517="",FALSE,TRUE),EXACT(metadata!D517,"410661"))</f>
        <v>0</v>
      </c>
    </row>
    <row r="518" spans="1:17" x14ac:dyDescent="0.2">
      <c r="A518" s="4" t="str">
        <f ca="1">IF(B518=" "," ",HYPERLINK(CONCATENATE("#metadata!",ADDRESS(INDEX($J$2:$J$1001,MATCH(ROWS($H$2:H518),$H$2:$H$1001,0),0),1)),INDEX($M$2:$M$1001,MATCH(ROWS($H$2:H518),$H$2:$H$1001,0),0)))</f>
        <v xml:space="preserve"> </v>
      </c>
      <c r="B518" s="3" t="str">
        <f ca="1">IF(OR(INDEX($I$2:$I$1001,MATCH(ROWS($H$2:H518),$H$2:$H$1001,0),1)&gt;=100000,INDEX($O$1005:$Q$1005,1,MATCH(COLUMNS($O$1006:O1006),$O$1006:$Q$1006,0))&gt;=100000), " ",IF(INDEX($O$2:$Q$1001,MATCH(ROWS($H$2:H518),$H$2:$H$1001,0),MATCH(COLUMNS($O$1006:O1006),$O$1006:$Q$1006,0)), HYPERLINK("#",""), HYPERLINK(CONCATENATE("#metadata!", ADDRESS(INDEX($J$2:$J$1001,MATCH(ROWS($H$2:H518),$H$2:$H$1001,0),0), INDEX($O$1004:$Q$1004,1,MATCH(COLUMNS($O$1006:O1006),$O$1006:$Q$1006,0)))),"Fix")))</f>
        <v xml:space="preserve"> </v>
      </c>
      <c r="C518" s="3" t="str">
        <f ca="1">IF(OR(INDEX($I$2:$I$1001,MATCH(ROWS($H$2:H518),$H$2:$H$1001,0),1)&gt;=100000,INDEX($O$1005:$Q$1005,1,MATCH(COLUMNS($O$1006:P1006),$O$1006:$Q$1006,0))&gt;=100000), " ",IF(INDEX($O$2:$Q$1001,MATCH(ROWS($H$2:H518),$H$2:$H$1001,0),MATCH(COLUMNS($O$1006:P1006),$O$1006:$Q$1006,0)), HYPERLINK("#",""), HYPERLINK(CONCATENATE("#metadata!", ADDRESS(INDEX($J$2:$J$1001,MATCH(ROWS($H$2:H518),$H$2:$H$1001,0),0), INDEX($O$1004:$Q$1004,1,MATCH(COLUMNS($O$1006:P1006),$O$1006:$Q$1006,0)))),"Fix")))</f>
        <v xml:space="preserve"> </v>
      </c>
      <c r="D518" s="3" t="str">
        <f ca="1">IF(OR(INDEX($I$2:$I$1001,MATCH(ROWS($H$2:H518),$H$2:$H$1001,0),1)&gt;=100000,INDEX($O$1005:$Q$1005,1,MATCH(COLUMNS($O$1006:Q1006),$O$1006:$Q$1006,0))&gt;=100000), " ",IF(INDEX($O$2:$Q$1001,MATCH(ROWS($H$2:H518),$H$2:$H$1001,0),MATCH(COLUMNS($O$1006:Q1006),$O$1006:$Q$1006,0)), HYPERLINK("#",""), HYPERLINK(CONCATENATE("#metadata!", ADDRESS(INDEX($J$2:$J$1001,MATCH(ROWS($H$2:H518),$H$2:$H$1001,0),0), INDEX($O$1004:$Q$1004,1,MATCH(COLUMNS($O$1006:Q1006),$O$1006:$Q$1006,0)))),"Fix")))</f>
        <v xml:space="preserve"> </v>
      </c>
      <c r="H518">
        <v>517</v>
      </c>
      <c r="I518">
        <v>100518</v>
      </c>
      <c r="J518">
        <v>518</v>
      </c>
      <c r="K518" t="b">
        <f t="shared" si="8"/>
        <v>1</v>
      </c>
      <c r="L518" t="b">
        <f>COUNTBLANK(metadata!B518:D518)=COLUMNS(metadata!B518:D518)</f>
        <v>1</v>
      </c>
      <c r="M518" t="str">
        <v/>
      </c>
      <c r="O518" t="b">
        <f ca="1"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P518" t="b">
        <f>AND(IF(metadata!C518="",FALSE,TRUE),EXACT(metadata!C518,"mouse gut metagenome"))</f>
        <v>0</v>
      </c>
      <c r="Q518" t="b">
        <f>AND(IF(metadata!D518="",FALSE,TRUE),EXACT(metadata!D518,"410661"))</f>
        <v>0</v>
      </c>
    </row>
    <row r="519" spans="1:17" x14ac:dyDescent="0.2">
      <c r="A519" s="4" t="str">
        <f ca="1">IF(B519=" "," ",HYPERLINK(CONCATENATE("#metadata!",ADDRESS(INDEX($J$2:$J$1001,MATCH(ROWS($H$2:H519),$H$2:$H$1001,0),0),1)),INDEX($M$2:$M$1001,MATCH(ROWS($H$2:H519),$H$2:$H$1001,0),0)))</f>
        <v xml:space="preserve"> </v>
      </c>
      <c r="B519" s="3" t="str">
        <f ca="1">IF(OR(INDEX($I$2:$I$1001,MATCH(ROWS($H$2:H519),$H$2:$H$1001,0),1)&gt;=100000,INDEX($O$1005:$Q$1005,1,MATCH(COLUMNS($O$1006:O1006),$O$1006:$Q$1006,0))&gt;=100000), " ",IF(INDEX($O$2:$Q$1001,MATCH(ROWS($H$2:H519),$H$2:$H$1001,0),MATCH(COLUMNS($O$1006:O1006),$O$1006:$Q$1006,0)), HYPERLINK("#",""), HYPERLINK(CONCATENATE("#metadata!", ADDRESS(INDEX($J$2:$J$1001,MATCH(ROWS($H$2:H519),$H$2:$H$1001,0),0), INDEX($O$1004:$Q$1004,1,MATCH(COLUMNS($O$1006:O1006),$O$1006:$Q$1006,0)))),"Fix")))</f>
        <v xml:space="preserve"> </v>
      </c>
      <c r="C519" s="3" t="str">
        <f ca="1">IF(OR(INDEX($I$2:$I$1001,MATCH(ROWS($H$2:H519),$H$2:$H$1001,0),1)&gt;=100000,INDEX($O$1005:$Q$1005,1,MATCH(COLUMNS($O$1006:P1006),$O$1006:$Q$1006,0))&gt;=100000), " ",IF(INDEX($O$2:$Q$1001,MATCH(ROWS($H$2:H519),$H$2:$H$1001,0),MATCH(COLUMNS($O$1006:P1006),$O$1006:$Q$1006,0)), HYPERLINK("#",""), HYPERLINK(CONCATENATE("#metadata!", ADDRESS(INDEX($J$2:$J$1001,MATCH(ROWS($H$2:H519),$H$2:$H$1001,0),0), INDEX($O$1004:$Q$1004,1,MATCH(COLUMNS($O$1006:P1006),$O$1006:$Q$1006,0)))),"Fix")))</f>
        <v xml:space="preserve"> </v>
      </c>
      <c r="D519" s="3" t="str">
        <f ca="1">IF(OR(INDEX($I$2:$I$1001,MATCH(ROWS($H$2:H519),$H$2:$H$1001,0),1)&gt;=100000,INDEX($O$1005:$Q$1005,1,MATCH(COLUMNS($O$1006:Q1006),$O$1006:$Q$1006,0))&gt;=100000), " ",IF(INDEX($O$2:$Q$1001,MATCH(ROWS($H$2:H519),$H$2:$H$1001,0),MATCH(COLUMNS($O$1006:Q1006),$O$1006:$Q$1006,0)), HYPERLINK("#",""), HYPERLINK(CONCATENATE("#metadata!", ADDRESS(INDEX($J$2:$J$1001,MATCH(ROWS($H$2:H519),$H$2:$H$1001,0),0), INDEX($O$1004:$Q$1004,1,MATCH(COLUMNS($O$1006:Q1006),$O$1006:$Q$1006,0)))),"Fix")))</f>
        <v xml:space="preserve"> </v>
      </c>
      <c r="H519">
        <v>518</v>
      </c>
      <c r="I519">
        <v>100519</v>
      </c>
      <c r="J519">
        <v>519</v>
      </c>
      <c r="K519" t="b">
        <f t="shared" si="8"/>
        <v>1</v>
      </c>
      <c r="L519" t="b">
        <f>COUNTBLANK(metadata!B519:D519)=COLUMNS(metadata!B519:D519)</f>
        <v>1</v>
      </c>
      <c r="M519" t="str">
        <v/>
      </c>
      <c r="O519" t="b">
        <f ca="1"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P519" t="b">
        <f>AND(IF(metadata!C519="",FALSE,TRUE),EXACT(metadata!C519,"mouse gut metagenome"))</f>
        <v>0</v>
      </c>
      <c r="Q519" t="b">
        <f>AND(IF(metadata!D519="",FALSE,TRUE),EXACT(metadata!D519,"410661"))</f>
        <v>0</v>
      </c>
    </row>
    <row r="520" spans="1:17" x14ac:dyDescent="0.2">
      <c r="A520" s="4" t="str">
        <f ca="1">IF(B520=" "," ",HYPERLINK(CONCATENATE("#metadata!",ADDRESS(INDEX($J$2:$J$1001,MATCH(ROWS($H$2:H520),$H$2:$H$1001,0),0),1)),INDEX($M$2:$M$1001,MATCH(ROWS($H$2:H520),$H$2:$H$1001,0),0)))</f>
        <v xml:space="preserve"> </v>
      </c>
      <c r="B520" s="3" t="str">
        <f ca="1">IF(OR(INDEX($I$2:$I$1001,MATCH(ROWS($H$2:H520),$H$2:$H$1001,0),1)&gt;=100000,INDEX($O$1005:$Q$1005,1,MATCH(COLUMNS($O$1006:O1006),$O$1006:$Q$1006,0))&gt;=100000), " ",IF(INDEX($O$2:$Q$1001,MATCH(ROWS($H$2:H520),$H$2:$H$1001,0),MATCH(COLUMNS($O$1006:O1006),$O$1006:$Q$1006,0)), HYPERLINK("#",""), HYPERLINK(CONCATENATE("#metadata!", ADDRESS(INDEX($J$2:$J$1001,MATCH(ROWS($H$2:H520),$H$2:$H$1001,0),0), INDEX($O$1004:$Q$1004,1,MATCH(COLUMNS($O$1006:O1006),$O$1006:$Q$1006,0)))),"Fix")))</f>
        <v xml:space="preserve"> </v>
      </c>
      <c r="C520" s="3" t="str">
        <f ca="1">IF(OR(INDEX($I$2:$I$1001,MATCH(ROWS($H$2:H520),$H$2:$H$1001,0),1)&gt;=100000,INDEX($O$1005:$Q$1005,1,MATCH(COLUMNS($O$1006:P1006),$O$1006:$Q$1006,0))&gt;=100000), " ",IF(INDEX($O$2:$Q$1001,MATCH(ROWS($H$2:H520),$H$2:$H$1001,0),MATCH(COLUMNS($O$1006:P1006),$O$1006:$Q$1006,0)), HYPERLINK("#",""), HYPERLINK(CONCATENATE("#metadata!", ADDRESS(INDEX($J$2:$J$1001,MATCH(ROWS($H$2:H520),$H$2:$H$1001,0),0), INDEX($O$1004:$Q$1004,1,MATCH(COLUMNS($O$1006:P1006),$O$1006:$Q$1006,0)))),"Fix")))</f>
        <v xml:space="preserve"> </v>
      </c>
      <c r="D520" s="3" t="str">
        <f ca="1">IF(OR(INDEX($I$2:$I$1001,MATCH(ROWS($H$2:H520),$H$2:$H$1001,0),1)&gt;=100000,INDEX($O$1005:$Q$1005,1,MATCH(COLUMNS($O$1006:Q1006),$O$1006:$Q$1006,0))&gt;=100000), " ",IF(INDEX($O$2:$Q$1001,MATCH(ROWS($H$2:H520),$H$2:$H$1001,0),MATCH(COLUMNS($O$1006:Q1006),$O$1006:$Q$1006,0)), HYPERLINK("#",""), HYPERLINK(CONCATENATE("#metadata!", ADDRESS(INDEX($J$2:$J$1001,MATCH(ROWS($H$2:H520),$H$2:$H$1001,0),0), INDEX($O$1004:$Q$1004,1,MATCH(COLUMNS($O$1006:Q1006),$O$1006:$Q$1006,0)))),"Fix")))</f>
        <v xml:space="preserve"> </v>
      </c>
      <c r="H520">
        <v>519</v>
      </c>
      <c r="I520">
        <v>100520</v>
      </c>
      <c r="J520">
        <v>520</v>
      </c>
      <c r="K520" t="b">
        <f t="shared" si="8"/>
        <v>1</v>
      </c>
      <c r="L520" t="b">
        <f>COUNTBLANK(metadata!B520:D520)=COLUMNS(metadata!B520:D520)</f>
        <v>1</v>
      </c>
      <c r="M520" t="str">
        <v/>
      </c>
      <c r="O520" t="b">
        <f ca="1"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P520" t="b">
        <f>AND(IF(metadata!C520="",FALSE,TRUE),EXACT(metadata!C520,"mouse gut metagenome"))</f>
        <v>0</v>
      </c>
      <c r="Q520" t="b">
        <f>AND(IF(metadata!D520="",FALSE,TRUE),EXACT(metadata!D520,"410661"))</f>
        <v>0</v>
      </c>
    </row>
    <row r="521" spans="1:17" x14ac:dyDescent="0.2">
      <c r="A521" s="4" t="str">
        <f ca="1">IF(B521=" "," ",HYPERLINK(CONCATENATE("#metadata!",ADDRESS(INDEX($J$2:$J$1001,MATCH(ROWS($H$2:H521),$H$2:$H$1001,0),0),1)),INDEX($M$2:$M$1001,MATCH(ROWS($H$2:H521),$H$2:$H$1001,0),0)))</f>
        <v xml:space="preserve"> </v>
      </c>
      <c r="B521" s="3" t="str">
        <f ca="1">IF(OR(INDEX($I$2:$I$1001,MATCH(ROWS($H$2:H521),$H$2:$H$1001,0),1)&gt;=100000,INDEX($O$1005:$Q$1005,1,MATCH(COLUMNS($O$1006:O1006),$O$1006:$Q$1006,0))&gt;=100000), " ",IF(INDEX($O$2:$Q$1001,MATCH(ROWS($H$2:H521),$H$2:$H$1001,0),MATCH(COLUMNS($O$1006:O1006),$O$1006:$Q$1006,0)), HYPERLINK("#",""), HYPERLINK(CONCATENATE("#metadata!", ADDRESS(INDEX($J$2:$J$1001,MATCH(ROWS($H$2:H521),$H$2:$H$1001,0),0), INDEX($O$1004:$Q$1004,1,MATCH(COLUMNS($O$1006:O1006),$O$1006:$Q$1006,0)))),"Fix")))</f>
        <v xml:space="preserve"> </v>
      </c>
      <c r="C521" s="3" t="str">
        <f ca="1">IF(OR(INDEX($I$2:$I$1001,MATCH(ROWS($H$2:H521),$H$2:$H$1001,0),1)&gt;=100000,INDEX($O$1005:$Q$1005,1,MATCH(COLUMNS($O$1006:P1006),$O$1006:$Q$1006,0))&gt;=100000), " ",IF(INDEX($O$2:$Q$1001,MATCH(ROWS($H$2:H521),$H$2:$H$1001,0),MATCH(COLUMNS($O$1006:P1006),$O$1006:$Q$1006,0)), HYPERLINK("#",""), HYPERLINK(CONCATENATE("#metadata!", ADDRESS(INDEX($J$2:$J$1001,MATCH(ROWS($H$2:H521),$H$2:$H$1001,0),0), INDEX($O$1004:$Q$1004,1,MATCH(COLUMNS($O$1006:P1006),$O$1006:$Q$1006,0)))),"Fix")))</f>
        <v xml:space="preserve"> </v>
      </c>
      <c r="D521" s="3" t="str">
        <f ca="1">IF(OR(INDEX($I$2:$I$1001,MATCH(ROWS($H$2:H521),$H$2:$H$1001,0),1)&gt;=100000,INDEX($O$1005:$Q$1005,1,MATCH(COLUMNS($O$1006:Q1006),$O$1006:$Q$1006,0))&gt;=100000), " ",IF(INDEX($O$2:$Q$1001,MATCH(ROWS($H$2:H521),$H$2:$H$1001,0),MATCH(COLUMNS($O$1006:Q1006),$O$1006:$Q$1006,0)), HYPERLINK("#",""), HYPERLINK(CONCATENATE("#metadata!", ADDRESS(INDEX($J$2:$J$1001,MATCH(ROWS($H$2:H521),$H$2:$H$1001,0),0), INDEX($O$1004:$Q$1004,1,MATCH(COLUMNS($O$1006:Q1006),$O$1006:$Q$1006,0)))),"Fix")))</f>
        <v xml:space="preserve"> </v>
      </c>
      <c r="H521">
        <v>520</v>
      </c>
      <c r="I521">
        <v>100521</v>
      </c>
      <c r="J521">
        <v>521</v>
      </c>
      <c r="K521" t="b">
        <f t="shared" si="8"/>
        <v>1</v>
      </c>
      <c r="L521" t="b">
        <f>COUNTBLANK(metadata!B521:D521)=COLUMNS(metadata!B521:D521)</f>
        <v>1</v>
      </c>
      <c r="M521" t="str">
        <v/>
      </c>
      <c r="O521" t="b">
        <f ca="1"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P521" t="b">
        <f>AND(IF(metadata!C521="",FALSE,TRUE),EXACT(metadata!C521,"mouse gut metagenome"))</f>
        <v>0</v>
      </c>
      <c r="Q521" t="b">
        <f>AND(IF(metadata!D521="",FALSE,TRUE),EXACT(metadata!D521,"410661"))</f>
        <v>0</v>
      </c>
    </row>
    <row r="522" spans="1:17" x14ac:dyDescent="0.2">
      <c r="A522" s="4" t="str">
        <f ca="1">IF(B522=" "," ",HYPERLINK(CONCATENATE("#metadata!",ADDRESS(INDEX($J$2:$J$1001,MATCH(ROWS($H$2:H522),$H$2:$H$1001,0),0),1)),INDEX($M$2:$M$1001,MATCH(ROWS($H$2:H522),$H$2:$H$1001,0),0)))</f>
        <v xml:space="preserve"> </v>
      </c>
      <c r="B522" s="3" t="str">
        <f ca="1">IF(OR(INDEX($I$2:$I$1001,MATCH(ROWS($H$2:H522),$H$2:$H$1001,0),1)&gt;=100000,INDEX($O$1005:$Q$1005,1,MATCH(COLUMNS($O$1006:O1006),$O$1006:$Q$1006,0))&gt;=100000), " ",IF(INDEX($O$2:$Q$1001,MATCH(ROWS($H$2:H522),$H$2:$H$1001,0),MATCH(COLUMNS($O$1006:O1006),$O$1006:$Q$1006,0)), HYPERLINK("#",""), HYPERLINK(CONCATENATE("#metadata!", ADDRESS(INDEX($J$2:$J$1001,MATCH(ROWS($H$2:H522),$H$2:$H$1001,0),0), INDEX($O$1004:$Q$1004,1,MATCH(COLUMNS($O$1006:O1006),$O$1006:$Q$1006,0)))),"Fix")))</f>
        <v xml:space="preserve"> </v>
      </c>
      <c r="C522" s="3" t="str">
        <f ca="1">IF(OR(INDEX($I$2:$I$1001,MATCH(ROWS($H$2:H522),$H$2:$H$1001,0),1)&gt;=100000,INDEX($O$1005:$Q$1005,1,MATCH(COLUMNS($O$1006:P1006),$O$1006:$Q$1006,0))&gt;=100000), " ",IF(INDEX($O$2:$Q$1001,MATCH(ROWS($H$2:H522),$H$2:$H$1001,0),MATCH(COLUMNS($O$1006:P1006),$O$1006:$Q$1006,0)), HYPERLINK("#",""), HYPERLINK(CONCATENATE("#metadata!", ADDRESS(INDEX($J$2:$J$1001,MATCH(ROWS($H$2:H522),$H$2:$H$1001,0),0), INDEX($O$1004:$Q$1004,1,MATCH(COLUMNS($O$1006:P1006),$O$1006:$Q$1006,0)))),"Fix")))</f>
        <v xml:space="preserve"> </v>
      </c>
      <c r="D522" s="3" t="str">
        <f ca="1">IF(OR(INDEX($I$2:$I$1001,MATCH(ROWS($H$2:H522),$H$2:$H$1001,0),1)&gt;=100000,INDEX($O$1005:$Q$1005,1,MATCH(COLUMNS($O$1006:Q1006),$O$1006:$Q$1006,0))&gt;=100000), " ",IF(INDEX($O$2:$Q$1001,MATCH(ROWS($H$2:H522),$H$2:$H$1001,0),MATCH(COLUMNS($O$1006:Q1006),$O$1006:$Q$1006,0)), HYPERLINK("#",""), HYPERLINK(CONCATENATE("#metadata!", ADDRESS(INDEX($J$2:$J$1001,MATCH(ROWS($H$2:H522),$H$2:$H$1001,0),0), INDEX($O$1004:$Q$1004,1,MATCH(COLUMNS($O$1006:Q1006),$O$1006:$Q$1006,0)))),"Fix")))</f>
        <v xml:space="preserve"> </v>
      </c>
      <c r="H522">
        <v>521</v>
      </c>
      <c r="I522">
        <v>100522</v>
      </c>
      <c r="J522">
        <v>522</v>
      </c>
      <c r="K522" t="b">
        <f t="shared" si="8"/>
        <v>1</v>
      </c>
      <c r="L522" t="b">
        <f>COUNTBLANK(metadata!B522:D522)=COLUMNS(metadata!B522:D522)</f>
        <v>1</v>
      </c>
      <c r="M522" t="str">
        <v/>
      </c>
      <c r="O522" t="b">
        <f ca="1"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P522" t="b">
        <f>AND(IF(metadata!C522="",FALSE,TRUE),EXACT(metadata!C522,"mouse gut metagenome"))</f>
        <v>0</v>
      </c>
      <c r="Q522" t="b">
        <f>AND(IF(metadata!D522="",FALSE,TRUE),EXACT(metadata!D522,"410661"))</f>
        <v>0</v>
      </c>
    </row>
    <row r="523" spans="1:17" x14ac:dyDescent="0.2">
      <c r="A523" s="4" t="str">
        <f ca="1">IF(B523=" "," ",HYPERLINK(CONCATENATE("#metadata!",ADDRESS(INDEX($J$2:$J$1001,MATCH(ROWS($H$2:H523),$H$2:$H$1001,0),0),1)),INDEX($M$2:$M$1001,MATCH(ROWS($H$2:H523),$H$2:$H$1001,0),0)))</f>
        <v xml:space="preserve"> </v>
      </c>
      <c r="B523" s="3" t="str">
        <f ca="1">IF(OR(INDEX($I$2:$I$1001,MATCH(ROWS($H$2:H523),$H$2:$H$1001,0),1)&gt;=100000,INDEX($O$1005:$Q$1005,1,MATCH(COLUMNS($O$1006:O1006),$O$1006:$Q$1006,0))&gt;=100000), " ",IF(INDEX($O$2:$Q$1001,MATCH(ROWS($H$2:H523),$H$2:$H$1001,0),MATCH(COLUMNS($O$1006:O1006),$O$1006:$Q$1006,0)), HYPERLINK("#",""), HYPERLINK(CONCATENATE("#metadata!", ADDRESS(INDEX($J$2:$J$1001,MATCH(ROWS($H$2:H523),$H$2:$H$1001,0),0), INDEX($O$1004:$Q$1004,1,MATCH(COLUMNS($O$1006:O1006),$O$1006:$Q$1006,0)))),"Fix")))</f>
        <v xml:space="preserve"> </v>
      </c>
      <c r="C523" s="3" t="str">
        <f ca="1">IF(OR(INDEX($I$2:$I$1001,MATCH(ROWS($H$2:H523),$H$2:$H$1001,0),1)&gt;=100000,INDEX($O$1005:$Q$1005,1,MATCH(COLUMNS($O$1006:P1006),$O$1006:$Q$1006,0))&gt;=100000), " ",IF(INDEX($O$2:$Q$1001,MATCH(ROWS($H$2:H523),$H$2:$H$1001,0),MATCH(COLUMNS($O$1006:P1006),$O$1006:$Q$1006,0)), HYPERLINK("#",""), HYPERLINK(CONCATENATE("#metadata!", ADDRESS(INDEX($J$2:$J$1001,MATCH(ROWS($H$2:H523),$H$2:$H$1001,0),0), INDEX($O$1004:$Q$1004,1,MATCH(COLUMNS($O$1006:P1006),$O$1006:$Q$1006,0)))),"Fix")))</f>
        <v xml:space="preserve"> </v>
      </c>
      <c r="D523" s="3" t="str">
        <f ca="1">IF(OR(INDEX($I$2:$I$1001,MATCH(ROWS($H$2:H523),$H$2:$H$1001,0),1)&gt;=100000,INDEX($O$1005:$Q$1005,1,MATCH(COLUMNS($O$1006:Q1006),$O$1006:$Q$1006,0))&gt;=100000), " ",IF(INDEX($O$2:$Q$1001,MATCH(ROWS($H$2:H523),$H$2:$H$1001,0),MATCH(COLUMNS($O$1006:Q1006),$O$1006:$Q$1006,0)), HYPERLINK("#",""), HYPERLINK(CONCATENATE("#metadata!", ADDRESS(INDEX($J$2:$J$1001,MATCH(ROWS($H$2:H523),$H$2:$H$1001,0),0), INDEX($O$1004:$Q$1004,1,MATCH(COLUMNS($O$1006:Q1006),$O$1006:$Q$1006,0)))),"Fix")))</f>
        <v xml:space="preserve"> </v>
      </c>
      <c r="H523">
        <v>522</v>
      </c>
      <c r="I523">
        <v>100523</v>
      </c>
      <c r="J523">
        <v>523</v>
      </c>
      <c r="K523" t="b">
        <f t="shared" si="8"/>
        <v>1</v>
      </c>
      <c r="L523" t="b">
        <f>COUNTBLANK(metadata!B523:D523)=COLUMNS(metadata!B523:D523)</f>
        <v>1</v>
      </c>
      <c r="M523" t="str">
        <v/>
      </c>
      <c r="O523" t="b">
        <f ca="1"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P523" t="b">
        <f>AND(IF(metadata!C523="",FALSE,TRUE),EXACT(metadata!C523,"mouse gut metagenome"))</f>
        <v>0</v>
      </c>
      <c r="Q523" t="b">
        <f>AND(IF(metadata!D523="",FALSE,TRUE),EXACT(metadata!D523,"410661"))</f>
        <v>0</v>
      </c>
    </row>
    <row r="524" spans="1:17" x14ac:dyDescent="0.2">
      <c r="A524" s="4" t="str">
        <f ca="1">IF(B524=" "," ",HYPERLINK(CONCATENATE("#metadata!",ADDRESS(INDEX($J$2:$J$1001,MATCH(ROWS($H$2:H524),$H$2:$H$1001,0),0),1)),INDEX($M$2:$M$1001,MATCH(ROWS($H$2:H524),$H$2:$H$1001,0),0)))</f>
        <v xml:space="preserve"> </v>
      </c>
      <c r="B524" s="3" t="str">
        <f ca="1">IF(OR(INDEX($I$2:$I$1001,MATCH(ROWS($H$2:H524),$H$2:$H$1001,0),1)&gt;=100000,INDEX($O$1005:$Q$1005,1,MATCH(COLUMNS($O$1006:O1006),$O$1006:$Q$1006,0))&gt;=100000), " ",IF(INDEX($O$2:$Q$1001,MATCH(ROWS($H$2:H524),$H$2:$H$1001,0),MATCH(COLUMNS($O$1006:O1006),$O$1006:$Q$1006,0)), HYPERLINK("#",""), HYPERLINK(CONCATENATE("#metadata!", ADDRESS(INDEX($J$2:$J$1001,MATCH(ROWS($H$2:H524),$H$2:$H$1001,0),0), INDEX($O$1004:$Q$1004,1,MATCH(COLUMNS($O$1006:O1006),$O$1006:$Q$1006,0)))),"Fix")))</f>
        <v xml:space="preserve"> </v>
      </c>
      <c r="C524" s="3" t="str">
        <f ca="1">IF(OR(INDEX($I$2:$I$1001,MATCH(ROWS($H$2:H524),$H$2:$H$1001,0),1)&gt;=100000,INDEX($O$1005:$Q$1005,1,MATCH(COLUMNS($O$1006:P1006),$O$1006:$Q$1006,0))&gt;=100000), " ",IF(INDEX($O$2:$Q$1001,MATCH(ROWS($H$2:H524),$H$2:$H$1001,0),MATCH(COLUMNS($O$1006:P1006),$O$1006:$Q$1006,0)), HYPERLINK("#",""), HYPERLINK(CONCATENATE("#metadata!", ADDRESS(INDEX($J$2:$J$1001,MATCH(ROWS($H$2:H524),$H$2:$H$1001,0),0), INDEX($O$1004:$Q$1004,1,MATCH(COLUMNS($O$1006:P1006),$O$1006:$Q$1006,0)))),"Fix")))</f>
        <v xml:space="preserve"> </v>
      </c>
      <c r="D524" s="3" t="str">
        <f ca="1">IF(OR(INDEX($I$2:$I$1001,MATCH(ROWS($H$2:H524),$H$2:$H$1001,0),1)&gt;=100000,INDEX($O$1005:$Q$1005,1,MATCH(COLUMNS($O$1006:Q1006),$O$1006:$Q$1006,0))&gt;=100000), " ",IF(INDEX($O$2:$Q$1001,MATCH(ROWS($H$2:H524),$H$2:$H$1001,0),MATCH(COLUMNS($O$1006:Q1006),$O$1006:$Q$1006,0)), HYPERLINK("#",""), HYPERLINK(CONCATENATE("#metadata!", ADDRESS(INDEX($J$2:$J$1001,MATCH(ROWS($H$2:H524),$H$2:$H$1001,0),0), INDEX($O$1004:$Q$1004,1,MATCH(COLUMNS($O$1006:Q1006),$O$1006:$Q$1006,0)))),"Fix")))</f>
        <v xml:space="preserve"> </v>
      </c>
      <c r="H524">
        <v>523</v>
      </c>
      <c r="I524">
        <v>100524</v>
      </c>
      <c r="J524">
        <v>524</v>
      </c>
      <c r="K524" t="b">
        <f t="shared" si="8"/>
        <v>1</v>
      </c>
      <c r="L524" t="b">
        <f>COUNTBLANK(metadata!B524:D524)=COLUMNS(metadata!B524:D524)</f>
        <v>1</v>
      </c>
      <c r="M524" t="str">
        <v/>
      </c>
      <c r="O524" t="b">
        <f ca="1"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P524" t="b">
        <f>AND(IF(metadata!C524="",FALSE,TRUE),EXACT(metadata!C524,"mouse gut metagenome"))</f>
        <v>0</v>
      </c>
      <c r="Q524" t="b">
        <f>AND(IF(metadata!D524="",FALSE,TRUE),EXACT(metadata!D524,"410661"))</f>
        <v>0</v>
      </c>
    </row>
    <row r="525" spans="1:17" x14ac:dyDescent="0.2">
      <c r="A525" s="4" t="str">
        <f ca="1">IF(B525=" "," ",HYPERLINK(CONCATENATE("#metadata!",ADDRESS(INDEX($J$2:$J$1001,MATCH(ROWS($H$2:H525),$H$2:$H$1001,0),0),1)),INDEX($M$2:$M$1001,MATCH(ROWS($H$2:H525),$H$2:$H$1001,0),0)))</f>
        <v xml:space="preserve"> </v>
      </c>
      <c r="B525" s="3" t="str">
        <f ca="1">IF(OR(INDEX($I$2:$I$1001,MATCH(ROWS($H$2:H525),$H$2:$H$1001,0),1)&gt;=100000,INDEX($O$1005:$Q$1005,1,MATCH(COLUMNS($O$1006:O1006),$O$1006:$Q$1006,0))&gt;=100000), " ",IF(INDEX($O$2:$Q$1001,MATCH(ROWS($H$2:H525),$H$2:$H$1001,0),MATCH(COLUMNS($O$1006:O1006),$O$1006:$Q$1006,0)), HYPERLINK("#",""), HYPERLINK(CONCATENATE("#metadata!", ADDRESS(INDEX($J$2:$J$1001,MATCH(ROWS($H$2:H525),$H$2:$H$1001,0),0), INDEX($O$1004:$Q$1004,1,MATCH(COLUMNS($O$1006:O1006),$O$1006:$Q$1006,0)))),"Fix")))</f>
        <v xml:space="preserve"> </v>
      </c>
      <c r="C525" s="3" t="str">
        <f ca="1">IF(OR(INDEX($I$2:$I$1001,MATCH(ROWS($H$2:H525),$H$2:$H$1001,0),1)&gt;=100000,INDEX($O$1005:$Q$1005,1,MATCH(COLUMNS($O$1006:P1006),$O$1006:$Q$1006,0))&gt;=100000), " ",IF(INDEX($O$2:$Q$1001,MATCH(ROWS($H$2:H525),$H$2:$H$1001,0),MATCH(COLUMNS($O$1006:P1006),$O$1006:$Q$1006,0)), HYPERLINK("#",""), HYPERLINK(CONCATENATE("#metadata!", ADDRESS(INDEX($J$2:$J$1001,MATCH(ROWS($H$2:H525),$H$2:$H$1001,0),0), INDEX($O$1004:$Q$1004,1,MATCH(COLUMNS($O$1006:P1006),$O$1006:$Q$1006,0)))),"Fix")))</f>
        <v xml:space="preserve"> </v>
      </c>
      <c r="D525" s="3" t="str">
        <f ca="1">IF(OR(INDEX($I$2:$I$1001,MATCH(ROWS($H$2:H525),$H$2:$H$1001,0),1)&gt;=100000,INDEX($O$1005:$Q$1005,1,MATCH(COLUMNS($O$1006:Q1006),$O$1006:$Q$1006,0))&gt;=100000), " ",IF(INDEX($O$2:$Q$1001,MATCH(ROWS($H$2:H525),$H$2:$H$1001,0),MATCH(COLUMNS($O$1006:Q1006),$O$1006:$Q$1006,0)), HYPERLINK("#",""), HYPERLINK(CONCATENATE("#metadata!", ADDRESS(INDEX($J$2:$J$1001,MATCH(ROWS($H$2:H525),$H$2:$H$1001,0),0), INDEX($O$1004:$Q$1004,1,MATCH(COLUMNS($O$1006:Q1006),$O$1006:$Q$1006,0)))),"Fix")))</f>
        <v xml:space="preserve"> </v>
      </c>
      <c r="H525">
        <v>524</v>
      </c>
      <c r="I525">
        <v>100525</v>
      </c>
      <c r="J525">
        <v>525</v>
      </c>
      <c r="K525" t="b">
        <f t="shared" si="8"/>
        <v>1</v>
      </c>
      <c r="L525" t="b">
        <f>COUNTBLANK(metadata!B525:D525)=COLUMNS(metadata!B525:D525)</f>
        <v>1</v>
      </c>
      <c r="M525" t="str">
        <v/>
      </c>
      <c r="O525" t="b">
        <f ca="1"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P525" t="b">
        <f>AND(IF(metadata!C525="",FALSE,TRUE),EXACT(metadata!C525,"mouse gut metagenome"))</f>
        <v>0</v>
      </c>
      <c r="Q525" t="b">
        <f>AND(IF(metadata!D525="",FALSE,TRUE),EXACT(metadata!D525,"410661"))</f>
        <v>0</v>
      </c>
    </row>
    <row r="526" spans="1:17" x14ac:dyDescent="0.2">
      <c r="A526" s="4" t="str">
        <f ca="1">IF(B526=" "," ",HYPERLINK(CONCATENATE("#metadata!",ADDRESS(INDEX($J$2:$J$1001,MATCH(ROWS($H$2:H526),$H$2:$H$1001,0),0),1)),INDEX($M$2:$M$1001,MATCH(ROWS($H$2:H526),$H$2:$H$1001,0),0)))</f>
        <v xml:space="preserve"> </v>
      </c>
      <c r="B526" s="3" t="str">
        <f ca="1">IF(OR(INDEX($I$2:$I$1001,MATCH(ROWS($H$2:H526),$H$2:$H$1001,0),1)&gt;=100000,INDEX($O$1005:$Q$1005,1,MATCH(COLUMNS($O$1006:O1006),$O$1006:$Q$1006,0))&gt;=100000), " ",IF(INDEX($O$2:$Q$1001,MATCH(ROWS($H$2:H526),$H$2:$H$1001,0),MATCH(COLUMNS($O$1006:O1006),$O$1006:$Q$1006,0)), HYPERLINK("#",""), HYPERLINK(CONCATENATE("#metadata!", ADDRESS(INDEX($J$2:$J$1001,MATCH(ROWS($H$2:H526),$H$2:$H$1001,0),0), INDEX($O$1004:$Q$1004,1,MATCH(COLUMNS($O$1006:O1006),$O$1006:$Q$1006,0)))),"Fix")))</f>
        <v xml:space="preserve"> </v>
      </c>
      <c r="C526" s="3" t="str">
        <f ca="1">IF(OR(INDEX($I$2:$I$1001,MATCH(ROWS($H$2:H526),$H$2:$H$1001,0),1)&gt;=100000,INDEX($O$1005:$Q$1005,1,MATCH(COLUMNS($O$1006:P1006),$O$1006:$Q$1006,0))&gt;=100000), " ",IF(INDEX($O$2:$Q$1001,MATCH(ROWS($H$2:H526),$H$2:$H$1001,0),MATCH(COLUMNS($O$1006:P1006),$O$1006:$Q$1006,0)), HYPERLINK("#",""), HYPERLINK(CONCATENATE("#metadata!", ADDRESS(INDEX($J$2:$J$1001,MATCH(ROWS($H$2:H526),$H$2:$H$1001,0),0), INDEX($O$1004:$Q$1004,1,MATCH(COLUMNS($O$1006:P1006),$O$1006:$Q$1006,0)))),"Fix")))</f>
        <v xml:space="preserve"> </v>
      </c>
      <c r="D526" s="3" t="str">
        <f ca="1">IF(OR(INDEX($I$2:$I$1001,MATCH(ROWS($H$2:H526),$H$2:$H$1001,0),1)&gt;=100000,INDEX($O$1005:$Q$1005,1,MATCH(COLUMNS($O$1006:Q1006),$O$1006:$Q$1006,0))&gt;=100000), " ",IF(INDEX($O$2:$Q$1001,MATCH(ROWS($H$2:H526),$H$2:$H$1001,0),MATCH(COLUMNS($O$1006:Q1006),$O$1006:$Q$1006,0)), HYPERLINK("#",""), HYPERLINK(CONCATENATE("#metadata!", ADDRESS(INDEX($J$2:$J$1001,MATCH(ROWS($H$2:H526),$H$2:$H$1001,0),0), INDEX($O$1004:$Q$1004,1,MATCH(COLUMNS($O$1006:Q1006),$O$1006:$Q$1006,0)))),"Fix")))</f>
        <v xml:space="preserve"> </v>
      </c>
      <c r="H526">
        <v>525</v>
      </c>
      <c r="I526">
        <v>100526</v>
      </c>
      <c r="J526">
        <v>526</v>
      </c>
      <c r="K526" t="b">
        <f t="shared" si="8"/>
        <v>1</v>
      </c>
      <c r="L526" t="b">
        <f>COUNTBLANK(metadata!B526:D526)=COLUMNS(metadata!B526:D526)</f>
        <v>1</v>
      </c>
      <c r="M526" t="str">
        <v/>
      </c>
      <c r="O526" t="b">
        <f ca="1"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P526" t="b">
        <f>AND(IF(metadata!C526="",FALSE,TRUE),EXACT(metadata!C526,"mouse gut metagenome"))</f>
        <v>0</v>
      </c>
      <c r="Q526" t="b">
        <f>AND(IF(metadata!D526="",FALSE,TRUE),EXACT(metadata!D526,"410661"))</f>
        <v>0</v>
      </c>
    </row>
    <row r="527" spans="1:17" x14ac:dyDescent="0.2">
      <c r="A527" s="4" t="str">
        <f ca="1">IF(B527=" "," ",HYPERLINK(CONCATENATE("#metadata!",ADDRESS(INDEX($J$2:$J$1001,MATCH(ROWS($H$2:H527),$H$2:$H$1001,0),0),1)),INDEX($M$2:$M$1001,MATCH(ROWS($H$2:H527),$H$2:$H$1001,0),0)))</f>
        <v xml:space="preserve"> </v>
      </c>
      <c r="B527" s="3" t="str">
        <f ca="1">IF(OR(INDEX($I$2:$I$1001,MATCH(ROWS($H$2:H527),$H$2:$H$1001,0),1)&gt;=100000,INDEX($O$1005:$Q$1005,1,MATCH(COLUMNS($O$1006:O1006),$O$1006:$Q$1006,0))&gt;=100000), " ",IF(INDEX($O$2:$Q$1001,MATCH(ROWS($H$2:H527),$H$2:$H$1001,0),MATCH(COLUMNS($O$1006:O1006),$O$1006:$Q$1006,0)), HYPERLINK("#",""), HYPERLINK(CONCATENATE("#metadata!", ADDRESS(INDEX($J$2:$J$1001,MATCH(ROWS($H$2:H527),$H$2:$H$1001,0),0), INDEX($O$1004:$Q$1004,1,MATCH(COLUMNS($O$1006:O1006),$O$1006:$Q$1006,0)))),"Fix")))</f>
        <v xml:space="preserve"> </v>
      </c>
      <c r="C527" s="3" t="str">
        <f ca="1">IF(OR(INDEX($I$2:$I$1001,MATCH(ROWS($H$2:H527),$H$2:$H$1001,0),1)&gt;=100000,INDEX($O$1005:$Q$1005,1,MATCH(COLUMNS($O$1006:P1006),$O$1006:$Q$1006,0))&gt;=100000), " ",IF(INDEX($O$2:$Q$1001,MATCH(ROWS($H$2:H527),$H$2:$H$1001,0),MATCH(COLUMNS($O$1006:P1006),$O$1006:$Q$1006,0)), HYPERLINK("#",""), HYPERLINK(CONCATENATE("#metadata!", ADDRESS(INDEX($J$2:$J$1001,MATCH(ROWS($H$2:H527),$H$2:$H$1001,0),0), INDEX($O$1004:$Q$1004,1,MATCH(COLUMNS($O$1006:P1006),$O$1006:$Q$1006,0)))),"Fix")))</f>
        <v xml:space="preserve"> </v>
      </c>
      <c r="D527" s="3" t="str">
        <f ca="1">IF(OR(INDEX($I$2:$I$1001,MATCH(ROWS($H$2:H527),$H$2:$H$1001,0),1)&gt;=100000,INDEX($O$1005:$Q$1005,1,MATCH(COLUMNS($O$1006:Q1006),$O$1006:$Q$1006,0))&gt;=100000), " ",IF(INDEX($O$2:$Q$1001,MATCH(ROWS($H$2:H527),$H$2:$H$1001,0),MATCH(COLUMNS($O$1006:Q1006),$O$1006:$Q$1006,0)), HYPERLINK("#",""), HYPERLINK(CONCATENATE("#metadata!", ADDRESS(INDEX($J$2:$J$1001,MATCH(ROWS($H$2:H527),$H$2:$H$1001,0),0), INDEX($O$1004:$Q$1004,1,MATCH(COLUMNS($O$1006:Q1006),$O$1006:$Q$1006,0)))),"Fix")))</f>
        <v xml:space="preserve"> </v>
      </c>
      <c r="H527">
        <v>526</v>
      </c>
      <c r="I527">
        <v>100527</v>
      </c>
      <c r="J527">
        <v>527</v>
      </c>
      <c r="K527" t="b">
        <f t="shared" si="8"/>
        <v>1</v>
      </c>
      <c r="L527" t="b">
        <f>COUNTBLANK(metadata!B527:D527)=COLUMNS(metadata!B527:D527)</f>
        <v>1</v>
      </c>
      <c r="M527" t="str">
        <v/>
      </c>
      <c r="O527" t="b">
        <f ca="1"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P527" t="b">
        <f>AND(IF(metadata!C527="",FALSE,TRUE),EXACT(metadata!C527,"mouse gut metagenome"))</f>
        <v>0</v>
      </c>
      <c r="Q527" t="b">
        <f>AND(IF(metadata!D527="",FALSE,TRUE),EXACT(metadata!D527,"410661"))</f>
        <v>0</v>
      </c>
    </row>
    <row r="528" spans="1:17" x14ac:dyDescent="0.2">
      <c r="A528" s="4" t="str">
        <f ca="1">IF(B528=" "," ",HYPERLINK(CONCATENATE("#metadata!",ADDRESS(INDEX($J$2:$J$1001,MATCH(ROWS($H$2:H528),$H$2:$H$1001,0),0),1)),INDEX($M$2:$M$1001,MATCH(ROWS($H$2:H528),$H$2:$H$1001,0),0)))</f>
        <v xml:space="preserve"> </v>
      </c>
      <c r="B528" s="3" t="str">
        <f ca="1">IF(OR(INDEX($I$2:$I$1001,MATCH(ROWS($H$2:H528),$H$2:$H$1001,0),1)&gt;=100000,INDEX($O$1005:$Q$1005,1,MATCH(COLUMNS($O$1006:O1006),$O$1006:$Q$1006,0))&gt;=100000), " ",IF(INDEX($O$2:$Q$1001,MATCH(ROWS($H$2:H528),$H$2:$H$1001,0),MATCH(COLUMNS($O$1006:O1006),$O$1006:$Q$1006,0)), HYPERLINK("#",""), HYPERLINK(CONCATENATE("#metadata!", ADDRESS(INDEX($J$2:$J$1001,MATCH(ROWS($H$2:H528),$H$2:$H$1001,0),0), INDEX($O$1004:$Q$1004,1,MATCH(COLUMNS($O$1006:O1006),$O$1006:$Q$1006,0)))),"Fix")))</f>
        <v xml:space="preserve"> </v>
      </c>
      <c r="C528" s="3" t="str">
        <f ca="1">IF(OR(INDEX($I$2:$I$1001,MATCH(ROWS($H$2:H528),$H$2:$H$1001,0),1)&gt;=100000,INDEX($O$1005:$Q$1005,1,MATCH(COLUMNS($O$1006:P1006),$O$1006:$Q$1006,0))&gt;=100000), " ",IF(INDEX($O$2:$Q$1001,MATCH(ROWS($H$2:H528),$H$2:$H$1001,0),MATCH(COLUMNS($O$1006:P1006),$O$1006:$Q$1006,0)), HYPERLINK("#",""), HYPERLINK(CONCATENATE("#metadata!", ADDRESS(INDEX($J$2:$J$1001,MATCH(ROWS($H$2:H528),$H$2:$H$1001,0),0), INDEX($O$1004:$Q$1004,1,MATCH(COLUMNS($O$1006:P1006),$O$1006:$Q$1006,0)))),"Fix")))</f>
        <v xml:space="preserve"> </v>
      </c>
      <c r="D528" s="3" t="str">
        <f ca="1">IF(OR(INDEX($I$2:$I$1001,MATCH(ROWS($H$2:H528),$H$2:$H$1001,0),1)&gt;=100000,INDEX($O$1005:$Q$1005,1,MATCH(COLUMNS($O$1006:Q1006),$O$1006:$Q$1006,0))&gt;=100000), " ",IF(INDEX($O$2:$Q$1001,MATCH(ROWS($H$2:H528),$H$2:$H$1001,0),MATCH(COLUMNS($O$1006:Q1006),$O$1006:$Q$1006,0)), HYPERLINK("#",""), HYPERLINK(CONCATENATE("#metadata!", ADDRESS(INDEX($J$2:$J$1001,MATCH(ROWS($H$2:H528),$H$2:$H$1001,0),0), INDEX($O$1004:$Q$1004,1,MATCH(COLUMNS($O$1006:Q1006),$O$1006:$Q$1006,0)))),"Fix")))</f>
        <v xml:space="preserve"> </v>
      </c>
      <c r="H528">
        <v>527</v>
      </c>
      <c r="I528">
        <v>100528</v>
      </c>
      <c r="J528">
        <v>528</v>
      </c>
      <c r="K528" t="b">
        <f t="shared" si="8"/>
        <v>1</v>
      </c>
      <c r="L528" t="b">
        <f>COUNTBLANK(metadata!B528:D528)=COLUMNS(metadata!B528:D528)</f>
        <v>1</v>
      </c>
      <c r="M528" t="str">
        <v/>
      </c>
      <c r="O528" t="b">
        <f ca="1"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P528" t="b">
        <f>AND(IF(metadata!C528="",FALSE,TRUE),EXACT(metadata!C528,"mouse gut metagenome"))</f>
        <v>0</v>
      </c>
      <c r="Q528" t="b">
        <f>AND(IF(metadata!D528="",FALSE,TRUE),EXACT(metadata!D528,"410661"))</f>
        <v>0</v>
      </c>
    </row>
    <row r="529" spans="1:17" x14ac:dyDescent="0.2">
      <c r="A529" s="4" t="str">
        <f ca="1">IF(B529=" "," ",HYPERLINK(CONCATENATE("#metadata!",ADDRESS(INDEX($J$2:$J$1001,MATCH(ROWS($H$2:H529),$H$2:$H$1001,0),0),1)),INDEX($M$2:$M$1001,MATCH(ROWS($H$2:H529),$H$2:$H$1001,0),0)))</f>
        <v xml:space="preserve"> </v>
      </c>
      <c r="B529" s="3" t="str">
        <f ca="1">IF(OR(INDEX($I$2:$I$1001,MATCH(ROWS($H$2:H529),$H$2:$H$1001,0),1)&gt;=100000,INDEX($O$1005:$Q$1005,1,MATCH(COLUMNS($O$1006:O1006),$O$1006:$Q$1006,0))&gt;=100000), " ",IF(INDEX($O$2:$Q$1001,MATCH(ROWS($H$2:H529),$H$2:$H$1001,0),MATCH(COLUMNS($O$1006:O1006),$O$1006:$Q$1006,0)), HYPERLINK("#",""), HYPERLINK(CONCATENATE("#metadata!", ADDRESS(INDEX($J$2:$J$1001,MATCH(ROWS($H$2:H529),$H$2:$H$1001,0),0), INDEX($O$1004:$Q$1004,1,MATCH(COLUMNS($O$1006:O1006),$O$1006:$Q$1006,0)))),"Fix")))</f>
        <v xml:space="preserve"> </v>
      </c>
      <c r="C529" s="3" t="str">
        <f ca="1">IF(OR(INDEX($I$2:$I$1001,MATCH(ROWS($H$2:H529),$H$2:$H$1001,0),1)&gt;=100000,INDEX($O$1005:$Q$1005,1,MATCH(COLUMNS($O$1006:P1006),$O$1006:$Q$1006,0))&gt;=100000), " ",IF(INDEX($O$2:$Q$1001,MATCH(ROWS($H$2:H529),$H$2:$H$1001,0),MATCH(COLUMNS($O$1006:P1006),$O$1006:$Q$1006,0)), HYPERLINK("#",""), HYPERLINK(CONCATENATE("#metadata!", ADDRESS(INDEX($J$2:$J$1001,MATCH(ROWS($H$2:H529),$H$2:$H$1001,0),0), INDEX($O$1004:$Q$1004,1,MATCH(COLUMNS($O$1006:P1006),$O$1006:$Q$1006,0)))),"Fix")))</f>
        <v xml:space="preserve"> </v>
      </c>
      <c r="D529" s="3" t="str">
        <f ca="1">IF(OR(INDEX($I$2:$I$1001,MATCH(ROWS($H$2:H529),$H$2:$H$1001,0),1)&gt;=100000,INDEX($O$1005:$Q$1005,1,MATCH(COLUMNS($O$1006:Q1006),$O$1006:$Q$1006,0))&gt;=100000), " ",IF(INDEX($O$2:$Q$1001,MATCH(ROWS($H$2:H529),$H$2:$H$1001,0),MATCH(COLUMNS($O$1006:Q1006),$O$1006:$Q$1006,0)), HYPERLINK("#",""), HYPERLINK(CONCATENATE("#metadata!", ADDRESS(INDEX($J$2:$J$1001,MATCH(ROWS($H$2:H529),$H$2:$H$1001,0),0), INDEX($O$1004:$Q$1004,1,MATCH(COLUMNS($O$1006:Q1006),$O$1006:$Q$1006,0)))),"Fix")))</f>
        <v xml:space="preserve"> </v>
      </c>
      <c r="H529">
        <v>528</v>
      </c>
      <c r="I529">
        <v>100529</v>
      </c>
      <c r="J529">
        <v>529</v>
      </c>
      <c r="K529" t="b">
        <f t="shared" si="8"/>
        <v>1</v>
      </c>
      <c r="L529" t="b">
        <f>COUNTBLANK(metadata!B529:D529)=COLUMNS(metadata!B529:D529)</f>
        <v>1</v>
      </c>
      <c r="M529" t="str">
        <v/>
      </c>
      <c r="O529" t="b">
        <f ca="1"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P529" t="b">
        <f>AND(IF(metadata!C529="",FALSE,TRUE),EXACT(metadata!C529,"mouse gut metagenome"))</f>
        <v>0</v>
      </c>
      <c r="Q529" t="b">
        <f>AND(IF(metadata!D529="",FALSE,TRUE),EXACT(metadata!D529,"410661"))</f>
        <v>0</v>
      </c>
    </row>
    <row r="530" spans="1:17" x14ac:dyDescent="0.2">
      <c r="A530" s="4" t="str">
        <f ca="1">IF(B530=" "," ",HYPERLINK(CONCATENATE("#metadata!",ADDRESS(INDEX($J$2:$J$1001,MATCH(ROWS($H$2:H530),$H$2:$H$1001,0),0),1)),INDEX($M$2:$M$1001,MATCH(ROWS($H$2:H530),$H$2:$H$1001,0),0)))</f>
        <v xml:space="preserve"> </v>
      </c>
      <c r="B530" s="3" t="str">
        <f ca="1">IF(OR(INDEX($I$2:$I$1001,MATCH(ROWS($H$2:H530),$H$2:$H$1001,0),1)&gt;=100000,INDEX($O$1005:$Q$1005,1,MATCH(COLUMNS($O$1006:O1006),$O$1006:$Q$1006,0))&gt;=100000), " ",IF(INDEX($O$2:$Q$1001,MATCH(ROWS($H$2:H530),$H$2:$H$1001,0),MATCH(COLUMNS($O$1006:O1006),$O$1006:$Q$1006,0)), HYPERLINK("#",""), HYPERLINK(CONCATENATE("#metadata!", ADDRESS(INDEX($J$2:$J$1001,MATCH(ROWS($H$2:H530),$H$2:$H$1001,0),0), INDEX($O$1004:$Q$1004,1,MATCH(COLUMNS($O$1006:O1006),$O$1006:$Q$1006,0)))),"Fix")))</f>
        <v xml:space="preserve"> </v>
      </c>
      <c r="C530" s="3" t="str">
        <f ca="1">IF(OR(INDEX($I$2:$I$1001,MATCH(ROWS($H$2:H530),$H$2:$H$1001,0),1)&gt;=100000,INDEX($O$1005:$Q$1005,1,MATCH(COLUMNS($O$1006:P1006),$O$1006:$Q$1006,0))&gt;=100000), " ",IF(INDEX($O$2:$Q$1001,MATCH(ROWS($H$2:H530),$H$2:$H$1001,0),MATCH(COLUMNS($O$1006:P1006),$O$1006:$Q$1006,0)), HYPERLINK("#",""), HYPERLINK(CONCATENATE("#metadata!", ADDRESS(INDEX($J$2:$J$1001,MATCH(ROWS($H$2:H530),$H$2:$H$1001,0),0), INDEX($O$1004:$Q$1004,1,MATCH(COLUMNS($O$1006:P1006),$O$1006:$Q$1006,0)))),"Fix")))</f>
        <v xml:space="preserve"> </v>
      </c>
      <c r="D530" s="3" t="str">
        <f ca="1">IF(OR(INDEX($I$2:$I$1001,MATCH(ROWS($H$2:H530),$H$2:$H$1001,0),1)&gt;=100000,INDEX($O$1005:$Q$1005,1,MATCH(COLUMNS($O$1006:Q1006),$O$1006:$Q$1006,0))&gt;=100000), " ",IF(INDEX($O$2:$Q$1001,MATCH(ROWS($H$2:H530),$H$2:$H$1001,0),MATCH(COLUMNS($O$1006:Q1006),$O$1006:$Q$1006,0)), HYPERLINK("#",""), HYPERLINK(CONCATENATE("#metadata!", ADDRESS(INDEX($J$2:$J$1001,MATCH(ROWS($H$2:H530),$H$2:$H$1001,0),0), INDEX($O$1004:$Q$1004,1,MATCH(COLUMNS($O$1006:Q1006),$O$1006:$Q$1006,0)))),"Fix")))</f>
        <v xml:space="preserve"> </v>
      </c>
      <c r="H530">
        <v>529</v>
      </c>
      <c r="I530">
        <v>100530</v>
      </c>
      <c r="J530">
        <v>530</v>
      </c>
      <c r="K530" t="b">
        <f t="shared" si="8"/>
        <v>1</v>
      </c>
      <c r="L530" t="b">
        <f>COUNTBLANK(metadata!B530:D530)=COLUMNS(metadata!B530:D530)</f>
        <v>1</v>
      </c>
      <c r="M530" t="str">
        <v/>
      </c>
      <c r="O530" t="b">
        <f ca="1"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P530" t="b">
        <f>AND(IF(metadata!C530="",FALSE,TRUE),EXACT(metadata!C530,"mouse gut metagenome"))</f>
        <v>0</v>
      </c>
      <c r="Q530" t="b">
        <f>AND(IF(metadata!D530="",FALSE,TRUE),EXACT(metadata!D530,"410661"))</f>
        <v>0</v>
      </c>
    </row>
    <row r="531" spans="1:17" x14ac:dyDescent="0.2">
      <c r="A531" s="4" t="str">
        <f ca="1">IF(B531=" "," ",HYPERLINK(CONCATENATE("#metadata!",ADDRESS(INDEX($J$2:$J$1001,MATCH(ROWS($H$2:H531),$H$2:$H$1001,0),0),1)),INDEX($M$2:$M$1001,MATCH(ROWS($H$2:H531),$H$2:$H$1001,0),0)))</f>
        <v xml:space="preserve"> </v>
      </c>
      <c r="B531" s="3" t="str">
        <f ca="1">IF(OR(INDEX($I$2:$I$1001,MATCH(ROWS($H$2:H531),$H$2:$H$1001,0),1)&gt;=100000,INDEX($O$1005:$Q$1005,1,MATCH(COLUMNS($O$1006:O1006),$O$1006:$Q$1006,0))&gt;=100000), " ",IF(INDEX($O$2:$Q$1001,MATCH(ROWS($H$2:H531),$H$2:$H$1001,0),MATCH(COLUMNS($O$1006:O1006),$O$1006:$Q$1006,0)), HYPERLINK("#",""), HYPERLINK(CONCATENATE("#metadata!", ADDRESS(INDEX($J$2:$J$1001,MATCH(ROWS($H$2:H531),$H$2:$H$1001,0),0), INDEX($O$1004:$Q$1004,1,MATCH(COLUMNS($O$1006:O1006),$O$1006:$Q$1006,0)))),"Fix")))</f>
        <v xml:space="preserve"> </v>
      </c>
      <c r="C531" s="3" t="str">
        <f ca="1">IF(OR(INDEX($I$2:$I$1001,MATCH(ROWS($H$2:H531),$H$2:$H$1001,0),1)&gt;=100000,INDEX($O$1005:$Q$1005,1,MATCH(COLUMNS($O$1006:P1006),$O$1006:$Q$1006,0))&gt;=100000), " ",IF(INDEX($O$2:$Q$1001,MATCH(ROWS($H$2:H531),$H$2:$H$1001,0),MATCH(COLUMNS($O$1006:P1006),$O$1006:$Q$1006,0)), HYPERLINK("#",""), HYPERLINK(CONCATENATE("#metadata!", ADDRESS(INDEX($J$2:$J$1001,MATCH(ROWS($H$2:H531),$H$2:$H$1001,0),0), INDEX($O$1004:$Q$1004,1,MATCH(COLUMNS($O$1006:P1006),$O$1006:$Q$1006,0)))),"Fix")))</f>
        <v xml:space="preserve"> </v>
      </c>
      <c r="D531" s="3" t="str">
        <f ca="1">IF(OR(INDEX($I$2:$I$1001,MATCH(ROWS($H$2:H531),$H$2:$H$1001,0),1)&gt;=100000,INDEX($O$1005:$Q$1005,1,MATCH(COLUMNS($O$1006:Q1006),$O$1006:$Q$1006,0))&gt;=100000), " ",IF(INDEX($O$2:$Q$1001,MATCH(ROWS($H$2:H531),$H$2:$H$1001,0),MATCH(COLUMNS($O$1006:Q1006),$O$1006:$Q$1006,0)), HYPERLINK("#",""), HYPERLINK(CONCATENATE("#metadata!", ADDRESS(INDEX($J$2:$J$1001,MATCH(ROWS($H$2:H531),$H$2:$H$1001,0),0), INDEX($O$1004:$Q$1004,1,MATCH(COLUMNS($O$1006:Q1006),$O$1006:$Q$1006,0)))),"Fix")))</f>
        <v xml:space="preserve"> </v>
      </c>
      <c r="H531">
        <v>530</v>
      </c>
      <c r="I531">
        <v>100531</v>
      </c>
      <c r="J531">
        <v>531</v>
      </c>
      <c r="K531" t="b">
        <f t="shared" si="8"/>
        <v>1</v>
      </c>
      <c r="L531" t="b">
        <f>COUNTBLANK(metadata!B531:D531)=COLUMNS(metadata!B531:D531)</f>
        <v>1</v>
      </c>
      <c r="M531" t="str">
        <v/>
      </c>
      <c r="O531" t="b">
        <f ca="1"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P531" t="b">
        <f>AND(IF(metadata!C531="",FALSE,TRUE),EXACT(metadata!C531,"mouse gut metagenome"))</f>
        <v>0</v>
      </c>
      <c r="Q531" t="b">
        <f>AND(IF(metadata!D531="",FALSE,TRUE),EXACT(metadata!D531,"410661"))</f>
        <v>0</v>
      </c>
    </row>
    <row r="532" spans="1:17" x14ac:dyDescent="0.2">
      <c r="A532" s="4" t="str">
        <f ca="1">IF(B532=" "," ",HYPERLINK(CONCATENATE("#metadata!",ADDRESS(INDEX($J$2:$J$1001,MATCH(ROWS($H$2:H532),$H$2:$H$1001,0),0),1)),INDEX($M$2:$M$1001,MATCH(ROWS($H$2:H532),$H$2:$H$1001,0),0)))</f>
        <v xml:space="preserve"> </v>
      </c>
      <c r="B532" s="3" t="str">
        <f ca="1">IF(OR(INDEX($I$2:$I$1001,MATCH(ROWS($H$2:H532),$H$2:$H$1001,0),1)&gt;=100000,INDEX($O$1005:$Q$1005,1,MATCH(COLUMNS($O$1006:O1006),$O$1006:$Q$1006,0))&gt;=100000), " ",IF(INDEX($O$2:$Q$1001,MATCH(ROWS($H$2:H532),$H$2:$H$1001,0),MATCH(COLUMNS($O$1006:O1006),$O$1006:$Q$1006,0)), HYPERLINK("#",""), HYPERLINK(CONCATENATE("#metadata!", ADDRESS(INDEX($J$2:$J$1001,MATCH(ROWS($H$2:H532),$H$2:$H$1001,0),0), INDEX($O$1004:$Q$1004,1,MATCH(COLUMNS($O$1006:O1006),$O$1006:$Q$1006,0)))),"Fix")))</f>
        <v xml:space="preserve"> </v>
      </c>
      <c r="C532" s="3" t="str">
        <f ca="1">IF(OR(INDEX($I$2:$I$1001,MATCH(ROWS($H$2:H532),$H$2:$H$1001,0),1)&gt;=100000,INDEX($O$1005:$Q$1005,1,MATCH(COLUMNS($O$1006:P1006),$O$1006:$Q$1006,0))&gt;=100000), " ",IF(INDEX($O$2:$Q$1001,MATCH(ROWS($H$2:H532),$H$2:$H$1001,0),MATCH(COLUMNS($O$1006:P1006),$O$1006:$Q$1006,0)), HYPERLINK("#",""), HYPERLINK(CONCATENATE("#metadata!", ADDRESS(INDEX($J$2:$J$1001,MATCH(ROWS($H$2:H532),$H$2:$H$1001,0),0), INDEX($O$1004:$Q$1004,1,MATCH(COLUMNS($O$1006:P1006),$O$1006:$Q$1006,0)))),"Fix")))</f>
        <v xml:space="preserve"> </v>
      </c>
      <c r="D532" s="3" t="str">
        <f ca="1">IF(OR(INDEX($I$2:$I$1001,MATCH(ROWS($H$2:H532),$H$2:$H$1001,0),1)&gt;=100000,INDEX($O$1005:$Q$1005,1,MATCH(COLUMNS($O$1006:Q1006),$O$1006:$Q$1006,0))&gt;=100000), " ",IF(INDEX($O$2:$Q$1001,MATCH(ROWS($H$2:H532),$H$2:$H$1001,0),MATCH(COLUMNS($O$1006:Q1006),$O$1006:$Q$1006,0)), HYPERLINK("#",""), HYPERLINK(CONCATENATE("#metadata!", ADDRESS(INDEX($J$2:$J$1001,MATCH(ROWS($H$2:H532),$H$2:$H$1001,0),0), INDEX($O$1004:$Q$1004,1,MATCH(COLUMNS($O$1006:Q1006),$O$1006:$Q$1006,0)))),"Fix")))</f>
        <v xml:space="preserve"> </v>
      </c>
      <c r="H532">
        <v>531</v>
      </c>
      <c r="I532">
        <v>100532</v>
      </c>
      <c r="J532">
        <v>532</v>
      </c>
      <c r="K532" t="b">
        <f t="shared" si="8"/>
        <v>1</v>
      </c>
      <c r="L532" t="b">
        <f>COUNTBLANK(metadata!B532:D532)=COLUMNS(metadata!B532:D532)</f>
        <v>1</v>
      </c>
      <c r="M532" t="str">
        <v/>
      </c>
      <c r="O532" t="b">
        <f ca="1"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P532" t="b">
        <f>AND(IF(metadata!C532="",FALSE,TRUE),EXACT(metadata!C532,"mouse gut metagenome"))</f>
        <v>0</v>
      </c>
      <c r="Q532" t="b">
        <f>AND(IF(metadata!D532="",FALSE,TRUE),EXACT(metadata!D532,"410661"))</f>
        <v>0</v>
      </c>
    </row>
    <row r="533" spans="1:17" x14ac:dyDescent="0.2">
      <c r="A533" s="4" t="str">
        <f ca="1">IF(B533=" "," ",HYPERLINK(CONCATENATE("#metadata!",ADDRESS(INDEX($J$2:$J$1001,MATCH(ROWS($H$2:H533),$H$2:$H$1001,0),0),1)),INDEX($M$2:$M$1001,MATCH(ROWS($H$2:H533),$H$2:$H$1001,0),0)))</f>
        <v xml:space="preserve"> </v>
      </c>
      <c r="B533" s="3" t="str">
        <f ca="1">IF(OR(INDEX($I$2:$I$1001,MATCH(ROWS($H$2:H533),$H$2:$H$1001,0),1)&gt;=100000,INDEX($O$1005:$Q$1005,1,MATCH(COLUMNS($O$1006:O1006),$O$1006:$Q$1006,0))&gt;=100000), " ",IF(INDEX($O$2:$Q$1001,MATCH(ROWS($H$2:H533),$H$2:$H$1001,0),MATCH(COLUMNS($O$1006:O1006),$O$1006:$Q$1006,0)), HYPERLINK("#",""), HYPERLINK(CONCATENATE("#metadata!", ADDRESS(INDEX($J$2:$J$1001,MATCH(ROWS($H$2:H533),$H$2:$H$1001,0),0), INDEX($O$1004:$Q$1004,1,MATCH(COLUMNS($O$1006:O1006),$O$1006:$Q$1006,0)))),"Fix")))</f>
        <v xml:space="preserve"> </v>
      </c>
      <c r="C533" s="3" t="str">
        <f ca="1">IF(OR(INDEX($I$2:$I$1001,MATCH(ROWS($H$2:H533),$H$2:$H$1001,0),1)&gt;=100000,INDEX($O$1005:$Q$1005,1,MATCH(COLUMNS($O$1006:P1006),$O$1006:$Q$1006,0))&gt;=100000), " ",IF(INDEX($O$2:$Q$1001,MATCH(ROWS($H$2:H533),$H$2:$H$1001,0),MATCH(COLUMNS($O$1006:P1006),$O$1006:$Q$1006,0)), HYPERLINK("#",""), HYPERLINK(CONCATENATE("#metadata!", ADDRESS(INDEX($J$2:$J$1001,MATCH(ROWS($H$2:H533),$H$2:$H$1001,0),0), INDEX($O$1004:$Q$1004,1,MATCH(COLUMNS($O$1006:P1006),$O$1006:$Q$1006,0)))),"Fix")))</f>
        <v xml:space="preserve"> </v>
      </c>
      <c r="D533" s="3" t="str">
        <f ca="1">IF(OR(INDEX($I$2:$I$1001,MATCH(ROWS($H$2:H533),$H$2:$H$1001,0),1)&gt;=100000,INDEX($O$1005:$Q$1005,1,MATCH(COLUMNS($O$1006:Q1006),$O$1006:$Q$1006,0))&gt;=100000), " ",IF(INDEX($O$2:$Q$1001,MATCH(ROWS($H$2:H533),$H$2:$H$1001,0),MATCH(COLUMNS($O$1006:Q1006),$O$1006:$Q$1006,0)), HYPERLINK("#",""), HYPERLINK(CONCATENATE("#metadata!", ADDRESS(INDEX($J$2:$J$1001,MATCH(ROWS($H$2:H533),$H$2:$H$1001,0),0), INDEX($O$1004:$Q$1004,1,MATCH(COLUMNS($O$1006:Q1006),$O$1006:$Q$1006,0)))),"Fix")))</f>
        <v xml:space="preserve"> </v>
      </c>
      <c r="H533">
        <v>532</v>
      </c>
      <c r="I533">
        <v>100533</v>
      </c>
      <c r="J533">
        <v>533</v>
      </c>
      <c r="K533" t="b">
        <f t="shared" si="8"/>
        <v>1</v>
      </c>
      <c r="L533" t="b">
        <f>COUNTBLANK(metadata!B533:D533)=COLUMNS(metadata!B533:D533)</f>
        <v>1</v>
      </c>
      <c r="M533" t="str">
        <v/>
      </c>
      <c r="O533" t="b">
        <f ca="1"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P533" t="b">
        <f>AND(IF(metadata!C533="",FALSE,TRUE),EXACT(metadata!C533,"mouse gut metagenome"))</f>
        <v>0</v>
      </c>
      <c r="Q533" t="b">
        <f>AND(IF(metadata!D533="",FALSE,TRUE),EXACT(metadata!D533,"410661"))</f>
        <v>0</v>
      </c>
    </row>
    <row r="534" spans="1:17" x14ac:dyDescent="0.2">
      <c r="A534" s="4" t="str">
        <f ca="1">IF(B534=" "," ",HYPERLINK(CONCATENATE("#metadata!",ADDRESS(INDEX($J$2:$J$1001,MATCH(ROWS($H$2:H534),$H$2:$H$1001,0),0),1)),INDEX($M$2:$M$1001,MATCH(ROWS($H$2:H534),$H$2:$H$1001,0),0)))</f>
        <v xml:space="preserve"> </v>
      </c>
      <c r="B534" s="3" t="str">
        <f ca="1">IF(OR(INDEX($I$2:$I$1001,MATCH(ROWS($H$2:H534),$H$2:$H$1001,0),1)&gt;=100000,INDEX($O$1005:$Q$1005,1,MATCH(COLUMNS($O$1006:O1006),$O$1006:$Q$1006,0))&gt;=100000), " ",IF(INDEX($O$2:$Q$1001,MATCH(ROWS($H$2:H534),$H$2:$H$1001,0),MATCH(COLUMNS($O$1006:O1006),$O$1006:$Q$1006,0)), HYPERLINK("#",""), HYPERLINK(CONCATENATE("#metadata!", ADDRESS(INDEX($J$2:$J$1001,MATCH(ROWS($H$2:H534),$H$2:$H$1001,0),0), INDEX($O$1004:$Q$1004,1,MATCH(COLUMNS($O$1006:O1006),$O$1006:$Q$1006,0)))),"Fix")))</f>
        <v xml:space="preserve"> </v>
      </c>
      <c r="C534" s="3" t="str">
        <f ca="1">IF(OR(INDEX($I$2:$I$1001,MATCH(ROWS($H$2:H534),$H$2:$H$1001,0),1)&gt;=100000,INDEX($O$1005:$Q$1005,1,MATCH(COLUMNS($O$1006:P1006),$O$1006:$Q$1006,0))&gt;=100000), " ",IF(INDEX($O$2:$Q$1001,MATCH(ROWS($H$2:H534),$H$2:$H$1001,0),MATCH(COLUMNS($O$1006:P1006),$O$1006:$Q$1006,0)), HYPERLINK("#",""), HYPERLINK(CONCATENATE("#metadata!", ADDRESS(INDEX($J$2:$J$1001,MATCH(ROWS($H$2:H534),$H$2:$H$1001,0),0), INDEX($O$1004:$Q$1004,1,MATCH(COLUMNS($O$1006:P1006),$O$1006:$Q$1006,0)))),"Fix")))</f>
        <v xml:space="preserve"> </v>
      </c>
      <c r="D534" s="3" t="str">
        <f ca="1">IF(OR(INDEX($I$2:$I$1001,MATCH(ROWS($H$2:H534),$H$2:$H$1001,0),1)&gt;=100000,INDEX($O$1005:$Q$1005,1,MATCH(COLUMNS($O$1006:Q1006),$O$1006:$Q$1006,0))&gt;=100000), " ",IF(INDEX($O$2:$Q$1001,MATCH(ROWS($H$2:H534),$H$2:$H$1001,0),MATCH(COLUMNS($O$1006:Q1006),$O$1006:$Q$1006,0)), HYPERLINK("#",""), HYPERLINK(CONCATENATE("#metadata!", ADDRESS(INDEX($J$2:$J$1001,MATCH(ROWS($H$2:H534),$H$2:$H$1001,0),0), INDEX($O$1004:$Q$1004,1,MATCH(COLUMNS($O$1006:Q1006),$O$1006:$Q$1006,0)))),"Fix")))</f>
        <v xml:space="preserve"> </v>
      </c>
      <c r="H534">
        <v>533</v>
      </c>
      <c r="I534">
        <v>100534</v>
      </c>
      <c r="J534">
        <v>534</v>
      </c>
      <c r="K534" t="b">
        <f t="shared" si="8"/>
        <v>1</v>
      </c>
      <c r="L534" t="b">
        <f>COUNTBLANK(metadata!B534:D534)=COLUMNS(metadata!B534:D534)</f>
        <v>1</v>
      </c>
      <c r="M534" t="str">
        <v/>
      </c>
      <c r="O534" t="b">
        <f ca="1"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P534" t="b">
        <f>AND(IF(metadata!C534="",FALSE,TRUE),EXACT(metadata!C534,"mouse gut metagenome"))</f>
        <v>0</v>
      </c>
      <c r="Q534" t="b">
        <f>AND(IF(metadata!D534="",FALSE,TRUE),EXACT(metadata!D534,"410661"))</f>
        <v>0</v>
      </c>
    </row>
    <row r="535" spans="1:17" x14ac:dyDescent="0.2">
      <c r="A535" s="4" t="str">
        <f ca="1">IF(B535=" "," ",HYPERLINK(CONCATENATE("#metadata!",ADDRESS(INDEX($J$2:$J$1001,MATCH(ROWS($H$2:H535),$H$2:$H$1001,0),0),1)),INDEX($M$2:$M$1001,MATCH(ROWS($H$2:H535),$H$2:$H$1001,0),0)))</f>
        <v xml:space="preserve"> </v>
      </c>
      <c r="B535" s="3" t="str">
        <f ca="1">IF(OR(INDEX($I$2:$I$1001,MATCH(ROWS($H$2:H535),$H$2:$H$1001,0),1)&gt;=100000,INDEX($O$1005:$Q$1005,1,MATCH(COLUMNS($O$1006:O1006),$O$1006:$Q$1006,0))&gt;=100000), " ",IF(INDEX($O$2:$Q$1001,MATCH(ROWS($H$2:H535),$H$2:$H$1001,0),MATCH(COLUMNS($O$1006:O1006),$O$1006:$Q$1006,0)), HYPERLINK("#",""), HYPERLINK(CONCATENATE("#metadata!", ADDRESS(INDEX($J$2:$J$1001,MATCH(ROWS($H$2:H535),$H$2:$H$1001,0),0), INDEX($O$1004:$Q$1004,1,MATCH(COLUMNS($O$1006:O1006),$O$1006:$Q$1006,0)))),"Fix")))</f>
        <v xml:space="preserve"> </v>
      </c>
      <c r="C535" s="3" t="str">
        <f ca="1">IF(OR(INDEX($I$2:$I$1001,MATCH(ROWS($H$2:H535),$H$2:$H$1001,0),1)&gt;=100000,INDEX($O$1005:$Q$1005,1,MATCH(COLUMNS($O$1006:P1006),$O$1006:$Q$1006,0))&gt;=100000), " ",IF(INDEX($O$2:$Q$1001,MATCH(ROWS($H$2:H535),$H$2:$H$1001,0),MATCH(COLUMNS($O$1006:P1006),$O$1006:$Q$1006,0)), HYPERLINK("#",""), HYPERLINK(CONCATENATE("#metadata!", ADDRESS(INDEX($J$2:$J$1001,MATCH(ROWS($H$2:H535),$H$2:$H$1001,0),0), INDEX($O$1004:$Q$1004,1,MATCH(COLUMNS($O$1006:P1006),$O$1006:$Q$1006,0)))),"Fix")))</f>
        <v xml:space="preserve"> </v>
      </c>
      <c r="D535" s="3" t="str">
        <f ca="1">IF(OR(INDEX($I$2:$I$1001,MATCH(ROWS($H$2:H535),$H$2:$H$1001,0),1)&gt;=100000,INDEX($O$1005:$Q$1005,1,MATCH(COLUMNS($O$1006:Q1006),$O$1006:$Q$1006,0))&gt;=100000), " ",IF(INDEX($O$2:$Q$1001,MATCH(ROWS($H$2:H535),$H$2:$H$1001,0),MATCH(COLUMNS($O$1006:Q1006),$O$1006:$Q$1006,0)), HYPERLINK("#",""), HYPERLINK(CONCATENATE("#metadata!", ADDRESS(INDEX($J$2:$J$1001,MATCH(ROWS($H$2:H535),$H$2:$H$1001,0),0), INDEX($O$1004:$Q$1004,1,MATCH(COLUMNS($O$1006:Q1006),$O$1006:$Q$1006,0)))),"Fix")))</f>
        <v xml:space="preserve"> </v>
      </c>
      <c r="H535">
        <v>534</v>
      </c>
      <c r="I535">
        <v>100535</v>
      </c>
      <c r="J535">
        <v>535</v>
      </c>
      <c r="K535" t="b">
        <f t="shared" si="8"/>
        <v>1</v>
      </c>
      <c r="L535" t="b">
        <f>COUNTBLANK(metadata!B535:D535)=COLUMNS(metadata!B535:D535)</f>
        <v>1</v>
      </c>
      <c r="M535" t="str">
        <v/>
      </c>
      <c r="O535" t="b">
        <f ca="1"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P535" t="b">
        <f>AND(IF(metadata!C535="",FALSE,TRUE),EXACT(metadata!C535,"mouse gut metagenome"))</f>
        <v>0</v>
      </c>
      <c r="Q535" t="b">
        <f>AND(IF(metadata!D535="",FALSE,TRUE),EXACT(metadata!D535,"410661"))</f>
        <v>0</v>
      </c>
    </row>
    <row r="536" spans="1:17" x14ac:dyDescent="0.2">
      <c r="A536" s="4" t="str">
        <f ca="1">IF(B536=" "," ",HYPERLINK(CONCATENATE("#metadata!",ADDRESS(INDEX($J$2:$J$1001,MATCH(ROWS($H$2:H536),$H$2:$H$1001,0),0),1)),INDEX($M$2:$M$1001,MATCH(ROWS($H$2:H536),$H$2:$H$1001,0),0)))</f>
        <v xml:space="preserve"> </v>
      </c>
      <c r="B536" s="3" t="str">
        <f ca="1">IF(OR(INDEX($I$2:$I$1001,MATCH(ROWS($H$2:H536),$H$2:$H$1001,0),1)&gt;=100000,INDEX($O$1005:$Q$1005,1,MATCH(COLUMNS($O$1006:O1006),$O$1006:$Q$1006,0))&gt;=100000), " ",IF(INDEX($O$2:$Q$1001,MATCH(ROWS($H$2:H536),$H$2:$H$1001,0),MATCH(COLUMNS($O$1006:O1006),$O$1006:$Q$1006,0)), HYPERLINK("#",""), HYPERLINK(CONCATENATE("#metadata!", ADDRESS(INDEX($J$2:$J$1001,MATCH(ROWS($H$2:H536),$H$2:$H$1001,0),0), INDEX($O$1004:$Q$1004,1,MATCH(COLUMNS($O$1006:O1006),$O$1006:$Q$1006,0)))),"Fix")))</f>
        <v xml:space="preserve"> </v>
      </c>
      <c r="C536" s="3" t="str">
        <f ca="1">IF(OR(INDEX($I$2:$I$1001,MATCH(ROWS($H$2:H536),$H$2:$H$1001,0),1)&gt;=100000,INDEX($O$1005:$Q$1005,1,MATCH(COLUMNS($O$1006:P1006),$O$1006:$Q$1006,0))&gt;=100000), " ",IF(INDEX($O$2:$Q$1001,MATCH(ROWS($H$2:H536),$H$2:$H$1001,0),MATCH(COLUMNS($O$1006:P1006),$O$1006:$Q$1006,0)), HYPERLINK("#",""), HYPERLINK(CONCATENATE("#metadata!", ADDRESS(INDEX($J$2:$J$1001,MATCH(ROWS($H$2:H536),$H$2:$H$1001,0),0), INDEX($O$1004:$Q$1004,1,MATCH(COLUMNS($O$1006:P1006),$O$1006:$Q$1006,0)))),"Fix")))</f>
        <v xml:space="preserve"> </v>
      </c>
      <c r="D536" s="3" t="str">
        <f ca="1">IF(OR(INDEX($I$2:$I$1001,MATCH(ROWS($H$2:H536),$H$2:$H$1001,0),1)&gt;=100000,INDEX($O$1005:$Q$1005,1,MATCH(COLUMNS($O$1006:Q1006),$O$1006:$Q$1006,0))&gt;=100000), " ",IF(INDEX($O$2:$Q$1001,MATCH(ROWS($H$2:H536),$H$2:$H$1001,0),MATCH(COLUMNS($O$1006:Q1006),$O$1006:$Q$1006,0)), HYPERLINK("#",""), HYPERLINK(CONCATENATE("#metadata!", ADDRESS(INDEX($J$2:$J$1001,MATCH(ROWS($H$2:H536),$H$2:$H$1001,0),0), INDEX($O$1004:$Q$1004,1,MATCH(COLUMNS($O$1006:Q1006),$O$1006:$Q$1006,0)))),"Fix")))</f>
        <v xml:space="preserve"> </v>
      </c>
      <c r="H536">
        <v>535</v>
      </c>
      <c r="I536">
        <v>100536</v>
      </c>
      <c r="J536">
        <v>536</v>
      </c>
      <c r="K536" t="b">
        <f t="shared" si="8"/>
        <v>1</v>
      </c>
      <c r="L536" t="b">
        <f>COUNTBLANK(metadata!B536:D536)=COLUMNS(metadata!B536:D536)</f>
        <v>1</v>
      </c>
      <c r="M536" t="str">
        <v/>
      </c>
      <c r="O536" t="b">
        <f ca="1"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P536" t="b">
        <f>AND(IF(metadata!C536="",FALSE,TRUE),EXACT(metadata!C536,"mouse gut metagenome"))</f>
        <v>0</v>
      </c>
      <c r="Q536" t="b">
        <f>AND(IF(metadata!D536="",FALSE,TRUE),EXACT(metadata!D536,"410661"))</f>
        <v>0</v>
      </c>
    </row>
    <row r="537" spans="1:17" x14ac:dyDescent="0.2">
      <c r="A537" s="4" t="str">
        <f ca="1">IF(B537=" "," ",HYPERLINK(CONCATENATE("#metadata!",ADDRESS(INDEX($J$2:$J$1001,MATCH(ROWS($H$2:H537),$H$2:$H$1001,0),0),1)),INDEX($M$2:$M$1001,MATCH(ROWS($H$2:H537),$H$2:$H$1001,0),0)))</f>
        <v xml:space="preserve"> </v>
      </c>
      <c r="B537" s="3" t="str">
        <f ca="1">IF(OR(INDEX($I$2:$I$1001,MATCH(ROWS($H$2:H537),$H$2:$H$1001,0),1)&gt;=100000,INDEX($O$1005:$Q$1005,1,MATCH(COLUMNS($O$1006:O1006),$O$1006:$Q$1006,0))&gt;=100000), " ",IF(INDEX($O$2:$Q$1001,MATCH(ROWS($H$2:H537),$H$2:$H$1001,0),MATCH(COLUMNS($O$1006:O1006),$O$1006:$Q$1006,0)), HYPERLINK("#",""), HYPERLINK(CONCATENATE("#metadata!", ADDRESS(INDEX($J$2:$J$1001,MATCH(ROWS($H$2:H537),$H$2:$H$1001,0),0), INDEX($O$1004:$Q$1004,1,MATCH(COLUMNS($O$1006:O1006),$O$1006:$Q$1006,0)))),"Fix")))</f>
        <v xml:space="preserve"> </v>
      </c>
      <c r="C537" s="3" t="str">
        <f ca="1">IF(OR(INDEX($I$2:$I$1001,MATCH(ROWS($H$2:H537),$H$2:$H$1001,0),1)&gt;=100000,INDEX($O$1005:$Q$1005,1,MATCH(COLUMNS($O$1006:P1006),$O$1006:$Q$1006,0))&gt;=100000), " ",IF(INDEX($O$2:$Q$1001,MATCH(ROWS($H$2:H537),$H$2:$H$1001,0),MATCH(COLUMNS($O$1006:P1006),$O$1006:$Q$1006,0)), HYPERLINK("#",""), HYPERLINK(CONCATENATE("#metadata!", ADDRESS(INDEX($J$2:$J$1001,MATCH(ROWS($H$2:H537),$H$2:$H$1001,0),0), INDEX($O$1004:$Q$1004,1,MATCH(COLUMNS($O$1006:P1006),$O$1006:$Q$1006,0)))),"Fix")))</f>
        <v xml:space="preserve"> </v>
      </c>
      <c r="D537" s="3" t="str">
        <f ca="1">IF(OR(INDEX($I$2:$I$1001,MATCH(ROWS($H$2:H537),$H$2:$H$1001,0),1)&gt;=100000,INDEX($O$1005:$Q$1005,1,MATCH(COLUMNS($O$1006:Q1006),$O$1006:$Q$1006,0))&gt;=100000), " ",IF(INDEX($O$2:$Q$1001,MATCH(ROWS($H$2:H537),$H$2:$H$1001,0),MATCH(COLUMNS($O$1006:Q1006),$O$1006:$Q$1006,0)), HYPERLINK("#",""), HYPERLINK(CONCATENATE("#metadata!", ADDRESS(INDEX($J$2:$J$1001,MATCH(ROWS($H$2:H537),$H$2:$H$1001,0),0), INDEX($O$1004:$Q$1004,1,MATCH(COLUMNS($O$1006:Q1006),$O$1006:$Q$1006,0)))),"Fix")))</f>
        <v xml:space="preserve"> </v>
      </c>
      <c r="H537">
        <v>536</v>
      </c>
      <c r="I537">
        <v>100537</v>
      </c>
      <c r="J537">
        <v>537</v>
      </c>
      <c r="K537" t="b">
        <f t="shared" si="8"/>
        <v>1</v>
      </c>
      <c r="L537" t="b">
        <f>COUNTBLANK(metadata!B537:D537)=COLUMNS(metadata!B537:D537)</f>
        <v>1</v>
      </c>
      <c r="M537" t="str">
        <v/>
      </c>
      <c r="O537" t="b">
        <f ca="1"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P537" t="b">
        <f>AND(IF(metadata!C537="",FALSE,TRUE),EXACT(metadata!C537,"mouse gut metagenome"))</f>
        <v>0</v>
      </c>
      <c r="Q537" t="b">
        <f>AND(IF(metadata!D537="",FALSE,TRUE),EXACT(metadata!D537,"410661"))</f>
        <v>0</v>
      </c>
    </row>
    <row r="538" spans="1:17" x14ac:dyDescent="0.2">
      <c r="A538" s="4" t="str">
        <f ca="1">IF(B538=" "," ",HYPERLINK(CONCATENATE("#metadata!",ADDRESS(INDEX($J$2:$J$1001,MATCH(ROWS($H$2:H538),$H$2:$H$1001,0),0),1)),INDEX($M$2:$M$1001,MATCH(ROWS($H$2:H538),$H$2:$H$1001,0),0)))</f>
        <v xml:space="preserve"> </v>
      </c>
      <c r="B538" s="3" t="str">
        <f ca="1">IF(OR(INDEX($I$2:$I$1001,MATCH(ROWS($H$2:H538),$H$2:$H$1001,0),1)&gt;=100000,INDEX($O$1005:$Q$1005,1,MATCH(COLUMNS($O$1006:O1006),$O$1006:$Q$1006,0))&gt;=100000), " ",IF(INDEX($O$2:$Q$1001,MATCH(ROWS($H$2:H538),$H$2:$H$1001,0),MATCH(COLUMNS($O$1006:O1006),$O$1006:$Q$1006,0)), HYPERLINK("#",""), HYPERLINK(CONCATENATE("#metadata!", ADDRESS(INDEX($J$2:$J$1001,MATCH(ROWS($H$2:H538),$H$2:$H$1001,0),0), INDEX($O$1004:$Q$1004,1,MATCH(COLUMNS($O$1006:O1006),$O$1006:$Q$1006,0)))),"Fix")))</f>
        <v xml:space="preserve"> </v>
      </c>
      <c r="C538" s="3" t="str">
        <f ca="1">IF(OR(INDEX($I$2:$I$1001,MATCH(ROWS($H$2:H538),$H$2:$H$1001,0),1)&gt;=100000,INDEX($O$1005:$Q$1005,1,MATCH(COLUMNS($O$1006:P1006),$O$1006:$Q$1006,0))&gt;=100000), " ",IF(INDEX($O$2:$Q$1001,MATCH(ROWS($H$2:H538),$H$2:$H$1001,0),MATCH(COLUMNS($O$1006:P1006),$O$1006:$Q$1006,0)), HYPERLINK("#",""), HYPERLINK(CONCATENATE("#metadata!", ADDRESS(INDEX($J$2:$J$1001,MATCH(ROWS($H$2:H538),$H$2:$H$1001,0),0), INDEX($O$1004:$Q$1004,1,MATCH(COLUMNS($O$1006:P1006),$O$1006:$Q$1006,0)))),"Fix")))</f>
        <v xml:space="preserve"> </v>
      </c>
      <c r="D538" s="3" t="str">
        <f ca="1">IF(OR(INDEX($I$2:$I$1001,MATCH(ROWS($H$2:H538),$H$2:$H$1001,0),1)&gt;=100000,INDEX($O$1005:$Q$1005,1,MATCH(COLUMNS($O$1006:Q1006),$O$1006:$Q$1006,0))&gt;=100000), " ",IF(INDEX($O$2:$Q$1001,MATCH(ROWS($H$2:H538),$H$2:$H$1001,0),MATCH(COLUMNS($O$1006:Q1006),$O$1006:$Q$1006,0)), HYPERLINK("#",""), HYPERLINK(CONCATENATE("#metadata!", ADDRESS(INDEX($J$2:$J$1001,MATCH(ROWS($H$2:H538),$H$2:$H$1001,0),0), INDEX($O$1004:$Q$1004,1,MATCH(COLUMNS($O$1006:Q1006),$O$1006:$Q$1006,0)))),"Fix")))</f>
        <v xml:space="preserve"> </v>
      </c>
      <c r="H538">
        <v>537</v>
      </c>
      <c r="I538">
        <v>100538</v>
      </c>
      <c r="J538">
        <v>538</v>
      </c>
      <c r="K538" t="b">
        <f t="shared" si="8"/>
        <v>1</v>
      </c>
      <c r="L538" t="b">
        <f>COUNTBLANK(metadata!B538:D538)=COLUMNS(metadata!B538:D538)</f>
        <v>1</v>
      </c>
      <c r="M538" t="str">
        <v/>
      </c>
      <c r="O538" t="b">
        <f ca="1"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P538" t="b">
        <f>AND(IF(metadata!C538="",FALSE,TRUE),EXACT(metadata!C538,"mouse gut metagenome"))</f>
        <v>0</v>
      </c>
      <c r="Q538" t="b">
        <f>AND(IF(metadata!D538="",FALSE,TRUE),EXACT(metadata!D538,"410661"))</f>
        <v>0</v>
      </c>
    </row>
    <row r="539" spans="1:17" x14ac:dyDescent="0.2">
      <c r="A539" s="4" t="str">
        <f ca="1">IF(B539=" "," ",HYPERLINK(CONCATENATE("#metadata!",ADDRESS(INDEX($J$2:$J$1001,MATCH(ROWS($H$2:H539),$H$2:$H$1001,0),0),1)),INDEX($M$2:$M$1001,MATCH(ROWS($H$2:H539),$H$2:$H$1001,0),0)))</f>
        <v xml:space="preserve"> </v>
      </c>
      <c r="B539" s="3" t="str">
        <f ca="1">IF(OR(INDEX($I$2:$I$1001,MATCH(ROWS($H$2:H539),$H$2:$H$1001,0),1)&gt;=100000,INDEX($O$1005:$Q$1005,1,MATCH(COLUMNS($O$1006:O1006),$O$1006:$Q$1006,0))&gt;=100000), " ",IF(INDEX($O$2:$Q$1001,MATCH(ROWS($H$2:H539),$H$2:$H$1001,0),MATCH(COLUMNS($O$1006:O1006),$O$1006:$Q$1006,0)), HYPERLINK("#",""), HYPERLINK(CONCATENATE("#metadata!", ADDRESS(INDEX($J$2:$J$1001,MATCH(ROWS($H$2:H539),$H$2:$H$1001,0),0), INDEX($O$1004:$Q$1004,1,MATCH(COLUMNS($O$1006:O1006),$O$1006:$Q$1006,0)))),"Fix")))</f>
        <v xml:space="preserve"> </v>
      </c>
      <c r="C539" s="3" t="str">
        <f ca="1">IF(OR(INDEX($I$2:$I$1001,MATCH(ROWS($H$2:H539),$H$2:$H$1001,0),1)&gt;=100000,INDEX($O$1005:$Q$1005,1,MATCH(COLUMNS($O$1006:P1006),$O$1006:$Q$1006,0))&gt;=100000), " ",IF(INDEX($O$2:$Q$1001,MATCH(ROWS($H$2:H539),$H$2:$H$1001,0),MATCH(COLUMNS($O$1006:P1006),$O$1006:$Q$1006,0)), HYPERLINK("#",""), HYPERLINK(CONCATENATE("#metadata!", ADDRESS(INDEX($J$2:$J$1001,MATCH(ROWS($H$2:H539),$H$2:$H$1001,0),0), INDEX($O$1004:$Q$1004,1,MATCH(COLUMNS($O$1006:P1006),$O$1006:$Q$1006,0)))),"Fix")))</f>
        <v xml:space="preserve"> </v>
      </c>
      <c r="D539" s="3" t="str">
        <f ca="1">IF(OR(INDEX($I$2:$I$1001,MATCH(ROWS($H$2:H539),$H$2:$H$1001,0),1)&gt;=100000,INDEX($O$1005:$Q$1005,1,MATCH(COLUMNS($O$1006:Q1006),$O$1006:$Q$1006,0))&gt;=100000), " ",IF(INDEX($O$2:$Q$1001,MATCH(ROWS($H$2:H539),$H$2:$H$1001,0),MATCH(COLUMNS($O$1006:Q1006),$O$1006:$Q$1006,0)), HYPERLINK("#",""), HYPERLINK(CONCATENATE("#metadata!", ADDRESS(INDEX($J$2:$J$1001,MATCH(ROWS($H$2:H539),$H$2:$H$1001,0),0), INDEX($O$1004:$Q$1004,1,MATCH(COLUMNS($O$1006:Q1006),$O$1006:$Q$1006,0)))),"Fix")))</f>
        <v xml:space="preserve"> </v>
      </c>
      <c r="H539">
        <v>538</v>
      </c>
      <c r="I539">
        <v>100539</v>
      </c>
      <c r="J539">
        <v>539</v>
      </c>
      <c r="K539" t="b">
        <f t="shared" si="8"/>
        <v>1</v>
      </c>
      <c r="L539" t="b">
        <f>COUNTBLANK(metadata!B539:D539)=COLUMNS(metadata!B539:D539)</f>
        <v>1</v>
      </c>
      <c r="M539" t="str">
        <v/>
      </c>
      <c r="O539" t="b">
        <f ca="1"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P539" t="b">
        <f>AND(IF(metadata!C539="",FALSE,TRUE),EXACT(metadata!C539,"mouse gut metagenome"))</f>
        <v>0</v>
      </c>
      <c r="Q539" t="b">
        <f>AND(IF(metadata!D539="",FALSE,TRUE),EXACT(metadata!D539,"410661"))</f>
        <v>0</v>
      </c>
    </row>
    <row r="540" spans="1:17" x14ac:dyDescent="0.2">
      <c r="A540" s="4" t="str">
        <f ca="1">IF(B540=" "," ",HYPERLINK(CONCATENATE("#metadata!",ADDRESS(INDEX($J$2:$J$1001,MATCH(ROWS($H$2:H540),$H$2:$H$1001,0),0),1)),INDEX($M$2:$M$1001,MATCH(ROWS($H$2:H540),$H$2:$H$1001,0),0)))</f>
        <v xml:space="preserve"> </v>
      </c>
      <c r="B540" s="3" t="str">
        <f ca="1">IF(OR(INDEX($I$2:$I$1001,MATCH(ROWS($H$2:H540),$H$2:$H$1001,0),1)&gt;=100000,INDEX($O$1005:$Q$1005,1,MATCH(COLUMNS($O$1006:O1006),$O$1006:$Q$1006,0))&gt;=100000), " ",IF(INDEX($O$2:$Q$1001,MATCH(ROWS($H$2:H540),$H$2:$H$1001,0),MATCH(COLUMNS($O$1006:O1006),$O$1006:$Q$1006,0)), HYPERLINK("#",""), HYPERLINK(CONCATENATE("#metadata!", ADDRESS(INDEX($J$2:$J$1001,MATCH(ROWS($H$2:H540),$H$2:$H$1001,0),0), INDEX($O$1004:$Q$1004,1,MATCH(COLUMNS($O$1006:O1006),$O$1006:$Q$1006,0)))),"Fix")))</f>
        <v xml:space="preserve"> </v>
      </c>
      <c r="C540" s="3" t="str">
        <f ca="1">IF(OR(INDEX($I$2:$I$1001,MATCH(ROWS($H$2:H540),$H$2:$H$1001,0),1)&gt;=100000,INDEX($O$1005:$Q$1005,1,MATCH(COLUMNS($O$1006:P1006),$O$1006:$Q$1006,0))&gt;=100000), " ",IF(INDEX($O$2:$Q$1001,MATCH(ROWS($H$2:H540),$H$2:$H$1001,0),MATCH(COLUMNS($O$1006:P1006),$O$1006:$Q$1006,0)), HYPERLINK("#",""), HYPERLINK(CONCATENATE("#metadata!", ADDRESS(INDEX($J$2:$J$1001,MATCH(ROWS($H$2:H540),$H$2:$H$1001,0),0), INDEX($O$1004:$Q$1004,1,MATCH(COLUMNS($O$1006:P1006),$O$1006:$Q$1006,0)))),"Fix")))</f>
        <v xml:space="preserve"> </v>
      </c>
      <c r="D540" s="3" t="str">
        <f ca="1">IF(OR(INDEX($I$2:$I$1001,MATCH(ROWS($H$2:H540),$H$2:$H$1001,0),1)&gt;=100000,INDEX($O$1005:$Q$1005,1,MATCH(COLUMNS($O$1006:Q1006),$O$1006:$Q$1006,0))&gt;=100000), " ",IF(INDEX($O$2:$Q$1001,MATCH(ROWS($H$2:H540),$H$2:$H$1001,0),MATCH(COLUMNS($O$1006:Q1006),$O$1006:$Q$1006,0)), HYPERLINK("#",""), HYPERLINK(CONCATENATE("#metadata!", ADDRESS(INDEX($J$2:$J$1001,MATCH(ROWS($H$2:H540),$H$2:$H$1001,0),0), INDEX($O$1004:$Q$1004,1,MATCH(COLUMNS($O$1006:Q1006),$O$1006:$Q$1006,0)))),"Fix")))</f>
        <v xml:space="preserve"> </v>
      </c>
      <c r="H540">
        <v>539</v>
      </c>
      <c r="I540">
        <v>100540</v>
      </c>
      <c r="J540">
        <v>540</v>
      </c>
      <c r="K540" t="b">
        <f t="shared" si="8"/>
        <v>1</v>
      </c>
      <c r="L540" t="b">
        <f>COUNTBLANK(metadata!B540:D540)=COLUMNS(metadata!B540:D540)</f>
        <v>1</v>
      </c>
      <c r="M540" t="str">
        <v/>
      </c>
      <c r="O540" t="b">
        <f ca="1"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P540" t="b">
        <f>AND(IF(metadata!C540="",FALSE,TRUE),EXACT(metadata!C540,"mouse gut metagenome"))</f>
        <v>0</v>
      </c>
      <c r="Q540" t="b">
        <f>AND(IF(metadata!D540="",FALSE,TRUE),EXACT(metadata!D540,"410661"))</f>
        <v>0</v>
      </c>
    </row>
    <row r="541" spans="1:17" x14ac:dyDescent="0.2">
      <c r="A541" s="4" t="str">
        <f ca="1">IF(B541=" "," ",HYPERLINK(CONCATENATE("#metadata!",ADDRESS(INDEX($J$2:$J$1001,MATCH(ROWS($H$2:H541),$H$2:$H$1001,0),0),1)),INDEX($M$2:$M$1001,MATCH(ROWS($H$2:H541),$H$2:$H$1001,0),0)))</f>
        <v xml:space="preserve"> </v>
      </c>
      <c r="B541" s="3" t="str">
        <f ca="1">IF(OR(INDEX($I$2:$I$1001,MATCH(ROWS($H$2:H541),$H$2:$H$1001,0),1)&gt;=100000,INDEX($O$1005:$Q$1005,1,MATCH(COLUMNS($O$1006:O1006),$O$1006:$Q$1006,0))&gt;=100000), " ",IF(INDEX($O$2:$Q$1001,MATCH(ROWS($H$2:H541),$H$2:$H$1001,0),MATCH(COLUMNS($O$1006:O1006),$O$1006:$Q$1006,0)), HYPERLINK("#",""), HYPERLINK(CONCATENATE("#metadata!", ADDRESS(INDEX($J$2:$J$1001,MATCH(ROWS($H$2:H541),$H$2:$H$1001,0),0), INDEX($O$1004:$Q$1004,1,MATCH(COLUMNS($O$1006:O1006),$O$1006:$Q$1006,0)))),"Fix")))</f>
        <v xml:space="preserve"> </v>
      </c>
      <c r="C541" s="3" t="str">
        <f ca="1">IF(OR(INDEX($I$2:$I$1001,MATCH(ROWS($H$2:H541),$H$2:$H$1001,0),1)&gt;=100000,INDEX($O$1005:$Q$1005,1,MATCH(COLUMNS($O$1006:P1006),$O$1006:$Q$1006,0))&gt;=100000), " ",IF(INDEX($O$2:$Q$1001,MATCH(ROWS($H$2:H541),$H$2:$H$1001,0),MATCH(COLUMNS($O$1006:P1006),$O$1006:$Q$1006,0)), HYPERLINK("#",""), HYPERLINK(CONCATENATE("#metadata!", ADDRESS(INDEX($J$2:$J$1001,MATCH(ROWS($H$2:H541),$H$2:$H$1001,0),0), INDEX($O$1004:$Q$1004,1,MATCH(COLUMNS($O$1006:P1006),$O$1006:$Q$1006,0)))),"Fix")))</f>
        <v xml:space="preserve"> </v>
      </c>
      <c r="D541" s="3" t="str">
        <f ca="1">IF(OR(INDEX($I$2:$I$1001,MATCH(ROWS($H$2:H541),$H$2:$H$1001,0),1)&gt;=100000,INDEX($O$1005:$Q$1005,1,MATCH(COLUMNS($O$1006:Q1006),$O$1006:$Q$1006,0))&gt;=100000), " ",IF(INDEX($O$2:$Q$1001,MATCH(ROWS($H$2:H541),$H$2:$H$1001,0),MATCH(COLUMNS($O$1006:Q1006),$O$1006:$Q$1006,0)), HYPERLINK("#",""), HYPERLINK(CONCATENATE("#metadata!", ADDRESS(INDEX($J$2:$J$1001,MATCH(ROWS($H$2:H541),$H$2:$H$1001,0),0), INDEX($O$1004:$Q$1004,1,MATCH(COLUMNS($O$1006:Q1006),$O$1006:$Q$1006,0)))),"Fix")))</f>
        <v xml:space="preserve"> </v>
      </c>
      <c r="H541">
        <v>540</v>
      </c>
      <c r="I541">
        <v>100541</v>
      </c>
      <c r="J541">
        <v>541</v>
      </c>
      <c r="K541" t="b">
        <f t="shared" si="8"/>
        <v>1</v>
      </c>
      <c r="L541" t="b">
        <f>COUNTBLANK(metadata!B541:D541)=COLUMNS(metadata!B541:D541)</f>
        <v>1</v>
      </c>
      <c r="M541" t="str">
        <v/>
      </c>
      <c r="O541" t="b">
        <f ca="1"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P541" t="b">
        <f>AND(IF(metadata!C541="",FALSE,TRUE),EXACT(metadata!C541,"mouse gut metagenome"))</f>
        <v>0</v>
      </c>
      <c r="Q541" t="b">
        <f>AND(IF(metadata!D541="",FALSE,TRUE),EXACT(metadata!D541,"410661"))</f>
        <v>0</v>
      </c>
    </row>
    <row r="542" spans="1:17" x14ac:dyDescent="0.2">
      <c r="A542" s="4" t="str">
        <f ca="1">IF(B542=" "," ",HYPERLINK(CONCATENATE("#metadata!",ADDRESS(INDEX($J$2:$J$1001,MATCH(ROWS($H$2:H542),$H$2:$H$1001,0),0),1)),INDEX($M$2:$M$1001,MATCH(ROWS($H$2:H542),$H$2:$H$1001,0),0)))</f>
        <v xml:space="preserve"> </v>
      </c>
      <c r="B542" s="3" t="str">
        <f ca="1">IF(OR(INDEX($I$2:$I$1001,MATCH(ROWS($H$2:H542),$H$2:$H$1001,0),1)&gt;=100000,INDEX($O$1005:$Q$1005,1,MATCH(COLUMNS($O$1006:O1006),$O$1006:$Q$1006,0))&gt;=100000), " ",IF(INDEX($O$2:$Q$1001,MATCH(ROWS($H$2:H542),$H$2:$H$1001,0),MATCH(COLUMNS($O$1006:O1006),$O$1006:$Q$1006,0)), HYPERLINK("#",""), HYPERLINK(CONCATENATE("#metadata!", ADDRESS(INDEX($J$2:$J$1001,MATCH(ROWS($H$2:H542),$H$2:$H$1001,0),0), INDEX($O$1004:$Q$1004,1,MATCH(COLUMNS($O$1006:O1006),$O$1006:$Q$1006,0)))),"Fix")))</f>
        <v xml:space="preserve"> </v>
      </c>
      <c r="C542" s="3" t="str">
        <f ca="1">IF(OR(INDEX($I$2:$I$1001,MATCH(ROWS($H$2:H542),$H$2:$H$1001,0),1)&gt;=100000,INDEX($O$1005:$Q$1005,1,MATCH(COLUMNS($O$1006:P1006),$O$1006:$Q$1006,0))&gt;=100000), " ",IF(INDEX($O$2:$Q$1001,MATCH(ROWS($H$2:H542),$H$2:$H$1001,0),MATCH(COLUMNS($O$1006:P1006),$O$1006:$Q$1006,0)), HYPERLINK("#",""), HYPERLINK(CONCATENATE("#metadata!", ADDRESS(INDEX($J$2:$J$1001,MATCH(ROWS($H$2:H542),$H$2:$H$1001,0),0), INDEX($O$1004:$Q$1004,1,MATCH(COLUMNS($O$1006:P1006),$O$1006:$Q$1006,0)))),"Fix")))</f>
        <v xml:space="preserve"> </v>
      </c>
      <c r="D542" s="3" t="str">
        <f ca="1">IF(OR(INDEX($I$2:$I$1001,MATCH(ROWS($H$2:H542),$H$2:$H$1001,0),1)&gt;=100000,INDEX($O$1005:$Q$1005,1,MATCH(COLUMNS($O$1006:Q1006),$O$1006:$Q$1006,0))&gt;=100000), " ",IF(INDEX($O$2:$Q$1001,MATCH(ROWS($H$2:H542),$H$2:$H$1001,0),MATCH(COLUMNS($O$1006:Q1006),$O$1006:$Q$1006,0)), HYPERLINK("#",""), HYPERLINK(CONCATENATE("#metadata!", ADDRESS(INDEX($J$2:$J$1001,MATCH(ROWS($H$2:H542),$H$2:$H$1001,0),0), INDEX($O$1004:$Q$1004,1,MATCH(COLUMNS($O$1006:Q1006),$O$1006:$Q$1006,0)))),"Fix")))</f>
        <v xml:space="preserve"> </v>
      </c>
      <c r="H542">
        <v>541</v>
      </c>
      <c r="I542">
        <v>100542</v>
      </c>
      <c r="J542">
        <v>542</v>
      </c>
      <c r="K542" t="b">
        <f t="shared" si="8"/>
        <v>1</v>
      </c>
      <c r="L542" t="b">
        <f>COUNTBLANK(metadata!B542:D542)=COLUMNS(metadata!B542:D542)</f>
        <v>1</v>
      </c>
      <c r="M542" t="str">
        <v/>
      </c>
      <c r="O542" t="b">
        <f ca="1"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P542" t="b">
        <f>AND(IF(metadata!C542="",FALSE,TRUE),EXACT(metadata!C542,"mouse gut metagenome"))</f>
        <v>0</v>
      </c>
      <c r="Q542" t="b">
        <f>AND(IF(metadata!D542="",FALSE,TRUE),EXACT(metadata!D542,"410661"))</f>
        <v>0</v>
      </c>
    </row>
    <row r="543" spans="1:17" x14ac:dyDescent="0.2">
      <c r="A543" s="4" t="str">
        <f ca="1">IF(B543=" "," ",HYPERLINK(CONCATENATE("#metadata!",ADDRESS(INDEX($J$2:$J$1001,MATCH(ROWS($H$2:H543),$H$2:$H$1001,0),0),1)),INDEX($M$2:$M$1001,MATCH(ROWS($H$2:H543),$H$2:$H$1001,0),0)))</f>
        <v xml:space="preserve"> </v>
      </c>
      <c r="B543" s="3" t="str">
        <f ca="1">IF(OR(INDEX($I$2:$I$1001,MATCH(ROWS($H$2:H543),$H$2:$H$1001,0),1)&gt;=100000,INDEX($O$1005:$Q$1005,1,MATCH(COLUMNS($O$1006:O1006),$O$1006:$Q$1006,0))&gt;=100000), " ",IF(INDEX($O$2:$Q$1001,MATCH(ROWS($H$2:H543),$H$2:$H$1001,0),MATCH(COLUMNS($O$1006:O1006),$O$1006:$Q$1006,0)), HYPERLINK("#",""), HYPERLINK(CONCATENATE("#metadata!", ADDRESS(INDEX($J$2:$J$1001,MATCH(ROWS($H$2:H543),$H$2:$H$1001,0),0), INDEX($O$1004:$Q$1004,1,MATCH(COLUMNS($O$1006:O1006),$O$1006:$Q$1006,0)))),"Fix")))</f>
        <v xml:space="preserve"> </v>
      </c>
      <c r="C543" s="3" t="str">
        <f ca="1">IF(OR(INDEX($I$2:$I$1001,MATCH(ROWS($H$2:H543),$H$2:$H$1001,0),1)&gt;=100000,INDEX($O$1005:$Q$1005,1,MATCH(COLUMNS($O$1006:P1006),$O$1006:$Q$1006,0))&gt;=100000), " ",IF(INDEX($O$2:$Q$1001,MATCH(ROWS($H$2:H543),$H$2:$H$1001,0),MATCH(COLUMNS($O$1006:P1006),$O$1006:$Q$1006,0)), HYPERLINK("#",""), HYPERLINK(CONCATENATE("#metadata!", ADDRESS(INDEX($J$2:$J$1001,MATCH(ROWS($H$2:H543),$H$2:$H$1001,0),0), INDEX($O$1004:$Q$1004,1,MATCH(COLUMNS($O$1006:P1006),$O$1006:$Q$1006,0)))),"Fix")))</f>
        <v xml:space="preserve"> </v>
      </c>
      <c r="D543" s="3" t="str">
        <f ca="1">IF(OR(INDEX($I$2:$I$1001,MATCH(ROWS($H$2:H543),$H$2:$H$1001,0),1)&gt;=100000,INDEX($O$1005:$Q$1005,1,MATCH(COLUMNS($O$1006:Q1006),$O$1006:$Q$1006,0))&gt;=100000), " ",IF(INDEX($O$2:$Q$1001,MATCH(ROWS($H$2:H543),$H$2:$H$1001,0),MATCH(COLUMNS($O$1006:Q1006),$O$1006:$Q$1006,0)), HYPERLINK("#",""), HYPERLINK(CONCATENATE("#metadata!", ADDRESS(INDEX($J$2:$J$1001,MATCH(ROWS($H$2:H543),$H$2:$H$1001,0),0), INDEX($O$1004:$Q$1004,1,MATCH(COLUMNS($O$1006:Q1006),$O$1006:$Q$1006,0)))),"Fix")))</f>
        <v xml:space="preserve"> </v>
      </c>
      <c r="H543">
        <v>542</v>
      </c>
      <c r="I543">
        <v>100543</v>
      </c>
      <c r="J543">
        <v>543</v>
      </c>
      <c r="K543" t="b">
        <f t="shared" si="8"/>
        <v>1</v>
      </c>
      <c r="L543" t="b">
        <f>COUNTBLANK(metadata!B543:D543)=COLUMNS(metadata!B543:D543)</f>
        <v>1</v>
      </c>
      <c r="M543" t="str">
        <v/>
      </c>
      <c r="O543" t="b">
        <f ca="1"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P543" t="b">
        <f>AND(IF(metadata!C543="",FALSE,TRUE),EXACT(metadata!C543,"mouse gut metagenome"))</f>
        <v>0</v>
      </c>
      <c r="Q543" t="b">
        <f>AND(IF(metadata!D543="",FALSE,TRUE),EXACT(metadata!D543,"410661"))</f>
        <v>0</v>
      </c>
    </row>
    <row r="544" spans="1:17" x14ac:dyDescent="0.2">
      <c r="A544" s="4" t="str">
        <f ca="1">IF(B544=" "," ",HYPERLINK(CONCATENATE("#metadata!",ADDRESS(INDEX($J$2:$J$1001,MATCH(ROWS($H$2:H544),$H$2:$H$1001,0),0),1)),INDEX($M$2:$M$1001,MATCH(ROWS($H$2:H544),$H$2:$H$1001,0),0)))</f>
        <v xml:space="preserve"> </v>
      </c>
      <c r="B544" s="3" t="str">
        <f ca="1">IF(OR(INDEX($I$2:$I$1001,MATCH(ROWS($H$2:H544),$H$2:$H$1001,0),1)&gt;=100000,INDEX($O$1005:$Q$1005,1,MATCH(COLUMNS($O$1006:O1006),$O$1006:$Q$1006,0))&gt;=100000), " ",IF(INDEX($O$2:$Q$1001,MATCH(ROWS($H$2:H544),$H$2:$H$1001,0),MATCH(COLUMNS($O$1006:O1006),$O$1006:$Q$1006,0)), HYPERLINK("#",""), HYPERLINK(CONCATENATE("#metadata!", ADDRESS(INDEX($J$2:$J$1001,MATCH(ROWS($H$2:H544),$H$2:$H$1001,0),0), INDEX($O$1004:$Q$1004,1,MATCH(COLUMNS($O$1006:O1006),$O$1006:$Q$1006,0)))),"Fix")))</f>
        <v xml:space="preserve"> </v>
      </c>
      <c r="C544" s="3" t="str">
        <f ca="1">IF(OR(INDEX($I$2:$I$1001,MATCH(ROWS($H$2:H544),$H$2:$H$1001,0),1)&gt;=100000,INDEX($O$1005:$Q$1005,1,MATCH(COLUMNS($O$1006:P1006),$O$1006:$Q$1006,0))&gt;=100000), " ",IF(INDEX($O$2:$Q$1001,MATCH(ROWS($H$2:H544),$H$2:$H$1001,0),MATCH(COLUMNS($O$1006:P1006),$O$1006:$Q$1006,0)), HYPERLINK("#",""), HYPERLINK(CONCATENATE("#metadata!", ADDRESS(INDEX($J$2:$J$1001,MATCH(ROWS($H$2:H544),$H$2:$H$1001,0),0), INDEX($O$1004:$Q$1004,1,MATCH(COLUMNS($O$1006:P1006),$O$1006:$Q$1006,0)))),"Fix")))</f>
        <v xml:space="preserve"> </v>
      </c>
      <c r="D544" s="3" t="str">
        <f ca="1">IF(OR(INDEX($I$2:$I$1001,MATCH(ROWS($H$2:H544),$H$2:$H$1001,0),1)&gt;=100000,INDEX($O$1005:$Q$1005,1,MATCH(COLUMNS($O$1006:Q1006),$O$1006:$Q$1006,0))&gt;=100000), " ",IF(INDEX($O$2:$Q$1001,MATCH(ROWS($H$2:H544),$H$2:$H$1001,0),MATCH(COLUMNS($O$1006:Q1006),$O$1006:$Q$1006,0)), HYPERLINK("#",""), HYPERLINK(CONCATENATE("#metadata!", ADDRESS(INDEX($J$2:$J$1001,MATCH(ROWS($H$2:H544),$H$2:$H$1001,0),0), INDEX($O$1004:$Q$1004,1,MATCH(COLUMNS($O$1006:Q1006),$O$1006:$Q$1006,0)))),"Fix")))</f>
        <v xml:space="preserve"> </v>
      </c>
      <c r="H544">
        <v>543</v>
      </c>
      <c r="I544">
        <v>100544</v>
      </c>
      <c r="J544">
        <v>544</v>
      </c>
      <c r="K544" t="b">
        <f t="shared" si="8"/>
        <v>1</v>
      </c>
      <c r="L544" t="b">
        <f>COUNTBLANK(metadata!B544:D544)=COLUMNS(metadata!B544:D544)</f>
        <v>1</v>
      </c>
      <c r="M544" t="str">
        <v/>
      </c>
      <c r="O544" t="b">
        <f ca="1"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P544" t="b">
        <f>AND(IF(metadata!C544="",FALSE,TRUE),EXACT(metadata!C544,"mouse gut metagenome"))</f>
        <v>0</v>
      </c>
      <c r="Q544" t="b">
        <f>AND(IF(metadata!D544="",FALSE,TRUE),EXACT(metadata!D544,"410661"))</f>
        <v>0</v>
      </c>
    </row>
    <row r="545" spans="1:17" x14ac:dyDescent="0.2">
      <c r="A545" s="4" t="str">
        <f ca="1">IF(B545=" "," ",HYPERLINK(CONCATENATE("#metadata!",ADDRESS(INDEX($J$2:$J$1001,MATCH(ROWS($H$2:H545),$H$2:$H$1001,0),0),1)),INDEX($M$2:$M$1001,MATCH(ROWS($H$2:H545),$H$2:$H$1001,0),0)))</f>
        <v xml:space="preserve"> </v>
      </c>
      <c r="B545" s="3" t="str">
        <f ca="1">IF(OR(INDEX($I$2:$I$1001,MATCH(ROWS($H$2:H545),$H$2:$H$1001,0),1)&gt;=100000,INDEX($O$1005:$Q$1005,1,MATCH(COLUMNS($O$1006:O1006),$O$1006:$Q$1006,0))&gt;=100000), " ",IF(INDEX($O$2:$Q$1001,MATCH(ROWS($H$2:H545),$H$2:$H$1001,0),MATCH(COLUMNS($O$1006:O1006),$O$1006:$Q$1006,0)), HYPERLINK("#",""), HYPERLINK(CONCATENATE("#metadata!", ADDRESS(INDEX($J$2:$J$1001,MATCH(ROWS($H$2:H545),$H$2:$H$1001,0),0), INDEX($O$1004:$Q$1004,1,MATCH(COLUMNS($O$1006:O1006),$O$1006:$Q$1006,0)))),"Fix")))</f>
        <v xml:space="preserve"> </v>
      </c>
      <c r="C545" s="3" t="str">
        <f ca="1">IF(OR(INDEX($I$2:$I$1001,MATCH(ROWS($H$2:H545),$H$2:$H$1001,0),1)&gt;=100000,INDEX($O$1005:$Q$1005,1,MATCH(COLUMNS($O$1006:P1006),$O$1006:$Q$1006,0))&gt;=100000), " ",IF(INDEX($O$2:$Q$1001,MATCH(ROWS($H$2:H545),$H$2:$H$1001,0),MATCH(COLUMNS($O$1006:P1006),$O$1006:$Q$1006,0)), HYPERLINK("#",""), HYPERLINK(CONCATENATE("#metadata!", ADDRESS(INDEX($J$2:$J$1001,MATCH(ROWS($H$2:H545),$H$2:$H$1001,0),0), INDEX($O$1004:$Q$1004,1,MATCH(COLUMNS($O$1006:P1006),$O$1006:$Q$1006,0)))),"Fix")))</f>
        <v xml:space="preserve"> </v>
      </c>
      <c r="D545" s="3" t="str">
        <f ca="1">IF(OR(INDEX($I$2:$I$1001,MATCH(ROWS($H$2:H545),$H$2:$H$1001,0),1)&gt;=100000,INDEX($O$1005:$Q$1005,1,MATCH(COLUMNS($O$1006:Q1006),$O$1006:$Q$1006,0))&gt;=100000), " ",IF(INDEX($O$2:$Q$1001,MATCH(ROWS($H$2:H545),$H$2:$H$1001,0),MATCH(COLUMNS($O$1006:Q1006),$O$1006:$Q$1006,0)), HYPERLINK("#",""), HYPERLINK(CONCATENATE("#metadata!", ADDRESS(INDEX($J$2:$J$1001,MATCH(ROWS($H$2:H545),$H$2:$H$1001,0),0), INDEX($O$1004:$Q$1004,1,MATCH(COLUMNS($O$1006:Q1006),$O$1006:$Q$1006,0)))),"Fix")))</f>
        <v xml:space="preserve"> </v>
      </c>
      <c r="H545">
        <v>544</v>
      </c>
      <c r="I545">
        <v>100545</v>
      </c>
      <c r="J545">
        <v>545</v>
      </c>
      <c r="K545" t="b">
        <f t="shared" si="8"/>
        <v>1</v>
      </c>
      <c r="L545" t="b">
        <f>COUNTBLANK(metadata!B545:D545)=COLUMNS(metadata!B545:D545)</f>
        <v>1</v>
      </c>
      <c r="M545" t="str">
        <v/>
      </c>
      <c r="O545" t="b">
        <f ca="1"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P545" t="b">
        <f>AND(IF(metadata!C545="",FALSE,TRUE),EXACT(metadata!C545,"mouse gut metagenome"))</f>
        <v>0</v>
      </c>
      <c r="Q545" t="b">
        <f>AND(IF(metadata!D545="",FALSE,TRUE),EXACT(metadata!D545,"410661"))</f>
        <v>0</v>
      </c>
    </row>
    <row r="546" spans="1:17" x14ac:dyDescent="0.2">
      <c r="A546" s="4" t="str">
        <f ca="1">IF(B546=" "," ",HYPERLINK(CONCATENATE("#metadata!",ADDRESS(INDEX($J$2:$J$1001,MATCH(ROWS($H$2:H546),$H$2:$H$1001,0),0),1)),INDEX($M$2:$M$1001,MATCH(ROWS($H$2:H546),$H$2:$H$1001,0),0)))</f>
        <v xml:space="preserve"> </v>
      </c>
      <c r="B546" s="3" t="str">
        <f ca="1">IF(OR(INDEX($I$2:$I$1001,MATCH(ROWS($H$2:H546),$H$2:$H$1001,0),1)&gt;=100000,INDEX($O$1005:$Q$1005,1,MATCH(COLUMNS($O$1006:O1006),$O$1006:$Q$1006,0))&gt;=100000), " ",IF(INDEX($O$2:$Q$1001,MATCH(ROWS($H$2:H546),$H$2:$H$1001,0),MATCH(COLUMNS($O$1006:O1006),$O$1006:$Q$1006,0)), HYPERLINK("#",""), HYPERLINK(CONCATENATE("#metadata!", ADDRESS(INDEX($J$2:$J$1001,MATCH(ROWS($H$2:H546),$H$2:$H$1001,0),0), INDEX($O$1004:$Q$1004,1,MATCH(COLUMNS($O$1006:O1006),$O$1006:$Q$1006,0)))),"Fix")))</f>
        <v xml:space="preserve"> </v>
      </c>
      <c r="C546" s="3" t="str">
        <f ca="1">IF(OR(INDEX($I$2:$I$1001,MATCH(ROWS($H$2:H546),$H$2:$H$1001,0),1)&gt;=100000,INDEX($O$1005:$Q$1005,1,MATCH(COLUMNS($O$1006:P1006),$O$1006:$Q$1006,0))&gt;=100000), " ",IF(INDEX($O$2:$Q$1001,MATCH(ROWS($H$2:H546),$H$2:$H$1001,0),MATCH(COLUMNS($O$1006:P1006),$O$1006:$Q$1006,0)), HYPERLINK("#",""), HYPERLINK(CONCATENATE("#metadata!", ADDRESS(INDEX($J$2:$J$1001,MATCH(ROWS($H$2:H546),$H$2:$H$1001,0),0), INDEX($O$1004:$Q$1004,1,MATCH(COLUMNS($O$1006:P1006),$O$1006:$Q$1006,0)))),"Fix")))</f>
        <v xml:space="preserve"> </v>
      </c>
      <c r="D546" s="3" t="str">
        <f ca="1">IF(OR(INDEX($I$2:$I$1001,MATCH(ROWS($H$2:H546),$H$2:$H$1001,0),1)&gt;=100000,INDEX($O$1005:$Q$1005,1,MATCH(COLUMNS($O$1006:Q1006),$O$1006:$Q$1006,0))&gt;=100000), " ",IF(INDEX($O$2:$Q$1001,MATCH(ROWS($H$2:H546),$H$2:$H$1001,0),MATCH(COLUMNS($O$1006:Q1006),$O$1006:$Q$1006,0)), HYPERLINK("#",""), HYPERLINK(CONCATENATE("#metadata!", ADDRESS(INDEX($J$2:$J$1001,MATCH(ROWS($H$2:H546),$H$2:$H$1001,0),0), INDEX($O$1004:$Q$1004,1,MATCH(COLUMNS($O$1006:Q1006),$O$1006:$Q$1006,0)))),"Fix")))</f>
        <v xml:space="preserve"> </v>
      </c>
      <c r="H546">
        <v>545</v>
      </c>
      <c r="I546">
        <v>100546</v>
      </c>
      <c r="J546">
        <v>546</v>
      </c>
      <c r="K546" t="b">
        <f t="shared" si="8"/>
        <v>1</v>
      </c>
      <c r="L546" t="b">
        <f>COUNTBLANK(metadata!B546:D546)=COLUMNS(metadata!B546:D546)</f>
        <v>1</v>
      </c>
      <c r="M546" t="str">
        <v/>
      </c>
      <c r="O546" t="b">
        <f ca="1"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P546" t="b">
        <f>AND(IF(metadata!C546="",FALSE,TRUE),EXACT(metadata!C546,"mouse gut metagenome"))</f>
        <v>0</v>
      </c>
      <c r="Q546" t="b">
        <f>AND(IF(metadata!D546="",FALSE,TRUE),EXACT(metadata!D546,"410661"))</f>
        <v>0</v>
      </c>
    </row>
    <row r="547" spans="1:17" x14ac:dyDescent="0.2">
      <c r="A547" s="4" t="str">
        <f ca="1">IF(B547=" "," ",HYPERLINK(CONCATENATE("#metadata!",ADDRESS(INDEX($J$2:$J$1001,MATCH(ROWS($H$2:H547),$H$2:$H$1001,0),0),1)),INDEX($M$2:$M$1001,MATCH(ROWS($H$2:H547),$H$2:$H$1001,0),0)))</f>
        <v xml:space="preserve"> </v>
      </c>
      <c r="B547" s="3" t="str">
        <f ca="1">IF(OR(INDEX($I$2:$I$1001,MATCH(ROWS($H$2:H547),$H$2:$H$1001,0),1)&gt;=100000,INDEX($O$1005:$Q$1005,1,MATCH(COLUMNS($O$1006:O1006),$O$1006:$Q$1006,0))&gt;=100000), " ",IF(INDEX($O$2:$Q$1001,MATCH(ROWS($H$2:H547),$H$2:$H$1001,0),MATCH(COLUMNS($O$1006:O1006),$O$1006:$Q$1006,0)), HYPERLINK("#",""), HYPERLINK(CONCATENATE("#metadata!", ADDRESS(INDEX($J$2:$J$1001,MATCH(ROWS($H$2:H547),$H$2:$H$1001,0),0), INDEX($O$1004:$Q$1004,1,MATCH(COLUMNS($O$1006:O1006),$O$1006:$Q$1006,0)))),"Fix")))</f>
        <v xml:space="preserve"> </v>
      </c>
      <c r="C547" s="3" t="str">
        <f ca="1">IF(OR(INDEX($I$2:$I$1001,MATCH(ROWS($H$2:H547),$H$2:$H$1001,0),1)&gt;=100000,INDEX($O$1005:$Q$1005,1,MATCH(COLUMNS($O$1006:P1006),$O$1006:$Q$1006,0))&gt;=100000), " ",IF(INDEX($O$2:$Q$1001,MATCH(ROWS($H$2:H547),$H$2:$H$1001,0),MATCH(COLUMNS($O$1006:P1006),$O$1006:$Q$1006,0)), HYPERLINK("#",""), HYPERLINK(CONCATENATE("#metadata!", ADDRESS(INDEX($J$2:$J$1001,MATCH(ROWS($H$2:H547),$H$2:$H$1001,0),0), INDEX($O$1004:$Q$1004,1,MATCH(COLUMNS($O$1006:P1006),$O$1006:$Q$1006,0)))),"Fix")))</f>
        <v xml:space="preserve"> </v>
      </c>
      <c r="D547" s="3" t="str">
        <f ca="1">IF(OR(INDEX($I$2:$I$1001,MATCH(ROWS($H$2:H547),$H$2:$H$1001,0),1)&gt;=100000,INDEX($O$1005:$Q$1005,1,MATCH(COLUMNS($O$1006:Q1006),$O$1006:$Q$1006,0))&gt;=100000), " ",IF(INDEX($O$2:$Q$1001,MATCH(ROWS($H$2:H547),$H$2:$H$1001,0),MATCH(COLUMNS($O$1006:Q1006),$O$1006:$Q$1006,0)), HYPERLINK("#",""), HYPERLINK(CONCATENATE("#metadata!", ADDRESS(INDEX($J$2:$J$1001,MATCH(ROWS($H$2:H547),$H$2:$H$1001,0),0), INDEX($O$1004:$Q$1004,1,MATCH(COLUMNS($O$1006:Q1006),$O$1006:$Q$1006,0)))),"Fix")))</f>
        <v xml:space="preserve"> </v>
      </c>
      <c r="H547">
        <v>546</v>
      </c>
      <c r="I547">
        <v>100547</v>
      </c>
      <c r="J547">
        <v>547</v>
      </c>
      <c r="K547" t="b">
        <f t="shared" si="8"/>
        <v>1</v>
      </c>
      <c r="L547" t="b">
        <f>COUNTBLANK(metadata!B547:D547)=COLUMNS(metadata!B547:D547)</f>
        <v>1</v>
      </c>
      <c r="M547" t="str">
        <v/>
      </c>
      <c r="O547" t="b">
        <f ca="1"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P547" t="b">
        <f>AND(IF(metadata!C547="",FALSE,TRUE),EXACT(metadata!C547,"mouse gut metagenome"))</f>
        <v>0</v>
      </c>
      <c r="Q547" t="b">
        <f>AND(IF(metadata!D547="",FALSE,TRUE),EXACT(metadata!D547,"410661"))</f>
        <v>0</v>
      </c>
    </row>
    <row r="548" spans="1:17" x14ac:dyDescent="0.2">
      <c r="A548" s="4" t="str">
        <f ca="1">IF(B548=" "," ",HYPERLINK(CONCATENATE("#metadata!",ADDRESS(INDEX($J$2:$J$1001,MATCH(ROWS($H$2:H548),$H$2:$H$1001,0),0),1)),INDEX($M$2:$M$1001,MATCH(ROWS($H$2:H548),$H$2:$H$1001,0),0)))</f>
        <v xml:space="preserve"> </v>
      </c>
      <c r="B548" s="3" t="str">
        <f ca="1">IF(OR(INDEX($I$2:$I$1001,MATCH(ROWS($H$2:H548),$H$2:$H$1001,0),1)&gt;=100000,INDEX($O$1005:$Q$1005,1,MATCH(COLUMNS($O$1006:O1006),$O$1006:$Q$1006,0))&gt;=100000), " ",IF(INDEX($O$2:$Q$1001,MATCH(ROWS($H$2:H548),$H$2:$H$1001,0),MATCH(COLUMNS($O$1006:O1006),$O$1006:$Q$1006,0)), HYPERLINK("#",""), HYPERLINK(CONCATENATE("#metadata!", ADDRESS(INDEX($J$2:$J$1001,MATCH(ROWS($H$2:H548),$H$2:$H$1001,0),0), INDEX($O$1004:$Q$1004,1,MATCH(COLUMNS($O$1006:O1006),$O$1006:$Q$1006,0)))),"Fix")))</f>
        <v xml:space="preserve"> </v>
      </c>
      <c r="C548" s="3" t="str">
        <f ca="1">IF(OR(INDEX($I$2:$I$1001,MATCH(ROWS($H$2:H548),$H$2:$H$1001,0),1)&gt;=100000,INDEX($O$1005:$Q$1005,1,MATCH(COLUMNS($O$1006:P1006),$O$1006:$Q$1006,0))&gt;=100000), " ",IF(INDEX($O$2:$Q$1001,MATCH(ROWS($H$2:H548),$H$2:$H$1001,0),MATCH(COLUMNS($O$1006:P1006),$O$1006:$Q$1006,0)), HYPERLINK("#",""), HYPERLINK(CONCATENATE("#metadata!", ADDRESS(INDEX($J$2:$J$1001,MATCH(ROWS($H$2:H548),$H$2:$H$1001,0),0), INDEX($O$1004:$Q$1004,1,MATCH(COLUMNS($O$1006:P1006),$O$1006:$Q$1006,0)))),"Fix")))</f>
        <v xml:space="preserve"> </v>
      </c>
      <c r="D548" s="3" t="str">
        <f ca="1">IF(OR(INDEX($I$2:$I$1001,MATCH(ROWS($H$2:H548),$H$2:$H$1001,0),1)&gt;=100000,INDEX($O$1005:$Q$1005,1,MATCH(COLUMNS($O$1006:Q1006),$O$1006:$Q$1006,0))&gt;=100000), " ",IF(INDEX($O$2:$Q$1001,MATCH(ROWS($H$2:H548),$H$2:$H$1001,0),MATCH(COLUMNS($O$1006:Q1006),$O$1006:$Q$1006,0)), HYPERLINK("#",""), HYPERLINK(CONCATENATE("#metadata!", ADDRESS(INDEX($J$2:$J$1001,MATCH(ROWS($H$2:H548),$H$2:$H$1001,0),0), INDEX($O$1004:$Q$1004,1,MATCH(COLUMNS($O$1006:Q1006),$O$1006:$Q$1006,0)))),"Fix")))</f>
        <v xml:space="preserve"> </v>
      </c>
      <c r="H548">
        <v>547</v>
      </c>
      <c r="I548">
        <v>100548</v>
      </c>
      <c r="J548">
        <v>548</v>
      </c>
      <c r="K548" t="b">
        <f t="shared" si="8"/>
        <v>1</v>
      </c>
      <c r="L548" t="b">
        <f>COUNTBLANK(metadata!B548:D548)=COLUMNS(metadata!B548:D548)</f>
        <v>1</v>
      </c>
      <c r="M548" t="str">
        <v/>
      </c>
      <c r="O548" t="b">
        <f ca="1"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P548" t="b">
        <f>AND(IF(metadata!C548="",FALSE,TRUE),EXACT(metadata!C548,"mouse gut metagenome"))</f>
        <v>0</v>
      </c>
      <c r="Q548" t="b">
        <f>AND(IF(metadata!D548="",FALSE,TRUE),EXACT(metadata!D548,"410661"))</f>
        <v>0</v>
      </c>
    </row>
    <row r="549" spans="1:17" x14ac:dyDescent="0.2">
      <c r="A549" s="4" t="str">
        <f ca="1">IF(B549=" "," ",HYPERLINK(CONCATENATE("#metadata!",ADDRESS(INDEX($J$2:$J$1001,MATCH(ROWS($H$2:H549),$H$2:$H$1001,0),0),1)),INDEX($M$2:$M$1001,MATCH(ROWS($H$2:H549),$H$2:$H$1001,0),0)))</f>
        <v xml:space="preserve"> </v>
      </c>
      <c r="B549" s="3" t="str">
        <f ca="1">IF(OR(INDEX($I$2:$I$1001,MATCH(ROWS($H$2:H549),$H$2:$H$1001,0),1)&gt;=100000,INDEX($O$1005:$Q$1005,1,MATCH(COLUMNS($O$1006:O1006),$O$1006:$Q$1006,0))&gt;=100000), " ",IF(INDEX($O$2:$Q$1001,MATCH(ROWS($H$2:H549),$H$2:$H$1001,0),MATCH(COLUMNS($O$1006:O1006),$O$1006:$Q$1006,0)), HYPERLINK("#",""), HYPERLINK(CONCATENATE("#metadata!", ADDRESS(INDEX($J$2:$J$1001,MATCH(ROWS($H$2:H549),$H$2:$H$1001,0),0), INDEX($O$1004:$Q$1004,1,MATCH(COLUMNS($O$1006:O1006),$O$1006:$Q$1006,0)))),"Fix")))</f>
        <v xml:space="preserve"> </v>
      </c>
      <c r="C549" s="3" t="str">
        <f ca="1">IF(OR(INDEX($I$2:$I$1001,MATCH(ROWS($H$2:H549),$H$2:$H$1001,0),1)&gt;=100000,INDEX($O$1005:$Q$1005,1,MATCH(COLUMNS($O$1006:P1006),$O$1006:$Q$1006,0))&gt;=100000), " ",IF(INDEX($O$2:$Q$1001,MATCH(ROWS($H$2:H549),$H$2:$H$1001,0),MATCH(COLUMNS($O$1006:P1006),$O$1006:$Q$1006,0)), HYPERLINK("#",""), HYPERLINK(CONCATENATE("#metadata!", ADDRESS(INDEX($J$2:$J$1001,MATCH(ROWS($H$2:H549),$H$2:$H$1001,0),0), INDEX($O$1004:$Q$1004,1,MATCH(COLUMNS($O$1006:P1006),$O$1006:$Q$1006,0)))),"Fix")))</f>
        <v xml:space="preserve"> </v>
      </c>
      <c r="D549" s="3" t="str">
        <f ca="1">IF(OR(INDEX($I$2:$I$1001,MATCH(ROWS($H$2:H549),$H$2:$H$1001,0),1)&gt;=100000,INDEX($O$1005:$Q$1005,1,MATCH(COLUMNS($O$1006:Q1006),$O$1006:$Q$1006,0))&gt;=100000), " ",IF(INDEX($O$2:$Q$1001,MATCH(ROWS($H$2:H549),$H$2:$H$1001,0),MATCH(COLUMNS($O$1006:Q1006),$O$1006:$Q$1006,0)), HYPERLINK("#",""), HYPERLINK(CONCATENATE("#metadata!", ADDRESS(INDEX($J$2:$J$1001,MATCH(ROWS($H$2:H549),$H$2:$H$1001,0),0), INDEX($O$1004:$Q$1004,1,MATCH(COLUMNS($O$1006:Q1006),$O$1006:$Q$1006,0)))),"Fix")))</f>
        <v xml:space="preserve"> </v>
      </c>
      <c r="H549">
        <v>548</v>
      </c>
      <c r="I549">
        <v>100549</v>
      </c>
      <c r="J549">
        <v>549</v>
      </c>
      <c r="K549" t="b">
        <f t="shared" si="8"/>
        <v>1</v>
      </c>
      <c r="L549" t="b">
        <f>COUNTBLANK(metadata!B549:D549)=COLUMNS(metadata!B549:D549)</f>
        <v>1</v>
      </c>
      <c r="M549" t="str">
        <v/>
      </c>
      <c r="O549" t="b">
        <f ca="1"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P549" t="b">
        <f>AND(IF(metadata!C549="",FALSE,TRUE),EXACT(metadata!C549,"mouse gut metagenome"))</f>
        <v>0</v>
      </c>
      <c r="Q549" t="b">
        <f>AND(IF(metadata!D549="",FALSE,TRUE),EXACT(metadata!D549,"410661"))</f>
        <v>0</v>
      </c>
    </row>
    <row r="550" spans="1:17" x14ac:dyDescent="0.2">
      <c r="A550" s="4" t="str">
        <f ca="1">IF(B550=" "," ",HYPERLINK(CONCATENATE("#metadata!",ADDRESS(INDEX($J$2:$J$1001,MATCH(ROWS($H$2:H550),$H$2:$H$1001,0),0),1)),INDEX($M$2:$M$1001,MATCH(ROWS($H$2:H550),$H$2:$H$1001,0),0)))</f>
        <v xml:space="preserve"> </v>
      </c>
      <c r="B550" s="3" t="str">
        <f ca="1">IF(OR(INDEX($I$2:$I$1001,MATCH(ROWS($H$2:H550),$H$2:$H$1001,0),1)&gt;=100000,INDEX($O$1005:$Q$1005,1,MATCH(COLUMNS($O$1006:O1006),$O$1006:$Q$1006,0))&gt;=100000), " ",IF(INDEX($O$2:$Q$1001,MATCH(ROWS($H$2:H550),$H$2:$H$1001,0),MATCH(COLUMNS($O$1006:O1006),$O$1006:$Q$1006,0)), HYPERLINK("#",""), HYPERLINK(CONCATENATE("#metadata!", ADDRESS(INDEX($J$2:$J$1001,MATCH(ROWS($H$2:H550),$H$2:$H$1001,0),0), INDEX($O$1004:$Q$1004,1,MATCH(COLUMNS($O$1006:O1006),$O$1006:$Q$1006,0)))),"Fix")))</f>
        <v xml:space="preserve"> </v>
      </c>
      <c r="C550" s="3" t="str">
        <f ca="1">IF(OR(INDEX($I$2:$I$1001,MATCH(ROWS($H$2:H550),$H$2:$H$1001,0),1)&gt;=100000,INDEX($O$1005:$Q$1005,1,MATCH(COLUMNS($O$1006:P1006),$O$1006:$Q$1006,0))&gt;=100000), " ",IF(INDEX($O$2:$Q$1001,MATCH(ROWS($H$2:H550),$H$2:$H$1001,0),MATCH(COLUMNS($O$1006:P1006),$O$1006:$Q$1006,0)), HYPERLINK("#",""), HYPERLINK(CONCATENATE("#metadata!", ADDRESS(INDEX($J$2:$J$1001,MATCH(ROWS($H$2:H550),$H$2:$H$1001,0),0), INDEX($O$1004:$Q$1004,1,MATCH(COLUMNS($O$1006:P1006),$O$1006:$Q$1006,0)))),"Fix")))</f>
        <v xml:space="preserve"> </v>
      </c>
      <c r="D550" s="3" t="str">
        <f ca="1">IF(OR(INDEX($I$2:$I$1001,MATCH(ROWS($H$2:H550),$H$2:$H$1001,0),1)&gt;=100000,INDEX($O$1005:$Q$1005,1,MATCH(COLUMNS($O$1006:Q1006),$O$1006:$Q$1006,0))&gt;=100000), " ",IF(INDEX($O$2:$Q$1001,MATCH(ROWS($H$2:H550),$H$2:$H$1001,0),MATCH(COLUMNS($O$1006:Q1006),$O$1006:$Q$1006,0)), HYPERLINK("#",""), HYPERLINK(CONCATENATE("#metadata!", ADDRESS(INDEX($J$2:$J$1001,MATCH(ROWS($H$2:H550),$H$2:$H$1001,0),0), INDEX($O$1004:$Q$1004,1,MATCH(COLUMNS($O$1006:Q1006),$O$1006:$Q$1006,0)))),"Fix")))</f>
        <v xml:space="preserve"> </v>
      </c>
      <c r="H550">
        <v>549</v>
      </c>
      <c r="I550">
        <v>100550</v>
      </c>
      <c r="J550">
        <v>550</v>
      </c>
      <c r="K550" t="b">
        <f t="shared" si="8"/>
        <v>1</v>
      </c>
      <c r="L550" t="b">
        <f>COUNTBLANK(metadata!B550:D550)=COLUMNS(metadata!B550:D550)</f>
        <v>1</v>
      </c>
      <c r="M550" t="str">
        <v/>
      </c>
      <c r="O550" t="b">
        <f ca="1"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P550" t="b">
        <f>AND(IF(metadata!C550="",FALSE,TRUE),EXACT(metadata!C550,"mouse gut metagenome"))</f>
        <v>0</v>
      </c>
      <c r="Q550" t="b">
        <f>AND(IF(metadata!D550="",FALSE,TRUE),EXACT(metadata!D550,"410661"))</f>
        <v>0</v>
      </c>
    </row>
    <row r="551" spans="1:17" x14ac:dyDescent="0.2">
      <c r="A551" s="4" t="str">
        <f ca="1">IF(B551=" "," ",HYPERLINK(CONCATENATE("#metadata!",ADDRESS(INDEX($J$2:$J$1001,MATCH(ROWS($H$2:H551),$H$2:$H$1001,0),0),1)),INDEX($M$2:$M$1001,MATCH(ROWS($H$2:H551),$H$2:$H$1001,0),0)))</f>
        <v xml:space="preserve"> </v>
      </c>
      <c r="B551" s="3" t="str">
        <f ca="1">IF(OR(INDEX($I$2:$I$1001,MATCH(ROWS($H$2:H551),$H$2:$H$1001,0),1)&gt;=100000,INDEX($O$1005:$Q$1005,1,MATCH(COLUMNS($O$1006:O1006),$O$1006:$Q$1006,0))&gt;=100000), " ",IF(INDEX($O$2:$Q$1001,MATCH(ROWS($H$2:H551),$H$2:$H$1001,0),MATCH(COLUMNS($O$1006:O1006),$O$1006:$Q$1006,0)), HYPERLINK("#",""), HYPERLINK(CONCATENATE("#metadata!", ADDRESS(INDEX($J$2:$J$1001,MATCH(ROWS($H$2:H551),$H$2:$H$1001,0),0), INDEX($O$1004:$Q$1004,1,MATCH(COLUMNS($O$1006:O1006),$O$1006:$Q$1006,0)))),"Fix")))</f>
        <v xml:space="preserve"> </v>
      </c>
      <c r="C551" s="3" t="str">
        <f ca="1">IF(OR(INDEX($I$2:$I$1001,MATCH(ROWS($H$2:H551),$H$2:$H$1001,0),1)&gt;=100000,INDEX($O$1005:$Q$1005,1,MATCH(COLUMNS($O$1006:P1006),$O$1006:$Q$1006,0))&gt;=100000), " ",IF(INDEX($O$2:$Q$1001,MATCH(ROWS($H$2:H551),$H$2:$H$1001,0),MATCH(COLUMNS($O$1006:P1006),$O$1006:$Q$1006,0)), HYPERLINK("#",""), HYPERLINK(CONCATENATE("#metadata!", ADDRESS(INDEX($J$2:$J$1001,MATCH(ROWS($H$2:H551),$H$2:$H$1001,0),0), INDEX($O$1004:$Q$1004,1,MATCH(COLUMNS($O$1006:P1006),$O$1006:$Q$1006,0)))),"Fix")))</f>
        <v xml:space="preserve"> </v>
      </c>
      <c r="D551" s="3" t="str">
        <f ca="1">IF(OR(INDEX($I$2:$I$1001,MATCH(ROWS($H$2:H551),$H$2:$H$1001,0),1)&gt;=100000,INDEX($O$1005:$Q$1005,1,MATCH(COLUMNS($O$1006:Q1006),$O$1006:$Q$1006,0))&gt;=100000), " ",IF(INDEX($O$2:$Q$1001,MATCH(ROWS($H$2:H551),$H$2:$H$1001,0),MATCH(COLUMNS($O$1006:Q1006),$O$1006:$Q$1006,0)), HYPERLINK("#",""), HYPERLINK(CONCATENATE("#metadata!", ADDRESS(INDEX($J$2:$J$1001,MATCH(ROWS($H$2:H551),$H$2:$H$1001,0),0), INDEX($O$1004:$Q$1004,1,MATCH(COLUMNS($O$1006:Q1006),$O$1006:$Q$1006,0)))),"Fix")))</f>
        <v xml:space="preserve"> </v>
      </c>
      <c r="H551">
        <v>550</v>
      </c>
      <c r="I551">
        <v>100551</v>
      </c>
      <c r="J551">
        <v>551</v>
      </c>
      <c r="K551" t="b">
        <f t="shared" si="8"/>
        <v>1</v>
      </c>
      <c r="L551" t="b">
        <f>COUNTBLANK(metadata!B551:D551)=COLUMNS(metadata!B551:D551)</f>
        <v>1</v>
      </c>
      <c r="M551" t="str">
        <v/>
      </c>
      <c r="O551" t="b">
        <f ca="1"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P551" t="b">
        <f>AND(IF(metadata!C551="",FALSE,TRUE),EXACT(metadata!C551,"mouse gut metagenome"))</f>
        <v>0</v>
      </c>
      <c r="Q551" t="b">
        <f>AND(IF(metadata!D551="",FALSE,TRUE),EXACT(metadata!D551,"410661"))</f>
        <v>0</v>
      </c>
    </row>
    <row r="552" spans="1:17" x14ac:dyDescent="0.2">
      <c r="A552" s="4" t="str">
        <f ca="1">IF(B552=" "," ",HYPERLINK(CONCATENATE("#metadata!",ADDRESS(INDEX($J$2:$J$1001,MATCH(ROWS($H$2:H552),$H$2:$H$1001,0),0),1)),INDEX($M$2:$M$1001,MATCH(ROWS($H$2:H552),$H$2:$H$1001,0),0)))</f>
        <v xml:space="preserve"> </v>
      </c>
      <c r="B552" s="3" t="str">
        <f ca="1">IF(OR(INDEX($I$2:$I$1001,MATCH(ROWS($H$2:H552),$H$2:$H$1001,0),1)&gt;=100000,INDEX($O$1005:$Q$1005,1,MATCH(COLUMNS($O$1006:O1006),$O$1006:$Q$1006,0))&gt;=100000), " ",IF(INDEX($O$2:$Q$1001,MATCH(ROWS($H$2:H552),$H$2:$H$1001,0),MATCH(COLUMNS($O$1006:O1006),$O$1006:$Q$1006,0)), HYPERLINK("#",""), HYPERLINK(CONCATENATE("#metadata!", ADDRESS(INDEX($J$2:$J$1001,MATCH(ROWS($H$2:H552),$H$2:$H$1001,0),0), INDEX($O$1004:$Q$1004,1,MATCH(COLUMNS($O$1006:O1006),$O$1006:$Q$1006,0)))),"Fix")))</f>
        <v xml:space="preserve"> </v>
      </c>
      <c r="C552" s="3" t="str">
        <f ca="1">IF(OR(INDEX($I$2:$I$1001,MATCH(ROWS($H$2:H552),$H$2:$H$1001,0),1)&gt;=100000,INDEX($O$1005:$Q$1005,1,MATCH(COLUMNS($O$1006:P1006),$O$1006:$Q$1006,0))&gt;=100000), " ",IF(INDEX($O$2:$Q$1001,MATCH(ROWS($H$2:H552),$H$2:$H$1001,0),MATCH(COLUMNS($O$1006:P1006),$O$1006:$Q$1006,0)), HYPERLINK("#",""), HYPERLINK(CONCATENATE("#metadata!", ADDRESS(INDEX($J$2:$J$1001,MATCH(ROWS($H$2:H552),$H$2:$H$1001,0),0), INDEX($O$1004:$Q$1004,1,MATCH(COLUMNS($O$1006:P1006),$O$1006:$Q$1006,0)))),"Fix")))</f>
        <v xml:space="preserve"> </v>
      </c>
      <c r="D552" s="3" t="str">
        <f ca="1">IF(OR(INDEX($I$2:$I$1001,MATCH(ROWS($H$2:H552),$H$2:$H$1001,0),1)&gt;=100000,INDEX($O$1005:$Q$1005,1,MATCH(COLUMNS($O$1006:Q1006),$O$1006:$Q$1006,0))&gt;=100000), " ",IF(INDEX($O$2:$Q$1001,MATCH(ROWS($H$2:H552),$H$2:$H$1001,0),MATCH(COLUMNS($O$1006:Q1006),$O$1006:$Q$1006,0)), HYPERLINK("#",""), HYPERLINK(CONCATENATE("#metadata!", ADDRESS(INDEX($J$2:$J$1001,MATCH(ROWS($H$2:H552),$H$2:$H$1001,0),0), INDEX($O$1004:$Q$1004,1,MATCH(COLUMNS($O$1006:Q1006),$O$1006:$Q$1006,0)))),"Fix")))</f>
        <v xml:space="preserve"> </v>
      </c>
      <c r="H552">
        <v>551</v>
      </c>
      <c r="I552">
        <v>100552</v>
      </c>
      <c r="J552">
        <v>552</v>
      </c>
      <c r="K552" t="b">
        <f t="shared" si="8"/>
        <v>1</v>
      </c>
      <c r="L552" t="b">
        <f>COUNTBLANK(metadata!B552:D552)=COLUMNS(metadata!B552:D552)</f>
        <v>1</v>
      </c>
      <c r="M552" t="str">
        <v/>
      </c>
      <c r="O552" t="b">
        <f ca="1"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P552" t="b">
        <f>AND(IF(metadata!C552="",FALSE,TRUE),EXACT(metadata!C552,"mouse gut metagenome"))</f>
        <v>0</v>
      </c>
      <c r="Q552" t="b">
        <f>AND(IF(metadata!D552="",FALSE,TRUE),EXACT(metadata!D552,"410661"))</f>
        <v>0</v>
      </c>
    </row>
    <row r="553" spans="1:17" x14ac:dyDescent="0.2">
      <c r="A553" s="4" t="str">
        <f ca="1">IF(B553=" "," ",HYPERLINK(CONCATENATE("#metadata!",ADDRESS(INDEX($J$2:$J$1001,MATCH(ROWS($H$2:H553),$H$2:$H$1001,0),0),1)),INDEX($M$2:$M$1001,MATCH(ROWS($H$2:H553),$H$2:$H$1001,0),0)))</f>
        <v xml:space="preserve"> </v>
      </c>
      <c r="B553" s="3" t="str">
        <f ca="1">IF(OR(INDEX($I$2:$I$1001,MATCH(ROWS($H$2:H553),$H$2:$H$1001,0),1)&gt;=100000,INDEX($O$1005:$Q$1005,1,MATCH(COLUMNS($O$1006:O1006),$O$1006:$Q$1006,0))&gt;=100000), " ",IF(INDEX($O$2:$Q$1001,MATCH(ROWS($H$2:H553),$H$2:$H$1001,0),MATCH(COLUMNS($O$1006:O1006),$O$1006:$Q$1006,0)), HYPERLINK("#",""), HYPERLINK(CONCATENATE("#metadata!", ADDRESS(INDEX($J$2:$J$1001,MATCH(ROWS($H$2:H553),$H$2:$H$1001,0),0), INDEX($O$1004:$Q$1004,1,MATCH(COLUMNS($O$1006:O1006),$O$1006:$Q$1006,0)))),"Fix")))</f>
        <v xml:space="preserve"> </v>
      </c>
      <c r="C553" s="3" t="str">
        <f ca="1">IF(OR(INDEX($I$2:$I$1001,MATCH(ROWS($H$2:H553),$H$2:$H$1001,0),1)&gt;=100000,INDEX($O$1005:$Q$1005,1,MATCH(COLUMNS($O$1006:P1006),$O$1006:$Q$1006,0))&gt;=100000), " ",IF(INDEX($O$2:$Q$1001,MATCH(ROWS($H$2:H553),$H$2:$H$1001,0),MATCH(COLUMNS($O$1006:P1006),$O$1006:$Q$1006,0)), HYPERLINK("#",""), HYPERLINK(CONCATENATE("#metadata!", ADDRESS(INDEX($J$2:$J$1001,MATCH(ROWS($H$2:H553),$H$2:$H$1001,0),0), INDEX($O$1004:$Q$1004,1,MATCH(COLUMNS($O$1006:P1006),$O$1006:$Q$1006,0)))),"Fix")))</f>
        <v xml:space="preserve"> </v>
      </c>
      <c r="D553" s="3" t="str">
        <f ca="1">IF(OR(INDEX($I$2:$I$1001,MATCH(ROWS($H$2:H553),$H$2:$H$1001,0),1)&gt;=100000,INDEX($O$1005:$Q$1005,1,MATCH(COLUMNS($O$1006:Q1006),$O$1006:$Q$1006,0))&gt;=100000), " ",IF(INDEX($O$2:$Q$1001,MATCH(ROWS($H$2:H553),$H$2:$H$1001,0),MATCH(COLUMNS($O$1006:Q1006),$O$1006:$Q$1006,0)), HYPERLINK("#",""), HYPERLINK(CONCATENATE("#metadata!", ADDRESS(INDEX($J$2:$J$1001,MATCH(ROWS($H$2:H553),$H$2:$H$1001,0),0), INDEX($O$1004:$Q$1004,1,MATCH(COLUMNS($O$1006:Q1006),$O$1006:$Q$1006,0)))),"Fix")))</f>
        <v xml:space="preserve"> </v>
      </c>
      <c r="H553">
        <v>552</v>
      </c>
      <c r="I553">
        <v>100553</v>
      </c>
      <c r="J553">
        <v>553</v>
      </c>
      <c r="K553" t="b">
        <f t="shared" si="8"/>
        <v>1</v>
      </c>
      <c r="L553" t="b">
        <f>COUNTBLANK(metadata!B553:D553)=COLUMNS(metadata!B553:D553)</f>
        <v>1</v>
      </c>
      <c r="M553" t="str">
        <v/>
      </c>
      <c r="O553" t="b">
        <f ca="1"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P553" t="b">
        <f>AND(IF(metadata!C553="",FALSE,TRUE),EXACT(metadata!C553,"mouse gut metagenome"))</f>
        <v>0</v>
      </c>
      <c r="Q553" t="b">
        <f>AND(IF(metadata!D553="",FALSE,TRUE),EXACT(metadata!D553,"410661"))</f>
        <v>0</v>
      </c>
    </row>
    <row r="554" spans="1:17" x14ac:dyDescent="0.2">
      <c r="A554" s="4" t="str">
        <f ca="1">IF(B554=" "," ",HYPERLINK(CONCATENATE("#metadata!",ADDRESS(INDEX($J$2:$J$1001,MATCH(ROWS($H$2:H554),$H$2:$H$1001,0),0),1)),INDEX($M$2:$M$1001,MATCH(ROWS($H$2:H554),$H$2:$H$1001,0),0)))</f>
        <v xml:space="preserve"> </v>
      </c>
      <c r="B554" s="3" t="str">
        <f ca="1">IF(OR(INDEX($I$2:$I$1001,MATCH(ROWS($H$2:H554),$H$2:$H$1001,0),1)&gt;=100000,INDEX($O$1005:$Q$1005,1,MATCH(COLUMNS($O$1006:O1006),$O$1006:$Q$1006,0))&gt;=100000), " ",IF(INDEX($O$2:$Q$1001,MATCH(ROWS($H$2:H554),$H$2:$H$1001,0),MATCH(COLUMNS($O$1006:O1006),$O$1006:$Q$1006,0)), HYPERLINK("#",""), HYPERLINK(CONCATENATE("#metadata!", ADDRESS(INDEX($J$2:$J$1001,MATCH(ROWS($H$2:H554),$H$2:$H$1001,0),0), INDEX($O$1004:$Q$1004,1,MATCH(COLUMNS($O$1006:O1006),$O$1006:$Q$1006,0)))),"Fix")))</f>
        <v xml:space="preserve"> </v>
      </c>
      <c r="C554" s="3" t="str">
        <f ca="1">IF(OR(INDEX($I$2:$I$1001,MATCH(ROWS($H$2:H554),$H$2:$H$1001,0),1)&gt;=100000,INDEX($O$1005:$Q$1005,1,MATCH(COLUMNS($O$1006:P1006),$O$1006:$Q$1006,0))&gt;=100000), " ",IF(INDEX($O$2:$Q$1001,MATCH(ROWS($H$2:H554),$H$2:$H$1001,0),MATCH(COLUMNS($O$1006:P1006),$O$1006:$Q$1006,0)), HYPERLINK("#",""), HYPERLINK(CONCATENATE("#metadata!", ADDRESS(INDEX($J$2:$J$1001,MATCH(ROWS($H$2:H554),$H$2:$H$1001,0),0), INDEX($O$1004:$Q$1004,1,MATCH(COLUMNS($O$1006:P1006),$O$1006:$Q$1006,0)))),"Fix")))</f>
        <v xml:space="preserve"> </v>
      </c>
      <c r="D554" s="3" t="str">
        <f ca="1">IF(OR(INDEX($I$2:$I$1001,MATCH(ROWS($H$2:H554),$H$2:$H$1001,0),1)&gt;=100000,INDEX($O$1005:$Q$1005,1,MATCH(COLUMNS($O$1006:Q1006),$O$1006:$Q$1006,0))&gt;=100000), " ",IF(INDEX($O$2:$Q$1001,MATCH(ROWS($H$2:H554),$H$2:$H$1001,0),MATCH(COLUMNS($O$1006:Q1006),$O$1006:$Q$1006,0)), HYPERLINK("#",""), HYPERLINK(CONCATENATE("#metadata!", ADDRESS(INDEX($J$2:$J$1001,MATCH(ROWS($H$2:H554),$H$2:$H$1001,0),0), INDEX($O$1004:$Q$1004,1,MATCH(COLUMNS($O$1006:Q1006),$O$1006:$Q$1006,0)))),"Fix")))</f>
        <v xml:space="preserve"> </v>
      </c>
      <c r="H554">
        <v>553</v>
      </c>
      <c r="I554">
        <v>100554</v>
      </c>
      <c r="J554">
        <v>554</v>
      </c>
      <c r="K554" t="b">
        <f t="shared" si="8"/>
        <v>1</v>
      </c>
      <c r="L554" t="b">
        <f>COUNTBLANK(metadata!B554:D554)=COLUMNS(metadata!B554:D554)</f>
        <v>1</v>
      </c>
      <c r="M554" t="str">
        <v/>
      </c>
      <c r="O554" t="b">
        <f ca="1"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P554" t="b">
        <f>AND(IF(metadata!C554="",FALSE,TRUE),EXACT(metadata!C554,"mouse gut metagenome"))</f>
        <v>0</v>
      </c>
      <c r="Q554" t="b">
        <f>AND(IF(metadata!D554="",FALSE,TRUE),EXACT(metadata!D554,"410661"))</f>
        <v>0</v>
      </c>
    </row>
    <row r="555" spans="1:17" x14ac:dyDescent="0.2">
      <c r="A555" s="4" t="str">
        <f ca="1">IF(B555=" "," ",HYPERLINK(CONCATENATE("#metadata!",ADDRESS(INDEX($J$2:$J$1001,MATCH(ROWS($H$2:H555),$H$2:$H$1001,0),0),1)),INDEX($M$2:$M$1001,MATCH(ROWS($H$2:H555),$H$2:$H$1001,0),0)))</f>
        <v xml:space="preserve"> </v>
      </c>
      <c r="B555" s="3" t="str">
        <f ca="1">IF(OR(INDEX($I$2:$I$1001,MATCH(ROWS($H$2:H555),$H$2:$H$1001,0),1)&gt;=100000,INDEX($O$1005:$Q$1005,1,MATCH(COLUMNS($O$1006:O1006),$O$1006:$Q$1006,0))&gt;=100000), " ",IF(INDEX($O$2:$Q$1001,MATCH(ROWS($H$2:H555),$H$2:$H$1001,0),MATCH(COLUMNS($O$1006:O1006),$O$1006:$Q$1006,0)), HYPERLINK("#",""), HYPERLINK(CONCATENATE("#metadata!", ADDRESS(INDEX($J$2:$J$1001,MATCH(ROWS($H$2:H555),$H$2:$H$1001,0),0), INDEX($O$1004:$Q$1004,1,MATCH(COLUMNS($O$1006:O1006),$O$1006:$Q$1006,0)))),"Fix")))</f>
        <v xml:space="preserve"> </v>
      </c>
      <c r="C555" s="3" t="str">
        <f ca="1">IF(OR(INDEX($I$2:$I$1001,MATCH(ROWS($H$2:H555),$H$2:$H$1001,0),1)&gt;=100000,INDEX($O$1005:$Q$1005,1,MATCH(COLUMNS($O$1006:P1006),$O$1006:$Q$1006,0))&gt;=100000), " ",IF(INDEX($O$2:$Q$1001,MATCH(ROWS($H$2:H555),$H$2:$H$1001,0),MATCH(COLUMNS($O$1006:P1006),$O$1006:$Q$1006,0)), HYPERLINK("#",""), HYPERLINK(CONCATENATE("#metadata!", ADDRESS(INDEX($J$2:$J$1001,MATCH(ROWS($H$2:H555),$H$2:$H$1001,0),0), INDEX($O$1004:$Q$1004,1,MATCH(COLUMNS($O$1006:P1006),$O$1006:$Q$1006,0)))),"Fix")))</f>
        <v xml:space="preserve"> </v>
      </c>
      <c r="D555" s="3" t="str">
        <f ca="1">IF(OR(INDEX($I$2:$I$1001,MATCH(ROWS($H$2:H555),$H$2:$H$1001,0),1)&gt;=100000,INDEX($O$1005:$Q$1005,1,MATCH(COLUMNS($O$1006:Q1006),$O$1006:$Q$1006,0))&gt;=100000), " ",IF(INDEX($O$2:$Q$1001,MATCH(ROWS($H$2:H555),$H$2:$H$1001,0),MATCH(COLUMNS($O$1006:Q1006),$O$1006:$Q$1006,0)), HYPERLINK("#",""), HYPERLINK(CONCATENATE("#metadata!", ADDRESS(INDEX($J$2:$J$1001,MATCH(ROWS($H$2:H555),$H$2:$H$1001,0),0), INDEX($O$1004:$Q$1004,1,MATCH(COLUMNS($O$1006:Q1006),$O$1006:$Q$1006,0)))),"Fix")))</f>
        <v xml:space="preserve"> </v>
      </c>
      <c r="H555">
        <v>554</v>
      </c>
      <c r="I555">
        <v>100555</v>
      </c>
      <c r="J555">
        <v>555</v>
      </c>
      <c r="K555" t="b">
        <f t="shared" si="8"/>
        <v>1</v>
      </c>
      <c r="L555" t="b">
        <f>COUNTBLANK(metadata!B555:D555)=COLUMNS(metadata!B555:D555)</f>
        <v>1</v>
      </c>
      <c r="M555" t="str">
        <v/>
      </c>
      <c r="O555" t="b">
        <f ca="1"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P555" t="b">
        <f>AND(IF(metadata!C555="",FALSE,TRUE),EXACT(metadata!C555,"mouse gut metagenome"))</f>
        <v>0</v>
      </c>
      <c r="Q555" t="b">
        <f>AND(IF(metadata!D555="",FALSE,TRUE),EXACT(metadata!D555,"410661"))</f>
        <v>0</v>
      </c>
    </row>
    <row r="556" spans="1:17" x14ac:dyDescent="0.2">
      <c r="A556" s="4" t="str">
        <f ca="1">IF(B556=" "," ",HYPERLINK(CONCATENATE("#metadata!",ADDRESS(INDEX($J$2:$J$1001,MATCH(ROWS($H$2:H556),$H$2:$H$1001,0),0),1)),INDEX($M$2:$M$1001,MATCH(ROWS($H$2:H556),$H$2:$H$1001,0),0)))</f>
        <v xml:space="preserve"> </v>
      </c>
      <c r="B556" s="3" t="str">
        <f ca="1">IF(OR(INDEX($I$2:$I$1001,MATCH(ROWS($H$2:H556),$H$2:$H$1001,0),1)&gt;=100000,INDEX($O$1005:$Q$1005,1,MATCH(COLUMNS($O$1006:O1006),$O$1006:$Q$1006,0))&gt;=100000), " ",IF(INDEX($O$2:$Q$1001,MATCH(ROWS($H$2:H556),$H$2:$H$1001,0),MATCH(COLUMNS($O$1006:O1006),$O$1006:$Q$1006,0)), HYPERLINK("#",""), HYPERLINK(CONCATENATE("#metadata!", ADDRESS(INDEX($J$2:$J$1001,MATCH(ROWS($H$2:H556),$H$2:$H$1001,0),0), INDEX($O$1004:$Q$1004,1,MATCH(COLUMNS($O$1006:O1006),$O$1006:$Q$1006,0)))),"Fix")))</f>
        <v xml:space="preserve"> </v>
      </c>
      <c r="C556" s="3" t="str">
        <f ca="1">IF(OR(INDEX($I$2:$I$1001,MATCH(ROWS($H$2:H556),$H$2:$H$1001,0),1)&gt;=100000,INDEX($O$1005:$Q$1005,1,MATCH(COLUMNS($O$1006:P1006),$O$1006:$Q$1006,0))&gt;=100000), " ",IF(INDEX($O$2:$Q$1001,MATCH(ROWS($H$2:H556),$H$2:$H$1001,0),MATCH(COLUMNS($O$1006:P1006),$O$1006:$Q$1006,0)), HYPERLINK("#",""), HYPERLINK(CONCATENATE("#metadata!", ADDRESS(INDEX($J$2:$J$1001,MATCH(ROWS($H$2:H556),$H$2:$H$1001,0),0), INDEX($O$1004:$Q$1004,1,MATCH(COLUMNS($O$1006:P1006),$O$1006:$Q$1006,0)))),"Fix")))</f>
        <v xml:space="preserve"> </v>
      </c>
      <c r="D556" s="3" t="str">
        <f ca="1">IF(OR(INDEX($I$2:$I$1001,MATCH(ROWS($H$2:H556),$H$2:$H$1001,0),1)&gt;=100000,INDEX($O$1005:$Q$1005,1,MATCH(COLUMNS($O$1006:Q1006),$O$1006:$Q$1006,0))&gt;=100000), " ",IF(INDEX($O$2:$Q$1001,MATCH(ROWS($H$2:H556),$H$2:$H$1001,0),MATCH(COLUMNS($O$1006:Q1006),$O$1006:$Q$1006,0)), HYPERLINK("#",""), HYPERLINK(CONCATENATE("#metadata!", ADDRESS(INDEX($J$2:$J$1001,MATCH(ROWS($H$2:H556),$H$2:$H$1001,0),0), INDEX($O$1004:$Q$1004,1,MATCH(COLUMNS($O$1006:Q1006),$O$1006:$Q$1006,0)))),"Fix")))</f>
        <v xml:space="preserve"> </v>
      </c>
      <c r="H556">
        <v>555</v>
      </c>
      <c r="I556">
        <v>100556</v>
      </c>
      <c r="J556">
        <v>556</v>
      </c>
      <c r="K556" t="b">
        <f t="shared" si="8"/>
        <v>1</v>
      </c>
      <c r="L556" t="b">
        <f>COUNTBLANK(metadata!B556:D556)=COLUMNS(metadata!B556:D556)</f>
        <v>1</v>
      </c>
      <c r="M556" t="str">
        <v/>
      </c>
      <c r="O556" t="b">
        <f ca="1"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P556" t="b">
        <f>AND(IF(metadata!C556="",FALSE,TRUE),EXACT(metadata!C556,"mouse gut metagenome"))</f>
        <v>0</v>
      </c>
      <c r="Q556" t="b">
        <f>AND(IF(metadata!D556="",FALSE,TRUE),EXACT(metadata!D556,"410661"))</f>
        <v>0</v>
      </c>
    </row>
    <row r="557" spans="1:17" x14ac:dyDescent="0.2">
      <c r="A557" s="4" t="str">
        <f ca="1">IF(B557=" "," ",HYPERLINK(CONCATENATE("#metadata!",ADDRESS(INDEX($J$2:$J$1001,MATCH(ROWS($H$2:H557),$H$2:$H$1001,0),0),1)),INDEX($M$2:$M$1001,MATCH(ROWS($H$2:H557),$H$2:$H$1001,0),0)))</f>
        <v xml:space="preserve"> </v>
      </c>
      <c r="B557" s="3" t="str">
        <f ca="1">IF(OR(INDEX($I$2:$I$1001,MATCH(ROWS($H$2:H557),$H$2:$H$1001,0),1)&gt;=100000,INDEX($O$1005:$Q$1005,1,MATCH(COLUMNS($O$1006:O1006),$O$1006:$Q$1006,0))&gt;=100000), " ",IF(INDEX($O$2:$Q$1001,MATCH(ROWS($H$2:H557),$H$2:$H$1001,0),MATCH(COLUMNS($O$1006:O1006),$O$1006:$Q$1006,0)), HYPERLINK("#",""), HYPERLINK(CONCATENATE("#metadata!", ADDRESS(INDEX($J$2:$J$1001,MATCH(ROWS($H$2:H557),$H$2:$H$1001,0),0), INDEX($O$1004:$Q$1004,1,MATCH(COLUMNS($O$1006:O1006),$O$1006:$Q$1006,0)))),"Fix")))</f>
        <v xml:space="preserve"> </v>
      </c>
      <c r="C557" s="3" t="str">
        <f ca="1">IF(OR(INDEX($I$2:$I$1001,MATCH(ROWS($H$2:H557),$H$2:$H$1001,0),1)&gt;=100000,INDEX($O$1005:$Q$1005,1,MATCH(COLUMNS($O$1006:P1006),$O$1006:$Q$1006,0))&gt;=100000), " ",IF(INDEX($O$2:$Q$1001,MATCH(ROWS($H$2:H557),$H$2:$H$1001,0),MATCH(COLUMNS($O$1006:P1006),$O$1006:$Q$1006,0)), HYPERLINK("#",""), HYPERLINK(CONCATENATE("#metadata!", ADDRESS(INDEX($J$2:$J$1001,MATCH(ROWS($H$2:H557),$H$2:$H$1001,0),0), INDEX($O$1004:$Q$1004,1,MATCH(COLUMNS($O$1006:P1006),$O$1006:$Q$1006,0)))),"Fix")))</f>
        <v xml:space="preserve"> </v>
      </c>
      <c r="D557" s="3" t="str">
        <f ca="1">IF(OR(INDEX($I$2:$I$1001,MATCH(ROWS($H$2:H557),$H$2:$H$1001,0),1)&gt;=100000,INDEX($O$1005:$Q$1005,1,MATCH(COLUMNS($O$1006:Q1006),$O$1006:$Q$1006,0))&gt;=100000), " ",IF(INDEX($O$2:$Q$1001,MATCH(ROWS($H$2:H557),$H$2:$H$1001,0),MATCH(COLUMNS($O$1006:Q1006),$O$1006:$Q$1006,0)), HYPERLINK("#",""), HYPERLINK(CONCATENATE("#metadata!", ADDRESS(INDEX($J$2:$J$1001,MATCH(ROWS($H$2:H557),$H$2:$H$1001,0),0), INDEX($O$1004:$Q$1004,1,MATCH(COLUMNS($O$1006:Q1006),$O$1006:$Q$1006,0)))),"Fix")))</f>
        <v xml:space="preserve"> </v>
      </c>
      <c r="H557">
        <v>556</v>
      </c>
      <c r="I557">
        <v>100557</v>
      </c>
      <c r="J557">
        <v>557</v>
      </c>
      <c r="K557" t="b">
        <f t="shared" si="8"/>
        <v>1</v>
      </c>
      <c r="L557" t="b">
        <f>COUNTBLANK(metadata!B557:D557)=COLUMNS(metadata!B557:D557)</f>
        <v>1</v>
      </c>
      <c r="M557" t="str">
        <v/>
      </c>
      <c r="O557" t="b">
        <f ca="1"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P557" t="b">
        <f>AND(IF(metadata!C557="",FALSE,TRUE),EXACT(metadata!C557,"mouse gut metagenome"))</f>
        <v>0</v>
      </c>
      <c r="Q557" t="b">
        <f>AND(IF(metadata!D557="",FALSE,TRUE),EXACT(metadata!D557,"410661"))</f>
        <v>0</v>
      </c>
    </row>
    <row r="558" spans="1:17" x14ac:dyDescent="0.2">
      <c r="A558" s="4" t="str">
        <f ca="1">IF(B558=" "," ",HYPERLINK(CONCATENATE("#metadata!",ADDRESS(INDEX($J$2:$J$1001,MATCH(ROWS($H$2:H558),$H$2:$H$1001,0),0),1)),INDEX($M$2:$M$1001,MATCH(ROWS($H$2:H558),$H$2:$H$1001,0),0)))</f>
        <v xml:space="preserve"> </v>
      </c>
      <c r="B558" s="3" t="str">
        <f ca="1">IF(OR(INDEX($I$2:$I$1001,MATCH(ROWS($H$2:H558),$H$2:$H$1001,0),1)&gt;=100000,INDEX($O$1005:$Q$1005,1,MATCH(COLUMNS($O$1006:O1006),$O$1006:$Q$1006,0))&gt;=100000), " ",IF(INDEX($O$2:$Q$1001,MATCH(ROWS($H$2:H558),$H$2:$H$1001,0),MATCH(COLUMNS($O$1006:O1006),$O$1006:$Q$1006,0)), HYPERLINK("#",""), HYPERLINK(CONCATENATE("#metadata!", ADDRESS(INDEX($J$2:$J$1001,MATCH(ROWS($H$2:H558),$H$2:$H$1001,0),0), INDEX($O$1004:$Q$1004,1,MATCH(COLUMNS($O$1006:O1006),$O$1006:$Q$1006,0)))),"Fix")))</f>
        <v xml:space="preserve"> </v>
      </c>
      <c r="C558" s="3" t="str">
        <f ca="1">IF(OR(INDEX($I$2:$I$1001,MATCH(ROWS($H$2:H558),$H$2:$H$1001,0),1)&gt;=100000,INDEX($O$1005:$Q$1005,1,MATCH(COLUMNS($O$1006:P1006),$O$1006:$Q$1006,0))&gt;=100000), " ",IF(INDEX($O$2:$Q$1001,MATCH(ROWS($H$2:H558),$H$2:$H$1001,0),MATCH(COLUMNS($O$1006:P1006),$O$1006:$Q$1006,0)), HYPERLINK("#",""), HYPERLINK(CONCATENATE("#metadata!", ADDRESS(INDEX($J$2:$J$1001,MATCH(ROWS($H$2:H558),$H$2:$H$1001,0),0), INDEX($O$1004:$Q$1004,1,MATCH(COLUMNS($O$1006:P1006),$O$1006:$Q$1006,0)))),"Fix")))</f>
        <v xml:space="preserve"> </v>
      </c>
      <c r="D558" s="3" t="str">
        <f ca="1">IF(OR(INDEX($I$2:$I$1001,MATCH(ROWS($H$2:H558),$H$2:$H$1001,0),1)&gt;=100000,INDEX($O$1005:$Q$1005,1,MATCH(COLUMNS($O$1006:Q1006),$O$1006:$Q$1006,0))&gt;=100000), " ",IF(INDEX($O$2:$Q$1001,MATCH(ROWS($H$2:H558),$H$2:$H$1001,0),MATCH(COLUMNS($O$1006:Q1006),$O$1006:$Q$1006,0)), HYPERLINK("#",""), HYPERLINK(CONCATENATE("#metadata!", ADDRESS(INDEX($J$2:$J$1001,MATCH(ROWS($H$2:H558),$H$2:$H$1001,0),0), INDEX($O$1004:$Q$1004,1,MATCH(COLUMNS($O$1006:Q1006),$O$1006:$Q$1006,0)))),"Fix")))</f>
        <v xml:space="preserve"> </v>
      </c>
      <c r="H558">
        <v>557</v>
      </c>
      <c r="I558">
        <v>100558</v>
      </c>
      <c r="J558">
        <v>558</v>
      </c>
      <c r="K558" t="b">
        <f t="shared" si="8"/>
        <v>1</v>
      </c>
      <c r="L558" t="b">
        <f>COUNTBLANK(metadata!B558:D558)=COLUMNS(metadata!B558:D558)</f>
        <v>1</v>
      </c>
      <c r="M558" t="str">
        <v/>
      </c>
      <c r="O558" t="b">
        <f ca="1"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P558" t="b">
        <f>AND(IF(metadata!C558="",FALSE,TRUE),EXACT(metadata!C558,"mouse gut metagenome"))</f>
        <v>0</v>
      </c>
      <c r="Q558" t="b">
        <f>AND(IF(metadata!D558="",FALSE,TRUE),EXACT(metadata!D558,"410661"))</f>
        <v>0</v>
      </c>
    </row>
    <row r="559" spans="1:17" x14ac:dyDescent="0.2">
      <c r="A559" s="4" t="str">
        <f ca="1">IF(B559=" "," ",HYPERLINK(CONCATENATE("#metadata!",ADDRESS(INDEX($J$2:$J$1001,MATCH(ROWS($H$2:H559),$H$2:$H$1001,0),0),1)),INDEX($M$2:$M$1001,MATCH(ROWS($H$2:H559),$H$2:$H$1001,0),0)))</f>
        <v xml:space="preserve"> </v>
      </c>
      <c r="B559" s="3" t="str">
        <f ca="1">IF(OR(INDEX($I$2:$I$1001,MATCH(ROWS($H$2:H559),$H$2:$H$1001,0),1)&gt;=100000,INDEX($O$1005:$Q$1005,1,MATCH(COLUMNS($O$1006:O1006),$O$1006:$Q$1006,0))&gt;=100000), " ",IF(INDEX($O$2:$Q$1001,MATCH(ROWS($H$2:H559),$H$2:$H$1001,0),MATCH(COLUMNS($O$1006:O1006),$O$1006:$Q$1006,0)), HYPERLINK("#",""), HYPERLINK(CONCATENATE("#metadata!", ADDRESS(INDEX($J$2:$J$1001,MATCH(ROWS($H$2:H559),$H$2:$H$1001,0),0), INDEX($O$1004:$Q$1004,1,MATCH(COLUMNS($O$1006:O1006),$O$1006:$Q$1006,0)))),"Fix")))</f>
        <v xml:space="preserve"> </v>
      </c>
      <c r="C559" s="3" t="str">
        <f ca="1">IF(OR(INDEX($I$2:$I$1001,MATCH(ROWS($H$2:H559),$H$2:$H$1001,0),1)&gt;=100000,INDEX($O$1005:$Q$1005,1,MATCH(COLUMNS($O$1006:P1006),$O$1006:$Q$1006,0))&gt;=100000), " ",IF(INDEX($O$2:$Q$1001,MATCH(ROWS($H$2:H559),$H$2:$H$1001,0),MATCH(COLUMNS($O$1006:P1006),$O$1006:$Q$1006,0)), HYPERLINK("#",""), HYPERLINK(CONCATENATE("#metadata!", ADDRESS(INDEX($J$2:$J$1001,MATCH(ROWS($H$2:H559),$H$2:$H$1001,0),0), INDEX($O$1004:$Q$1004,1,MATCH(COLUMNS($O$1006:P1006),$O$1006:$Q$1006,0)))),"Fix")))</f>
        <v xml:space="preserve"> </v>
      </c>
      <c r="D559" s="3" t="str">
        <f ca="1">IF(OR(INDEX($I$2:$I$1001,MATCH(ROWS($H$2:H559),$H$2:$H$1001,0),1)&gt;=100000,INDEX($O$1005:$Q$1005,1,MATCH(COLUMNS($O$1006:Q1006),$O$1006:$Q$1006,0))&gt;=100000), " ",IF(INDEX($O$2:$Q$1001,MATCH(ROWS($H$2:H559),$H$2:$H$1001,0),MATCH(COLUMNS($O$1006:Q1006),$O$1006:$Q$1006,0)), HYPERLINK("#",""), HYPERLINK(CONCATENATE("#metadata!", ADDRESS(INDEX($J$2:$J$1001,MATCH(ROWS($H$2:H559),$H$2:$H$1001,0),0), INDEX($O$1004:$Q$1004,1,MATCH(COLUMNS($O$1006:Q1006),$O$1006:$Q$1006,0)))),"Fix")))</f>
        <v xml:space="preserve"> </v>
      </c>
      <c r="H559">
        <v>558</v>
      </c>
      <c r="I559">
        <v>100559</v>
      </c>
      <c r="J559">
        <v>559</v>
      </c>
      <c r="K559" t="b">
        <f t="shared" si="8"/>
        <v>1</v>
      </c>
      <c r="L559" t="b">
        <f>COUNTBLANK(metadata!B559:D559)=COLUMNS(metadata!B559:D559)</f>
        <v>1</v>
      </c>
      <c r="M559" t="str">
        <v/>
      </c>
      <c r="O559" t="b">
        <f ca="1"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P559" t="b">
        <f>AND(IF(metadata!C559="",FALSE,TRUE),EXACT(metadata!C559,"mouse gut metagenome"))</f>
        <v>0</v>
      </c>
      <c r="Q559" t="b">
        <f>AND(IF(metadata!D559="",FALSE,TRUE),EXACT(metadata!D559,"410661"))</f>
        <v>0</v>
      </c>
    </row>
    <row r="560" spans="1:17" x14ac:dyDescent="0.2">
      <c r="A560" s="4" t="str">
        <f ca="1">IF(B560=" "," ",HYPERLINK(CONCATENATE("#metadata!",ADDRESS(INDEX($J$2:$J$1001,MATCH(ROWS($H$2:H560),$H$2:$H$1001,0),0),1)),INDEX($M$2:$M$1001,MATCH(ROWS($H$2:H560),$H$2:$H$1001,0),0)))</f>
        <v xml:space="preserve"> </v>
      </c>
      <c r="B560" s="3" t="str">
        <f ca="1">IF(OR(INDEX($I$2:$I$1001,MATCH(ROWS($H$2:H560),$H$2:$H$1001,0),1)&gt;=100000,INDEX($O$1005:$Q$1005,1,MATCH(COLUMNS($O$1006:O1006),$O$1006:$Q$1006,0))&gt;=100000), " ",IF(INDEX($O$2:$Q$1001,MATCH(ROWS($H$2:H560),$H$2:$H$1001,0),MATCH(COLUMNS($O$1006:O1006),$O$1006:$Q$1006,0)), HYPERLINK("#",""), HYPERLINK(CONCATENATE("#metadata!", ADDRESS(INDEX($J$2:$J$1001,MATCH(ROWS($H$2:H560),$H$2:$H$1001,0),0), INDEX($O$1004:$Q$1004,1,MATCH(COLUMNS($O$1006:O1006),$O$1006:$Q$1006,0)))),"Fix")))</f>
        <v xml:space="preserve"> </v>
      </c>
      <c r="C560" s="3" t="str">
        <f ca="1">IF(OR(INDEX($I$2:$I$1001,MATCH(ROWS($H$2:H560),$H$2:$H$1001,0),1)&gt;=100000,INDEX($O$1005:$Q$1005,1,MATCH(COLUMNS($O$1006:P1006),$O$1006:$Q$1006,0))&gt;=100000), " ",IF(INDEX($O$2:$Q$1001,MATCH(ROWS($H$2:H560),$H$2:$H$1001,0),MATCH(COLUMNS($O$1006:P1006),$O$1006:$Q$1006,0)), HYPERLINK("#",""), HYPERLINK(CONCATENATE("#metadata!", ADDRESS(INDEX($J$2:$J$1001,MATCH(ROWS($H$2:H560),$H$2:$H$1001,0),0), INDEX($O$1004:$Q$1004,1,MATCH(COLUMNS($O$1006:P1006),$O$1006:$Q$1006,0)))),"Fix")))</f>
        <v xml:space="preserve"> </v>
      </c>
      <c r="D560" s="3" t="str">
        <f ca="1">IF(OR(INDEX($I$2:$I$1001,MATCH(ROWS($H$2:H560),$H$2:$H$1001,0),1)&gt;=100000,INDEX($O$1005:$Q$1005,1,MATCH(COLUMNS($O$1006:Q1006),$O$1006:$Q$1006,0))&gt;=100000), " ",IF(INDEX($O$2:$Q$1001,MATCH(ROWS($H$2:H560),$H$2:$H$1001,0),MATCH(COLUMNS($O$1006:Q1006),$O$1006:$Q$1006,0)), HYPERLINK("#",""), HYPERLINK(CONCATENATE("#metadata!", ADDRESS(INDEX($J$2:$J$1001,MATCH(ROWS($H$2:H560),$H$2:$H$1001,0),0), INDEX($O$1004:$Q$1004,1,MATCH(COLUMNS($O$1006:Q1006),$O$1006:$Q$1006,0)))),"Fix")))</f>
        <v xml:space="preserve"> </v>
      </c>
      <c r="H560">
        <v>559</v>
      </c>
      <c r="I560">
        <v>100560</v>
      </c>
      <c r="J560">
        <v>560</v>
      </c>
      <c r="K560" t="b">
        <f t="shared" si="8"/>
        <v>1</v>
      </c>
      <c r="L560" t="b">
        <f>COUNTBLANK(metadata!B560:D560)=COLUMNS(metadata!B560:D560)</f>
        <v>1</v>
      </c>
      <c r="M560" t="str">
        <v/>
      </c>
      <c r="O560" t="b">
        <f ca="1"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P560" t="b">
        <f>AND(IF(metadata!C560="",FALSE,TRUE),EXACT(metadata!C560,"mouse gut metagenome"))</f>
        <v>0</v>
      </c>
      <c r="Q560" t="b">
        <f>AND(IF(metadata!D560="",FALSE,TRUE),EXACT(metadata!D560,"410661"))</f>
        <v>0</v>
      </c>
    </row>
    <row r="561" spans="1:17" x14ac:dyDescent="0.2">
      <c r="A561" s="4" t="str">
        <f ca="1">IF(B561=" "," ",HYPERLINK(CONCATENATE("#metadata!",ADDRESS(INDEX($J$2:$J$1001,MATCH(ROWS($H$2:H561),$H$2:$H$1001,0),0),1)),INDEX($M$2:$M$1001,MATCH(ROWS($H$2:H561),$H$2:$H$1001,0),0)))</f>
        <v xml:space="preserve"> </v>
      </c>
      <c r="B561" s="3" t="str">
        <f ca="1">IF(OR(INDEX($I$2:$I$1001,MATCH(ROWS($H$2:H561),$H$2:$H$1001,0),1)&gt;=100000,INDEX($O$1005:$Q$1005,1,MATCH(COLUMNS($O$1006:O1006),$O$1006:$Q$1006,0))&gt;=100000), " ",IF(INDEX($O$2:$Q$1001,MATCH(ROWS($H$2:H561),$H$2:$H$1001,0),MATCH(COLUMNS($O$1006:O1006),$O$1006:$Q$1006,0)), HYPERLINK("#",""), HYPERLINK(CONCATENATE("#metadata!", ADDRESS(INDEX($J$2:$J$1001,MATCH(ROWS($H$2:H561),$H$2:$H$1001,0),0), INDEX($O$1004:$Q$1004,1,MATCH(COLUMNS($O$1006:O1006),$O$1006:$Q$1006,0)))),"Fix")))</f>
        <v xml:space="preserve"> </v>
      </c>
      <c r="C561" s="3" t="str">
        <f ca="1">IF(OR(INDEX($I$2:$I$1001,MATCH(ROWS($H$2:H561),$H$2:$H$1001,0),1)&gt;=100000,INDEX($O$1005:$Q$1005,1,MATCH(COLUMNS($O$1006:P1006),$O$1006:$Q$1006,0))&gt;=100000), " ",IF(INDEX($O$2:$Q$1001,MATCH(ROWS($H$2:H561),$H$2:$H$1001,0),MATCH(COLUMNS($O$1006:P1006),$O$1006:$Q$1006,0)), HYPERLINK("#",""), HYPERLINK(CONCATENATE("#metadata!", ADDRESS(INDEX($J$2:$J$1001,MATCH(ROWS($H$2:H561),$H$2:$H$1001,0),0), INDEX($O$1004:$Q$1004,1,MATCH(COLUMNS($O$1006:P1006),$O$1006:$Q$1006,0)))),"Fix")))</f>
        <v xml:space="preserve"> </v>
      </c>
      <c r="D561" s="3" t="str">
        <f ca="1">IF(OR(INDEX($I$2:$I$1001,MATCH(ROWS($H$2:H561),$H$2:$H$1001,0),1)&gt;=100000,INDEX($O$1005:$Q$1005,1,MATCH(COLUMNS($O$1006:Q1006),$O$1006:$Q$1006,0))&gt;=100000), " ",IF(INDEX($O$2:$Q$1001,MATCH(ROWS($H$2:H561),$H$2:$H$1001,0),MATCH(COLUMNS($O$1006:Q1006),$O$1006:$Q$1006,0)), HYPERLINK("#",""), HYPERLINK(CONCATENATE("#metadata!", ADDRESS(INDEX($J$2:$J$1001,MATCH(ROWS($H$2:H561),$H$2:$H$1001,0),0), INDEX($O$1004:$Q$1004,1,MATCH(COLUMNS($O$1006:Q1006),$O$1006:$Q$1006,0)))),"Fix")))</f>
        <v xml:space="preserve"> </v>
      </c>
      <c r="H561">
        <v>560</v>
      </c>
      <c r="I561">
        <v>100561</v>
      </c>
      <c r="J561">
        <v>561</v>
      </c>
      <c r="K561" t="b">
        <f t="shared" si="8"/>
        <v>1</v>
      </c>
      <c r="L561" t="b">
        <f>COUNTBLANK(metadata!B561:D561)=COLUMNS(metadata!B561:D561)</f>
        <v>1</v>
      </c>
      <c r="M561" t="str">
        <v/>
      </c>
      <c r="O561" t="b">
        <f ca="1"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P561" t="b">
        <f>AND(IF(metadata!C561="",FALSE,TRUE),EXACT(metadata!C561,"mouse gut metagenome"))</f>
        <v>0</v>
      </c>
      <c r="Q561" t="b">
        <f>AND(IF(metadata!D561="",FALSE,TRUE),EXACT(metadata!D561,"410661"))</f>
        <v>0</v>
      </c>
    </row>
    <row r="562" spans="1:17" x14ac:dyDescent="0.2">
      <c r="A562" s="4" t="str">
        <f ca="1">IF(B562=" "," ",HYPERLINK(CONCATENATE("#metadata!",ADDRESS(INDEX($J$2:$J$1001,MATCH(ROWS($H$2:H562),$H$2:$H$1001,0),0),1)),INDEX($M$2:$M$1001,MATCH(ROWS($H$2:H562),$H$2:$H$1001,0),0)))</f>
        <v xml:space="preserve"> </v>
      </c>
      <c r="B562" s="3" t="str">
        <f ca="1">IF(OR(INDEX($I$2:$I$1001,MATCH(ROWS($H$2:H562),$H$2:$H$1001,0),1)&gt;=100000,INDEX($O$1005:$Q$1005,1,MATCH(COLUMNS($O$1006:O1006),$O$1006:$Q$1006,0))&gt;=100000), " ",IF(INDEX($O$2:$Q$1001,MATCH(ROWS($H$2:H562),$H$2:$H$1001,0),MATCH(COLUMNS($O$1006:O1006),$O$1006:$Q$1006,0)), HYPERLINK("#",""), HYPERLINK(CONCATENATE("#metadata!", ADDRESS(INDEX($J$2:$J$1001,MATCH(ROWS($H$2:H562),$H$2:$H$1001,0),0), INDEX($O$1004:$Q$1004,1,MATCH(COLUMNS($O$1006:O1006),$O$1006:$Q$1006,0)))),"Fix")))</f>
        <v xml:space="preserve"> </v>
      </c>
      <c r="C562" s="3" t="str">
        <f ca="1">IF(OR(INDEX($I$2:$I$1001,MATCH(ROWS($H$2:H562),$H$2:$H$1001,0),1)&gt;=100000,INDEX($O$1005:$Q$1005,1,MATCH(COLUMNS($O$1006:P1006),$O$1006:$Q$1006,0))&gt;=100000), " ",IF(INDEX($O$2:$Q$1001,MATCH(ROWS($H$2:H562),$H$2:$H$1001,0),MATCH(COLUMNS($O$1006:P1006),$O$1006:$Q$1006,0)), HYPERLINK("#",""), HYPERLINK(CONCATENATE("#metadata!", ADDRESS(INDEX($J$2:$J$1001,MATCH(ROWS($H$2:H562),$H$2:$H$1001,0),0), INDEX($O$1004:$Q$1004,1,MATCH(COLUMNS($O$1006:P1006),$O$1006:$Q$1006,0)))),"Fix")))</f>
        <v xml:space="preserve"> </v>
      </c>
      <c r="D562" s="3" t="str">
        <f ca="1">IF(OR(INDEX($I$2:$I$1001,MATCH(ROWS($H$2:H562),$H$2:$H$1001,0),1)&gt;=100000,INDEX($O$1005:$Q$1005,1,MATCH(COLUMNS($O$1006:Q1006),$O$1006:$Q$1006,0))&gt;=100000), " ",IF(INDEX($O$2:$Q$1001,MATCH(ROWS($H$2:H562),$H$2:$H$1001,0),MATCH(COLUMNS($O$1006:Q1006),$O$1006:$Q$1006,0)), HYPERLINK("#",""), HYPERLINK(CONCATENATE("#metadata!", ADDRESS(INDEX($J$2:$J$1001,MATCH(ROWS($H$2:H562),$H$2:$H$1001,0),0), INDEX($O$1004:$Q$1004,1,MATCH(COLUMNS($O$1006:Q1006),$O$1006:$Q$1006,0)))),"Fix")))</f>
        <v xml:space="preserve"> </v>
      </c>
      <c r="H562">
        <v>561</v>
      </c>
      <c r="I562">
        <v>100562</v>
      </c>
      <c r="J562">
        <v>562</v>
      </c>
      <c r="K562" t="b">
        <f t="shared" si="8"/>
        <v>1</v>
      </c>
      <c r="L562" t="b">
        <f>COUNTBLANK(metadata!B562:D562)=COLUMNS(metadata!B562:D562)</f>
        <v>1</v>
      </c>
      <c r="M562" t="str">
        <v/>
      </c>
      <c r="O562" t="b">
        <f ca="1"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P562" t="b">
        <f>AND(IF(metadata!C562="",FALSE,TRUE),EXACT(metadata!C562,"mouse gut metagenome"))</f>
        <v>0</v>
      </c>
      <c r="Q562" t="b">
        <f>AND(IF(metadata!D562="",FALSE,TRUE),EXACT(metadata!D562,"410661"))</f>
        <v>0</v>
      </c>
    </row>
    <row r="563" spans="1:17" x14ac:dyDescent="0.2">
      <c r="A563" s="4" t="str">
        <f ca="1">IF(B563=" "," ",HYPERLINK(CONCATENATE("#metadata!",ADDRESS(INDEX($J$2:$J$1001,MATCH(ROWS($H$2:H563),$H$2:$H$1001,0),0),1)),INDEX($M$2:$M$1001,MATCH(ROWS($H$2:H563),$H$2:$H$1001,0),0)))</f>
        <v xml:space="preserve"> </v>
      </c>
      <c r="B563" s="3" t="str">
        <f ca="1">IF(OR(INDEX($I$2:$I$1001,MATCH(ROWS($H$2:H563),$H$2:$H$1001,0),1)&gt;=100000,INDEX($O$1005:$Q$1005,1,MATCH(COLUMNS($O$1006:O1006),$O$1006:$Q$1006,0))&gt;=100000), " ",IF(INDEX($O$2:$Q$1001,MATCH(ROWS($H$2:H563),$H$2:$H$1001,0),MATCH(COLUMNS($O$1006:O1006),$O$1006:$Q$1006,0)), HYPERLINK("#",""), HYPERLINK(CONCATENATE("#metadata!", ADDRESS(INDEX($J$2:$J$1001,MATCH(ROWS($H$2:H563),$H$2:$H$1001,0),0), INDEX($O$1004:$Q$1004,1,MATCH(COLUMNS($O$1006:O1006),$O$1006:$Q$1006,0)))),"Fix")))</f>
        <v xml:space="preserve"> </v>
      </c>
      <c r="C563" s="3" t="str">
        <f ca="1">IF(OR(INDEX($I$2:$I$1001,MATCH(ROWS($H$2:H563),$H$2:$H$1001,0),1)&gt;=100000,INDEX($O$1005:$Q$1005,1,MATCH(COLUMNS($O$1006:P1006),$O$1006:$Q$1006,0))&gt;=100000), " ",IF(INDEX($O$2:$Q$1001,MATCH(ROWS($H$2:H563),$H$2:$H$1001,0),MATCH(COLUMNS($O$1006:P1006),$O$1006:$Q$1006,0)), HYPERLINK("#",""), HYPERLINK(CONCATENATE("#metadata!", ADDRESS(INDEX($J$2:$J$1001,MATCH(ROWS($H$2:H563),$H$2:$H$1001,0),0), INDEX($O$1004:$Q$1004,1,MATCH(COLUMNS($O$1006:P1006),$O$1006:$Q$1006,0)))),"Fix")))</f>
        <v xml:space="preserve"> </v>
      </c>
      <c r="D563" s="3" t="str">
        <f ca="1">IF(OR(INDEX($I$2:$I$1001,MATCH(ROWS($H$2:H563),$H$2:$H$1001,0),1)&gt;=100000,INDEX($O$1005:$Q$1005,1,MATCH(COLUMNS($O$1006:Q1006),$O$1006:$Q$1006,0))&gt;=100000), " ",IF(INDEX($O$2:$Q$1001,MATCH(ROWS($H$2:H563),$H$2:$H$1001,0),MATCH(COLUMNS($O$1006:Q1006),$O$1006:$Q$1006,0)), HYPERLINK("#",""), HYPERLINK(CONCATENATE("#metadata!", ADDRESS(INDEX($J$2:$J$1001,MATCH(ROWS($H$2:H563),$H$2:$H$1001,0),0), INDEX($O$1004:$Q$1004,1,MATCH(COLUMNS($O$1006:Q1006),$O$1006:$Q$1006,0)))),"Fix")))</f>
        <v xml:space="preserve"> </v>
      </c>
      <c r="H563">
        <v>562</v>
      </c>
      <c r="I563">
        <v>100563</v>
      </c>
      <c r="J563">
        <v>563</v>
      </c>
      <c r="K563" t="b">
        <f t="shared" si="8"/>
        <v>1</v>
      </c>
      <c r="L563" t="b">
        <f>COUNTBLANK(metadata!B563:D563)=COLUMNS(metadata!B563:D563)</f>
        <v>1</v>
      </c>
      <c r="M563" t="str">
        <v/>
      </c>
      <c r="O563" t="b">
        <f ca="1"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P563" t="b">
        <f>AND(IF(metadata!C563="",FALSE,TRUE),EXACT(metadata!C563,"mouse gut metagenome"))</f>
        <v>0</v>
      </c>
      <c r="Q563" t="b">
        <f>AND(IF(metadata!D563="",FALSE,TRUE),EXACT(metadata!D563,"410661"))</f>
        <v>0</v>
      </c>
    </row>
    <row r="564" spans="1:17" x14ac:dyDescent="0.2">
      <c r="A564" s="4" t="str">
        <f ca="1">IF(B564=" "," ",HYPERLINK(CONCATENATE("#metadata!",ADDRESS(INDEX($J$2:$J$1001,MATCH(ROWS($H$2:H564),$H$2:$H$1001,0),0),1)),INDEX($M$2:$M$1001,MATCH(ROWS($H$2:H564),$H$2:$H$1001,0),0)))</f>
        <v xml:space="preserve"> </v>
      </c>
      <c r="B564" s="3" t="str">
        <f ca="1">IF(OR(INDEX($I$2:$I$1001,MATCH(ROWS($H$2:H564),$H$2:$H$1001,0),1)&gt;=100000,INDEX($O$1005:$Q$1005,1,MATCH(COLUMNS($O$1006:O1006),$O$1006:$Q$1006,0))&gt;=100000), " ",IF(INDEX($O$2:$Q$1001,MATCH(ROWS($H$2:H564),$H$2:$H$1001,0),MATCH(COLUMNS($O$1006:O1006),$O$1006:$Q$1006,0)), HYPERLINK("#",""), HYPERLINK(CONCATENATE("#metadata!", ADDRESS(INDEX($J$2:$J$1001,MATCH(ROWS($H$2:H564),$H$2:$H$1001,0),0), INDEX($O$1004:$Q$1004,1,MATCH(COLUMNS($O$1006:O1006),$O$1006:$Q$1006,0)))),"Fix")))</f>
        <v xml:space="preserve"> </v>
      </c>
      <c r="C564" s="3" t="str">
        <f ca="1">IF(OR(INDEX($I$2:$I$1001,MATCH(ROWS($H$2:H564),$H$2:$H$1001,0),1)&gt;=100000,INDEX($O$1005:$Q$1005,1,MATCH(COLUMNS($O$1006:P1006),$O$1006:$Q$1006,0))&gt;=100000), " ",IF(INDEX($O$2:$Q$1001,MATCH(ROWS($H$2:H564),$H$2:$H$1001,0),MATCH(COLUMNS($O$1006:P1006),$O$1006:$Q$1006,0)), HYPERLINK("#",""), HYPERLINK(CONCATENATE("#metadata!", ADDRESS(INDEX($J$2:$J$1001,MATCH(ROWS($H$2:H564),$H$2:$H$1001,0),0), INDEX($O$1004:$Q$1004,1,MATCH(COLUMNS($O$1006:P1006),$O$1006:$Q$1006,0)))),"Fix")))</f>
        <v xml:space="preserve"> </v>
      </c>
      <c r="D564" s="3" t="str">
        <f ca="1">IF(OR(INDEX($I$2:$I$1001,MATCH(ROWS($H$2:H564),$H$2:$H$1001,0),1)&gt;=100000,INDEX($O$1005:$Q$1005,1,MATCH(COLUMNS($O$1006:Q1006),$O$1006:$Q$1006,0))&gt;=100000), " ",IF(INDEX($O$2:$Q$1001,MATCH(ROWS($H$2:H564),$H$2:$H$1001,0),MATCH(COLUMNS($O$1006:Q1006),$O$1006:$Q$1006,0)), HYPERLINK("#",""), HYPERLINK(CONCATENATE("#metadata!", ADDRESS(INDEX($J$2:$J$1001,MATCH(ROWS($H$2:H564),$H$2:$H$1001,0),0), INDEX($O$1004:$Q$1004,1,MATCH(COLUMNS($O$1006:Q1006),$O$1006:$Q$1006,0)))),"Fix")))</f>
        <v xml:space="preserve"> </v>
      </c>
      <c r="H564">
        <v>563</v>
      </c>
      <c r="I564">
        <v>100564</v>
      </c>
      <c r="J564">
        <v>564</v>
      </c>
      <c r="K564" t="b">
        <f t="shared" si="8"/>
        <v>1</v>
      </c>
      <c r="L564" t="b">
        <f>COUNTBLANK(metadata!B564:D564)=COLUMNS(metadata!B564:D564)</f>
        <v>1</v>
      </c>
      <c r="M564" t="str">
        <v/>
      </c>
      <c r="O564" t="b">
        <f ca="1"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P564" t="b">
        <f>AND(IF(metadata!C564="",FALSE,TRUE),EXACT(metadata!C564,"mouse gut metagenome"))</f>
        <v>0</v>
      </c>
      <c r="Q564" t="b">
        <f>AND(IF(metadata!D564="",FALSE,TRUE),EXACT(metadata!D564,"410661"))</f>
        <v>0</v>
      </c>
    </row>
    <row r="565" spans="1:17" x14ac:dyDescent="0.2">
      <c r="A565" s="4" t="str">
        <f ca="1">IF(B565=" "," ",HYPERLINK(CONCATENATE("#metadata!",ADDRESS(INDEX($J$2:$J$1001,MATCH(ROWS($H$2:H565),$H$2:$H$1001,0),0),1)),INDEX($M$2:$M$1001,MATCH(ROWS($H$2:H565),$H$2:$H$1001,0),0)))</f>
        <v xml:space="preserve"> </v>
      </c>
      <c r="B565" s="3" t="str">
        <f ca="1">IF(OR(INDEX($I$2:$I$1001,MATCH(ROWS($H$2:H565),$H$2:$H$1001,0),1)&gt;=100000,INDEX($O$1005:$Q$1005,1,MATCH(COLUMNS($O$1006:O1006),$O$1006:$Q$1006,0))&gt;=100000), " ",IF(INDEX($O$2:$Q$1001,MATCH(ROWS($H$2:H565),$H$2:$H$1001,0),MATCH(COLUMNS($O$1006:O1006),$O$1006:$Q$1006,0)), HYPERLINK("#",""), HYPERLINK(CONCATENATE("#metadata!", ADDRESS(INDEX($J$2:$J$1001,MATCH(ROWS($H$2:H565),$H$2:$H$1001,0),0), INDEX($O$1004:$Q$1004,1,MATCH(COLUMNS($O$1006:O1006),$O$1006:$Q$1006,0)))),"Fix")))</f>
        <v xml:space="preserve"> </v>
      </c>
      <c r="C565" s="3" t="str">
        <f ca="1">IF(OR(INDEX($I$2:$I$1001,MATCH(ROWS($H$2:H565),$H$2:$H$1001,0),1)&gt;=100000,INDEX($O$1005:$Q$1005,1,MATCH(COLUMNS($O$1006:P1006),$O$1006:$Q$1006,0))&gt;=100000), " ",IF(INDEX($O$2:$Q$1001,MATCH(ROWS($H$2:H565),$H$2:$H$1001,0),MATCH(COLUMNS($O$1006:P1006),$O$1006:$Q$1006,0)), HYPERLINK("#",""), HYPERLINK(CONCATENATE("#metadata!", ADDRESS(INDEX($J$2:$J$1001,MATCH(ROWS($H$2:H565),$H$2:$H$1001,0),0), INDEX($O$1004:$Q$1004,1,MATCH(COLUMNS($O$1006:P1006),$O$1006:$Q$1006,0)))),"Fix")))</f>
        <v xml:space="preserve"> </v>
      </c>
      <c r="D565" s="3" t="str">
        <f ca="1">IF(OR(INDEX($I$2:$I$1001,MATCH(ROWS($H$2:H565),$H$2:$H$1001,0),1)&gt;=100000,INDEX($O$1005:$Q$1005,1,MATCH(COLUMNS($O$1006:Q1006),$O$1006:$Q$1006,0))&gt;=100000), " ",IF(INDEX($O$2:$Q$1001,MATCH(ROWS($H$2:H565),$H$2:$H$1001,0),MATCH(COLUMNS($O$1006:Q1006),$O$1006:$Q$1006,0)), HYPERLINK("#",""), HYPERLINK(CONCATENATE("#metadata!", ADDRESS(INDEX($J$2:$J$1001,MATCH(ROWS($H$2:H565),$H$2:$H$1001,0),0), INDEX($O$1004:$Q$1004,1,MATCH(COLUMNS($O$1006:Q1006),$O$1006:$Q$1006,0)))),"Fix")))</f>
        <v xml:space="preserve"> </v>
      </c>
      <c r="H565">
        <v>564</v>
      </c>
      <c r="I565">
        <v>100565</v>
      </c>
      <c r="J565">
        <v>565</v>
      </c>
      <c r="K565" t="b">
        <f t="shared" si="8"/>
        <v>1</v>
      </c>
      <c r="L565" t="b">
        <f>COUNTBLANK(metadata!B565:D565)=COLUMNS(metadata!B565:D565)</f>
        <v>1</v>
      </c>
      <c r="M565" t="str">
        <v/>
      </c>
      <c r="O565" t="b">
        <f ca="1"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P565" t="b">
        <f>AND(IF(metadata!C565="",FALSE,TRUE),EXACT(metadata!C565,"mouse gut metagenome"))</f>
        <v>0</v>
      </c>
      <c r="Q565" t="b">
        <f>AND(IF(metadata!D565="",FALSE,TRUE),EXACT(metadata!D565,"410661"))</f>
        <v>0</v>
      </c>
    </row>
    <row r="566" spans="1:17" x14ac:dyDescent="0.2">
      <c r="A566" s="4" t="str">
        <f ca="1">IF(B566=" "," ",HYPERLINK(CONCATENATE("#metadata!",ADDRESS(INDEX($J$2:$J$1001,MATCH(ROWS($H$2:H566),$H$2:$H$1001,0),0),1)),INDEX($M$2:$M$1001,MATCH(ROWS($H$2:H566),$H$2:$H$1001,0),0)))</f>
        <v xml:space="preserve"> </v>
      </c>
      <c r="B566" s="3" t="str">
        <f ca="1">IF(OR(INDEX($I$2:$I$1001,MATCH(ROWS($H$2:H566),$H$2:$H$1001,0),1)&gt;=100000,INDEX($O$1005:$Q$1005,1,MATCH(COLUMNS($O$1006:O1006),$O$1006:$Q$1006,0))&gt;=100000), " ",IF(INDEX($O$2:$Q$1001,MATCH(ROWS($H$2:H566),$H$2:$H$1001,0),MATCH(COLUMNS($O$1006:O1006),$O$1006:$Q$1006,0)), HYPERLINK("#",""), HYPERLINK(CONCATENATE("#metadata!", ADDRESS(INDEX($J$2:$J$1001,MATCH(ROWS($H$2:H566),$H$2:$H$1001,0),0), INDEX($O$1004:$Q$1004,1,MATCH(COLUMNS($O$1006:O1006),$O$1006:$Q$1006,0)))),"Fix")))</f>
        <v xml:space="preserve"> </v>
      </c>
      <c r="C566" s="3" t="str">
        <f ca="1">IF(OR(INDEX($I$2:$I$1001,MATCH(ROWS($H$2:H566),$H$2:$H$1001,0),1)&gt;=100000,INDEX($O$1005:$Q$1005,1,MATCH(COLUMNS($O$1006:P1006),$O$1006:$Q$1006,0))&gt;=100000), " ",IF(INDEX($O$2:$Q$1001,MATCH(ROWS($H$2:H566),$H$2:$H$1001,0),MATCH(COLUMNS($O$1006:P1006),$O$1006:$Q$1006,0)), HYPERLINK("#",""), HYPERLINK(CONCATENATE("#metadata!", ADDRESS(INDEX($J$2:$J$1001,MATCH(ROWS($H$2:H566),$H$2:$H$1001,0),0), INDEX($O$1004:$Q$1004,1,MATCH(COLUMNS($O$1006:P1006),$O$1006:$Q$1006,0)))),"Fix")))</f>
        <v xml:space="preserve"> </v>
      </c>
      <c r="D566" s="3" t="str">
        <f ca="1">IF(OR(INDEX($I$2:$I$1001,MATCH(ROWS($H$2:H566),$H$2:$H$1001,0),1)&gt;=100000,INDEX($O$1005:$Q$1005,1,MATCH(COLUMNS($O$1006:Q1006),$O$1006:$Q$1006,0))&gt;=100000), " ",IF(INDEX($O$2:$Q$1001,MATCH(ROWS($H$2:H566),$H$2:$H$1001,0),MATCH(COLUMNS($O$1006:Q1006),$O$1006:$Q$1006,0)), HYPERLINK("#",""), HYPERLINK(CONCATENATE("#metadata!", ADDRESS(INDEX($J$2:$J$1001,MATCH(ROWS($H$2:H566),$H$2:$H$1001,0),0), INDEX($O$1004:$Q$1004,1,MATCH(COLUMNS($O$1006:Q1006),$O$1006:$Q$1006,0)))),"Fix")))</f>
        <v xml:space="preserve"> </v>
      </c>
      <c r="H566">
        <v>565</v>
      </c>
      <c r="I566">
        <v>100566</v>
      </c>
      <c r="J566">
        <v>566</v>
      </c>
      <c r="K566" t="b">
        <f t="shared" si="8"/>
        <v>1</v>
      </c>
      <c r="L566" t="b">
        <f>COUNTBLANK(metadata!B566:D566)=COLUMNS(metadata!B566:D566)</f>
        <v>1</v>
      </c>
      <c r="M566" t="str">
        <v/>
      </c>
      <c r="O566" t="b">
        <f ca="1"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P566" t="b">
        <f>AND(IF(metadata!C566="",FALSE,TRUE),EXACT(metadata!C566,"mouse gut metagenome"))</f>
        <v>0</v>
      </c>
      <c r="Q566" t="b">
        <f>AND(IF(metadata!D566="",FALSE,TRUE),EXACT(metadata!D566,"410661"))</f>
        <v>0</v>
      </c>
    </row>
    <row r="567" spans="1:17" x14ac:dyDescent="0.2">
      <c r="A567" s="4" t="str">
        <f ca="1">IF(B567=" "," ",HYPERLINK(CONCATENATE("#metadata!",ADDRESS(INDEX($J$2:$J$1001,MATCH(ROWS($H$2:H567),$H$2:$H$1001,0),0),1)),INDEX($M$2:$M$1001,MATCH(ROWS($H$2:H567),$H$2:$H$1001,0),0)))</f>
        <v xml:space="preserve"> </v>
      </c>
      <c r="B567" s="3" t="str">
        <f ca="1">IF(OR(INDEX($I$2:$I$1001,MATCH(ROWS($H$2:H567),$H$2:$H$1001,0),1)&gt;=100000,INDEX($O$1005:$Q$1005,1,MATCH(COLUMNS($O$1006:O1006),$O$1006:$Q$1006,0))&gt;=100000), " ",IF(INDEX($O$2:$Q$1001,MATCH(ROWS($H$2:H567),$H$2:$H$1001,0),MATCH(COLUMNS($O$1006:O1006),$O$1006:$Q$1006,0)), HYPERLINK("#",""), HYPERLINK(CONCATENATE("#metadata!", ADDRESS(INDEX($J$2:$J$1001,MATCH(ROWS($H$2:H567),$H$2:$H$1001,0),0), INDEX($O$1004:$Q$1004,1,MATCH(COLUMNS($O$1006:O1006),$O$1006:$Q$1006,0)))),"Fix")))</f>
        <v xml:space="preserve"> </v>
      </c>
      <c r="C567" s="3" t="str">
        <f ca="1">IF(OR(INDEX($I$2:$I$1001,MATCH(ROWS($H$2:H567),$H$2:$H$1001,0),1)&gt;=100000,INDEX($O$1005:$Q$1005,1,MATCH(COLUMNS($O$1006:P1006),$O$1006:$Q$1006,0))&gt;=100000), " ",IF(INDEX($O$2:$Q$1001,MATCH(ROWS($H$2:H567),$H$2:$H$1001,0),MATCH(COLUMNS($O$1006:P1006),$O$1006:$Q$1006,0)), HYPERLINK("#",""), HYPERLINK(CONCATENATE("#metadata!", ADDRESS(INDEX($J$2:$J$1001,MATCH(ROWS($H$2:H567),$H$2:$H$1001,0),0), INDEX($O$1004:$Q$1004,1,MATCH(COLUMNS($O$1006:P1006),$O$1006:$Q$1006,0)))),"Fix")))</f>
        <v xml:space="preserve"> </v>
      </c>
      <c r="D567" s="3" t="str">
        <f ca="1">IF(OR(INDEX($I$2:$I$1001,MATCH(ROWS($H$2:H567),$H$2:$H$1001,0),1)&gt;=100000,INDEX($O$1005:$Q$1005,1,MATCH(COLUMNS($O$1006:Q1006),$O$1006:$Q$1006,0))&gt;=100000), " ",IF(INDEX($O$2:$Q$1001,MATCH(ROWS($H$2:H567),$H$2:$H$1001,0),MATCH(COLUMNS($O$1006:Q1006),$O$1006:$Q$1006,0)), HYPERLINK("#",""), HYPERLINK(CONCATENATE("#metadata!", ADDRESS(INDEX($J$2:$J$1001,MATCH(ROWS($H$2:H567),$H$2:$H$1001,0),0), INDEX($O$1004:$Q$1004,1,MATCH(COLUMNS($O$1006:Q1006),$O$1006:$Q$1006,0)))),"Fix")))</f>
        <v xml:space="preserve"> </v>
      </c>
      <c r="H567">
        <v>566</v>
      </c>
      <c r="I567">
        <v>100567</v>
      </c>
      <c r="J567">
        <v>567</v>
      </c>
      <c r="K567" t="b">
        <f t="shared" si="8"/>
        <v>1</v>
      </c>
      <c r="L567" t="b">
        <f>COUNTBLANK(metadata!B567:D567)=COLUMNS(metadata!B567:D567)</f>
        <v>1</v>
      </c>
      <c r="M567" t="str">
        <v/>
      </c>
      <c r="O567" t="b">
        <f ca="1"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P567" t="b">
        <f>AND(IF(metadata!C567="",FALSE,TRUE),EXACT(metadata!C567,"mouse gut metagenome"))</f>
        <v>0</v>
      </c>
      <c r="Q567" t="b">
        <f>AND(IF(metadata!D567="",FALSE,TRUE),EXACT(metadata!D567,"410661"))</f>
        <v>0</v>
      </c>
    </row>
    <row r="568" spans="1:17" x14ac:dyDescent="0.2">
      <c r="A568" s="4" t="str">
        <f ca="1">IF(B568=" "," ",HYPERLINK(CONCATENATE("#metadata!",ADDRESS(INDEX($J$2:$J$1001,MATCH(ROWS($H$2:H568),$H$2:$H$1001,0),0),1)),INDEX($M$2:$M$1001,MATCH(ROWS($H$2:H568),$H$2:$H$1001,0),0)))</f>
        <v xml:space="preserve"> </v>
      </c>
      <c r="B568" s="3" t="str">
        <f ca="1">IF(OR(INDEX($I$2:$I$1001,MATCH(ROWS($H$2:H568),$H$2:$H$1001,0),1)&gt;=100000,INDEX($O$1005:$Q$1005,1,MATCH(COLUMNS($O$1006:O1006),$O$1006:$Q$1006,0))&gt;=100000), " ",IF(INDEX($O$2:$Q$1001,MATCH(ROWS($H$2:H568),$H$2:$H$1001,0),MATCH(COLUMNS($O$1006:O1006),$O$1006:$Q$1006,0)), HYPERLINK("#",""), HYPERLINK(CONCATENATE("#metadata!", ADDRESS(INDEX($J$2:$J$1001,MATCH(ROWS($H$2:H568),$H$2:$H$1001,0),0), INDEX($O$1004:$Q$1004,1,MATCH(COLUMNS($O$1006:O1006),$O$1006:$Q$1006,0)))),"Fix")))</f>
        <v xml:space="preserve"> </v>
      </c>
      <c r="C568" s="3" t="str">
        <f ca="1">IF(OR(INDEX($I$2:$I$1001,MATCH(ROWS($H$2:H568),$H$2:$H$1001,0),1)&gt;=100000,INDEX($O$1005:$Q$1005,1,MATCH(COLUMNS($O$1006:P1006),$O$1006:$Q$1006,0))&gt;=100000), " ",IF(INDEX($O$2:$Q$1001,MATCH(ROWS($H$2:H568),$H$2:$H$1001,0),MATCH(COLUMNS($O$1006:P1006),$O$1006:$Q$1006,0)), HYPERLINK("#",""), HYPERLINK(CONCATENATE("#metadata!", ADDRESS(INDEX($J$2:$J$1001,MATCH(ROWS($H$2:H568),$H$2:$H$1001,0),0), INDEX($O$1004:$Q$1004,1,MATCH(COLUMNS($O$1006:P1006),$O$1006:$Q$1006,0)))),"Fix")))</f>
        <v xml:space="preserve"> </v>
      </c>
      <c r="D568" s="3" t="str">
        <f ca="1">IF(OR(INDEX($I$2:$I$1001,MATCH(ROWS($H$2:H568),$H$2:$H$1001,0),1)&gt;=100000,INDEX($O$1005:$Q$1005,1,MATCH(COLUMNS($O$1006:Q1006),$O$1006:$Q$1006,0))&gt;=100000), " ",IF(INDEX($O$2:$Q$1001,MATCH(ROWS($H$2:H568),$H$2:$H$1001,0),MATCH(COLUMNS($O$1006:Q1006),$O$1006:$Q$1006,0)), HYPERLINK("#",""), HYPERLINK(CONCATENATE("#metadata!", ADDRESS(INDEX($J$2:$J$1001,MATCH(ROWS($H$2:H568),$H$2:$H$1001,0),0), INDEX($O$1004:$Q$1004,1,MATCH(COLUMNS($O$1006:Q1006),$O$1006:$Q$1006,0)))),"Fix")))</f>
        <v xml:space="preserve"> </v>
      </c>
      <c r="H568">
        <v>567</v>
      </c>
      <c r="I568">
        <v>100568</v>
      </c>
      <c r="J568">
        <v>568</v>
      </c>
      <c r="K568" t="b">
        <f t="shared" si="8"/>
        <v>1</v>
      </c>
      <c r="L568" t="b">
        <f>COUNTBLANK(metadata!B568:D568)=COLUMNS(metadata!B568:D568)</f>
        <v>1</v>
      </c>
      <c r="M568" t="str">
        <v/>
      </c>
      <c r="O568" t="b">
        <f ca="1"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P568" t="b">
        <f>AND(IF(metadata!C568="",FALSE,TRUE),EXACT(metadata!C568,"mouse gut metagenome"))</f>
        <v>0</v>
      </c>
      <c r="Q568" t="b">
        <f>AND(IF(metadata!D568="",FALSE,TRUE),EXACT(metadata!D568,"410661"))</f>
        <v>0</v>
      </c>
    </row>
    <row r="569" spans="1:17" x14ac:dyDescent="0.2">
      <c r="A569" s="4" t="str">
        <f ca="1">IF(B569=" "," ",HYPERLINK(CONCATENATE("#metadata!",ADDRESS(INDEX($J$2:$J$1001,MATCH(ROWS($H$2:H569),$H$2:$H$1001,0),0),1)),INDEX($M$2:$M$1001,MATCH(ROWS($H$2:H569),$H$2:$H$1001,0),0)))</f>
        <v xml:space="preserve"> </v>
      </c>
      <c r="B569" s="3" t="str">
        <f ca="1">IF(OR(INDEX($I$2:$I$1001,MATCH(ROWS($H$2:H569),$H$2:$H$1001,0),1)&gt;=100000,INDEX($O$1005:$Q$1005,1,MATCH(COLUMNS($O$1006:O1006),$O$1006:$Q$1006,0))&gt;=100000), " ",IF(INDEX($O$2:$Q$1001,MATCH(ROWS($H$2:H569),$H$2:$H$1001,0),MATCH(COLUMNS($O$1006:O1006),$O$1006:$Q$1006,0)), HYPERLINK("#",""), HYPERLINK(CONCATENATE("#metadata!", ADDRESS(INDEX($J$2:$J$1001,MATCH(ROWS($H$2:H569),$H$2:$H$1001,0),0), INDEX($O$1004:$Q$1004,1,MATCH(COLUMNS($O$1006:O1006),$O$1006:$Q$1006,0)))),"Fix")))</f>
        <v xml:space="preserve"> </v>
      </c>
      <c r="C569" s="3" t="str">
        <f ca="1">IF(OR(INDEX($I$2:$I$1001,MATCH(ROWS($H$2:H569),$H$2:$H$1001,0),1)&gt;=100000,INDEX($O$1005:$Q$1005,1,MATCH(COLUMNS($O$1006:P1006),$O$1006:$Q$1006,0))&gt;=100000), " ",IF(INDEX($O$2:$Q$1001,MATCH(ROWS($H$2:H569),$H$2:$H$1001,0),MATCH(COLUMNS($O$1006:P1006),$O$1006:$Q$1006,0)), HYPERLINK("#",""), HYPERLINK(CONCATENATE("#metadata!", ADDRESS(INDEX($J$2:$J$1001,MATCH(ROWS($H$2:H569),$H$2:$H$1001,0),0), INDEX($O$1004:$Q$1004,1,MATCH(COLUMNS($O$1006:P1006),$O$1006:$Q$1006,0)))),"Fix")))</f>
        <v xml:space="preserve"> </v>
      </c>
      <c r="D569" s="3" t="str">
        <f ca="1">IF(OR(INDEX($I$2:$I$1001,MATCH(ROWS($H$2:H569),$H$2:$H$1001,0),1)&gt;=100000,INDEX($O$1005:$Q$1005,1,MATCH(COLUMNS($O$1006:Q1006),$O$1006:$Q$1006,0))&gt;=100000), " ",IF(INDEX($O$2:$Q$1001,MATCH(ROWS($H$2:H569),$H$2:$H$1001,0),MATCH(COLUMNS($O$1006:Q1006),$O$1006:$Q$1006,0)), HYPERLINK("#",""), HYPERLINK(CONCATENATE("#metadata!", ADDRESS(INDEX($J$2:$J$1001,MATCH(ROWS($H$2:H569),$H$2:$H$1001,0),0), INDEX($O$1004:$Q$1004,1,MATCH(COLUMNS($O$1006:Q1006),$O$1006:$Q$1006,0)))),"Fix")))</f>
        <v xml:space="preserve"> </v>
      </c>
      <c r="H569">
        <v>568</v>
      </c>
      <c r="I569">
        <v>100569</v>
      </c>
      <c r="J569">
        <v>569</v>
      </c>
      <c r="K569" t="b">
        <f t="shared" si="8"/>
        <v>1</v>
      </c>
      <c r="L569" t="b">
        <f>COUNTBLANK(metadata!B569:D569)=COLUMNS(metadata!B569:D569)</f>
        <v>1</v>
      </c>
      <c r="M569" t="str">
        <v/>
      </c>
      <c r="O569" t="b">
        <f ca="1"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P569" t="b">
        <f>AND(IF(metadata!C569="",FALSE,TRUE),EXACT(metadata!C569,"mouse gut metagenome"))</f>
        <v>0</v>
      </c>
      <c r="Q569" t="b">
        <f>AND(IF(metadata!D569="",FALSE,TRUE),EXACT(metadata!D569,"410661"))</f>
        <v>0</v>
      </c>
    </row>
    <row r="570" spans="1:17" x14ac:dyDescent="0.2">
      <c r="A570" s="4" t="str">
        <f ca="1">IF(B570=" "," ",HYPERLINK(CONCATENATE("#metadata!",ADDRESS(INDEX($J$2:$J$1001,MATCH(ROWS($H$2:H570),$H$2:$H$1001,0),0),1)),INDEX($M$2:$M$1001,MATCH(ROWS($H$2:H570),$H$2:$H$1001,0),0)))</f>
        <v xml:space="preserve"> </v>
      </c>
      <c r="B570" s="3" t="str">
        <f ca="1">IF(OR(INDEX($I$2:$I$1001,MATCH(ROWS($H$2:H570),$H$2:$H$1001,0),1)&gt;=100000,INDEX($O$1005:$Q$1005,1,MATCH(COLUMNS($O$1006:O1006),$O$1006:$Q$1006,0))&gt;=100000), " ",IF(INDEX($O$2:$Q$1001,MATCH(ROWS($H$2:H570),$H$2:$H$1001,0),MATCH(COLUMNS($O$1006:O1006),$O$1006:$Q$1006,0)), HYPERLINK("#",""), HYPERLINK(CONCATENATE("#metadata!", ADDRESS(INDEX($J$2:$J$1001,MATCH(ROWS($H$2:H570),$H$2:$H$1001,0),0), INDEX($O$1004:$Q$1004,1,MATCH(COLUMNS($O$1006:O1006),$O$1006:$Q$1006,0)))),"Fix")))</f>
        <v xml:space="preserve"> </v>
      </c>
      <c r="C570" s="3" t="str">
        <f ca="1">IF(OR(INDEX($I$2:$I$1001,MATCH(ROWS($H$2:H570),$H$2:$H$1001,0),1)&gt;=100000,INDEX($O$1005:$Q$1005,1,MATCH(COLUMNS($O$1006:P1006),$O$1006:$Q$1006,0))&gt;=100000), " ",IF(INDEX($O$2:$Q$1001,MATCH(ROWS($H$2:H570),$H$2:$H$1001,0),MATCH(COLUMNS($O$1006:P1006),$O$1006:$Q$1006,0)), HYPERLINK("#",""), HYPERLINK(CONCATENATE("#metadata!", ADDRESS(INDEX($J$2:$J$1001,MATCH(ROWS($H$2:H570),$H$2:$H$1001,0),0), INDEX($O$1004:$Q$1004,1,MATCH(COLUMNS($O$1006:P1006),$O$1006:$Q$1006,0)))),"Fix")))</f>
        <v xml:space="preserve"> </v>
      </c>
      <c r="D570" s="3" t="str">
        <f ca="1">IF(OR(INDEX($I$2:$I$1001,MATCH(ROWS($H$2:H570),$H$2:$H$1001,0),1)&gt;=100000,INDEX($O$1005:$Q$1005,1,MATCH(COLUMNS($O$1006:Q1006),$O$1006:$Q$1006,0))&gt;=100000), " ",IF(INDEX($O$2:$Q$1001,MATCH(ROWS($H$2:H570),$H$2:$H$1001,0),MATCH(COLUMNS($O$1006:Q1006),$O$1006:$Q$1006,0)), HYPERLINK("#",""), HYPERLINK(CONCATENATE("#metadata!", ADDRESS(INDEX($J$2:$J$1001,MATCH(ROWS($H$2:H570),$H$2:$H$1001,0),0), INDEX($O$1004:$Q$1004,1,MATCH(COLUMNS($O$1006:Q1006),$O$1006:$Q$1006,0)))),"Fix")))</f>
        <v xml:space="preserve"> </v>
      </c>
      <c r="H570">
        <v>569</v>
      </c>
      <c r="I570">
        <v>100570</v>
      </c>
      <c r="J570">
        <v>570</v>
      </c>
      <c r="K570" t="b">
        <f t="shared" si="8"/>
        <v>1</v>
      </c>
      <c r="L570" t="b">
        <f>COUNTBLANK(metadata!B570:D570)=COLUMNS(metadata!B570:D570)</f>
        <v>1</v>
      </c>
      <c r="M570" t="str">
        <v/>
      </c>
      <c r="O570" t="b">
        <f ca="1"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P570" t="b">
        <f>AND(IF(metadata!C570="",FALSE,TRUE),EXACT(metadata!C570,"mouse gut metagenome"))</f>
        <v>0</v>
      </c>
      <c r="Q570" t="b">
        <f>AND(IF(metadata!D570="",FALSE,TRUE),EXACT(metadata!D570,"410661"))</f>
        <v>0</v>
      </c>
    </row>
    <row r="571" spans="1:17" x14ac:dyDescent="0.2">
      <c r="A571" s="4" t="str">
        <f ca="1">IF(B571=" "," ",HYPERLINK(CONCATENATE("#metadata!",ADDRESS(INDEX($J$2:$J$1001,MATCH(ROWS($H$2:H571),$H$2:$H$1001,0),0),1)),INDEX($M$2:$M$1001,MATCH(ROWS($H$2:H571),$H$2:$H$1001,0),0)))</f>
        <v xml:space="preserve"> </v>
      </c>
      <c r="B571" s="3" t="str">
        <f ca="1">IF(OR(INDEX($I$2:$I$1001,MATCH(ROWS($H$2:H571),$H$2:$H$1001,0),1)&gt;=100000,INDEX($O$1005:$Q$1005,1,MATCH(COLUMNS($O$1006:O1006),$O$1006:$Q$1006,0))&gt;=100000), " ",IF(INDEX($O$2:$Q$1001,MATCH(ROWS($H$2:H571),$H$2:$H$1001,0),MATCH(COLUMNS($O$1006:O1006),$O$1006:$Q$1006,0)), HYPERLINK("#",""), HYPERLINK(CONCATENATE("#metadata!", ADDRESS(INDEX($J$2:$J$1001,MATCH(ROWS($H$2:H571),$H$2:$H$1001,0),0), INDEX($O$1004:$Q$1004,1,MATCH(COLUMNS($O$1006:O1006),$O$1006:$Q$1006,0)))),"Fix")))</f>
        <v xml:space="preserve"> </v>
      </c>
      <c r="C571" s="3" t="str">
        <f ca="1">IF(OR(INDEX($I$2:$I$1001,MATCH(ROWS($H$2:H571),$H$2:$H$1001,0),1)&gt;=100000,INDEX($O$1005:$Q$1005,1,MATCH(COLUMNS($O$1006:P1006),$O$1006:$Q$1006,0))&gt;=100000), " ",IF(INDEX($O$2:$Q$1001,MATCH(ROWS($H$2:H571),$H$2:$H$1001,0),MATCH(COLUMNS($O$1006:P1006),$O$1006:$Q$1006,0)), HYPERLINK("#",""), HYPERLINK(CONCATENATE("#metadata!", ADDRESS(INDEX($J$2:$J$1001,MATCH(ROWS($H$2:H571),$H$2:$H$1001,0),0), INDEX($O$1004:$Q$1004,1,MATCH(COLUMNS($O$1006:P1006),$O$1006:$Q$1006,0)))),"Fix")))</f>
        <v xml:space="preserve"> </v>
      </c>
      <c r="D571" s="3" t="str">
        <f ca="1">IF(OR(INDEX($I$2:$I$1001,MATCH(ROWS($H$2:H571),$H$2:$H$1001,0),1)&gt;=100000,INDEX($O$1005:$Q$1005,1,MATCH(COLUMNS($O$1006:Q1006),$O$1006:$Q$1006,0))&gt;=100000), " ",IF(INDEX($O$2:$Q$1001,MATCH(ROWS($H$2:H571),$H$2:$H$1001,0),MATCH(COLUMNS($O$1006:Q1006),$O$1006:$Q$1006,0)), HYPERLINK("#",""), HYPERLINK(CONCATENATE("#metadata!", ADDRESS(INDEX($J$2:$J$1001,MATCH(ROWS($H$2:H571),$H$2:$H$1001,0),0), INDEX($O$1004:$Q$1004,1,MATCH(COLUMNS($O$1006:Q1006),$O$1006:$Q$1006,0)))),"Fix")))</f>
        <v xml:space="preserve"> </v>
      </c>
      <c r="H571">
        <v>570</v>
      </c>
      <c r="I571">
        <v>100571</v>
      </c>
      <c r="J571">
        <v>571</v>
      </c>
      <c r="K571" t="b">
        <f t="shared" si="8"/>
        <v>1</v>
      </c>
      <c r="L571" t="b">
        <f>COUNTBLANK(metadata!B571:D571)=COLUMNS(metadata!B571:D571)</f>
        <v>1</v>
      </c>
      <c r="M571" t="str">
        <v/>
      </c>
      <c r="O571" t="b">
        <f ca="1"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P571" t="b">
        <f>AND(IF(metadata!C571="",FALSE,TRUE),EXACT(metadata!C571,"mouse gut metagenome"))</f>
        <v>0</v>
      </c>
      <c r="Q571" t="b">
        <f>AND(IF(metadata!D571="",FALSE,TRUE),EXACT(metadata!D571,"410661"))</f>
        <v>0</v>
      </c>
    </row>
    <row r="572" spans="1:17" x14ac:dyDescent="0.2">
      <c r="A572" s="4" t="str">
        <f ca="1">IF(B572=" "," ",HYPERLINK(CONCATENATE("#metadata!",ADDRESS(INDEX($J$2:$J$1001,MATCH(ROWS($H$2:H572),$H$2:$H$1001,0),0),1)),INDEX($M$2:$M$1001,MATCH(ROWS($H$2:H572),$H$2:$H$1001,0),0)))</f>
        <v xml:space="preserve"> </v>
      </c>
      <c r="B572" s="3" t="str">
        <f ca="1">IF(OR(INDEX($I$2:$I$1001,MATCH(ROWS($H$2:H572),$H$2:$H$1001,0),1)&gt;=100000,INDEX($O$1005:$Q$1005,1,MATCH(COLUMNS($O$1006:O1006),$O$1006:$Q$1006,0))&gt;=100000), " ",IF(INDEX($O$2:$Q$1001,MATCH(ROWS($H$2:H572),$H$2:$H$1001,0),MATCH(COLUMNS($O$1006:O1006),$O$1006:$Q$1006,0)), HYPERLINK("#",""), HYPERLINK(CONCATENATE("#metadata!", ADDRESS(INDEX($J$2:$J$1001,MATCH(ROWS($H$2:H572),$H$2:$H$1001,0),0), INDEX($O$1004:$Q$1004,1,MATCH(COLUMNS($O$1006:O1006),$O$1006:$Q$1006,0)))),"Fix")))</f>
        <v xml:space="preserve"> </v>
      </c>
      <c r="C572" s="3" t="str">
        <f ca="1">IF(OR(INDEX($I$2:$I$1001,MATCH(ROWS($H$2:H572),$H$2:$H$1001,0),1)&gt;=100000,INDEX($O$1005:$Q$1005,1,MATCH(COLUMNS($O$1006:P1006),$O$1006:$Q$1006,0))&gt;=100000), " ",IF(INDEX($O$2:$Q$1001,MATCH(ROWS($H$2:H572),$H$2:$H$1001,0),MATCH(COLUMNS($O$1006:P1006),$O$1006:$Q$1006,0)), HYPERLINK("#",""), HYPERLINK(CONCATENATE("#metadata!", ADDRESS(INDEX($J$2:$J$1001,MATCH(ROWS($H$2:H572),$H$2:$H$1001,0),0), INDEX($O$1004:$Q$1004,1,MATCH(COLUMNS($O$1006:P1006),$O$1006:$Q$1006,0)))),"Fix")))</f>
        <v xml:space="preserve"> </v>
      </c>
      <c r="D572" s="3" t="str">
        <f ca="1">IF(OR(INDEX($I$2:$I$1001,MATCH(ROWS($H$2:H572),$H$2:$H$1001,0),1)&gt;=100000,INDEX($O$1005:$Q$1005,1,MATCH(COLUMNS($O$1006:Q1006),$O$1006:$Q$1006,0))&gt;=100000), " ",IF(INDEX($O$2:$Q$1001,MATCH(ROWS($H$2:H572),$H$2:$H$1001,0),MATCH(COLUMNS($O$1006:Q1006),$O$1006:$Q$1006,0)), HYPERLINK("#",""), HYPERLINK(CONCATENATE("#metadata!", ADDRESS(INDEX($J$2:$J$1001,MATCH(ROWS($H$2:H572),$H$2:$H$1001,0),0), INDEX($O$1004:$Q$1004,1,MATCH(COLUMNS($O$1006:Q1006),$O$1006:$Q$1006,0)))),"Fix")))</f>
        <v xml:space="preserve"> </v>
      </c>
      <c r="H572">
        <v>571</v>
      </c>
      <c r="I572">
        <v>100572</v>
      </c>
      <c r="J572">
        <v>572</v>
      </c>
      <c r="K572" t="b">
        <f t="shared" si="8"/>
        <v>1</v>
      </c>
      <c r="L572" t="b">
        <f>COUNTBLANK(metadata!B572:D572)=COLUMNS(metadata!B572:D572)</f>
        <v>1</v>
      </c>
      <c r="M572" t="str">
        <v/>
      </c>
      <c r="O572" t="b">
        <f ca="1"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P572" t="b">
        <f>AND(IF(metadata!C572="",FALSE,TRUE),EXACT(metadata!C572,"mouse gut metagenome"))</f>
        <v>0</v>
      </c>
      <c r="Q572" t="b">
        <f>AND(IF(metadata!D572="",FALSE,TRUE),EXACT(metadata!D572,"410661"))</f>
        <v>0</v>
      </c>
    </row>
    <row r="573" spans="1:17" x14ac:dyDescent="0.2">
      <c r="A573" s="4" t="str">
        <f ca="1">IF(B573=" "," ",HYPERLINK(CONCATENATE("#metadata!",ADDRESS(INDEX($J$2:$J$1001,MATCH(ROWS($H$2:H573),$H$2:$H$1001,0),0),1)),INDEX($M$2:$M$1001,MATCH(ROWS($H$2:H573),$H$2:$H$1001,0),0)))</f>
        <v xml:space="preserve"> </v>
      </c>
      <c r="B573" s="3" t="str">
        <f ca="1">IF(OR(INDEX($I$2:$I$1001,MATCH(ROWS($H$2:H573),$H$2:$H$1001,0),1)&gt;=100000,INDEX($O$1005:$Q$1005,1,MATCH(COLUMNS($O$1006:O1006),$O$1006:$Q$1006,0))&gt;=100000), " ",IF(INDEX($O$2:$Q$1001,MATCH(ROWS($H$2:H573),$H$2:$H$1001,0),MATCH(COLUMNS($O$1006:O1006),$O$1006:$Q$1006,0)), HYPERLINK("#",""), HYPERLINK(CONCATENATE("#metadata!", ADDRESS(INDEX($J$2:$J$1001,MATCH(ROWS($H$2:H573),$H$2:$H$1001,0),0), INDEX($O$1004:$Q$1004,1,MATCH(COLUMNS($O$1006:O1006),$O$1006:$Q$1006,0)))),"Fix")))</f>
        <v xml:space="preserve"> </v>
      </c>
      <c r="C573" s="3" t="str">
        <f ca="1">IF(OR(INDEX($I$2:$I$1001,MATCH(ROWS($H$2:H573),$H$2:$H$1001,0),1)&gt;=100000,INDEX($O$1005:$Q$1005,1,MATCH(COLUMNS($O$1006:P1006),$O$1006:$Q$1006,0))&gt;=100000), " ",IF(INDEX($O$2:$Q$1001,MATCH(ROWS($H$2:H573),$H$2:$H$1001,0),MATCH(COLUMNS($O$1006:P1006),$O$1006:$Q$1006,0)), HYPERLINK("#",""), HYPERLINK(CONCATENATE("#metadata!", ADDRESS(INDEX($J$2:$J$1001,MATCH(ROWS($H$2:H573),$H$2:$H$1001,0),0), INDEX($O$1004:$Q$1004,1,MATCH(COLUMNS($O$1006:P1006),$O$1006:$Q$1006,0)))),"Fix")))</f>
        <v xml:space="preserve"> </v>
      </c>
      <c r="D573" s="3" t="str">
        <f ca="1">IF(OR(INDEX($I$2:$I$1001,MATCH(ROWS($H$2:H573),$H$2:$H$1001,0),1)&gt;=100000,INDEX($O$1005:$Q$1005,1,MATCH(COLUMNS($O$1006:Q1006),$O$1006:$Q$1006,0))&gt;=100000), " ",IF(INDEX($O$2:$Q$1001,MATCH(ROWS($H$2:H573),$H$2:$H$1001,0),MATCH(COLUMNS($O$1006:Q1006),$O$1006:$Q$1006,0)), HYPERLINK("#",""), HYPERLINK(CONCATENATE("#metadata!", ADDRESS(INDEX($J$2:$J$1001,MATCH(ROWS($H$2:H573),$H$2:$H$1001,0),0), INDEX($O$1004:$Q$1004,1,MATCH(COLUMNS($O$1006:Q1006),$O$1006:$Q$1006,0)))),"Fix")))</f>
        <v xml:space="preserve"> </v>
      </c>
      <c r="H573">
        <v>572</v>
      </c>
      <c r="I573">
        <v>100573</v>
      </c>
      <c r="J573">
        <v>573</v>
      </c>
      <c r="K573" t="b">
        <f t="shared" si="8"/>
        <v>1</v>
      </c>
      <c r="L573" t="b">
        <f>COUNTBLANK(metadata!B573:D573)=COLUMNS(metadata!B573:D573)</f>
        <v>1</v>
      </c>
      <c r="M573" t="str">
        <v/>
      </c>
      <c r="O573" t="b">
        <f ca="1"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P573" t="b">
        <f>AND(IF(metadata!C573="",FALSE,TRUE),EXACT(metadata!C573,"mouse gut metagenome"))</f>
        <v>0</v>
      </c>
      <c r="Q573" t="b">
        <f>AND(IF(metadata!D573="",FALSE,TRUE),EXACT(metadata!D573,"410661"))</f>
        <v>0</v>
      </c>
    </row>
    <row r="574" spans="1:17" x14ac:dyDescent="0.2">
      <c r="A574" s="4" t="str">
        <f ca="1">IF(B574=" "," ",HYPERLINK(CONCATENATE("#metadata!",ADDRESS(INDEX($J$2:$J$1001,MATCH(ROWS($H$2:H574),$H$2:$H$1001,0),0),1)),INDEX($M$2:$M$1001,MATCH(ROWS($H$2:H574),$H$2:$H$1001,0),0)))</f>
        <v xml:space="preserve"> </v>
      </c>
      <c r="B574" s="3" t="str">
        <f ca="1">IF(OR(INDEX($I$2:$I$1001,MATCH(ROWS($H$2:H574),$H$2:$H$1001,0),1)&gt;=100000,INDEX($O$1005:$Q$1005,1,MATCH(COLUMNS($O$1006:O1006),$O$1006:$Q$1006,0))&gt;=100000), " ",IF(INDEX($O$2:$Q$1001,MATCH(ROWS($H$2:H574),$H$2:$H$1001,0),MATCH(COLUMNS($O$1006:O1006),$O$1006:$Q$1006,0)), HYPERLINK("#",""), HYPERLINK(CONCATENATE("#metadata!", ADDRESS(INDEX($J$2:$J$1001,MATCH(ROWS($H$2:H574),$H$2:$H$1001,0),0), INDEX($O$1004:$Q$1004,1,MATCH(COLUMNS($O$1006:O1006),$O$1006:$Q$1006,0)))),"Fix")))</f>
        <v xml:space="preserve"> </v>
      </c>
      <c r="C574" s="3" t="str">
        <f ca="1">IF(OR(INDEX($I$2:$I$1001,MATCH(ROWS($H$2:H574),$H$2:$H$1001,0),1)&gt;=100000,INDEX($O$1005:$Q$1005,1,MATCH(COLUMNS($O$1006:P1006),$O$1006:$Q$1006,0))&gt;=100000), " ",IF(INDEX($O$2:$Q$1001,MATCH(ROWS($H$2:H574),$H$2:$H$1001,0),MATCH(COLUMNS($O$1006:P1006),$O$1006:$Q$1006,0)), HYPERLINK("#",""), HYPERLINK(CONCATENATE("#metadata!", ADDRESS(INDEX($J$2:$J$1001,MATCH(ROWS($H$2:H574),$H$2:$H$1001,0),0), INDEX($O$1004:$Q$1004,1,MATCH(COLUMNS($O$1006:P1006),$O$1006:$Q$1006,0)))),"Fix")))</f>
        <v xml:space="preserve"> </v>
      </c>
      <c r="D574" s="3" t="str">
        <f ca="1">IF(OR(INDEX($I$2:$I$1001,MATCH(ROWS($H$2:H574),$H$2:$H$1001,0),1)&gt;=100000,INDEX($O$1005:$Q$1005,1,MATCH(COLUMNS($O$1006:Q1006),$O$1006:$Q$1006,0))&gt;=100000), " ",IF(INDEX($O$2:$Q$1001,MATCH(ROWS($H$2:H574),$H$2:$H$1001,0),MATCH(COLUMNS($O$1006:Q1006),$O$1006:$Q$1006,0)), HYPERLINK("#",""), HYPERLINK(CONCATENATE("#metadata!", ADDRESS(INDEX($J$2:$J$1001,MATCH(ROWS($H$2:H574),$H$2:$H$1001,0),0), INDEX($O$1004:$Q$1004,1,MATCH(COLUMNS($O$1006:Q1006),$O$1006:$Q$1006,0)))),"Fix")))</f>
        <v xml:space="preserve"> </v>
      </c>
      <c r="H574">
        <v>573</v>
      </c>
      <c r="I574">
        <v>100574</v>
      </c>
      <c r="J574">
        <v>574</v>
      </c>
      <c r="K574" t="b">
        <f t="shared" si="8"/>
        <v>1</v>
      </c>
      <c r="L574" t="b">
        <f>COUNTBLANK(metadata!B574:D574)=COLUMNS(metadata!B574:D574)</f>
        <v>1</v>
      </c>
      <c r="M574" t="str">
        <v/>
      </c>
      <c r="O574" t="b">
        <f ca="1"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P574" t="b">
        <f>AND(IF(metadata!C574="",FALSE,TRUE),EXACT(metadata!C574,"mouse gut metagenome"))</f>
        <v>0</v>
      </c>
      <c r="Q574" t="b">
        <f>AND(IF(metadata!D574="",FALSE,TRUE),EXACT(metadata!D574,"410661"))</f>
        <v>0</v>
      </c>
    </row>
    <row r="575" spans="1:17" x14ac:dyDescent="0.2">
      <c r="A575" s="4" t="str">
        <f ca="1">IF(B575=" "," ",HYPERLINK(CONCATENATE("#metadata!",ADDRESS(INDEX($J$2:$J$1001,MATCH(ROWS($H$2:H575),$H$2:$H$1001,0),0),1)),INDEX($M$2:$M$1001,MATCH(ROWS($H$2:H575),$H$2:$H$1001,0),0)))</f>
        <v xml:space="preserve"> </v>
      </c>
      <c r="B575" s="3" t="str">
        <f ca="1">IF(OR(INDEX($I$2:$I$1001,MATCH(ROWS($H$2:H575),$H$2:$H$1001,0),1)&gt;=100000,INDEX($O$1005:$Q$1005,1,MATCH(COLUMNS($O$1006:O1006),$O$1006:$Q$1006,0))&gt;=100000), " ",IF(INDEX($O$2:$Q$1001,MATCH(ROWS($H$2:H575),$H$2:$H$1001,0),MATCH(COLUMNS($O$1006:O1006),$O$1006:$Q$1006,0)), HYPERLINK("#",""), HYPERLINK(CONCATENATE("#metadata!", ADDRESS(INDEX($J$2:$J$1001,MATCH(ROWS($H$2:H575),$H$2:$H$1001,0),0), INDEX($O$1004:$Q$1004,1,MATCH(COLUMNS($O$1006:O1006),$O$1006:$Q$1006,0)))),"Fix")))</f>
        <v xml:space="preserve"> </v>
      </c>
      <c r="C575" s="3" t="str">
        <f ca="1">IF(OR(INDEX($I$2:$I$1001,MATCH(ROWS($H$2:H575),$H$2:$H$1001,0),1)&gt;=100000,INDEX($O$1005:$Q$1005,1,MATCH(COLUMNS($O$1006:P1006),$O$1006:$Q$1006,0))&gt;=100000), " ",IF(INDEX($O$2:$Q$1001,MATCH(ROWS($H$2:H575),$H$2:$H$1001,0),MATCH(COLUMNS($O$1006:P1006),$O$1006:$Q$1006,0)), HYPERLINK("#",""), HYPERLINK(CONCATENATE("#metadata!", ADDRESS(INDEX($J$2:$J$1001,MATCH(ROWS($H$2:H575),$H$2:$H$1001,0),0), INDEX($O$1004:$Q$1004,1,MATCH(COLUMNS($O$1006:P1006),$O$1006:$Q$1006,0)))),"Fix")))</f>
        <v xml:space="preserve"> </v>
      </c>
      <c r="D575" s="3" t="str">
        <f ca="1">IF(OR(INDEX($I$2:$I$1001,MATCH(ROWS($H$2:H575),$H$2:$H$1001,0),1)&gt;=100000,INDEX($O$1005:$Q$1005,1,MATCH(COLUMNS($O$1006:Q1006),$O$1006:$Q$1006,0))&gt;=100000), " ",IF(INDEX($O$2:$Q$1001,MATCH(ROWS($H$2:H575),$H$2:$H$1001,0),MATCH(COLUMNS($O$1006:Q1006),$O$1006:$Q$1006,0)), HYPERLINK("#",""), HYPERLINK(CONCATENATE("#metadata!", ADDRESS(INDEX($J$2:$J$1001,MATCH(ROWS($H$2:H575),$H$2:$H$1001,0),0), INDEX($O$1004:$Q$1004,1,MATCH(COLUMNS($O$1006:Q1006),$O$1006:$Q$1006,0)))),"Fix")))</f>
        <v xml:space="preserve"> </v>
      </c>
      <c r="H575">
        <v>574</v>
      </c>
      <c r="I575">
        <v>100575</v>
      </c>
      <c r="J575">
        <v>575</v>
      </c>
      <c r="K575" t="b">
        <f t="shared" si="8"/>
        <v>1</v>
      </c>
      <c r="L575" t="b">
        <f>COUNTBLANK(metadata!B575:D575)=COLUMNS(metadata!B575:D575)</f>
        <v>1</v>
      </c>
      <c r="M575" t="str">
        <v/>
      </c>
      <c r="O575" t="b">
        <f ca="1"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P575" t="b">
        <f>AND(IF(metadata!C575="",FALSE,TRUE),EXACT(metadata!C575,"mouse gut metagenome"))</f>
        <v>0</v>
      </c>
      <c r="Q575" t="b">
        <f>AND(IF(metadata!D575="",FALSE,TRUE),EXACT(metadata!D575,"410661"))</f>
        <v>0</v>
      </c>
    </row>
    <row r="576" spans="1:17" x14ac:dyDescent="0.2">
      <c r="A576" s="4" t="str">
        <f ca="1">IF(B576=" "," ",HYPERLINK(CONCATENATE("#metadata!",ADDRESS(INDEX($J$2:$J$1001,MATCH(ROWS($H$2:H576),$H$2:$H$1001,0),0),1)),INDEX($M$2:$M$1001,MATCH(ROWS($H$2:H576),$H$2:$H$1001,0),0)))</f>
        <v xml:space="preserve"> </v>
      </c>
      <c r="B576" s="3" t="str">
        <f ca="1">IF(OR(INDEX($I$2:$I$1001,MATCH(ROWS($H$2:H576),$H$2:$H$1001,0),1)&gt;=100000,INDEX($O$1005:$Q$1005,1,MATCH(COLUMNS($O$1006:O1006),$O$1006:$Q$1006,0))&gt;=100000), " ",IF(INDEX($O$2:$Q$1001,MATCH(ROWS($H$2:H576),$H$2:$H$1001,0),MATCH(COLUMNS($O$1006:O1006),$O$1006:$Q$1006,0)), HYPERLINK("#",""), HYPERLINK(CONCATENATE("#metadata!", ADDRESS(INDEX($J$2:$J$1001,MATCH(ROWS($H$2:H576),$H$2:$H$1001,0),0), INDEX($O$1004:$Q$1004,1,MATCH(COLUMNS($O$1006:O1006),$O$1006:$Q$1006,0)))),"Fix")))</f>
        <v xml:space="preserve"> </v>
      </c>
      <c r="C576" s="3" t="str">
        <f ca="1">IF(OR(INDEX($I$2:$I$1001,MATCH(ROWS($H$2:H576),$H$2:$H$1001,0),1)&gt;=100000,INDEX($O$1005:$Q$1005,1,MATCH(COLUMNS($O$1006:P1006),$O$1006:$Q$1006,0))&gt;=100000), " ",IF(INDEX($O$2:$Q$1001,MATCH(ROWS($H$2:H576),$H$2:$H$1001,0),MATCH(COLUMNS($O$1006:P1006),$O$1006:$Q$1006,0)), HYPERLINK("#",""), HYPERLINK(CONCATENATE("#metadata!", ADDRESS(INDEX($J$2:$J$1001,MATCH(ROWS($H$2:H576),$H$2:$H$1001,0),0), INDEX($O$1004:$Q$1004,1,MATCH(COLUMNS($O$1006:P1006),$O$1006:$Q$1006,0)))),"Fix")))</f>
        <v xml:space="preserve"> </v>
      </c>
      <c r="D576" s="3" t="str">
        <f ca="1">IF(OR(INDEX($I$2:$I$1001,MATCH(ROWS($H$2:H576),$H$2:$H$1001,0),1)&gt;=100000,INDEX($O$1005:$Q$1005,1,MATCH(COLUMNS($O$1006:Q1006),$O$1006:$Q$1006,0))&gt;=100000), " ",IF(INDEX($O$2:$Q$1001,MATCH(ROWS($H$2:H576),$H$2:$H$1001,0),MATCH(COLUMNS($O$1006:Q1006),$O$1006:$Q$1006,0)), HYPERLINK("#",""), HYPERLINK(CONCATENATE("#metadata!", ADDRESS(INDEX($J$2:$J$1001,MATCH(ROWS($H$2:H576),$H$2:$H$1001,0),0), INDEX($O$1004:$Q$1004,1,MATCH(COLUMNS($O$1006:Q1006),$O$1006:$Q$1006,0)))),"Fix")))</f>
        <v xml:space="preserve"> </v>
      </c>
      <c r="H576">
        <v>575</v>
      </c>
      <c r="I576">
        <v>100576</v>
      </c>
      <c r="J576">
        <v>576</v>
      </c>
      <c r="K576" t="b">
        <f t="shared" si="8"/>
        <v>1</v>
      </c>
      <c r="L576" t="b">
        <f>COUNTBLANK(metadata!B576:D576)=COLUMNS(metadata!B576:D576)</f>
        <v>1</v>
      </c>
      <c r="M576" t="str">
        <v/>
      </c>
      <c r="O576" t="b">
        <f ca="1"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P576" t="b">
        <f>AND(IF(metadata!C576="",FALSE,TRUE),EXACT(metadata!C576,"mouse gut metagenome"))</f>
        <v>0</v>
      </c>
      <c r="Q576" t="b">
        <f>AND(IF(metadata!D576="",FALSE,TRUE),EXACT(metadata!D576,"410661"))</f>
        <v>0</v>
      </c>
    </row>
    <row r="577" spans="1:17" x14ac:dyDescent="0.2">
      <c r="A577" s="4" t="str">
        <f ca="1">IF(B577=" "," ",HYPERLINK(CONCATENATE("#metadata!",ADDRESS(INDEX($J$2:$J$1001,MATCH(ROWS($H$2:H577),$H$2:$H$1001,0),0),1)),INDEX($M$2:$M$1001,MATCH(ROWS($H$2:H577),$H$2:$H$1001,0),0)))</f>
        <v xml:space="preserve"> </v>
      </c>
      <c r="B577" s="3" t="str">
        <f ca="1">IF(OR(INDEX($I$2:$I$1001,MATCH(ROWS($H$2:H577),$H$2:$H$1001,0),1)&gt;=100000,INDEX($O$1005:$Q$1005,1,MATCH(COLUMNS($O$1006:O1006),$O$1006:$Q$1006,0))&gt;=100000), " ",IF(INDEX($O$2:$Q$1001,MATCH(ROWS($H$2:H577),$H$2:$H$1001,0),MATCH(COLUMNS($O$1006:O1006),$O$1006:$Q$1006,0)), HYPERLINK("#",""), HYPERLINK(CONCATENATE("#metadata!", ADDRESS(INDEX($J$2:$J$1001,MATCH(ROWS($H$2:H577),$H$2:$H$1001,0),0), INDEX($O$1004:$Q$1004,1,MATCH(COLUMNS($O$1006:O1006),$O$1006:$Q$1006,0)))),"Fix")))</f>
        <v xml:space="preserve"> </v>
      </c>
      <c r="C577" s="3" t="str">
        <f ca="1">IF(OR(INDEX($I$2:$I$1001,MATCH(ROWS($H$2:H577),$H$2:$H$1001,0),1)&gt;=100000,INDEX($O$1005:$Q$1005,1,MATCH(COLUMNS($O$1006:P1006),$O$1006:$Q$1006,0))&gt;=100000), " ",IF(INDEX($O$2:$Q$1001,MATCH(ROWS($H$2:H577),$H$2:$H$1001,0),MATCH(COLUMNS($O$1006:P1006),$O$1006:$Q$1006,0)), HYPERLINK("#",""), HYPERLINK(CONCATENATE("#metadata!", ADDRESS(INDEX($J$2:$J$1001,MATCH(ROWS($H$2:H577),$H$2:$H$1001,0),0), INDEX($O$1004:$Q$1004,1,MATCH(COLUMNS($O$1006:P1006),$O$1006:$Q$1006,0)))),"Fix")))</f>
        <v xml:space="preserve"> </v>
      </c>
      <c r="D577" s="3" t="str">
        <f ca="1">IF(OR(INDEX($I$2:$I$1001,MATCH(ROWS($H$2:H577),$H$2:$H$1001,0),1)&gt;=100000,INDEX($O$1005:$Q$1005,1,MATCH(COLUMNS($O$1006:Q1006),$O$1006:$Q$1006,0))&gt;=100000), " ",IF(INDEX($O$2:$Q$1001,MATCH(ROWS($H$2:H577),$H$2:$H$1001,0),MATCH(COLUMNS($O$1006:Q1006),$O$1006:$Q$1006,0)), HYPERLINK("#",""), HYPERLINK(CONCATENATE("#metadata!", ADDRESS(INDEX($J$2:$J$1001,MATCH(ROWS($H$2:H577),$H$2:$H$1001,0),0), INDEX($O$1004:$Q$1004,1,MATCH(COLUMNS($O$1006:Q1006),$O$1006:$Q$1006,0)))),"Fix")))</f>
        <v xml:space="preserve"> </v>
      </c>
      <c r="H577">
        <v>576</v>
      </c>
      <c r="I577">
        <v>100577</v>
      </c>
      <c r="J577">
        <v>577</v>
      </c>
      <c r="K577" t="b">
        <f t="shared" si="8"/>
        <v>1</v>
      </c>
      <c r="L577" t="b">
        <f>COUNTBLANK(metadata!B577:D577)=COLUMNS(metadata!B577:D577)</f>
        <v>1</v>
      </c>
      <c r="M577" t="str">
        <v/>
      </c>
      <c r="O577" t="b">
        <f ca="1"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P577" t="b">
        <f>AND(IF(metadata!C577="",FALSE,TRUE),EXACT(metadata!C577,"mouse gut metagenome"))</f>
        <v>0</v>
      </c>
      <c r="Q577" t="b">
        <f>AND(IF(metadata!D577="",FALSE,TRUE),EXACT(metadata!D577,"410661"))</f>
        <v>0</v>
      </c>
    </row>
    <row r="578" spans="1:17" x14ac:dyDescent="0.2">
      <c r="A578" s="4" t="str">
        <f ca="1">IF(B578=" "," ",HYPERLINK(CONCATENATE("#metadata!",ADDRESS(INDEX($J$2:$J$1001,MATCH(ROWS($H$2:H578),$H$2:$H$1001,0),0),1)),INDEX($M$2:$M$1001,MATCH(ROWS($H$2:H578),$H$2:$H$1001,0),0)))</f>
        <v xml:space="preserve"> </v>
      </c>
      <c r="B578" s="3" t="str">
        <f ca="1">IF(OR(INDEX($I$2:$I$1001,MATCH(ROWS($H$2:H578),$H$2:$H$1001,0),1)&gt;=100000,INDEX($O$1005:$Q$1005,1,MATCH(COLUMNS($O$1006:O1006),$O$1006:$Q$1006,0))&gt;=100000), " ",IF(INDEX($O$2:$Q$1001,MATCH(ROWS($H$2:H578),$H$2:$H$1001,0),MATCH(COLUMNS($O$1006:O1006),$O$1006:$Q$1006,0)), HYPERLINK("#",""), HYPERLINK(CONCATENATE("#metadata!", ADDRESS(INDEX($J$2:$J$1001,MATCH(ROWS($H$2:H578),$H$2:$H$1001,0),0), INDEX($O$1004:$Q$1004,1,MATCH(COLUMNS($O$1006:O1006),$O$1006:$Q$1006,0)))),"Fix")))</f>
        <v xml:space="preserve"> </v>
      </c>
      <c r="C578" s="3" t="str">
        <f ca="1">IF(OR(INDEX($I$2:$I$1001,MATCH(ROWS($H$2:H578),$H$2:$H$1001,0),1)&gt;=100000,INDEX($O$1005:$Q$1005,1,MATCH(COLUMNS($O$1006:P1006),$O$1006:$Q$1006,0))&gt;=100000), " ",IF(INDEX($O$2:$Q$1001,MATCH(ROWS($H$2:H578),$H$2:$H$1001,0),MATCH(COLUMNS($O$1006:P1006),$O$1006:$Q$1006,0)), HYPERLINK("#",""), HYPERLINK(CONCATENATE("#metadata!", ADDRESS(INDEX($J$2:$J$1001,MATCH(ROWS($H$2:H578),$H$2:$H$1001,0),0), INDEX($O$1004:$Q$1004,1,MATCH(COLUMNS($O$1006:P1006),$O$1006:$Q$1006,0)))),"Fix")))</f>
        <v xml:space="preserve"> </v>
      </c>
      <c r="D578" s="3" t="str">
        <f ca="1">IF(OR(INDEX($I$2:$I$1001,MATCH(ROWS($H$2:H578),$H$2:$H$1001,0),1)&gt;=100000,INDEX($O$1005:$Q$1005,1,MATCH(COLUMNS($O$1006:Q1006),$O$1006:$Q$1006,0))&gt;=100000), " ",IF(INDEX($O$2:$Q$1001,MATCH(ROWS($H$2:H578),$H$2:$H$1001,0),MATCH(COLUMNS($O$1006:Q1006),$O$1006:$Q$1006,0)), HYPERLINK("#",""), HYPERLINK(CONCATENATE("#metadata!", ADDRESS(INDEX($J$2:$J$1001,MATCH(ROWS($H$2:H578),$H$2:$H$1001,0),0), INDEX($O$1004:$Q$1004,1,MATCH(COLUMNS($O$1006:Q1006),$O$1006:$Q$1006,0)))),"Fix")))</f>
        <v xml:space="preserve"> </v>
      </c>
      <c r="H578">
        <v>577</v>
      </c>
      <c r="I578">
        <v>100578</v>
      </c>
      <c r="J578">
        <v>578</v>
      </c>
      <c r="K578" t="b">
        <f t="shared" ref="K578:K641" si="9">IF(L578,TRUE,AND(O578:Q578))</f>
        <v>1</v>
      </c>
      <c r="L578" t="b">
        <f>COUNTBLANK(metadata!B578:D578)=COLUMNS(metadata!B578:D578)</f>
        <v>1</v>
      </c>
      <c r="M578" t="str">
        <v/>
      </c>
      <c r="O578" t="b">
        <f ca="1"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P578" t="b">
        <f>AND(IF(metadata!C578="",FALSE,TRUE),EXACT(metadata!C578,"mouse gut metagenome"))</f>
        <v>0</v>
      </c>
      <c r="Q578" t="b">
        <f>AND(IF(metadata!D578="",FALSE,TRUE),EXACT(metadata!D578,"410661"))</f>
        <v>0</v>
      </c>
    </row>
    <row r="579" spans="1:17" x14ac:dyDescent="0.2">
      <c r="A579" s="4" t="str">
        <f ca="1">IF(B579=" "," ",HYPERLINK(CONCATENATE("#metadata!",ADDRESS(INDEX($J$2:$J$1001,MATCH(ROWS($H$2:H579),$H$2:$H$1001,0),0),1)),INDEX($M$2:$M$1001,MATCH(ROWS($H$2:H579),$H$2:$H$1001,0),0)))</f>
        <v xml:space="preserve"> </v>
      </c>
      <c r="B579" s="3" t="str">
        <f ca="1">IF(OR(INDEX($I$2:$I$1001,MATCH(ROWS($H$2:H579),$H$2:$H$1001,0),1)&gt;=100000,INDEX($O$1005:$Q$1005,1,MATCH(COLUMNS($O$1006:O1006),$O$1006:$Q$1006,0))&gt;=100000), " ",IF(INDEX($O$2:$Q$1001,MATCH(ROWS($H$2:H579),$H$2:$H$1001,0),MATCH(COLUMNS($O$1006:O1006),$O$1006:$Q$1006,0)), HYPERLINK("#",""), HYPERLINK(CONCATENATE("#metadata!", ADDRESS(INDEX($J$2:$J$1001,MATCH(ROWS($H$2:H579),$H$2:$H$1001,0),0), INDEX($O$1004:$Q$1004,1,MATCH(COLUMNS($O$1006:O1006),$O$1006:$Q$1006,0)))),"Fix")))</f>
        <v xml:space="preserve"> </v>
      </c>
      <c r="C579" s="3" t="str">
        <f ca="1">IF(OR(INDEX($I$2:$I$1001,MATCH(ROWS($H$2:H579),$H$2:$H$1001,0),1)&gt;=100000,INDEX($O$1005:$Q$1005,1,MATCH(COLUMNS($O$1006:P1006),$O$1006:$Q$1006,0))&gt;=100000), " ",IF(INDEX($O$2:$Q$1001,MATCH(ROWS($H$2:H579),$H$2:$H$1001,0),MATCH(COLUMNS($O$1006:P1006),$O$1006:$Q$1006,0)), HYPERLINK("#",""), HYPERLINK(CONCATENATE("#metadata!", ADDRESS(INDEX($J$2:$J$1001,MATCH(ROWS($H$2:H579),$H$2:$H$1001,0),0), INDEX($O$1004:$Q$1004,1,MATCH(COLUMNS($O$1006:P1006),$O$1006:$Q$1006,0)))),"Fix")))</f>
        <v xml:space="preserve"> </v>
      </c>
      <c r="D579" s="3" t="str">
        <f ca="1">IF(OR(INDEX($I$2:$I$1001,MATCH(ROWS($H$2:H579),$H$2:$H$1001,0),1)&gt;=100000,INDEX($O$1005:$Q$1005,1,MATCH(COLUMNS($O$1006:Q1006),$O$1006:$Q$1006,0))&gt;=100000), " ",IF(INDEX($O$2:$Q$1001,MATCH(ROWS($H$2:H579),$H$2:$H$1001,0),MATCH(COLUMNS($O$1006:Q1006),$O$1006:$Q$1006,0)), HYPERLINK("#",""), HYPERLINK(CONCATENATE("#metadata!", ADDRESS(INDEX($J$2:$J$1001,MATCH(ROWS($H$2:H579),$H$2:$H$1001,0),0), INDEX($O$1004:$Q$1004,1,MATCH(COLUMNS($O$1006:Q1006),$O$1006:$Q$1006,0)))),"Fix")))</f>
        <v xml:space="preserve"> </v>
      </c>
      <c r="H579">
        <v>578</v>
      </c>
      <c r="I579">
        <v>100579</v>
      </c>
      <c r="J579">
        <v>579</v>
      </c>
      <c r="K579" t="b">
        <f t="shared" si="9"/>
        <v>1</v>
      </c>
      <c r="L579" t="b">
        <f>COUNTBLANK(metadata!B579:D579)=COLUMNS(metadata!B579:D579)</f>
        <v>1</v>
      </c>
      <c r="M579" t="str">
        <v/>
      </c>
      <c r="O579" t="b">
        <f ca="1"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P579" t="b">
        <f>AND(IF(metadata!C579="",FALSE,TRUE),EXACT(metadata!C579,"mouse gut metagenome"))</f>
        <v>0</v>
      </c>
      <c r="Q579" t="b">
        <f>AND(IF(metadata!D579="",FALSE,TRUE),EXACT(metadata!D579,"410661"))</f>
        <v>0</v>
      </c>
    </row>
    <row r="580" spans="1:17" x14ac:dyDescent="0.2">
      <c r="A580" s="4" t="str">
        <f ca="1">IF(B580=" "," ",HYPERLINK(CONCATENATE("#metadata!",ADDRESS(INDEX($J$2:$J$1001,MATCH(ROWS($H$2:H580),$H$2:$H$1001,0),0),1)),INDEX($M$2:$M$1001,MATCH(ROWS($H$2:H580),$H$2:$H$1001,0),0)))</f>
        <v xml:space="preserve"> </v>
      </c>
      <c r="B580" s="3" t="str">
        <f ca="1">IF(OR(INDEX($I$2:$I$1001,MATCH(ROWS($H$2:H580),$H$2:$H$1001,0),1)&gt;=100000,INDEX($O$1005:$Q$1005,1,MATCH(COLUMNS($O$1006:O1006),$O$1006:$Q$1006,0))&gt;=100000), " ",IF(INDEX($O$2:$Q$1001,MATCH(ROWS($H$2:H580),$H$2:$H$1001,0),MATCH(COLUMNS($O$1006:O1006),$O$1006:$Q$1006,0)), HYPERLINK("#",""), HYPERLINK(CONCATENATE("#metadata!", ADDRESS(INDEX($J$2:$J$1001,MATCH(ROWS($H$2:H580),$H$2:$H$1001,0),0), INDEX($O$1004:$Q$1004,1,MATCH(COLUMNS($O$1006:O1006),$O$1006:$Q$1006,0)))),"Fix")))</f>
        <v xml:space="preserve"> </v>
      </c>
      <c r="C580" s="3" t="str">
        <f ca="1">IF(OR(INDEX($I$2:$I$1001,MATCH(ROWS($H$2:H580),$H$2:$H$1001,0),1)&gt;=100000,INDEX($O$1005:$Q$1005,1,MATCH(COLUMNS($O$1006:P1006),$O$1006:$Q$1006,0))&gt;=100000), " ",IF(INDEX($O$2:$Q$1001,MATCH(ROWS($H$2:H580),$H$2:$H$1001,0),MATCH(COLUMNS($O$1006:P1006),$O$1006:$Q$1006,0)), HYPERLINK("#",""), HYPERLINK(CONCATENATE("#metadata!", ADDRESS(INDEX($J$2:$J$1001,MATCH(ROWS($H$2:H580),$H$2:$H$1001,0),0), INDEX($O$1004:$Q$1004,1,MATCH(COLUMNS($O$1006:P1006),$O$1006:$Q$1006,0)))),"Fix")))</f>
        <v xml:space="preserve"> </v>
      </c>
      <c r="D580" s="3" t="str">
        <f ca="1">IF(OR(INDEX($I$2:$I$1001,MATCH(ROWS($H$2:H580),$H$2:$H$1001,0),1)&gt;=100000,INDEX($O$1005:$Q$1005,1,MATCH(COLUMNS($O$1006:Q1006),$O$1006:$Q$1006,0))&gt;=100000), " ",IF(INDEX($O$2:$Q$1001,MATCH(ROWS($H$2:H580),$H$2:$H$1001,0),MATCH(COLUMNS($O$1006:Q1006),$O$1006:$Q$1006,0)), HYPERLINK("#",""), HYPERLINK(CONCATENATE("#metadata!", ADDRESS(INDEX($J$2:$J$1001,MATCH(ROWS($H$2:H580),$H$2:$H$1001,0),0), INDEX($O$1004:$Q$1004,1,MATCH(COLUMNS($O$1006:Q1006),$O$1006:$Q$1006,0)))),"Fix")))</f>
        <v xml:space="preserve"> </v>
      </c>
      <c r="H580">
        <v>579</v>
      </c>
      <c r="I580">
        <v>100580</v>
      </c>
      <c r="J580">
        <v>580</v>
      </c>
      <c r="K580" t="b">
        <f t="shared" si="9"/>
        <v>1</v>
      </c>
      <c r="L580" t="b">
        <f>COUNTBLANK(metadata!B580:D580)=COLUMNS(metadata!B580:D580)</f>
        <v>1</v>
      </c>
      <c r="M580" t="str">
        <v/>
      </c>
      <c r="O580" t="b">
        <f ca="1"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P580" t="b">
        <f>AND(IF(metadata!C580="",FALSE,TRUE),EXACT(metadata!C580,"mouse gut metagenome"))</f>
        <v>0</v>
      </c>
      <c r="Q580" t="b">
        <f>AND(IF(metadata!D580="",FALSE,TRUE),EXACT(metadata!D580,"410661"))</f>
        <v>0</v>
      </c>
    </row>
    <row r="581" spans="1:17" x14ac:dyDescent="0.2">
      <c r="A581" s="4" t="str">
        <f ca="1">IF(B581=" "," ",HYPERLINK(CONCATENATE("#metadata!",ADDRESS(INDEX($J$2:$J$1001,MATCH(ROWS($H$2:H581),$H$2:$H$1001,0),0),1)),INDEX($M$2:$M$1001,MATCH(ROWS($H$2:H581),$H$2:$H$1001,0),0)))</f>
        <v xml:space="preserve"> </v>
      </c>
      <c r="B581" s="3" t="str">
        <f ca="1">IF(OR(INDEX($I$2:$I$1001,MATCH(ROWS($H$2:H581),$H$2:$H$1001,0),1)&gt;=100000,INDEX($O$1005:$Q$1005,1,MATCH(COLUMNS($O$1006:O1006),$O$1006:$Q$1006,0))&gt;=100000), " ",IF(INDEX($O$2:$Q$1001,MATCH(ROWS($H$2:H581),$H$2:$H$1001,0),MATCH(COLUMNS($O$1006:O1006),$O$1006:$Q$1006,0)), HYPERLINK("#",""), HYPERLINK(CONCATENATE("#metadata!", ADDRESS(INDEX($J$2:$J$1001,MATCH(ROWS($H$2:H581),$H$2:$H$1001,0),0), INDEX($O$1004:$Q$1004,1,MATCH(COLUMNS($O$1006:O1006),$O$1006:$Q$1006,0)))),"Fix")))</f>
        <v xml:space="preserve"> </v>
      </c>
      <c r="C581" s="3" t="str">
        <f ca="1">IF(OR(INDEX($I$2:$I$1001,MATCH(ROWS($H$2:H581),$H$2:$H$1001,0),1)&gt;=100000,INDEX($O$1005:$Q$1005,1,MATCH(COLUMNS($O$1006:P1006),$O$1006:$Q$1006,0))&gt;=100000), " ",IF(INDEX($O$2:$Q$1001,MATCH(ROWS($H$2:H581),$H$2:$H$1001,0),MATCH(COLUMNS($O$1006:P1006),$O$1006:$Q$1006,0)), HYPERLINK("#",""), HYPERLINK(CONCATENATE("#metadata!", ADDRESS(INDEX($J$2:$J$1001,MATCH(ROWS($H$2:H581),$H$2:$H$1001,0),0), INDEX($O$1004:$Q$1004,1,MATCH(COLUMNS($O$1006:P1006),$O$1006:$Q$1006,0)))),"Fix")))</f>
        <v xml:space="preserve"> </v>
      </c>
      <c r="D581" s="3" t="str">
        <f ca="1">IF(OR(INDEX($I$2:$I$1001,MATCH(ROWS($H$2:H581),$H$2:$H$1001,0),1)&gt;=100000,INDEX($O$1005:$Q$1005,1,MATCH(COLUMNS($O$1006:Q1006),$O$1006:$Q$1006,0))&gt;=100000), " ",IF(INDEX($O$2:$Q$1001,MATCH(ROWS($H$2:H581),$H$2:$H$1001,0),MATCH(COLUMNS($O$1006:Q1006),$O$1006:$Q$1006,0)), HYPERLINK("#",""), HYPERLINK(CONCATENATE("#metadata!", ADDRESS(INDEX($J$2:$J$1001,MATCH(ROWS($H$2:H581),$H$2:$H$1001,0),0), INDEX($O$1004:$Q$1004,1,MATCH(COLUMNS($O$1006:Q1006),$O$1006:$Q$1006,0)))),"Fix")))</f>
        <v xml:space="preserve"> </v>
      </c>
      <c r="H581">
        <v>580</v>
      </c>
      <c r="I581">
        <v>100581</v>
      </c>
      <c r="J581">
        <v>581</v>
      </c>
      <c r="K581" t="b">
        <f t="shared" si="9"/>
        <v>1</v>
      </c>
      <c r="L581" t="b">
        <f>COUNTBLANK(metadata!B581:D581)=COLUMNS(metadata!B581:D581)</f>
        <v>1</v>
      </c>
      <c r="M581" t="str">
        <v/>
      </c>
      <c r="O581" t="b">
        <f ca="1"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P581" t="b">
        <f>AND(IF(metadata!C581="",FALSE,TRUE),EXACT(metadata!C581,"mouse gut metagenome"))</f>
        <v>0</v>
      </c>
      <c r="Q581" t="b">
        <f>AND(IF(metadata!D581="",FALSE,TRUE),EXACT(metadata!D581,"410661"))</f>
        <v>0</v>
      </c>
    </row>
    <row r="582" spans="1:17" x14ac:dyDescent="0.2">
      <c r="A582" s="4" t="str">
        <f ca="1">IF(B582=" "," ",HYPERLINK(CONCATENATE("#metadata!",ADDRESS(INDEX($J$2:$J$1001,MATCH(ROWS($H$2:H582),$H$2:$H$1001,0),0),1)),INDEX($M$2:$M$1001,MATCH(ROWS($H$2:H582),$H$2:$H$1001,0),0)))</f>
        <v xml:space="preserve"> </v>
      </c>
      <c r="B582" s="3" t="str">
        <f ca="1">IF(OR(INDEX($I$2:$I$1001,MATCH(ROWS($H$2:H582),$H$2:$H$1001,0),1)&gt;=100000,INDEX($O$1005:$Q$1005,1,MATCH(COLUMNS($O$1006:O1006),$O$1006:$Q$1006,0))&gt;=100000), " ",IF(INDEX($O$2:$Q$1001,MATCH(ROWS($H$2:H582),$H$2:$H$1001,0),MATCH(COLUMNS($O$1006:O1006),$O$1006:$Q$1006,0)), HYPERLINK("#",""), HYPERLINK(CONCATENATE("#metadata!", ADDRESS(INDEX($J$2:$J$1001,MATCH(ROWS($H$2:H582),$H$2:$H$1001,0),0), INDEX($O$1004:$Q$1004,1,MATCH(COLUMNS($O$1006:O1006),$O$1006:$Q$1006,0)))),"Fix")))</f>
        <v xml:space="preserve"> </v>
      </c>
      <c r="C582" s="3" t="str">
        <f ca="1">IF(OR(INDEX($I$2:$I$1001,MATCH(ROWS($H$2:H582),$H$2:$H$1001,0),1)&gt;=100000,INDEX($O$1005:$Q$1005,1,MATCH(COLUMNS($O$1006:P1006),$O$1006:$Q$1006,0))&gt;=100000), " ",IF(INDEX($O$2:$Q$1001,MATCH(ROWS($H$2:H582),$H$2:$H$1001,0),MATCH(COLUMNS($O$1006:P1006),$O$1006:$Q$1006,0)), HYPERLINK("#",""), HYPERLINK(CONCATENATE("#metadata!", ADDRESS(INDEX($J$2:$J$1001,MATCH(ROWS($H$2:H582),$H$2:$H$1001,0),0), INDEX($O$1004:$Q$1004,1,MATCH(COLUMNS($O$1006:P1006),$O$1006:$Q$1006,0)))),"Fix")))</f>
        <v xml:space="preserve"> </v>
      </c>
      <c r="D582" s="3" t="str">
        <f ca="1">IF(OR(INDEX($I$2:$I$1001,MATCH(ROWS($H$2:H582),$H$2:$H$1001,0),1)&gt;=100000,INDEX($O$1005:$Q$1005,1,MATCH(COLUMNS($O$1006:Q1006),$O$1006:$Q$1006,0))&gt;=100000), " ",IF(INDEX($O$2:$Q$1001,MATCH(ROWS($H$2:H582),$H$2:$H$1001,0),MATCH(COLUMNS($O$1006:Q1006),$O$1006:$Q$1006,0)), HYPERLINK("#",""), HYPERLINK(CONCATENATE("#metadata!", ADDRESS(INDEX($J$2:$J$1001,MATCH(ROWS($H$2:H582),$H$2:$H$1001,0),0), INDEX($O$1004:$Q$1004,1,MATCH(COLUMNS($O$1006:Q1006),$O$1006:$Q$1006,0)))),"Fix")))</f>
        <v xml:space="preserve"> </v>
      </c>
      <c r="H582">
        <v>581</v>
      </c>
      <c r="I582">
        <v>100582</v>
      </c>
      <c r="J582">
        <v>582</v>
      </c>
      <c r="K582" t="b">
        <f t="shared" si="9"/>
        <v>1</v>
      </c>
      <c r="L582" t="b">
        <f>COUNTBLANK(metadata!B582:D582)=COLUMNS(metadata!B582:D582)</f>
        <v>1</v>
      </c>
      <c r="M582" t="str">
        <v/>
      </c>
      <c r="O582" t="b">
        <f ca="1"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P582" t="b">
        <f>AND(IF(metadata!C582="",FALSE,TRUE),EXACT(metadata!C582,"mouse gut metagenome"))</f>
        <v>0</v>
      </c>
      <c r="Q582" t="b">
        <f>AND(IF(metadata!D582="",FALSE,TRUE),EXACT(metadata!D582,"410661"))</f>
        <v>0</v>
      </c>
    </row>
    <row r="583" spans="1:17" x14ac:dyDescent="0.2">
      <c r="A583" s="4" t="str">
        <f ca="1">IF(B583=" "," ",HYPERLINK(CONCATENATE("#metadata!",ADDRESS(INDEX($J$2:$J$1001,MATCH(ROWS($H$2:H583),$H$2:$H$1001,0),0),1)),INDEX($M$2:$M$1001,MATCH(ROWS($H$2:H583),$H$2:$H$1001,0),0)))</f>
        <v xml:space="preserve"> </v>
      </c>
      <c r="B583" s="3" t="str">
        <f ca="1">IF(OR(INDEX($I$2:$I$1001,MATCH(ROWS($H$2:H583),$H$2:$H$1001,0),1)&gt;=100000,INDEX($O$1005:$Q$1005,1,MATCH(COLUMNS($O$1006:O1006),$O$1006:$Q$1006,0))&gt;=100000), " ",IF(INDEX($O$2:$Q$1001,MATCH(ROWS($H$2:H583),$H$2:$H$1001,0),MATCH(COLUMNS($O$1006:O1006),$O$1006:$Q$1006,0)), HYPERLINK("#",""), HYPERLINK(CONCATENATE("#metadata!", ADDRESS(INDEX($J$2:$J$1001,MATCH(ROWS($H$2:H583),$H$2:$H$1001,0),0), INDEX($O$1004:$Q$1004,1,MATCH(COLUMNS($O$1006:O1006),$O$1006:$Q$1006,0)))),"Fix")))</f>
        <v xml:space="preserve"> </v>
      </c>
      <c r="C583" s="3" t="str">
        <f ca="1">IF(OR(INDEX($I$2:$I$1001,MATCH(ROWS($H$2:H583),$H$2:$H$1001,0),1)&gt;=100000,INDEX($O$1005:$Q$1005,1,MATCH(COLUMNS($O$1006:P1006),$O$1006:$Q$1006,0))&gt;=100000), " ",IF(INDEX($O$2:$Q$1001,MATCH(ROWS($H$2:H583),$H$2:$H$1001,0),MATCH(COLUMNS($O$1006:P1006),$O$1006:$Q$1006,0)), HYPERLINK("#",""), HYPERLINK(CONCATENATE("#metadata!", ADDRESS(INDEX($J$2:$J$1001,MATCH(ROWS($H$2:H583),$H$2:$H$1001,0),0), INDEX($O$1004:$Q$1004,1,MATCH(COLUMNS($O$1006:P1006),$O$1006:$Q$1006,0)))),"Fix")))</f>
        <v xml:space="preserve"> </v>
      </c>
      <c r="D583" s="3" t="str">
        <f ca="1">IF(OR(INDEX($I$2:$I$1001,MATCH(ROWS($H$2:H583),$H$2:$H$1001,0),1)&gt;=100000,INDEX($O$1005:$Q$1005,1,MATCH(COLUMNS($O$1006:Q1006),$O$1006:$Q$1006,0))&gt;=100000), " ",IF(INDEX($O$2:$Q$1001,MATCH(ROWS($H$2:H583),$H$2:$H$1001,0),MATCH(COLUMNS($O$1006:Q1006),$O$1006:$Q$1006,0)), HYPERLINK("#",""), HYPERLINK(CONCATENATE("#metadata!", ADDRESS(INDEX($J$2:$J$1001,MATCH(ROWS($H$2:H583),$H$2:$H$1001,0),0), INDEX($O$1004:$Q$1004,1,MATCH(COLUMNS($O$1006:Q1006),$O$1006:$Q$1006,0)))),"Fix")))</f>
        <v xml:space="preserve"> </v>
      </c>
      <c r="H583">
        <v>582</v>
      </c>
      <c r="I583">
        <v>100583</v>
      </c>
      <c r="J583">
        <v>583</v>
      </c>
      <c r="K583" t="b">
        <f t="shared" si="9"/>
        <v>1</v>
      </c>
      <c r="L583" t="b">
        <f>COUNTBLANK(metadata!B583:D583)=COLUMNS(metadata!B583:D583)</f>
        <v>1</v>
      </c>
      <c r="M583" t="str">
        <v/>
      </c>
      <c r="O583" t="b">
        <f ca="1"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P583" t="b">
        <f>AND(IF(metadata!C583="",FALSE,TRUE),EXACT(metadata!C583,"mouse gut metagenome"))</f>
        <v>0</v>
      </c>
      <c r="Q583" t="b">
        <f>AND(IF(metadata!D583="",FALSE,TRUE),EXACT(metadata!D583,"410661"))</f>
        <v>0</v>
      </c>
    </row>
    <row r="584" spans="1:17" x14ac:dyDescent="0.2">
      <c r="A584" s="4" t="str">
        <f ca="1">IF(B584=" "," ",HYPERLINK(CONCATENATE("#metadata!",ADDRESS(INDEX($J$2:$J$1001,MATCH(ROWS($H$2:H584),$H$2:$H$1001,0),0),1)),INDEX($M$2:$M$1001,MATCH(ROWS($H$2:H584),$H$2:$H$1001,0),0)))</f>
        <v xml:space="preserve"> </v>
      </c>
      <c r="B584" s="3" t="str">
        <f ca="1">IF(OR(INDEX($I$2:$I$1001,MATCH(ROWS($H$2:H584),$H$2:$H$1001,0),1)&gt;=100000,INDEX($O$1005:$Q$1005,1,MATCH(COLUMNS($O$1006:O1006),$O$1006:$Q$1006,0))&gt;=100000), " ",IF(INDEX($O$2:$Q$1001,MATCH(ROWS($H$2:H584),$H$2:$H$1001,0),MATCH(COLUMNS($O$1006:O1006),$O$1006:$Q$1006,0)), HYPERLINK("#",""), HYPERLINK(CONCATENATE("#metadata!", ADDRESS(INDEX($J$2:$J$1001,MATCH(ROWS($H$2:H584),$H$2:$H$1001,0),0), INDEX($O$1004:$Q$1004,1,MATCH(COLUMNS($O$1006:O1006),$O$1006:$Q$1006,0)))),"Fix")))</f>
        <v xml:space="preserve"> </v>
      </c>
      <c r="C584" s="3" t="str">
        <f ca="1">IF(OR(INDEX($I$2:$I$1001,MATCH(ROWS($H$2:H584),$H$2:$H$1001,0),1)&gt;=100000,INDEX($O$1005:$Q$1005,1,MATCH(COLUMNS($O$1006:P1006),$O$1006:$Q$1006,0))&gt;=100000), " ",IF(INDEX($O$2:$Q$1001,MATCH(ROWS($H$2:H584),$H$2:$H$1001,0),MATCH(COLUMNS($O$1006:P1006),$O$1006:$Q$1006,0)), HYPERLINK("#",""), HYPERLINK(CONCATENATE("#metadata!", ADDRESS(INDEX($J$2:$J$1001,MATCH(ROWS($H$2:H584),$H$2:$H$1001,0),0), INDEX($O$1004:$Q$1004,1,MATCH(COLUMNS($O$1006:P1006),$O$1006:$Q$1006,0)))),"Fix")))</f>
        <v xml:space="preserve"> </v>
      </c>
      <c r="D584" s="3" t="str">
        <f ca="1">IF(OR(INDEX($I$2:$I$1001,MATCH(ROWS($H$2:H584),$H$2:$H$1001,0),1)&gt;=100000,INDEX($O$1005:$Q$1005,1,MATCH(COLUMNS($O$1006:Q1006),$O$1006:$Q$1006,0))&gt;=100000), " ",IF(INDEX($O$2:$Q$1001,MATCH(ROWS($H$2:H584),$H$2:$H$1001,0),MATCH(COLUMNS($O$1006:Q1006),$O$1006:$Q$1006,0)), HYPERLINK("#",""), HYPERLINK(CONCATENATE("#metadata!", ADDRESS(INDEX($J$2:$J$1001,MATCH(ROWS($H$2:H584),$H$2:$H$1001,0),0), INDEX($O$1004:$Q$1004,1,MATCH(COLUMNS($O$1006:Q1006),$O$1006:$Q$1006,0)))),"Fix")))</f>
        <v xml:space="preserve"> </v>
      </c>
      <c r="H584">
        <v>583</v>
      </c>
      <c r="I584">
        <v>100584</v>
      </c>
      <c r="J584">
        <v>584</v>
      </c>
      <c r="K584" t="b">
        <f t="shared" si="9"/>
        <v>1</v>
      </c>
      <c r="L584" t="b">
        <f>COUNTBLANK(metadata!B584:D584)=COLUMNS(metadata!B584:D584)</f>
        <v>1</v>
      </c>
      <c r="M584" t="str">
        <v/>
      </c>
      <c r="O584" t="b">
        <f ca="1"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P584" t="b">
        <f>AND(IF(metadata!C584="",FALSE,TRUE),EXACT(metadata!C584,"mouse gut metagenome"))</f>
        <v>0</v>
      </c>
      <c r="Q584" t="b">
        <f>AND(IF(metadata!D584="",FALSE,TRUE),EXACT(metadata!D584,"410661"))</f>
        <v>0</v>
      </c>
    </row>
    <row r="585" spans="1:17" x14ac:dyDescent="0.2">
      <c r="A585" s="4" t="str">
        <f ca="1">IF(B585=" "," ",HYPERLINK(CONCATENATE("#metadata!",ADDRESS(INDEX($J$2:$J$1001,MATCH(ROWS($H$2:H585),$H$2:$H$1001,0),0),1)),INDEX($M$2:$M$1001,MATCH(ROWS($H$2:H585),$H$2:$H$1001,0),0)))</f>
        <v xml:space="preserve"> </v>
      </c>
      <c r="B585" s="3" t="str">
        <f ca="1">IF(OR(INDEX($I$2:$I$1001,MATCH(ROWS($H$2:H585),$H$2:$H$1001,0),1)&gt;=100000,INDEX($O$1005:$Q$1005,1,MATCH(COLUMNS($O$1006:O1006),$O$1006:$Q$1006,0))&gt;=100000), " ",IF(INDEX($O$2:$Q$1001,MATCH(ROWS($H$2:H585),$H$2:$H$1001,0),MATCH(COLUMNS($O$1006:O1006),$O$1006:$Q$1006,0)), HYPERLINK("#",""), HYPERLINK(CONCATENATE("#metadata!", ADDRESS(INDEX($J$2:$J$1001,MATCH(ROWS($H$2:H585),$H$2:$H$1001,0),0), INDEX($O$1004:$Q$1004,1,MATCH(COLUMNS($O$1006:O1006),$O$1006:$Q$1006,0)))),"Fix")))</f>
        <v xml:space="preserve"> </v>
      </c>
      <c r="C585" s="3" t="str">
        <f ca="1">IF(OR(INDEX($I$2:$I$1001,MATCH(ROWS($H$2:H585),$H$2:$H$1001,0),1)&gt;=100000,INDEX($O$1005:$Q$1005,1,MATCH(COLUMNS($O$1006:P1006),$O$1006:$Q$1006,0))&gt;=100000), " ",IF(INDEX($O$2:$Q$1001,MATCH(ROWS($H$2:H585),$H$2:$H$1001,0),MATCH(COLUMNS($O$1006:P1006),$O$1006:$Q$1006,0)), HYPERLINK("#",""), HYPERLINK(CONCATENATE("#metadata!", ADDRESS(INDEX($J$2:$J$1001,MATCH(ROWS($H$2:H585),$H$2:$H$1001,0),0), INDEX($O$1004:$Q$1004,1,MATCH(COLUMNS($O$1006:P1006),$O$1006:$Q$1006,0)))),"Fix")))</f>
        <v xml:space="preserve"> </v>
      </c>
      <c r="D585" s="3" t="str">
        <f ca="1">IF(OR(INDEX($I$2:$I$1001,MATCH(ROWS($H$2:H585),$H$2:$H$1001,0),1)&gt;=100000,INDEX($O$1005:$Q$1005,1,MATCH(COLUMNS($O$1006:Q1006),$O$1006:$Q$1006,0))&gt;=100000), " ",IF(INDEX($O$2:$Q$1001,MATCH(ROWS($H$2:H585),$H$2:$H$1001,0),MATCH(COLUMNS($O$1006:Q1006),$O$1006:$Q$1006,0)), HYPERLINK("#",""), HYPERLINK(CONCATENATE("#metadata!", ADDRESS(INDEX($J$2:$J$1001,MATCH(ROWS($H$2:H585),$H$2:$H$1001,0),0), INDEX($O$1004:$Q$1004,1,MATCH(COLUMNS($O$1006:Q1006),$O$1006:$Q$1006,0)))),"Fix")))</f>
        <v xml:space="preserve"> </v>
      </c>
      <c r="H585">
        <v>584</v>
      </c>
      <c r="I585">
        <v>100585</v>
      </c>
      <c r="J585">
        <v>585</v>
      </c>
      <c r="K585" t="b">
        <f t="shared" si="9"/>
        <v>1</v>
      </c>
      <c r="L585" t="b">
        <f>COUNTBLANK(metadata!B585:D585)=COLUMNS(metadata!B585:D585)</f>
        <v>1</v>
      </c>
      <c r="M585" t="str">
        <v/>
      </c>
      <c r="O585" t="b">
        <f ca="1"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P585" t="b">
        <f>AND(IF(metadata!C585="",FALSE,TRUE),EXACT(metadata!C585,"mouse gut metagenome"))</f>
        <v>0</v>
      </c>
      <c r="Q585" t="b">
        <f>AND(IF(metadata!D585="",FALSE,TRUE),EXACT(metadata!D585,"410661"))</f>
        <v>0</v>
      </c>
    </row>
    <row r="586" spans="1:17" x14ac:dyDescent="0.2">
      <c r="A586" s="4" t="str">
        <f ca="1">IF(B586=" "," ",HYPERLINK(CONCATENATE("#metadata!",ADDRESS(INDEX($J$2:$J$1001,MATCH(ROWS($H$2:H586),$H$2:$H$1001,0),0),1)),INDEX($M$2:$M$1001,MATCH(ROWS($H$2:H586),$H$2:$H$1001,0),0)))</f>
        <v xml:space="preserve"> </v>
      </c>
      <c r="B586" s="3" t="str">
        <f ca="1">IF(OR(INDEX($I$2:$I$1001,MATCH(ROWS($H$2:H586),$H$2:$H$1001,0),1)&gt;=100000,INDEX($O$1005:$Q$1005,1,MATCH(COLUMNS($O$1006:O1006),$O$1006:$Q$1006,0))&gt;=100000), " ",IF(INDEX($O$2:$Q$1001,MATCH(ROWS($H$2:H586),$H$2:$H$1001,0),MATCH(COLUMNS($O$1006:O1006),$O$1006:$Q$1006,0)), HYPERLINK("#",""), HYPERLINK(CONCATENATE("#metadata!", ADDRESS(INDEX($J$2:$J$1001,MATCH(ROWS($H$2:H586),$H$2:$H$1001,0),0), INDEX($O$1004:$Q$1004,1,MATCH(COLUMNS($O$1006:O1006),$O$1006:$Q$1006,0)))),"Fix")))</f>
        <v xml:space="preserve"> </v>
      </c>
      <c r="C586" s="3" t="str">
        <f ca="1">IF(OR(INDEX($I$2:$I$1001,MATCH(ROWS($H$2:H586),$H$2:$H$1001,0),1)&gt;=100000,INDEX($O$1005:$Q$1005,1,MATCH(COLUMNS($O$1006:P1006),$O$1006:$Q$1006,0))&gt;=100000), " ",IF(INDEX($O$2:$Q$1001,MATCH(ROWS($H$2:H586),$H$2:$H$1001,0),MATCH(COLUMNS($O$1006:P1006),$O$1006:$Q$1006,0)), HYPERLINK("#",""), HYPERLINK(CONCATENATE("#metadata!", ADDRESS(INDEX($J$2:$J$1001,MATCH(ROWS($H$2:H586),$H$2:$H$1001,0),0), INDEX($O$1004:$Q$1004,1,MATCH(COLUMNS($O$1006:P1006),$O$1006:$Q$1006,0)))),"Fix")))</f>
        <v xml:space="preserve"> </v>
      </c>
      <c r="D586" s="3" t="str">
        <f ca="1">IF(OR(INDEX($I$2:$I$1001,MATCH(ROWS($H$2:H586),$H$2:$H$1001,0),1)&gt;=100000,INDEX($O$1005:$Q$1005,1,MATCH(COLUMNS($O$1006:Q1006),$O$1006:$Q$1006,0))&gt;=100000), " ",IF(INDEX($O$2:$Q$1001,MATCH(ROWS($H$2:H586),$H$2:$H$1001,0),MATCH(COLUMNS($O$1006:Q1006),$O$1006:$Q$1006,0)), HYPERLINK("#",""), HYPERLINK(CONCATENATE("#metadata!", ADDRESS(INDEX($J$2:$J$1001,MATCH(ROWS($H$2:H586),$H$2:$H$1001,0),0), INDEX($O$1004:$Q$1004,1,MATCH(COLUMNS($O$1006:Q1006),$O$1006:$Q$1006,0)))),"Fix")))</f>
        <v xml:space="preserve"> </v>
      </c>
      <c r="H586">
        <v>585</v>
      </c>
      <c r="I586">
        <v>100586</v>
      </c>
      <c r="J586">
        <v>586</v>
      </c>
      <c r="K586" t="b">
        <f t="shared" si="9"/>
        <v>1</v>
      </c>
      <c r="L586" t="b">
        <f>COUNTBLANK(metadata!B586:D586)=COLUMNS(metadata!B586:D586)</f>
        <v>1</v>
      </c>
      <c r="M586" t="str">
        <v/>
      </c>
      <c r="O586" t="b">
        <f ca="1"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P586" t="b">
        <f>AND(IF(metadata!C586="",FALSE,TRUE),EXACT(metadata!C586,"mouse gut metagenome"))</f>
        <v>0</v>
      </c>
      <c r="Q586" t="b">
        <f>AND(IF(metadata!D586="",FALSE,TRUE),EXACT(metadata!D586,"410661"))</f>
        <v>0</v>
      </c>
    </row>
    <row r="587" spans="1:17" x14ac:dyDescent="0.2">
      <c r="A587" s="4" t="str">
        <f ca="1">IF(B587=" "," ",HYPERLINK(CONCATENATE("#metadata!",ADDRESS(INDEX($J$2:$J$1001,MATCH(ROWS($H$2:H587),$H$2:$H$1001,0),0),1)),INDEX($M$2:$M$1001,MATCH(ROWS($H$2:H587),$H$2:$H$1001,0),0)))</f>
        <v xml:space="preserve"> </v>
      </c>
      <c r="B587" s="3" t="str">
        <f ca="1">IF(OR(INDEX($I$2:$I$1001,MATCH(ROWS($H$2:H587),$H$2:$H$1001,0),1)&gt;=100000,INDEX($O$1005:$Q$1005,1,MATCH(COLUMNS($O$1006:O1006),$O$1006:$Q$1006,0))&gt;=100000), " ",IF(INDEX($O$2:$Q$1001,MATCH(ROWS($H$2:H587),$H$2:$H$1001,0),MATCH(COLUMNS($O$1006:O1006),$O$1006:$Q$1006,0)), HYPERLINK("#",""), HYPERLINK(CONCATENATE("#metadata!", ADDRESS(INDEX($J$2:$J$1001,MATCH(ROWS($H$2:H587),$H$2:$H$1001,0),0), INDEX($O$1004:$Q$1004,1,MATCH(COLUMNS($O$1006:O1006),$O$1006:$Q$1006,0)))),"Fix")))</f>
        <v xml:space="preserve"> </v>
      </c>
      <c r="C587" s="3" t="str">
        <f ca="1">IF(OR(INDEX($I$2:$I$1001,MATCH(ROWS($H$2:H587),$H$2:$H$1001,0),1)&gt;=100000,INDEX($O$1005:$Q$1005,1,MATCH(COLUMNS($O$1006:P1006),$O$1006:$Q$1006,0))&gt;=100000), " ",IF(INDEX($O$2:$Q$1001,MATCH(ROWS($H$2:H587),$H$2:$H$1001,0),MATCH(COLUMNS($O$1006:P1006),$O$1006:$Q$1006,0)), HYPERLINK("#",""), HYPERLINK(CONCATENATE("#metadata!", ADDRESS(INDEX($J$2:$J$1001,MATCH(ROWS($H$2:H587),$H$2:$H$1001,0),0), INDEX($O$1004:$Q$1004,1,MATCH(COLUMNS($O$1006:P1006),$O$1006:$Q$1006,0)))),"Fix")))</f>
        <v xml:space="preserve"> </v>
      </c>
      <c r="D587" s="3" t="str">
        <f ca="1">IF(OR(INDEX($I$2:$I$1001,MATCH(ROWS($H$2:H587),$H$2:$H$1001,0),1)&gt;=100000,INDEX($O$1005:$Q$1005,1,MATCH(COLUMNS($O$1006:Q1006),$O$1006:$Q$1006,0))&gt;=100000), " ",IF(INDEX($O$2:$Q$1001,MATCH(ROWS($H$2:H587),$H$2:$H$1001,0),MATCH(COLUMNS($O$1006:Q1006),$O$1006:$Q$1006,0)), HYPERLINK("#",""), HYPERLINK(CONCATENATE("#metadata!", ADDRESS(INDEX($J$2:$J$1001,MATCH(ROWS($H$2:H587),$H$2:$H$1001,0),0), INDEX($O$1004:$Q$1004,1,MATCH(COLUMNS($O$1006:Q1006),$O$1006:$Q$1006,0)))),"Fix")))</f>
        <v xml:space="preserve"> </v>
      </c>
      <c r="H587">
        <v>586</v>
      </c>
      <c r="I587">
        <v>100587</v>
      </c>
      <c r="J587">
        <v>587</v>
      </c>
      <c r="K587" t="b">
        <f t="shared" si="9"/>
        <v>1</v>
      </c>
      <c r="L587" t="b">
        <f>COUNTBLANK(metadata!B587:D587)=COLUMNS(metadata!B587:D587)</f>
        <v>1</v>
      </c>
      <c r="M587" t="str">
        <v/>
      </c>
      <c r="O587" t="b">
        <f ca="1"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P587" t="b">
        <f>AND(IF(metadata!C587="",FALSE,TRUE),EXACT(metadata!C587,"mouse gut metagenome"))</f>
        <v>0</v>
      </c>
      <c r="Q587" t="b">
        <f>AND(IF(metadata!D587="",FALSE,TRUE),EXACT(metadata!D587,"410661"))</f>
        <v>0</v>
      </c>
    </row>
    <row r="588" spans="1:17" x14ac:dyDescent="0.2">
      <c r="A588" s="4" t="str">
        <f ca="1">IF(B588=" "," ",HYPERLINK(CONCATENATE("#metadata!",ADDRESS(INDEX($J$2:$J$1001,MATCH(ROWS($H$2:H588),$H$2:$H$1001,0),0),1)),INDEX($M$2:$M$1001,MATCH(ROWS($H$2:H588),$H$2:$H$1001,0),0)))</f>
        <v xml:space="preserve"> </v>
      </c>
      <c r="B588" s="3" t="str">
        <f ca="1">IF(OR(INDEX($I$2:$I$1001,MATCH(ROWS($H$2:H588),$H$2:$H$1001,0),1)&gt;=100000,INDEX($O$1005:$Q$1005,1,MATCH(COLUMNS($O$1006:O1006),$O$1006:$Q$1006,0))&gt;=100000), " ",IF(INDEX($O$2:$Q$1001,MATCH(ROWS($H$2:H588),$H$2:$H$1001,0),MATCH(COLUMNS($O$1006:O1006),$O$1006:$Q$1006,0)), HYPERLINK("#",""), HYPERLINK(CONCATENATE("#metadata!", ADDRESS(INDEX($J$2:$J$1001,MATCH(ROWS($H$2:H588),$H$2:$H$1001,0),0), INDEX($O$1004:$Q$1004,1,MATCH(COLUMNS($O$1006:O1006),$O$1006:$Q$1006,0)))),"Fix")))</f>
        <v xml:space="preserve"> </v>
      </c>
      <c r="C588" s="3" t="str">
        <f ca="1">IF(OR(INDEX($I$2:$I$1001,MATCH(ROWS($H$2:H588),$H$2:$H$1001,0),1)&gt;=100000,INDEX($O$1005:$Q$1005,1,MATCH(COLUMNS($O$1006:P1006),$O$1006:$Q$1006,0))&gt;=100000), " ",IF(INDEX($O$2:$Q$1001,MATCH(ROWS($H$2:H588),$H$2:$H$1001,0),MATCH(COLUMNS($O$1006:P1006),$O$1006:$Q$1006,0)), HYPERLINK("#",""), HYPERLINK(CONCATENATE("#metadata!", ADDRESS(INDEX($J$2:$J$1001,MATCH(ROWS($H$2:H588),$H$2:$H$1001,0),0), INDEX($O$1004:$Q$1004,1,MATCH(COLUMNS($O$1006:P1006),$O$1006:$Q$1006,0)))),"Fix")))</f>
        <v xml:space="preserve"> </v>
      </c>
      <c r="D588" s="3" t="str">
        <f ca="1">IF(OR(INDEX($I$2:$I$1001,MATCH(ROWS($H$2:H588),$H$2:$H$1001,0),1)&gt;=100000,INDEX($O$1005:$Q$1005,1,MATCH(COLUMNS($O$1006:Q1006),$O$1006:$Q$1006,0))&gt;=100000), " ",IF(INDEX($O$2:$Q$1001,MATCH(ROWS($H$2:H588),$H$2:$H$1001,0),MATCH(COLUMNS($O$1006:Q1006),$O$1006:$Q$1006,0)), HYPERLINK("#",""), HYPERLINK(CONCATENATE("#metadata!", ADDRESS(INDEX($J$2:$J$1001,MATCH(ROWS($H$2:H588),$H$2:$H$1001,0),0), INDEX($O$1004:$Q$1004,1,MATCH(COLUMNS($O$1006:Q1006),$O$1006:$Q$1006,0)))),"Fix")))</f>
        <v xml:space="preserve"> </v>
      </c>
      <c r="H588">
        <v>587</v>
      </c>
      <c r="I588">
        <v>100588</v>
      </c>
      <c r="J588">
        <v>588</v>
      </c>
      <c r="K588" t="b">
        <f t="shared" si="9"/>
        <v>1</v>
      </c>
      <c r="L588" t="b">
        <f>COUNTBLANK(metadata!B588:D588)=COLUMNS(metadata!B588:D588)</f>
        <v>1</v>
      </c>
      <c r="M588" t="str">
        <v/>
      </c>
      <c r="O588" t="b">
        <f ca="1"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P588" t="b">
        <f>AND(IF(metadata!C588="",FALSE,TRUE),EXACT(metadata!C588,"mouse gut metagenome"))</f>
        <v>0</v>
      </c>
      <c r="Q588" t="b">
        <f>AND(IF(metadata!D588="",FALSE,TRUE),EXACT(metadata!D588,"410661"))</f>
        <v>0</v>
      </c>
    </row>
    <row r="589" spans="1:17" x14ac:dyDescent="0.2">
      <c r="A589" s="4" t="str">
        <f ca="1">IF(B589=" "," ",HYPERLINK(CONCATENATE("#metadata!",ADDRESS(INDEX($J$2:$J$1001,MATCH(ROWS($H$2:H589),$H$2:$H$1001,0),0),1)),INDEX($M$2:$M$1001,MATCH(ROWS($H$2:H589),$H$2:$H$1001,0),0)))</f>
        <v xml:space="preserve"> </v>
      </c>
      <c r="B589" s="3" t="str">
        <f ca="1">IF(OR(INDEX($I$2:$I$1001,MATCH(ROWS($H$2:H589),$H$2:$H$1001,0),1)&gt;=100000,INDEX($O$1005:$Q$1005,1,MATCH(COLUMNS($O$1006:O1006),$O$1006:$Q$1006,0))&gt;=100000), " ",IF(INDEX($O$2:$Q$1001,MATCH(ROWS($H$2:H589),$H$2:$H$1001,0),MATCH(COLUMNS($O$1006:O1006),$O$1006:$Q$1006,0)), HYPERLINK("#",""), HYPERLINK(CONCATENATE("#metadata!", ADDRESS(INDEX($J$2:$J$1001,MATCH(ROWS($H$2:H589),$H$2:$H$1001,0),0), INDEX($O$1004:$Q$1004,1,MATCH(COLUMNS($O$1006:O1006),$O$1006:$Q$1006,0)))),"Fix")))</f>
        <v xml:space="preserve"> </v>
      </c>
      <c r="C589" s="3" t="str">
        <f ca="1">IF(OR(INDEX($I$2:$I$1001,MATCH(ROWS($H$2:H589),$H$2:$H$1001,0),1)&gt;=100000,INDEX($O$1005:$Q$1005,1,MATCH(COLUMNS($O$1006:P1006),$O$1006:$Q$1006,0))&gt;=100000), " ",IF(INDEX($O$2:$Q$1001,MATCH(ROWS($H$2:H589),$H$2:$H$1001,0),MATCH(COLUMNS($O$1006:P1006),$O$1006:$Q$1006,0)), HYPERLINK("#",""), HYPERLINK(CONCATENATE("#metadata!", ADDRESS(INDEX($J$2:$J$1001,MATCH(ROWS($H$2:H589),$H$2:$H$1001,0),0), INDEX($O$1004:$Q$1004,1,MATCH(COLUMNS($O$1006:P1006),$O$1006:$Q$1006,0)))),"Fix")))</f>
        <v xml:space="preserve"> </v>
      </c>
      <c r="D589" s="3" t="str">
        <f ca="1">IF(OR(INDEX($I$2:$I$1001,MATCH(ROWS($H$2:H589),$H$2:$H$1001,0),1)&gt;=100000,INDEX($O$1005:$Q$1005,1,MATCH(COLUMNS($O$1006:Q1006),$O$1006:$Q$1006,0))&gt;=100000), " ",IF(INDEX($O$2:$Q$1001,MATCH(ROWS($H$2:H589),$H$2:$H$1001,0),MATCH(COLUMNS($O$1006:Q1006),$O$1006:$Q$1006,0)), HYPERLINK("#",""), HYPERLINK(CONCATENATE("#metadata!", ADDRESS(INDEX($J$2:$J$1001,MATCH(ROWS($H$2:H589),$H$2:$H$1001,0),0), INDEX($O$1004:$Q$1004,1,MATCH(COLUMNS($O$1006:Q1006),$O$1006:$Q$1006,0)))),"Fix")))</f>
        <v xml:space="preserve"> </v>
      </c>
      <c r="H589">
        <v>588</v>
      </c>
      <c r="I589">
        <v>100589</v>
      </c>
      <c r="J589">
        <v>589</v>
      </c>
      <c r="K589" t="b">
        <f t="shared" si="9"/>
        <v>1</v>
      </c>
      <c r="L589" t="b">
        <f>COUNTBLANK(metadata!B589:D589)=COLUMNS(metadata!B589:D589)</f>
        <v>1</v>
      </c>
      <c r="M589" t="str">
        <v/>
      </c>
      <c r="O589" t="b">
        <f ca="1"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P589" t="b">
        <f>AND(IF(metadata!C589="",FALSE,TRUE),EXACT(metadata!C589,"mouse gut metagenome"))</f>
        <v>0</v>
      </c>
      <c r="Q589" t="b">
        <f>AND(IF(metadata!D589="",FALSE,TRUE),EXACT(metadata!D589,"410661"))</f>
        <v>0</v>
      </c>
    </row>
    <row r="590" spans="1:17" x14ac:dyDescent="0.2">
      <c r="A590" s="4" t="str">
        <f ca="1">IF(B590=" "," ",HYPERLINK(CONCATENATE("#metadata!",ADDRESS(INDEX($J$2:$J$1001,MATCH(ROWS($H$2:H590),$H$2:$H$1001,0),0),1)),INDEX($M$2:$M$1001,MATCH(ROWS($H$2:H590),$H$2:$H$1001,0),0)))</f>
        <v xml:space="preserve"> </v>
      </c>
      <c r="B590" s="3" t="str">
        <f ca="1">IF(OR(INDEX($I$2:$I$1001,MATCH(ROWS($H$2:H590),$H$2:$H$1001,0),1)&gt;=100000,INDEX($O$1005:$Q$1005,1,MATCH(COLUMNS($O$1006:O1006),$O$1006:$Q$1006,0))&gt;=100000), " ",IF(INDEX($O$2:$Q$1001,MATCH(ROWS($H$2:H590),$H$2:$H$1001,0),MATCH(COLUMNS($O$1006:O1006),$O$1006:$Q$1006,0)), HYPERLINK("#",""), HYPERLINK(CONCATENATE("#metadata!", ADDRESS(INDEX($J$2:$J$1001,MATCH(ROWS($H$2:H590),$H$2:$H$1001,0),0), INDEX($O$1004:$Q$1004,1,MATCH(COLUMNS($O$1006:O1006),$O$1006:$Q$1006,0)))),"Fix")))</f>
        <v xml:space="preserve"> </v>
      </c>
      <c r="C590" s="3" t="str">
        <f ca="1">IF(OR(INDEX($I$2:$I$1001,MATCH(ROWS($H$2:H590),$H$2:$H$1001,0),1)&gt;=100000,INDEX($O$1005:$Q$1005,1,MATCH(COLUMNS($O$1006:P1006),$O$1006:$Q$1006,0))&gt;=100000), " ",IF(INDEX($O$2:$Q$1001,MATCH(ROWS($H$2:H590),$H$2:$H$1001,0),MATCH(COLUMNS($O$1006:P1006),$O$1006:$Q$1006,0)), HYPERLINK("#",""), HYPERLINK(CONCATENATE("#metadata!", ADDRESS(INDEX($J$2:$J$1001,MATCH(ROWS($H$2:H590),$H$2:$H$1001,0),0), INDEX($O$1004:$Q$1004,1,MATCH(COLUMNS($O$1006:P1006),$O$1006:$Q$1006,0)))),"Fix")))</f>
        <v xml:space="preserve"> </v>
      </c>
      <c r="D590" s="3" t="str">
        <f ca="1">IF(OR(INDEX($I$2:$I$1001,MATCH(ROWS($H$2:H590),$H$2:$H$1001,0),1)&gt;=100000,INDEX($O$1005:$Q$1005,1,MATCH(COLUMNS($O$1006:Q1006),$O$1006:$Q$1006,0))&gt;=100000), " ",IF(INDEX($O$2:$Q$1001,MATCH(ROWS($H$2:H590),$H$2:$H$1001,0),MATCH(COLUMNS($O$1006:Q1006),$O$1006:$Q$1006,0)), HYPERLINK("#",""), HYPERLINK(CONCATENATE("#metadata!", ADDRESS(INDEX($J$2:$J$1001,MATCH(ROWS($H$2:H590),$H$2:$H$1001,0),0), INDEX($O$1004:$Q$1004,1,MATCH(COLUMNS($O$1006:Q1006),$O$1006:$Q$1006,0)))),"Fix")))</f>
        <v xml:space="preserve"> </v>
      </c>
      <c r="H590">
        <v>589</v>
      </c>
      <c r="I590">
        <v>100590</v>
      </c>
      <c r="J590">
        <v>590</v>
      </c>
      <c r="K590" t="b">
        <f t="shared" si="9"/>
        <v>1</v>
      </c>
      <c r="L590" t="b">
        <f>COUNTBLANK(metadata!B590:D590)=COLUMNS(metadata!B590:D590)</f>
        <v>1</v>
      </c>
      <c r="M590" t="str">
        <v/>
      </c>
      <c r="O590" t="b">
        <f ca="1"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P590" t="b">
        <f>AND(IF(metadata!C590="",FALSE,TRUE),EXACT(metadata!C590,"mouse gut metagenome"))</f>
        <v>0</v>
      </c>
      <c r="Q590" t="b">
        <f>AND(IF(metadata!D590="",FALSE,TRUE),EXACT(metadata!D590,"410661"))</f>
        <v>0</v>
      </c>
    </row>
    <row r="591" spans="1:17" x14ac:dyDescent="0.2">
      <c r="A591" s="4" t="str">
        <f ca="1">IF(B591=" "," ",HYPERLINK(CONCATENATE("#metadata!",ADDRESS(INDEX($J$2:$J$1001,MATCH(ROWS($H$2:H591),$H$2:$H$1001,0),0),1)),INDEX($M$2:$M$1001,MATCH(ROWS($H$2:H591),$H$2:$H$1001,0),0)))</f>
        <v xml:space="preserve"> </v>
      </c>
      <c r="B591" s="3" t="str">
        <f ca="1">IF(OR(INDEX($I$2:$I$1001,MATCH(ROWS($H$2:H591),$H$2:$H$1001,0),1)&gt;=100000,INDEX($O$1005:$Q$1005,1,MATCH(COLUMNS($O$1006:O1006),$O$1006:$Q$1006,0))&gt;=100000), " ",IF(INDEX($O$2:$Q$1001,MATCH(ROWS($H$2:H591),$H$2:$H$1001,0),MATCH(COLUMNS($O$1006:O1006),$O$1006:$Q$1006,0)), HYPERLINK("#",""), HYPERLINK(CONCATENATE("#metadata!", ADDRESS(INDEX($J$2:$J$1001,MATCH(ROWS($H$2:H591),$H$2:$H$1001,0),0), INDEX($O$1004:$Q$1004,1,MATCH(COLUMNS($O$1006:O1006),$O$1006:$Q$1006,0)))),"Fix")))</f>
        <v xml:space="preserve"> </v>
      </c>
      <c r="C591" s="3" t="str">
        <f ca="1">IF(OR(INDEX($I$2:$I$1001,MATCH(ROWS($H$2:H591),$H$2:$H$1001,0),1)&gt;=100000,INDEX($O$1005:$Q$1005,1,MATCH(COLUMNS($O$1006:P1006),$O$1006:$Q$1006,0))&gt;=100000), " ",IF(INDEX($O$2:$Q$1001,MATCH(ROWS($H$2:H591),$H$2:$H$1001,0),MATCH(COLUMNS($O$1006:P1006),$O$1006:$Q$1006,0)), HYPERLINK("#",""), HYPERLINK(CONCATENATE("#metadata!", ADDRESS(INDEX($J$2:$J$1001,MATCH(ROWS($H$2:H591),$H$2:$H$1001,0),0), INDEX($O$1004:$Q$1004,1,MATCH(COLUMNS($O$1006:P1006),$O$1006:$Q$1006,0)))),"Fix")))</f>
        <v xml:space="preserve"> </v>
      </c>
      <c r="D591" s="3" t="str">
        <f ca="1">IF(OR(INDEX($I$2:$I$1001,MATCH(ROWS($H$2:H591),$H$2:$H$1001,0),1)&gt;=100000,INDEX($O$1005:$Q$1005,1,MATCH(COLUMNS($O$1006:Q1006),$O$1006:$Q$1006,0))&gt;=100000), " ",IF(INDEX($O$2:$Q$1001,MATCH(ROWS($H$2:H591),$H$2:$H$1001,0),MATCH(COLUMNS($O$1006:Q1006),$O$1006:$Q$1006,0)), HYPERLINK("#",""), HYPERLINK(CONCATENATE("#metadata!", ADDRESS(INDEX($J$2:$J$1001,MATCH(ROWS($H$2:H591),$H$2:$H$1001,0),0), INDEX($O$1004:$Q$1004,1,MATCH(COLUMNS($O$1006:Q1006),$O$1006:$Q$1006,0)))),"Fix")))</f>
        <v xml:space="preserve"> </v>
      </c>
      <c r="H591">
        <v>590</v>
      </c>
      <c r="I591">
        <v>100591</v>
      </c>
      <c r="J591">
        <v>591</v>
      </c>
      <c r="K591" t="b">
        <f t="shared" si="9"/>
        <v>1</v>
      </c>
      <c r="L591" t="b">
        <f>COUNTBLANK(metadata!B591:D591)=COLUMNS(metadata!B591:D591)</f>
        <v>1</v>
      </c>
      <c r="M591" t="str">
        <v/>
      </c>
      <c r="O591" t="b">
        <f ca="1"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P591" t="b">
        <f>AND(IF(metadata!C591="",FALSE,TRUE),EXACT(metadata!C591,"mouse gut metagenome"))</f>
        <v>0</v>
      </c>
      <c r="Q591" t="b">
        <f>AND(IF(metadata!D591="",FALSE,TRUE),EXACT(metadata!D591,"410661"))</f>
        <v>0</v>
      </c>
    </row>
    <row r="592" spans="1:17" x14ac:dyDescent="0.2">
      <c r="A592" s="4" t="str">
        <f ca="1">IF(B592=" "," ",HYPERLINK(CONCATENATE("#metadata!",ADDRESS(INDEX($J$2:$J$1001,MATCH(ROWS($H$2:H592),$H$2:$H$1001,0),0),1)),INDEX($M$2:$M$1001,MATCH(ROWS($H$2:H592),$H$2:$H$1001,0),0)))</f>
        <v xml:space="preserve"> </v>
      </c>
      <c r="B592" s="3" t="str">
        <f ca="1">IF(OR(INDEX($I$2:$I$1001,MATCH(ROWS($H$2:H592),$H$2:$H$1001,0),1)&gt;=100000,INDEX($O$1005:$Q$1005,1,MATCH(COLUMNS($O$1006:O1006),$O$1006:$Q$1006,0))&gt;=100000), " ",IF(INDEX($O$2:$Q$1001,MATCH(ROWS($H$2:H592),$H$2:$H$1001,0),MATCH(COLUMNS($O$1006:O1006),$O$1006:$Q$1006,0)), HYPERLINK("#",""), HYPERLINK(CONCATENATE("#metadata!", ADDRESS(INDEX($J$2:$J$1001,MATCH(ROWS($H$2:H592),$H$2:$H$1001,0),0), INDEX($O$1004:$Q$1004,1,MATCH(COLUMNS($O$1006:O1006),$O$1006:$Q$1006,0)))),"Fix")))</f>
        <v xml:space="preserve"> </v>
      </c>
      <c r="C592" s="3" t="str">
        <f ca="1">IF(OR(INDEX($I$2:$I$1001,MATCH(ROWS($H$2:H592),$H$2:$H$1001,0),1)&gt;=100000,INDEX($O$1005:$Q$1005,1,MATCH(COLUMNS($O$1006:P1006),$O$1006:$Q$1006,0))&gt;=100000), " ",IF(INDEX($O$2:$Q$1001,MATCH(ROWS($H$2:H592),$H$2:$H$1001,0),MATCH(COLUMNS($O$1006:P1006),$O$1006:$Q$1006,0)), HYPERLINK("#",""), HYPERLINK(CONCATENATE("#metadata!", ADDRESS(INDEX($J$2:$J$1001,MATCH(ROWS($H$2:H592),$H$2:$H$1001,0),0), INDEX($O$1004:$Q$1004,1,MATCH(COLUMNS($O$1006:P1006),$O$1006:$Q$1006,0)))),"Fix")))</f>
        <v xml:space="preserve"> </v>
      </c>
      <c r="D592" s="3" t="str">
        <f ca="1">IF(OR(INDEX($I$2:$I$1001,MATCH(ROWS($H$2:H592),$H$2:$H$1001,0),1)&gt;=100000,INDEX($O$1005:$Q$1005,1,MATCH(COLUMNS($O$1006:Q1006),$O$1006:$Q$1006,0))&gt;=100000), " ",IF(INDEX($O$2:$Q$1001,MATCH(ROWS($H$2:H592),$H$2:$H$1001,0),MATCH(COLUMNS($O$1006:Q1006),$O$1006:$Q$1006,0)), HYPERLINK("#",""), HYPERLINK(CONCATENATE("#metadata!", ADDRESS(INDEX($J$2:$J$1001,MATCH(ROWS($H$2:H592),$H$2:$H$1001,0),0), INDEX($O$1004:$Q$1004,1,MATCH(COLUMNS($O$1006:Q1006),$O$1006:$Q$1006,0)))),"Fix")))</f>
        <v xml:space="preserve"> </v>
      </c>
      <c r="H592">
        <v>591</v>
      </c>
      <c r="I592">
        <v>100592</v>
      </c>
      <c r="J592">
        <v>592</v>
      </c>
      <c r="K592" t="b">
        <f t="shared" si="9"/>
        <v>1</v>
      </c>
      <c r="L592" t="b">
        <f>COUNTBLANK(metadata!B592:D592)=COLUMNS(metadata!B592:D592)</f>
        <v>1</v>
      </c>
      <c r="M592" t="str">
        <v/>
      </c>
      <c r="O592" t="b">
        <f ca="1"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P592" t="b">
        <f>AND(IF(metadata!C592="",FALSE,TRUE),EXACT(metadata!C592,"mouse gut metagenome"))</f>
        <v>0</v>
      </c>
      <c r="Q592" t="b">
        <f>AND(IF(metadata!D592="",FALSE,TRUE),EXACT(metadata!D592,"410661"))</f>
        <v>0</v>
      </c>
    </row>
    <row r="593" spans="1:17" x14ac:dyDescent="0.2">
      <c r="A593" s="4" t="str">
        <f ca="1">IF(B593=" "," ",HYPERLINK(CONCATENATE("#metadata!",ADDRESS(INDEX($J$2:$J$1001,MATCH(ROWS($H$2:H593),$H$2:$H$1001,0),0),1)),INDEX($M$2:$M$1001,MATCH(ROWS($H$2:H593),$H$2:$H$1001,0),0)))</f>
        <v xml:space="preserve"> </v>
      </c>
      <c r="B593" s="3" t="str">
        <f ca="1">IF(OR(INDEX($I$2:$I$1001,MATCH(ROWS($H$2:H593),$H$2:$H$1001,0),1)&gt;=100000,INDEX($O$1005:$Q$1005,1,MATCH(COLUMNS($O$1006:O1006),$O$1006:$Q$1006,0))&gt;=100000), " ",IF(INDEX($O$2:$Q$1001,MATCH(ROWS($H$2:H593),$H$2:$H$1001,0),MATCH(COLUMNS($O$1006:O1006),$O$1006:$Q$1006,0)), HYPERLINK("#",""), HYPERLINK(CONCATENATE("#metadata!", ADDRESS(INDEX($J$2:$J$1001,MATCH(ROWS($H$2:H593),$H$2:$H$1001,0),0), INDEX($O$1004:$Q$1004,1,MATCH(COLUMNS($O$1006:O1006),$O$1006:$Q$1006,0)))),"Fix")))</f>
        <v xml:space="preserve"> </v>
      </c>
      <c r="C593" s="3" t="str">
        <f ca="1">IF(OR(INDEX($I$2:$I$1001,MATCH(ROWS($H$2:H593),$H$2:$H$1001,0),1)&gt;=100000,INDEX($O$1005:$Q$1005,1,MATCH(COLUMNS($O$1006:P1006),$O$1006:$Q$1006,0))&gt;=100000), " ",IF(INDEX($O$2:$Q$1001,MATCH(ROWS($H$2:H593),$H$2:$H$1001,0),MATCH(COLUMNS($O$1006:P1006),$O$1006:$Q$1006,0)), HYPERLINK("#",""), HYPERLINK(CONCATENATE("#metadata!", ADDRESS(INDEX($J$2:$J$1001,MATCH(ROWS($H$2:H593),$H$2:$H$1001,0),0), INDEX($O$1004:$Q$1004,1,MATCH(COLUMNS($O$1006:P1006),$O$1006:$Q$1006,0)))),"Fix")))</f>
        <v xml:space="preserve"> </v>
      </c>
      <c r="D593" s="3" t="str">
        <f ca="1">IF(OR(INDEX($I$2:$I$1001,MATCH(ROWS($H$2:H593),$H$2:$H$1001,0),1)&gt;=100000,INDEX($O$1005:$Q$1005,1,MATCH(COLUMNS($O$1006:Q1006),$O$1006:$Q$1006,0))&gt;=100000), " ",IF(INDEX($O$2:$Q$1001,MATCH(ROWS($H$2:H593),$H$2:$H$1001,0),MATCH(COLUMNS($O$1006:Q1006),$O$1006:$Q$1006,0)), HYPERLINK("#",""), HYPERLINK(CONCATENATE("#metadata!", ADDRESS(INDEX($J$2:$J$1001,MATCH(ROWS($H$2:H593),$H$2:$H$1001,0),0), INDEX($O$1004:$Q$1004,1,MATCH(COLUMNS($O$1006:Q1006),$O$1006:$Q$1006,0)))),"Fix")))</f>
        <v xml:space="preserve"> </v>
      </c>
      <c r="H593">
        <v>592</v>
      </c>
      <c r="I593">
        <v>100593</v>
      </c>
      <c r="J593">
        <v>593</v>
      </c>
      <c r="K593" t="b">
        <f t="shared" si="9"/>
        <v>1</v>
      </c>
      <c r="L593" t="b">
        <f>COUNTBLANK(metadata!B593:D593)=COLUMNS(metadata!B593:D593)</f>
        <v>1</v>
      </c>
      <c r="M593" t="str">
        <v/>
      </c>
      <c r="O593" t="b">
        <f ca="1"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P593" t="b">
        <f>AND(IF(metadata!C593="",FALSE,TRUE),EXACT(metadata!C593,"mouse gut metagenome"))</f>
        <v>0</v>
      </c>
      <c r="Q593" t="b">
        <f>AND(IF(metadata!D593="",FALSE,TRUE),EXACT(metadata!D593,"410661"))</f>
        <v>0</v>
      </c>
    </row>
    <row r="594" spans="1:17" x14ac:dyDescent="0.2">
      <c r="A594" s="4" t="str">
        <f ca="1">IF(B594=" "," ",HYPERLINK(CONCATENATE("#metadata!",ADDRESS(INDEX($J$2:$J$1001,MATCH(ROWS($H$2:H594),$H$2:$H$1001,0),0),1)),INDEX($M$2:$M$1001,MATCH(ROWS($H$2:H594),$H$2:$H$1001,0),0)))</f>
        <v xml:space="preserve"> </v>
      </c>
      <c r="B594" s="3" t="str">
        <f ca="1">IF(OR(INDEX($I$2:$I$1001,MATCH(ROWS($H$2:H594),$H$2:$H$1001,0),1)&gt;=100000,INDEX($O$1005:$Q$1005,1,MATCH(COLUMNS($O$1006:O1006),$O$1006:$Q$1006,0))&gt;=100000), " ",IF(INDEX($O$2:$Q$1001,MATCH(ROWS($H$2:H594),$H$2:$H$1001,0),MATCH(COLUMNS($O$1006:O1006),$O$1006:$Q$1006,0)), HYPERLINK("#",""), HYPERLINK(CONCATENATE("#metadata!", ADDRESS(INDEX($J$2:$J$1001,MATCH(ROWS($H$2:H594),$H$2:$H$1001,0),0), INDEX($O$1004:$Q$1004,1,MATCH(COLUMNS($O$1006:O1006),$O$1006:$Q$1006,0)))),"Fix")))</f>
        <v xml:space="preserve"> </v>
      </c>
      <c r="C594" s="3" t="str">
        <f ca="1">IF(OR(INDEX($I$2:$I$1001,MATCH(ROWS($H$2:H594),$H$2:$H$1001,0),1)&gt;=100000,INDEX($O$1005:$Q$1005,1,MATCH(COLUMNS($O$1006:P1006),$O$1006:$Q$1006,0))&gt;=100000), " ",IF(INDEX($O$2:$Q$1001,MATCH(ROWS($H$2:H594),$H$2:$H$1001,0),MATCH(COLUMNS($O$1006:P1006),$O$1006:$Q$1006,0)), HYPERLINK("#",""), HYPERLINK(CONCATENATE("#metadata!", ADDRESS(INDEX($J$2:$J$1001,MATCH(ROWS($H$2:H594),$H$2:$H$1001,0),0), INDEX($O$1004:$Q$1004,1,MATCH(COLUMNS($O$1006:P1006),$O$1006:$Q$1006,0)))),"Fix")))</f>
        <v xml:space="preserve"> </v>
      </c>
      <c r="D594" s="3" t="str">
        <f ca="1">IF(OR(INDEX($I$2:$I$1001,MATCH(ROWS($H$2:H594),$H$2:$H$1001,0),1)&gt;=100000,INDEX($O$1005:$Q$1005,1,MATCH(COLUMNS($O$1006:Q1006),$O$1006:$Q$1006,0))&gt;=100000), " ",IF(INDEX($O$2:$Q$1001,MATCH(ROWS($H$2:H594),$H$2:$H$1001,0),MATCH(COLUMNS($O$1006:Q1006),$O$1006:$Q$1006,0)), HYPERLINK("#",""), HYPERLINK(CONCATENATE("#metadata!", ADDRESS(INDEX($J$2:$J$1001,MATCH(ROWS($H$2:H594),$H$2:$H$1001,0),0), INDEX($O$1004:$Q$1004,1,MATCH(COLUMNS($O$1006:Q1006),$O$1006:$Q$1006,0)))),"Fix")))</f>
        <v xml:space="preserve"> </v>
      </c>
      <c r="H594">
        <v>593</v>
      </c>
      <c r="I594">
        <v>100594</v>
      </c>
      <c r="J594">
        <v>594</v>
      </c>
      <c r="K594" t="b">
        <f t="shared" si="9"/>
        <v>1</v>
      </c>
      <c r="L594" t="b">
        <f>COUNTBLANK(metadata!B594:D594)=COLUMNS(metadata!B594:D594)</f>
        <v>1</v>
      </c>
      <c r="M594" t="str">
        <v/>
      </c>
      <c r="O594" t="b">
        <f ca="1"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P594" t="b">
        <f>AND(IF(metadata!C594="",FALSE,TRUE),EXACT(metadata!C594,"mouse gut metagenome"))</f>
        <v>0</v>
      </c>
      <c r="Q594" t="b">
        <f>AND(IF(metadata!D594="",FALSE,TRUE),EXACT(metadata!D594,"410661"))</f>
        <v>0</v>
      </c>
    </row>
    <row r="595" spans="1:17" x14ac:dyDescent="0.2">
      <c r="A595" s="4" t="str">
        <f ca="1">IF(B595=" "," ",HYPERLINK(CONCATENATE("#metadata!",ADDRESS(INDEX($J$2:$J$1001,MATCH(ROWS($H$2:H595),$H$2:$H$1001,0),0),1)),INDEX($M$2:$M$1001,MATCH(ROWS($H$2:H595),$H$2:$H$1001,0),0)))</f>
        <v xml:space="preserve"> </v>
      </c>
      <c r="B595" s="3" t="str">
        <f ca="1">IF(OR(INDEX($I$2:$I$1001,MATCH(ROWS($H$2:H595),$H$2:$H$1001,0),1)&gt;=100000,INDEX($O$1005:$Q$1005,1,MATCH(COLUMNS($O$1006:O1006),$O$1006:$Q$1006,0))&gt;=100000), " ",IF(INDEX($O$2:$Q$1001,MATCH(ROWS($H$2:H595),$H$2:$H$1001,0),MATCH(COLUMNS($O$1006:O1006),$O$1006:$Q$1006,0)), HYPERLINK("#",""), HYPERLINK(CONCATENATE("#metadata!", ADDRESS(INDEX($J$2:$J$1001,MATCH(ROWS($H$2:H595),$H$2:$H$1001,0),0), INDEX($O$1004:$Q$1004,1,MATCH(COLUMNS($O$1006:O1006),$O$1006:$Q$1006,0)))),"Fix")))</f>
        <v xml:space="preserve"> </v>
      </c>
      <c r="C595" s="3" t="str">
        <f ca="1">IF(OR(INDEX($I$2:$I$1001,MATCH(ROWS($H$2:H595),$H$2:$H$1001,0),1)&gt;=100000,INDEX($O$1005:$Q$1005,1,MATCH(COLUMNS($O$1006:P1006),$O$1006:$Q$1006,0))&gt;=100000), " ",IF(INDEX($O$2:$Q$1001,MATCH(ROWS($H$2:H595),$H$2:$H$1001,0),MATCH(COLUMNS($O$1006:P1006),$O$1006:$Q$1006,0)), HYPERLINK("#",""), HYPERLINK(CONCATENATE("#metadata!", ADDRESS(INDEX($J$2:$J$1001,MATCH(ROWS($H$2:H595),$H$2:$H$1001,0),0), INDEX($O$1004:$Q$1004,1,MATCH(COLUMNS($O$1006:P1006),$O$1006:$Q$1006,0)))),"Fix")))</f>
        <v xml:space="preserve"> </v>
      </c>
      <c r="D595" s="3" t="str">
        <f ca="1">IF(OR(INDEX($I$2:$I$1001,MATCH(ROWS($H$2:H595),$H$2:$H$1001,0),1)&gt;=100000,INDEX($O$1005:$Q$1005,1,MATCH(COLUMNS($O$1006:Q1006),$O$1006:$Q$1006,0))&gt;=100000), " ",IF(INDEX($O$2:$Q$1001,MATCH(ROWS($H$2:H595),$H$2:$H$1001,0),MATCH(COLUMNS($O$1006:Q1006),$O$1006:$Q$1006,0)), HYPERLINK("#",""), HYPERLINK(CONCATENATE("#metadata!", ADDRESS(INDEX($J$2:$J$1001,MATCH(ROWS($H$2:H595),$H$2:$H$1001,0),0), INDEX($O$1004:$Q$1004,1,MATCH(COLUMNS($O$1006:Q1006),$O$1006:$Q$1006,0)))),"Fix")))</f>
        <v xml:space="preserve"> </v>
      </c>
      <c r="H595">
        <v>594</v>
      </c>
      <c r="I595">
        <v>100595</v>
      </c>
      <c r="J595">
        <v>595</v>
      </c>
      <c r="K595" t="b">
        <f t="shared" si="9"/>
        <v>1</v>
      </c>
      <c r="L595" t="b">
        <f>COUNTBLANK(metadata!B595:D595)=COLUMNS(metadata!B595:D595)</f>
        <v>1</v>
      </c>
      <c r="M595" t="str">
        <v/>
      </c>
      <c r="O595" t="b">
        <f ca="1"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P595" t="b">
        <f>AND(IF(metadata!C595="",FALSE,TRUE),EXACT(metadata!C595,"mouse gut metagenome"))</f>
        <v>0</v>
      </c>
      <c r="Q595" t="b">
        <f>AND(IF(metadata!D595="",FALSE,TRUE),EXACT(metadata!D595,"410661"))</f>
        <v>0</v>
      </c>
    </row>
    <row r="596" spans="1:17" x14ac:dyDescent="0.2">
      <c r="A596" s="4" t="str">
        <f ca="1">IF(B596=" "," ",HYPERLINK(CONCATENATE("#metadata!",ADDRESS(INDEX($J$2:$J$1001,MATCH(ROWS($H$2:H596),$H$2:$H$1001,0),0),1)),INDEX($M$2:$M$1001,MATCH(ROWS($H$2:H596),$H$2:$H$1001,0),0)))</f>
        <v xml:space="preserve"> </v>
      </c>
      <c r="B596" s="3" t="str">
        <f ca="1">IF(OR(INDEX($I$2:$I$1001,MATCH(ROWS($H$2:H596),$H$2:$H$1001,0),1)&gt;=100000,INDEX($O$1005:$Q$1005,1,MATCH(COLUMNS($O$1006:O1006),$O$1006:$Q$1006,0))&gt;=100000), " ",IF(INDEX($O$2:$Q$1001,MATCH(ROWS($H$2:H596),$H$2:$H$1001,0),MATCH(COLUMNS($O$1006:O1006),$O$1006:$Q$1006,0)), HYPERLINK("#",""), HYPERLINK(CONCATENATE("#metadata!", ADDRESS(INDEX($J$2:$J$1001,MATCH(ROWS($H$2:H596),$H$2:$H$1001,0),0), INDEX($O$1004:$Q$1004,1,MATCH(COLUMNS($O$1006:O1006),$O$1006:$Q$1006,0)))),"Fix")))</f>
        <v xml:space="preserve"> </v>
      </c>
      <c r="C596" s="3" t="str">
        <f ca="1">IF(OR(INDEX($I$2:$I$1001,MATCH(ROWS($H$2:H596),$H$2:$H$1001,0),1)&gt;=100000,INDEX($O$1005:$Q$1005,1,MATCH(COLUMNS($O$1006:P1006),$O$1006:$Q$1006,0))&gt;=100000), " ",IF(INDEX($O$2:$Q$1001,MATCH(ROWS($H$2:H596),$H$2:$H$1001,0),MATCH(COLUMNS($O$1006:P1006),$O$1006:$Q$1006,0)), HYPERLINK("#",""), HYPERLINK(CONCATENATE("#metadata!", ADDRESS(INDEX($J$2:$J$1001,MATCH(ROWS($H$2:H596),$H$2:$H$1001,0),0), INDEX($O$1004:$Q$1004,1,MATCH(COLUMNS($O$1006:P1006),$O$1006:$Q$1006,0)))),"Fix")))</f>
        <v xml:space="preserve"> </v>
      </c>
      <c r="D596" s="3" t="str">
        <f ca="1">IF(OR(INDEX($I$2:$I$1001,MATCH(ROWS($H$2:H596),$H$2:$H$1001,0),1)&gt;=100000,INDEX($O$1005:$Q$1005,1,MATCH(COLUMNS($O$1006:Q1006),$O$1006:$Q$1006,0))&gt;=100000), " ",IF(INDEX($O$2:$Q$1001,MATCH(ROWS($H$2:H596),$H$2:$H$1001,0),MATCH(COLUMNS($O$1006:Q1006),$O$1006:$Q$1006,0)), HYPERLINK("#",""), HYPERLINK(CONCATENATE("#metadata!", ADDRESS(INDEX($J$2:$J$1001,MATCH(ROWS($H$2:H596),$H$2:$H$1001,0),0), INDEX($O$1004:$Q$1004,1,MATCH(COLUMNS($O$1006:Q1006),$O$1006:$Q$1006,0)))),"Fix")))</f>
        <v xml:space="preserve"> </v>
      </c>
      <c r="H596">
        <v>595</v>
      </c>
      <c r="I596">
        <v>100596</v>
      </c>
      <c r="J596">
        <v>596</v>
      </c>
      <c r="K596" t="b">
        <f t="shared" si="9"/>
        <v>1</v>
      </c>
      <c r="L596" t="b">
        <f>COUNTBLANK(metadata!B596:D596)=COLUMNS(metadata!B596:D596)</f>
        <v>1</v>
      </c>
      <c r="M596" t="str">
        <v/>
      </c>
      <c r="O596" t="b">
        <f ca="1"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P596" t="b">
        <f>AND(IF(metadata!C596="",FALSE,TRUE),EXACT(metadata!C596,"mouse gut metagenome"))</f>
        <v>0</v>
      </c>
      <c r="Q596" t="b">
        <f>AND(IF(metadata!D596="",FALSE,TRUE),EXACT(metadata!D596,"410661"))</f>
        <v>0</v>
      </c>
    </row>
    <row r="597" spans="1:17" x14ac:dyDescent="0.2">
      <c r="A597" s="4" t="str">
        <f ca="1">IF(B597=" "," ",HYPERLINK(CONCATENATE("#metadata!",ADDRESS(INDEX($J$2:$J$1001,MATCH(ROWS($H$2:H597),$H$2:$H$1001,0),0),1)),INDEX($M$2:$M$1001,MATCH(ROWS($H$2:H597),$H$2:$H$1001,0),0)))</f>
        <v xml:space="preserve"> </v>
      </c>
      <c r="B597" s="3" t="str">
        <f ca="1">IF(OR(INDEX($I$2:$I$1001,MATCH(ROWS($H$2:H597),$H$2:$H$1001,0),1)&gt;=100000,INDEX($O$1005:$Q$1005,1,MATCH(COLUMNS($O$1006:O1006),$O$1006:$Q$1006,0))&gt;=100000), " ",IF(INDEX($O$2:$Q$1001,MATCH(ROWS($H$2:H597),$H$2:$H$1001,0),MATCH(COLUMNS($O$1006:O1006),$O$1006:$Q$1006,0)), HYPERLINK("#",""), HYPERLINK(CONCATENATE("#metadata!", ADDRESS(INDEX($J$2:$J$1001,MATCH(ROWS($H$2:H597),$H$2:$H$1001,0),0), INDEX($O$1004:$Q$1004,1,MATCH(COLUMNS($O$1006:O1006),$O$1006:$Q$1006,0)))),"Fix")))</f>
        <v xml:space="preserve"> </v>
      </c>
      <c r="C597" s="3" t="str">
        <f ca="1">IF(OR(INDEX($I$2:$I$1001,MATCH(ROWS($H$2:H597),$H$2:$H$1001,0),1)&gt;=100000,INDEX($O$1005:$Q$1005,1,MATCH(COLUMNS($O$1006:P1006),$O$1006:$Q$1006,0))&gt;=100000), " ",IF(INDEX($O$2:$Q$1001,MATCH(ROWS($H$2:H597),$H$2:$H$1001,0),MATCH(COLUMNS($O$1006:P1006),$O$1006:$Q$1006,0)), HYPERLINK("#",""), HYPERLINK(CONCATENATE("#metadata!", ADDRESS(INDEX($J$2:$J$1001,MATCH(ROWS($H$2:H597),$H$2:$H$1001,0),0), INDEX($O$1004:$Q$1004,1,MATCH(COLUMNS($O$1006:P1006),$O$1006:$Q$1006,0)))),"Fix")))</f>
        <v xml:space="preserve"> </v>
      </c>
      <c r="D597" s="3" t="str">
        <f ca="1">IF(OR(INDEX($I$2:$I$1001,MATCH(ROWS($H$2:H597),$H$2:$H$1001,0),1)&gt;=100000,INDEX($O$1005:$Q$1005,1,MATCH(COLUMNS($O$1006:Q1006),$O$1006:$Q$1006,0))&gt;=100000), " ",IF(INDEX($O$2:$Q$1001,MATCH(ROWS($H$2:H597),$H$2:$H$1001,0),MATCH(COLUMNS($O$1006:Q1006),$O$1006:$Q$1006,0)), HYPERLINK("#",""), HYPERLINK(CONCATENATE("#metadata!", ADDRESS(INDEX($J$2:$J$1001,MATCH(ROWS($H$2:H597),$H$2:$H$1001,0),0), INDEX($O$1004:$Q$1004,1,MATCH(COLUMNS($O$1006:Q1006),$O$1006:$Q$1006,0)))),"Fix")))</f>
        <v xml:space="preserve"> </v>
      </c>
      <c r="H597">
        <v>596</v>
      </c>
      <c r="I597">
        <v>100597</v>
      </c>
      <c r="J597">
        <v>597</v>
      </c>
      <c r="K597" t="b">
        <f t="shared" si="9"/>
        <v>1</v>
      </c>
      <c r="L597" t="b">
        <f>COUNTBLANK(metadata!B597:D597)=COLUMNS(metadata!B597:D597)</f>
        <v>1</v>
      </c>
      <c r="M597" t="str">
        <v/>
      </c>
      <c r="O597" t="b">
        <f ca="1"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P597" t="b">
        <f>AND(IF(metadata!C597="",FALSE,TRUE),EXACT(metadata!C597,"mouse gut metagenome"))</f>
        <v>0</v>
      </c>
      <c r="Q597" t="b">
        <f>AND(IF(metadata!D597="",FALSE,TRUE),EXACT(metadata!D597,"410661"))</f>
        <v>0</v>
      </c>
    </row>
    <row r="598" spans="1:17" x14ac:dyDescent="0.2">
      <c r="A598" s="4" t="str">
        <f ca="1">IF(B598=" "," ",HYPERLINK(CONCATENATE("#metadata!",ADDRESS(INDEX($J$2:$J$1001,MATCH(ROWS($H$2:H598),$H$2:$H$1001,0),0),1)),INDEX($M$2:$M$1001,MATCH(ROWS($H$2:H598),$H$2:$H$1001,0),0)))</f>
        <v xml:space="preserve"> </v>
      </c>
      <c r="B598" s="3" t="str">
        <f ca="1">IF(OR(INDEX($I$2:$I$1001,MATCH(ROWS($H$2:H598),$H$2:$H$1001,0),1)&gt;=100000,INDEX($O$1005:$Q$1005,1,MATCH(COLUMNS($O$1006:O1006),$O$1006:$Q$1006,0))&gt;=100000), " ",IF(INDEX($O$2:$Q$1001,MATCH(ROWS($H$2:H598),$H$2:$H$1001,0),MATCH(COLUMNS($O$1006:O1006),$O$1006:$Q$1006,0)), HYPERLINK("#",""), HYPERLINK(CONCATENATE("#metadata!", ADDRESS(INDEX($J$2:$J$1001,MATCH(ROWS($H$2:H598),$H$2:$H$1001,0),0), INDEX($O$1004:$Q$1004,1,MATCH(COLUMNS($O$1006:O1006),$O$1006:$Q$1006,0)))),"Fix")))</f>
        <v xml:space="preserve"> </v>
      </c>
      <c r="C598" s="3" t="str">
        <f ca="1">IF(OR(INDEX($I$2:$I$1001,MATCH(ROWS($H$2:H598),$H$2:$H$1001,0),1)&gt;=100000,INDEX($O$1005:$Q$1005,1,MATCH(COLUMNS($O$1006:P1006),$O$1006:$Q$1006,0))&gt;=100000), " ",IF(INDEX($O$2:$Q$1001,MATCH(ROWS($H$2:H598),$H$2:$H$1001,0),MATCH(COLUMNS($O$1006:P1006),$O$1006:$Q$1006,0)), HYPERLINK("#",""), HYPERLINK(CONCATENATE("#metadata!", ADDRESS(INDEX($J$2:$J$1001,MATCH(ROWS($H$2:H598),$H$2:$H$1001,0),0), INDEX($O$1004:$Q$1004,1,MATCH(COLUMNS($O$1006:P1006),$O$1006:$Q$1006,0)))),"Fix")))</f>
        <v xml:space="preserve"> </v>
      </c>
      <c r="D598" s="3" t="str">
        <f ca="1">IF(OR(INDEX($I$2:$I$1001,MATCH(ROWS($H$2:H598),$H$2:$H$1001,0),1)&gt;=100000,INDEX($O$1005:$Q$1005,1,MATCH(COLUMNS($O$1006:Q1006),$O$1006:$Q$1006,0))&gt;=100000), " ",IF(INDEX($O$2:$Q$1001,MATCH(ROWS($H$2:H598),$H$2:$H$1001,0),MATCH(COLUMNS($O$1006:Q1006),$O$1006:$Q$1006,0)), HYPERLINK("#",""), HYPERLINK(CONCATENATE("#metadata!", ADDRESS(INDEX($J$2:$J$1001,MATCH(ROWS($H$2:H598),$H$2:$H$1001,0),0), INDEX($O$1004:$Q$1004,1,MATCH(COLUMNS($O$1006:Q1006),$O$1006:$Q$1006,0)))),"Fix")))</f>
        <v xml:space="preserve"> </v>
      </c>
      <c r="H598">
        <v>597</v>
      </c>
      <c r="I598">
        <v>100598</v>
      </c>
      <c r="J598">
        <v>598</v>
      </c>
      <c r="K598" t="b">
        <f t="shared" si="9"/>
        <v>1</v>
      </c>
      <c r="L598" t="b">
        <f>COUNTBLANK(metadata!B598:D598)=COLUMNS(metadata!B598:D598)</f>
        <v>1</v>
      </c>
      <c r="M598" t="str">
        <v/>
      </c>
      <c r="O598" t="b">
        <f ca="1"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P598" t="b">
        <f>AND(IF(metadata!C598="",FALSE,TRUE),EXACT(metadata!C598,"mouse gut metagenome"))</f>
        <v>0</v>
      </c>
      <c r="Q598" t="b">
        <f>AND(IF(metadata!D598="",FALSE,TRUE),EXACT(metadata!D598,"410661"))</f>
        <v>0</v>
      </c>
    </row>
    <row r="599" spans="1:17" x14ac:dyDescent="0.2">
      <c r="A599" s="4" t="str">
        <f ca="1">IF(B599=" "," ",HYPERLINK(CONCATENATE("#metadata!",ADDRESS(INDEX($J$2:$J$1001,MATCH(ROWS($H$2:H599),$H$2:$H$1001,0),0),1)),INDEX($M$2:$M$1001,MATCH(ROWS($H$2:H599),$H$2:$H$1001,0),0)))</f>
        <v xml:space="preserve"> </v>
      </c>
      <c r="B599" s="3" t="str">
        <f ca="1">IF(OR(INDEX($I$2:$I$1001,MATCH(ROWS($H$2:H599),$H$2:$H$1001,0),1)&gt;=100000,INDEX($O$1005:$Q$1005,1,MATCH(COLUMNS($O$1006:O1006),$O$1006:$Q$1006,0))&gt;=100000), " ",IF(INDEX($O$2:$Q$1001,MATCH(ROWS($H$2:H599),$H$2:$H$1001,0),MATCH(COLUMNS($O$1006:O1006),$O$1006:$Q$1006,0)), HYPERLINK("#",""), HYPERLINK(CONCATENATE("#metadata!", ADDRESS(INDEX($J$2:$J$1001,MATCH(ROWS($H$2:H599),$H$2:$H$1001,0),0), INDEX($O$1004:$Q$1004,1,MATCH(COLUMNS($O$1006:O1006),$O$1006:$Q$1006,0)))),"Fix")))</f>
        <v xml:space="preserve"> </v>
      </c>
      <c r="C599" s="3" t="str">
        <f ca="1">IF(OR(INDEX($I$2:$I$1001,MATCH(ROWS($H$2:H599),$H$2:$H$1001,0),1)&gt;=100000,INDEX($O$1005:$Q$1005,1,MATCH(COLUMNS($O$1006:P1006),$O$1006:$Q$1006,0))&gt;=100000), " ",IF(INDEX($O$2:$Q$1001,MATCH(ROWS($H$2:H599),$H$2:$H$1001,0),MATCH(COLUMNS($O$1006:P1006),$O$1006:$Q$1006,0)), HYPERLINK("#",""), HYPERLINK(CONCATENATE("#metadata!", ADDRESS(INDEX($J$2:$J$1001,MATCH(ROWS($H$2:H599),$H$2:$H$1001,0),0), INDEX($O$1004:$Q$1004,1,MATCH(COLUMNS($O$1006:P1006),$O$1006:$Q$1006,0)))),"Fix")))</f>
        <v xml:space="preserve"> </v>
      </c>
      <c r="D599" s="3" t="str">
        <f ca="1">IF(OR(INDEX($I$2:$I$1001,MATCH(ROWS($H$2:H599),$H$2:$H$1001,0),1)&gt;=100000,INDEX($O$1005:$Q$1005,1,MATCH(COLUMNS($O$1006:Q1006),$O$1006:$Q$1006,0))&gt;=100000), " ",IF(INDEX($O$2:$Q$1001,MATCH(ROWS($H$2:H599),$H$2:$H$1001,0),MATCH(COLUMNS($O$1006:Q1006),$O$1006:$Q$1006,0)), HYPERLINK("#",""), HYPERLINK(CONCATENATE("#metadata!", ADDRESS(INDEX($J$2:$J$1001,MATCH(ROWS($H$2:H599),$H$2:$H$1001,0),0), INDEX($O$1004:$Q$1004,1,MATCH(COLUMNS($O$1006:Q1006),$O$1006:$Q$1006,0)))),"Fix")))</f>
        <v xml:space="preserve"> </v>
      </c>
      <c r="H599">
        <v>598</v>
      </c>
      <c r="I599">
        <v>100599</v>
      </c>
      <c r="J599">
        <v>599</v>
      </c>
      <c r="K599" t="b">
        <f t="shared" si="9"/>
        <v>1</v>
      </c>
      <c r="L599" t="b">
        <f>COUNTBLANK(metadata!B599:D599)=COLUMNS(metadata!B599:D599)</f>
        <v>1</v>
      </c>
      <c r="M599" t="str">
        <v/>
      </c>
      <c r="O599" t="b">
        <f ca="1"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P599" t="b">
        <f>AND(IF(metadata!C599="",FALSE,TRUE),EXACT(metadata!C599,"mouse gut metagenome"))</f>
        <v>0</v>
      </c>
      <c r="Q599" t="b">
        <f>AND(IF(metadata!D599="",FALSE,TRUE),EXACT(metadata!D599,"410661"))</f>
        <v>0</v>
      </c>
    </row>
    <row r="600" spans="1:17" x14ac:dyDescent="0.2">
      <c r="A600" s="4" t="str">
        <f ca="1">IF(B600=" "," ",HYPERLINK(CONCATENATE("#metadata!",ADDRESS(INDEX($J$2:$J$1001,MATCH(ROWS($H$2:H600),$H$2:$H$1001,0),0),1)),INDEX($M$2:$M$1001,MATCH(ROWS($H$2:H600),$H$2:$H$1001,0),0)))</f>
        <v xml:space="preserve"> </v>
      </c>
      <c r="B600" s="3" t="str">
        <f ca="1">IF(OR(INDEX($I$2:$I$1001,MATCH(ROWS($H$2:H600),$H$2:$H$1001,0),1)&gt;=100000,INDEX($O$1005:$Q$1005,1,MATCH(COLUMNS($O$1006:O1006),$O$1006:$Q$1006,0))&gt;=100000), " ",IF(INDEX($O$2:$Q$1001,MATCH(ROWS($H$2:H600),$H$2:$H$1001,0),MATCH(COLUMNS($O$1006:O1006),$O$1006:$Q$1006,0)), HYPERLINK("#",""), HYPERLINK(CONCATENATE("#metadata!", ADDRESS(INDEX($J$2:$J$1001,MATCH(ROWS($H$2:H600),$H$2:$H$1001,0),0), INDEX($O$1004:$Q$1004,1,MATCH(COLUMNS($O$1006:O1006),$O$1006:$Q$1006,0)))),"Fix")))</f>
        <v xml:space="preserve"> </v>
      </c>
      <c r="C600" s="3" t="str">
        <f ca="1">IF(OR(INDEX($I$2:$I$1001,MATCH(ROWS($H$2:H600),$H$2:$H$1001,0),1)&gt;=100000,INDEX($O$1005:$Q$1005,1,MATCH(COLUMNS($O$1006:P1006),$O$1006:$Q$1006,0))&gt;=100000), " ",IF(INDEX($O$2:$Q$1001,MATCH(ROWS($H$2:H600),$H$2:$H$1001,0),MATCH(COLUMNS($O$1006:P1006),$O$1006:$Q$1006,0)), HYPERLINK("#",""), HYPERLINK(CONCATENATE("#metadata!", ADDRESS(INDEX($J$2:$J$1001,MATCH(ROWS($H$2:H600),$H$2:$H$1001,0),0), INDEX($O$1004:$Q$1004,1,MATCH(COLUMNS($O$1006:P1006),$O$1006:$Q$1006,0)))),"Fix")))</f>
        <v xml:space="preserve"> </v>
      </c>
      <c r="D600" s="3" t="str">
        <f ca="1">IF(OR(INDEX($I$2:$I$1001,MATCH(ROWS($H$2:H600),$H$2:$H$1001,0),1)&gt;=100000,INDEX($O$1005:$Q$1005,1,MATCH(COLUMNS($O$1006:Q1006),$O$1006:$Q$1006,0))&gt;=100000), " ",IF(INDEX($O$2:$Q$1001,MATCH(ROWS($H$2:H600),$H$2:$H$1001,0),MATCH(COLUMNS($O$1006:Q1006),$O$1006:$Q$1006,0)), HYPERLINK("#",""), HYPERLINK(CONCATENATE("#metadata!", ADDRESS(INDEX($J$2:$J$1001,MATCH(ROWS($H$2:H600),$H$2:$H$1001,0),0), INDEX($O$1004:$Q$1004,1,MATCH(COLUMNS($O$1006:Q1006),$O$1006:$Q$1006,0)))),"Fix")))</f>
        <v xml:space="preserve"> </v>
      </c>
      <c r="H600">
        <v>599</v>
      </c>
      <c r="I600">
        <v>100600</v>
      </c>
      <c r="J600">
        <v>600</v>
      </c>
      <c r="K600" t="b">
        <f t="shared" si="9"/>
        <v>1</v>
      </c>
      <c r="L600" t="b">
        <f>COUNTBLANK(metadata!B600:D600)=COLUMNS(metadata!B600:D600)</f>
        <v>1</v>
      </c>
      <c r="M600" t="str">
        <v/>
      </c>
      <c r="O600" t="b">
        <f ca="1"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P600" t="b">
        <f>AND(IF(metadata!C600="",FALSE,TRUE),EXACT(metadata!C600,"mouse gut metagenome"))</f>
        <v>0</v>
      </c>
      <c r="Q600" t="b">
        <f>AND(IF(metadata!D600="",FALSE,TRUE),EXACT(metadata!D600,"410661"))</f>
        <v>0</v>
      </c>
    </row>
    <row r="601" spans="1:17" x14ac:dyDescent="0.2">
      <c r="A601" s="4" t="str">
        <f ca="1">IF(B601=" "," ",HYPERLINK(CONCATENATE("#metadata!",ADDRESS(INDEX($J$2:$J$1001,MATCH(ROWS($H$2:H601),$H$2:$H$1001,0),0),1)),INDEX($M$2:$M$1001,MATCH(ROWS($H$2:H601),$H$2:$H$1001,0),0)))</f>
        <v xml:space="preserve"> </v>
      </c>
      <c r="B601" s="3" t="str">
        <f ca="1">IF(OR(INDEX($I$2:$I$1001,MATCH(ROWS($H$2:H601),$H$2:$H$1001,0),1)&gt;=100000,INDEX($O$1005:$Q$1005,1,MATCH(COLUMNS($O$1006:O1006),$O$1006:$Q$1006,0))&gt;=100000), " ",IF(INDEX($O$2:$Q$1001,MATCH(ROWS($H$2:H601),$H$2:$H$1001,0),MATCH(COLUMNS($O$1006:O1006),$O$1006:$Q$1006,0)), HYPERLINK("#",""), HYPERLINK(CONCATENATE("#metadata!", ADDRESS(INDEX($J$2:$J$1001,MATCH(ROWS($H$2:H601),$H$2:$H$1001,0),0), INDEX($O$1004:$Q$1004,1,MATCH(COLUMNS($O$1006:O1006),$O$1006:$Q$1006,0)))),"Fix")))</f>
        <v xml:space="preserve"> </v>
      </c>
      <c r="C601" s="3" t="str">
        <f ca="1">IF(OR(INDEX($I$2:$I$1001,MATCH(ROWS($H$2:H601),$H$2:$H$1001,0),1)&gt;=100000,INDEX($O$1005:$Q$1005,1,MATCH(COLUMNS($O$1006:P1006),$O$1006:$Q$1006,0))&gt;=100000), " ",IF(INDEX($O$2:$Q$1001,MATCH(ROWS($H$2:H601),$H$2:$H$1001,0),MATCH(COLUMNS($O$1006:P1006),$O$1006:$Q$1006,0)), HYPERLINK("#",""), HYPERLINK(CONCATENATE("#metadata!", ADDRESS(INDEX($J$2:$J$1001,MATCH(ROWS($H$2:H601),$H$2:$H$1001,0),0), INDEX($O$1004:$Q$1004,1,MATCH(COLUMNS($O$1006:P1006),$O$1006:$Q$1006,0)))),"Fix")))</f>
        <v xml:space="preserve"> </v>
      </c>
      <c r="D601" s="3" t="str">
        <f ca="1">IF(OR(INDEX($I$2:$I$1001,MATCH(ROWS($H$2:H601),$H$2:$H$1001,0),1)&gt;=100000,INDEX($O$1005:$Q$1005,1,MATCH(COLUMNS($O$1006:Q1006),$O$1006:$Q$1006,0))&gt;=100000), " ",IF(INDEX($O$2:$Q$1001,MATCH(ROWS($H$2:H601),$H$2:$H$1001,0),MATCH(COLUMNS($O$1006:Q1006),$O$1006:$Q$1006,0)), HYPERLINK("#",""), HYPERLINK(CONCATENATE("#metadata!", ADDRESS(INDEX($J$2:$J$1001,MATCH(ROWS($H$2:H601),$H$2:$H$1001,0),0), INDEX($O$1004:$Q$1004,1,MATCH(COLUMNS($O$1006:Q1006),$O$1006:$Q$1006,0)))),"Fix")))</f>
        <v xml:space="preserve"> </v>
      </c>
      <c r="H601">
        <v>600</v>
      </c>
      <c r="I601">
        <v>100601</v>
      </c>
      <c r="J601">
        <v>601</v>
      </c>
      <c r="K601" t="b">
        <f t="shared" si="9"/>
        <v>1</v>
      </c>
      <c r="L601" t="b">
        <f>COUNTBLANK(metadata!B601:D601)=COLUMNS(metadata!B601:D601)</f>
        <v>1</v>
      </c>
      <c r="M601" t="str">
        <v/>
      </c>
      <c r="O601" t="b">
        <f ca="1"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P601" t="b">
        <f>AND(IF(metadata!C601="",FALSE,TRUE),EXACT(metadata!C601,"mouse gut metagenome"))</f>
        <v>0</v>
      </c>
      <c r="Q601" t="b">
        <f>AND(IF(metadata!D601="",FALSE,TRUE),EXACT(metadata!D601,"410661"))</f>
        <v>0</v>
      </c>
    </row>
    <row r="602" spans="1:17" x14ac:dyDescent="0.2">
      <c r="A602" s="4" t="str">
        <f ca="1">IF(B602=" "," ",HYPERLINK(CONCATENATE("#metadata!",ADDRESS(INDEX($J$2:$J$1001,MATCH(ROWS($H$2:H602),$H$2:$H$1001,0),0),1)),INDEX($M$2:$M$1001,MATCH(ROWS($H$2:H602),$H$2:$H$1001,0),0)))</f>
        <v xml:space="preserve"> </v>
      </c>
      <c r="B602" s="3" t="str">
        <f ca="1">IF(OR(INDEX($I$2:$I$1001,MATCH(ROWS($H$2:H602),$H$2:$H$1001,0),1)&gt;=100000,INDEX($O$1005:$Q$1005,1,MATCH(COLUMNS($O$1006:O1006),$O$1006:$Q$1006,0))&gt;=100000), " ",IF(INDEX($O$2:$Q$1001,MATCH(ROWS($H$2:H602),$H$2:$H$1001,0),MATCH(COLUMNS($O$1006:O1006),$O$1006:$Q$1006,0)), HYPERLINK("#",""), HYPERLINK(CONCATENATE("#metadata!", ADDRESS(INDEX($J$2:$J$1001,MATCH(ROWS($H$2:H602),$H$2:$H$1001,0),0), INDEX($O$1004:$Q$1004,1,MATCH(COLUMNS($O$1006:O1006),$O$1006:$Q$1006,0)))),"Fix")))</f>
        <v xml:space="preserve"> </v>
      </c>
      <c r="C602" s="3" t="str">
        <f ca="1">IF(OR(INDEX($I$2:$I$1001,MATCH(ROWS($H$2:H602),$H$2:$H$1001,0),1)&gt;=100000,INDEX($O$1005:$Q$1005,1,MATCH(COLUMNS($O$1006:P1006),$O$1006:$Q$1006,0))&gt;=100000), " ",IF(INDEX($O$2:$Q$1001,MATCH(ROWS($H$2:H602),$H$2:$H$1001,0),MATCH(COLUMNS($O$1006:P1006),$O$1006:$Q$1006,0)), HYPERLINK("#",""), HYPERLINK(CONCATENATE("#metadata!", ADDRESS(INDEX($J$2:$J$1001,MATCH(ROWS($H$2:H602),$H$2:$H$1001,0),0), INDEX($O$1004:$Q$1004,1,MATCH(COLUMNS($O$1006:P1006),$O$1006:$Q$1006,0)))),"Fix")))</f>
        <v xml:space="preserve"> </v>
      </c>
      <c r="D602" s="3" t="str">
        <f ca="1">IF(OR(INDEX($I$2:$I$1001,MATCH(ROWS($H$2:H602),$H$2:$H$1001,0),1)&gt;=100000,INDEX($O$1005:$Q$1005,1,MATCH(COLUMNS($O$1006:Q1006),$O$1006:$Q$1006,0))&gt;=100000), " ",IF(INDEX($O$2:$Q$1001,MATCH(ROWS($H$2:H602),$H$2:$H$1001,0),MATCH(COLUMNS($O$1006:Q1006),$O$1006:$Q$1006,0)), HYPERLINK("#",""), HYPERLINK(CONCATENATE("#metadata!", ADDRESS(INDEX($J$2:$J$1001,MATCH(ROWS($H$2:H602),$H$2:$H$1001,0),0), INDEX($O$1004:$Q$1004,1,MATCH(COLUMNS($O$1006:Q1006),$O$1006:$Q$1006,0)))),"Fix")))</f>
        <v xml:space="preserve"> </v>
      </c>
      <c r="H602">
        <v>601</v>
      </c>
      <c r="I602">
        <v>100602</v>
      </c>
      <c r="J602">
        <v>602</v>
      </c>
      <c r="K602" t="b">
        <f t="shared" si="9"/>
        <v>1</v>
      </c>
      <c r="L602" t="b">
        <f>COUNTBLANK(metadata!B602:D602)=COLUMNS(metadata!B602:D602)</f>
        <v>1</v>
      </c>
      <c r="M602" t="str">
        <v/>
      </c>
      <c r="O602" t="b">
        <f ca="1"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P602" t="b">
        <f>AND(IF(metadata!C602="",FALSE,TRUE),EXACT(metadata!C602,"mouse gut metagenome"))</f>
        <v>0</v>
      </c>
      <c r="Q602" t="b">
        <f>AND(IF(metadata!D602="",FALSE,TRUE),EXACT(metadata!D602,"410661"))</f>
        <v>0</v>
      </c>
    </row>
    <row r="603" spans="1:17" x14ac:dyDescent="0.2">
      <c r="A603" s="4" t="str">
        <f ca="1">IF(B603=" "," ",HYPERLINK(CONCATENATE("#metadata!",ADDRESS(INDEX($J$2:$J$1001,MATCH(ROWS($H$2:H603),$H$2:$H$1001,0),0),1)),INDEX($M$2:$M$1001,MATCH(ROWS($H$2:H603),$H$2:$H$1001,0),0)))</f>
        <v xml:space="preserve"> </v>
      </c>
      <c r="B603" s="3" t="str">
        <f ca="1">IF(OR(INDEX($I$2:$I$1001,MATCH(ROWS($H$2:H603),$H$2:$H$1001,0),1)&gt;=100000,INDEX($O$1005:$Q$1005,1,MATCH(COLUMNS($O$1006:O1006),$O$1006:$Q$1006,0))&gt;=100000), " ",IF(INDEX($O$2:$Q$1001,MATCH(ROWS($H$2:H603),$H$2:$H$1001,0),MATCH(COLUMNS($O$1006:O1006),$O$1006:$Q$1006,0)), HYPERLINK("#",""), HYPERLINK(CONCATENATE("#metadata!", ADDRESS(INDEX($J$2:$J$1001,MATCH(ROWS($H$2:H603),$H$2:$H$1001,0),0), INDEX($O$1004:$Q$1004,1,MATCH(COLUMNS($O$1006:O1006),$O$1006:$Q$1006,0)))),"Fix")))</f>
        <v xml:space="preserve"> </v>
      </c>
      <c r="C603" s="3" t="str">
        <f ca="1">IF(OR(INDEX($I$2:$I$1001,MATCH(ROWS($H$2:H603),$H$2:$H$1001,0),1)&gt;=100000,INDEX($O$1005:$Q$1005,1,MATCH(COLUMNS($O$1006:P1006),$O$1006:$Q$1006,0))&gt;=100000), " ",IF(INDEX($O$2:$Q$1001,MATCH(ROWS($H$2:H603),$H$2:$H$1001,0),MATCH(COLUMNS($O$1006:P1006),$O$1006:$Q$1006,0)), HYPERLINK("#",""), HYPERLINK(CONCATENATE("#metadata!", ADDRESS(INDEX($J$2:$J$1001,MATCH(ROWS($H$2:H603),$H$2:$H$1001,0),0), INDEX($O$1004:$Q$1004,1,MATCH(COLUMNS($O$1006:P1006),$O$1006:$Q$1006,0)))),"Fix")))</f>
        <v xml:space="preserve"> </v>
      </c>
      <c r="D603" s="3" t="str">
        <f ca="1">IF(OR(INDEX($I$2:$I$1001,MATCH(ROWS($H$2:H603),$H$2:$H$1001,0),1)&gt;=100000,INDEX($O$1005:$Q$1005,1,MATCH(COLUMNS($O$1006:Q1006),$O$1006:$Q$1006,0))&gt;=100000), " ",IF(INDEX($O$2:$Q$1001,MATCH(ROWS($H$2:H603),$H$2:$H$1001,0),MATCH(COLUMNS($O$1006:Q1006),$O$1006:$Q$1006,0)), HYPERLINK("#",""), HYPERLINK(CONCATENATE("#metadata!", ADDRESS(INDEX($J$2:$J$1001,MATCH(ROWS($H$2:H603),$H$2:$H$1001,0),0), INDEX($O$1004:$Q$1004,1,MATCH(COLUMNS($O$1006:Q1006),$O$1006:$Q$1006,0)))),"Fix")))</f>
        <v xml:space="preserve"> </v>
      </c>
      <c r="H603">
        <v>602</v>
      </c>
      <c r="I603">
        <v>100603</v>
      </c>
      <c r="J603">
        <v>603</v>
      </c>
      <c r="K603" t="b">
        <f t="shared" si="9"/>
        <v>1</v>
      </c>
      <c r="L603" t="b">
        <f>COUNTBLANK(metadata!B603:D603)=COLUMNS(metadata!B603:D603)</f>
        <v>1</v>
      </c>
      <c r="M603" t="str">
        <v/>
      </c>
      <c r="O603" t="b">
        <f ca="1"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P603" t="b">
        <f>AND(IF(metadata!C603="",FALSE,TRUE),EXACT(metadata!C603,"mouse gut metagenome"))</f>
        <v>0</v>
      </c>
      <c r="Q603" t="b">
        <f>AND(IF(metadata!D603="",FALSE,TRUE),EXACT(metadata!D603,"410661"))</f>
        <v>0</v>
      </c>
    </row>
    <row r="604" spans="1:17" x14ac:dyDescent="0.2">
      <c r="A604" s="4" t="str">
        <f ca="1">IF(B604=" "," ",HYPERLINK(CONCATENATE("#metadata!",ADDRESS(INDEX($J$2:$J$1001,MATCH(ROWS($H$2:H604),$H$2:$H$1001,0),0),1)),INDEX($M$2:$M$1001,MATCH(ROWS($H$2:H604),$H$2:$H$1001,0),0)))</f>
        <v xml:space="preserve"> </v>
      </c>
      <c r="B604" s="3" t="str">
        <f ca="1">IF(OR(INDEX($I$2:$I$1001,MATCH(ROWS($H$2:H604),$H$2:$H$1001,0),1)&gt;=100000,INDEX($O$1005:$Q$1005,1,MATCH(COLUMNS($O$1006:O1006),$O$1006:$Q$1006,0))&gt;=100000), " ",IF(INDEX($O$2:$Q$1001,MATCH(ROWS($H$2:H604),$H$2:$H$1001,0),MATCH(COLUMNS($O$1006:O1006),$O$1006:$Q$1006,0)), HYPERLINK("#",""), HYPERLINK(CONCATENATE("#metadata!", ADDRESS(INDEX($J$2:$J$1001,MATCH(ROWS($H$2:H604),$H$2:$H$1001,0),0), INDEX($O$1004:$Q$1004,1,MATCH(COLUMNS($O$1006:O1006),$O$1006:$Q$1006,0)))),"Fix")))</f>
        <v xml:space="preserve"> </v>
      </c>
      <c r="C604" s="3" t="str">
        <f ca="1">IF(OR(INDEX($I$2:$I$1001,MATCH(ROWS($H$2:H604),$H$2:$H$1001,0),1)&gt;=100000,INDEX($O$1005:$Q$1005,1,MATCH(COLUMNS($O$1006:P1006),$O$1006:$Q$1006,0))&gt;=100000), " ",IF(INDEX($O$2:$Q$1001,MATCH(ROWS($H$2:H604),$H$2:$H$1001,0),MATCH(COLUMNS($O$1006:P1006),$O$1006:$Q$1006,0)), HYPERLINK("#",""), HYPERLINK(CONCATENATE("#metadata!", ADDRESS(INDEX($J$2:$J$1001,MATCH(ROWS($H$2:H604),$H$2:$H$1001,0),0), INDEX($O$1004:$Q$1004,1,MATCH(COLUMNS($O$1006:P1006),$O$1006:$Q$1006,0)))),"Fix")))</f>
        <v xml:space="preserve"> </v>
      </c>
      <c r="D604" s="3" t="str">
        <f ca="1">IF(OR(INDEX($I$2:$I$1001,MATCH(ROWS($H$2:H604),$H$2:$H$1001,0),1)&gt;=100000,INDEX($O$1005:$Q$1005,1,MATCH(COLUMNS($O$1006:Q1006),$O$1006:$Q$1006,0))&gt;=100000), " ",IF(INDEX($O$2:$Q$1001,MATCH(ROWS($H$2:H604),$H$2:$H$1001,0),MATCH(COLUMNS($O$1006:Q1006),$O$1006:$Q$1006,0)), HYPERLINK("#",""), HYPERLINK(CONCATENATE("#metadata!", ADDRESS(INDEX($J$2:$J$1001,MATCH(ROWS($H$2:H604),$H$2:$H$1001,0),0), INDEX($O$1004:$Q$1004,1,MATCH(COLUMNS($O$1006:Q1006),$O$1006:$Q$1006,0)))),"Fix")))</f>
        <v xml:space="preserve"> </v>
      </c>
      <c r="H604">
        <v>603</v>
      </c>
      <c r="I604">
        <v>100604</v>
      </c>
      <c r="J604">
        <v>604</v>
      </c>
      <c r="K604" t="b">
        <f t="shared" si="9"/>
        <v>1</v>
      </c>
      <c r="L604" t="b">
        <f>COUNTBLANK(metadata!B604:D604)=COLUMNS(metadata!B604:D604)</f>
        <v>1</v>
      </c>
      <c r="M604" t="str">
        <v/>
      </c>
      <c r="O604" t="b">
        <f ca="1"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P604" t="b">
        <f>AND(IF(metadata!C604="",FALSE,TRUE),EXACT(metadata!C604,"mouse gut metagenome"))</f>
        <v>0</v>
      </c>
      <c r="Q604" t="b">
        <f>AND(IF(metadata!D604="",FALSE,TRUE),EXACT(metadata!D604,"410661"))</f>
        <v>0</v>
      </c>
    </row>
    <row r="605" spans="1:17" x14ac:dyDescent="0.2">
      <c r="A605" s="4" t="str">
        <f ca="1">IF(B605=" "," ",HYPERLINK(CONCATENATE("#metadata!",ADDRESS(INDEX($J$2:$J$1001,MATCH(ROWS($H$2:H605),$H$2:$H$1001,0),0),1)),INDEX($M$2:$M$1001,MATCH(ROWS($H$2:H605),$H$2:$H$1001,0),0)))</f>
        <v xml:space="preserve"> </v>
      </c>
      <c r="B605" s="3" t="str">
        <f ca="1">IF(OR(INDEX($I$2:$I$1001,MATCH(ROWS($H$2:H605),$H$2:$H$1001,0),1)&gt;=100000,INDEX($O$1005:$Q$1005,1,MATCH(COLUMNS($O$1006:O1006),$O$1006:$Q$1006,0))&gt;=100000), " ",IF(INDEX($O$2:$Q$1001,MATCH(ROWS($H$2:H605),$H$2:$H$1001,0),MATCH(COLUMNS($O$1006:O1006),$O$1006:$Q$1006,0)), HYPERLINK("#",""), HYPERLINK(CONCATENATE("#metadata!", ADDRESS(INDEX($J$2:$J$1001,MATCH(ROWS($H$2:H605),$H$2:$H$1001,0),0), INDEX($O$1004:$Q$1004,1,MATCH(COLUMNS($O$1006:O1006),$O$1006:$Q$1006,0)))),"Fix")))</f>
        <v xml:space="preserve"> </v>
      </c>
      <c r="C605" s="3" t="str">
        <f ca="1">IF(OR(INDEX($I$2:$I$1001,MATCH(ROWS($H$2:H605),$H$2:$H$1001,0),1)&gt;=100000,INDEX($O$1005:$Q$1005,1,MATCH(COLUMNS($O$1006:P1006),$O$1006:$Q$1006,0))&gt;=100000), " ",IF(INDEX($O$2:$Q$1001,MATCH(ROWS($H$2:H605),$H$2:$H$1001,0),MATCH(COLUMNS($O$1006:P1006),$O$1006:$Q$1006,0)), HYPERLINK("#",""), HYPERLINK(CONCATENATE("#metadata!", ADDRESS(INDEX($J$2:$J$1001,MATCH(ROWS($H$2:H605),$H$2:$H$1001,0),0), INDEX($O$1004:$Q$1004,1,MATCH(COLUMNS($O$1006:P1006),$O$1006:$Q$1006,0)))),"Fix")))</f>
        <v xml:space="preserve"> </v>
      </c>
      <c r="D605" s="3" t="str">
        <f ca="1">IF(OR(INDEX($I$2:$I$1001,MATCH(ROWS($H$2:H605),$H$2:$H$1001,0),1)&gt;=100000,INDEX($O$1005:$Q$1005,1,MATCH(COLUMNS($O$1006:Q1006),$O$1006:$Q$1006,0))&gt;=100000), " ",IF(INDEX($O$2:$Q$1001,MATCH(ROWS($H$2:H605),$H$2:$H$1001,0),MATCH(COLUMNS($O$1006:Q1006),$O$1006:$Q$1006,0)), HYPERLINK("#",""), HYPERLINK(CONCATENATE("#metadata!", ADDRESS(INDEX($J$2:$J$1001,MATCH(ROWS($H$2:H605),$H$2:$H$1001,0),0), INDEX($O$1004:$Q$1004,1,MATCH(COLUMNS($O$1006:Q1006),$O$1006:$Q$1006,0)))),"Fix")))</f>
        <v xml:space="preserve"> </v>
      </c>
      <c r="H605">
        <v>604</v>
      </c>
      <c r="I605">
        <v>100605</v>
      </c>
      <c r="J605">
        <v>605</v>
      </c>
      <c r="K605" t="b">
        <f t="shared" si="9"/>
        <v>1</v>
      </c>
      <c r="L605" t="b">
        <f>COUNTBLANK(metadata!B605:D605)=COLUMNS(metadata!B605:D605)</f>
        <v>1</v>
      </c>
      <c r="M605" t="str">
        <v/>
      </c>
      <c r="O605" t="b">
        <f ca="1"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P605" t="b">
        <f>AND(IF(metadata!C605="",FALSE,TRUE),EXACT(metadata!C605,"mouse gut metagenome"))</f>
        <v>0</v>
      </c>
      <c r="Q605" t="b">
        <f>AND(IF(metadata!D605="",FALSE,TRUE),EXACT(metadata!D605,"410661"))</f>
        <v>0</v>
      </c>
    </row>
    <row r="606" spans="1:17" x14ac:dyDescent="0.2">
      <c r="A606" s="4" t="str">
        <f ca="1">IF(B606=" "," ",HYPERLINK(CONCATENATE("#metadata!",ADDRESS(INDEX($J$2:$J$1001,MATCH(ROWS($H$2:H606),$H$2:$H$1001,0),0),1)),INDEX($M$2:$M$1001,MATCH(ROWS($H$2:H606),$H$2:$H$1001,0),0)))</f>
        <v xml:space="preserve"> </v>
      </c>
      <c r="B606" s="3" t="str">
        <f ca="1">IF(OR(INDEX($I$2:$I$1001,MATCH(ROWS($H$2:H606),$H$2:$H$1001,0),1)&gt;=100000,INDEX($O$1005:$Q$1005,1,MATCH(COLUMNS($O$1006:O1006),$O$1006:$Q$1006,0))&gt;=100000), " ",IF(INDEX($O$2:$Q$1001,MATCH(ROWS($H$2:H606),$H$2:$H$1001,0),MATCH(COLUMNS($O$1006:O1006),$O$1006:$Q$1006,0)), HYPERLINK("#",""), HYPERLINK(CONCATENATE("#metadata!", ADDRESS(INDEX($J$2:$J$1001,MATCH(ROWS($H$2:H606),$H$2:$H$1001,0),0), INDEX($O$1004:$Q$1004,1,MATCH(COLUMNS($O$1006:O1006),$O$1006:$Q$1006,0)))),"Fix")))</f>
        <v xml:space="preserve"> </v>
      </c>
      <c r="C606" s="3" t="str">
        <f ca="1">IF(OR(INDEX($I$2:$I$1001,MATCH(ROWS($H$2:H606),$H$2:$H$1001,0),1)&gt;=100000,INDEX($O$1005:$Q$1005,1,MATCH(COLUMNS($O$1006:P1006),$O$1006:$Q$1006,0))&gt;=100000), " ",IF(INDEX($O$2:$Q$1001,MATCH(ROWS($H$2:H606),$H$2:$H$1001,0),MATCH(COLUMNS($O$1006:P1006),$O$1006:$Q$1006,0)), HYPERLINK("#",""), HYPERLINK(CONCATENATE("#metadata!", ADDRESS(INDEX($J$2:$J$1001,MATCH(ROWS($H$2:H606),$H$2:$H$1001,0),0), INDEX($O$1004:$Q$1004,1,MATCH(COLUMNS($O$1006:P1006),$O$1006:$Q$1006,0)))),"Fix")))</f>
        <v xml:space="preserve"> </v>
      </c>
      <c r="D606" s="3" t="str">
        <f ca="1">IF(OR(INDEX($I$2:$I$1001,MATCH(ROWS($H$2:H606),$H$2:$H$1001,0),1)&gt;=100000,INDEX($O$1005:$Q$1005,1,MATCH(COLUMNS($O$1006:Q1006),$O$1006:$Q$1006,0))&gt;=100000), " ",IF(INDEX($O$2:$Q$1001,MATCH(ROWS($H$2:H606),$H$2:$H$1001,0),MATCH(COLUMNS($O$1006:Q1006),$O$1006:$Q$1006,0)), HYPERLINK("#",""), HYPERLINK(CONCATENATE("#metadata!", ADDRESS(INDEX($J$2:$J$1001,MATCH(ROWS($H$2:H606),$H$2:$H$1001,0),0), INDEX($O$1004:$Q$1004,1,MATCH(COLUMNS($O$1006:Q1006),$O$1006:$Q$1006,0)))),"Fix")))</f>
        <v xml:space="preserve"> </v>
      </c>
      <c r="H606">
        <v>605</v>
      </c>
      <c r="I606">
        <v>100606</v>
      </c>
      <c r="J606">
        <v>606</v>
      </c>
      <c r="K606" t="b">
        <f t="shared" si="9"/>
        <v>1</v>
      </c>
      <c r="L606" t="b">
        <f>COUNTBLANK(metadata!B606:D606)=COLUMNS(metadata!B606:D606)</f>
        <v>1</v>
      </c>
      <c r="M606" t="str">
        <v/>
      </c>
      <c r="O606" t="b">
        <f ca="1"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P606" t="b">
        <f>AND(IF(metadata!C606="",FALSE,TRUE),EXACT(metadata!C606,"mouse gut metagenome"))</f>
        <v>0</v>
      </c>
      <c r="Q606" t="b">
        <f>AND(IF(metadata!D606="",FALSE,TRUE),EXACT(metadata!D606,"410661"))</f>
        <v>0</v>
      </c>
    </row>
    <row r="607" spans="1:17" x14ac:dyDescent="0.2">
      <c r="A607" s="4" t="str">
        <f ca="1">IF(B607=" "," ",HYPERLINK(CONCATENATE("#metadata!",ADDRESS(INDEX($J$2:$J$1001,MATCH(ROWS($H$2:H607),$H$2:$H$1001,0),0),1)),INDEX($M$2:$M$1001,MATCH(ROWS($H$2:H607),$H$2:$H$1001,0),0)))</f>
        <v xml:space="preserve"> </v>
      </c>
      <c r="B607" s="3" t="str">
        <f ca="1">IF(OR(INDEX($I$2:$I$1001,MATCH(ROWS($H$2:H607),$H$2:$H$1001,0),1)&gt;=100000,INDEX($O$1005:$Q$1005,1,MATCH(COLUMNS($O$1006:O1006),$O$1006:$Q$1006,0))&gt;=100000), " ",IF(INDEX($O$2:$Q$1001,MATCH(ROWS($H$2:H607),$H$2:$H$1001,0),MATCH(COLUMNS($O$1006:O1006),$O$1006:$Q$1006,0)), HYPERLINK("#",""), HYPERLINK(CONCATENATE("#metadata!", ADDRESS(INDEX($J$2:$J$1001,MATCH(ROWS($H$2:H607),$H$2:$H$1001,0),0), INDEX($O$1004:$Q$1004,1,MATCH(COLUMNS($O$1006:O1006),$O$1006:$Q$1006,0)))),"Fix")))</f>
        <v xml:space="preserve"> </v>
      </c>
      <c r="C607" s="3" t="str">
        <f ca="1">IF(OR(INDEX($I$2:$I$1001,MATCH(ROWS($H$2:H607),$H$2:$H$1001,0),1)&gt;=100000,INDEX($O$1005:$Q$1005,1,MATCH(COLUMNS($O$1006:P1006),$O$1006:$Q$1006,0))&gt;=100000), " ",IF(INDEX($O$2:$Q$1001,MATCH(ROWS($H$2:H607),$H$2:$H$1001,0),MATCH(COLUMNS($O$1006:P1006),$O$1006:$Q$1006,0)), HYPERLINK("#",""), HYPERLINK(CONCATENATE("#metadata!", ADDRESS(INDEX($J$2:$J$1001,MATCH(ROWS($H$2:H607),$H$2:$H$1001,0),0), INDEX($O$1004:$Q$1004,1,MATCH(COLUMNS($O$1006:P1006),$O$1006:$Q$1006,0)))),"Fix")))</f>
        <v xml:space="preserve"> </v>
      </c>
      <c r="D607" s="3" t="str">
        <f ca="1">IF(OR(INDEX($I$2:$I$1001,MATCH(ROWS($H$2:H607),$H$2:$H$1001,0),1)&gt;=100000,INDEX($O$1005:$Q$1005,1,MATCH(COLUMNS($O$1006:Q1006),$O$1006:$Q$1006,0))&gt;=100000), " ",IF(INDEX($O$2:$Q$1001,MATCH(ROWS($H$2:H607),$H$2:$H$1001,0),MATCH(COLUMNS($O$1006:Q1006),$O$1006:$Q$1006,0)), HYPERLINK("#",""), HYPERLINK(CONCATENATE("#metadata!", ADDRESS(INDEX($J$2:$J$1001,MATCH(ROWS($H$2:H607),$H$2:$H$1001,0),0), INDEX($O$1004:$Q$1004,1,MATCH(COLUMNS($O$1006:Q1006),$O$1006:$Q$1006,0)))),"Fix")))</f>
        <v xml:space="preserve"> </v>
      </c>
      <c r="H607">
        <v>606</v>
      </c>
      <c r="I607">
        <v>100607</v>
      </c>
      <c r="J607">
        <v>607</v>
      </c>
      <c r="K607" t="b">
        <f t="shared" si="9"/>
        <v>1</v>
      </c>
      <c r="L607" t="b">
        <f>COUNTBLANK(metadata!B607:D607)=COLUMNS(metadata!B607:D607)</f>
        <v>1</v>
      </c>
      <c r="M607" t="str">
        <v/>
      </c>
      <c r="O607" t="b">
        <f ca="1"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P607" t="b">
        <f>AND(IF(metadata!C607="",FALSE,TRUE),EXACT(metadata!C607,"mouse gut metagenome"))</f>
        <v>0</v>
      </c>
      <c r="Q607" t="b">
        <f>AND(IF(metadata!D607="",FALSE,TRUE),EXACT(metadata!D607,"410661"))</f>
        <v>0</v>
      </c>
    </row>
    <row r="608" spans="1:17" x14ac:dyDescent="0.2">
      <c r="A608" s="4" t="str">
        <f ca="1">IF(B608=" "," ",HYPERLINK(CONCATENATE("#metadata!",ADDRESS(INDEX($J$2:$J$1001,MATCH(ROWS($H$2:H608),$H$2:$H$1001,0),0),1)),INDEX($M$2:$M$1001,MATCH(ROWS($H$2:H608),$H$2:$H$1001,0),0)))</f>
        <v xml:space="preserve"> </v>
      </c>
      <c r="B608" s="3" t="str">
        <f ca="1">IF(OR(INDEX($I$2:$I$1001,MATCH(ROWS($H$2:H608),$H$2:$H$1001,0),1)&gt;=100000,INDEX($O$1005:$Q$1005,1,MATCH(COLUMNS($O$1006:O1006),$O$1006:$Q$1006,0))&gt;=100000), " ",IF(INDEX($O$2:$Q$1001,MATCH(ROWS($H$2:H608),$H$2:$H$1001,0),MATCH(COLUMNS($O$1006:O1006),$O$1006:$Q$1006,0)), HYPERLINK("#",""), HYPERLINK(CONCATENATE("#metadata!", ADDRESS(INDEX($J$2:$J$1001,MATCH(ROWS($H$2:H608),$H$2:$H$1001,0),0), INDEX($O$1004:$Q$1004,1,MATCH(COLUMNS($O$1006:O1006),$O$1006:$Q$1006,0)))),"Fix")))</f>
        <v xml:space="preserve"> </v>
      </c>
      <c r="C608" s="3" t="str">
        <f ca="1">IF(OR(INDEX($I$2:$I$1001,MATCH(ROWS($H$2:H608),$H$2:$H$1001,0),1)&gt;=100000,INDEX($O$1005:$Q$1005,1,MATCH(COLUMNS($O$1006:P1006),$O$1006:$Q$1006,0))&gt;=100000), " ",IF(INDEX($O$2:$Q$1001,MATCH(ROWS($H$2:H608),$H$2:$H$1001,0),MATCH(COLUMNS($O$1006:P1006),$O$1006:$Q$1006,0)), HYPERLINK("#",""), HYPERLINK(CONCATENATE("#metadata!", ADDRESS(INDEX($J$2:$J$1001,MATCH(ROWS($H$2:H608),$H$2:$H$1001,0),0), INDEX($O$1004:$Q$1004,1,MATCH(COLUMNS($O$1006:P1006),$O$1006:$Q$1006,0)))),"Fix")))</f>
        <v xml:space="preserve"> </v>
      </c>
      <c r="D608" s="3" t="str">
        <f ca="1">IF(OR(INDEX($I$2:$I$1001,MATCH(ROWS($H$2:H608),$H$2:$H$1001,0),1)&gt;=100000,INDEX($O$1005:$Q$1005,1,MATCH(COLUMNS($O$1006:Q1006),$O$1006:$Q$1006,0))&gt;=100000), " ",IF(INDEX($O$2:$Q$1001,MATCH(ROWS($H$2:H608),$H$2:$H$1001,0),MATCH(COLUMNS($O$1006:Q1006),$O$1006:$Q$1006,0)), HYPERLINK("#",""), HYPERLINK(CONCATENATE("#metadata!", ADDRESS(INDEX($J$2:$J$1001,MATCH(ROWS($H$2:H608),$H$2:$H$1001,0),0), INDEX($O$1004:$Q$1004,1,MATCH(COLUMNS($O$1006:Q1006),$O$1006:$Q$1006,0)))),"Fix")))</f>
        <v xml:space="preserve"> </v>
      </c>
      <c r="H608">
        <v>607</v>
      </c>
      <c r="I608">
        <v>100608</v>
      </c>
      <c r="J608">
        <v>608</v>
      </c>
      <c r="K608" t="b">
        <f t="shared" si="9"/>
        <v>1</v>
      </c>
      <c r="L608" t="b">
        <f>COUNTBLANK(metadata!B608:D608)=COLUMNS(metadata!B608:D608)</f>
        <v>1</v>
      </c>
      <c r="M608" t="str">
        <v/>
      </c>
      <c r="O608" t="b">
        <f ca="1"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P608" t="b">
        <f>AND(IF(metadata!C608="",FALSE,TRUE),EXACT(metadata!C608,"mouse gut metagenome"))</f>
        <v>0</v>
      </c>
      <c r="Q608" t="b">
        <f>AND(IF(metadata!D608="",FALSE,TRUE),EXACT(metadata!D608,"410661"))</f>
        <v>0</v>
      </c>
    </row>
    <row r="609" spans="1:17" x14ac:dyDescent="0.2">
      <c r="A609" s="4" t="str">
        <f ca="1">IF(B609=" "," ",HYPERLINK(CONCATENATE("#metadata!",ADDRESS(INDEX($J$2:$J$1001,MATCH(ROWS($H$2:H609),$H$2:$H$1001,0),0),1)),INDEX($M$2:$M$1001,MATCH(ROWS($H$2:H609),$H$2:$H$1001,0),0)))</f>
        <v xml:space="preserve"> </v>
      </c>
      <c r="B609" s="3" t="str">
        <f ca="1">IF(OR(INDEX($I$2:$I$1001,MATCH(ROWS($H$2:H609),$H$2:$H$1001,0),1)&gt;=100000,INDEX($O$1005:$Q$1005,1,MATCH(COLUMNS($O$1006:O1006),$O$1006:$Q$1006,0))&gt;=100000), " ",IF(INDEX($O$2:$Q$1001,MATCH(ROWS($H$2:H609),$H$2:$H$1001,0),MATCH(COLUMNS($O$1006:O1006),$O$1006:$Q$1006,0)), HYPERLINK("#",""), HYPERLINK(CONCATENATE("#metadata!", ADDRESS(INDEX($J$2:$J$1001,MATCH(ROWS($H$2:H609),$H$2:$H$1001,0),0), INDEX($O$1004:$Q$1004,1,MATCH(COLUMNS($O$1006:O1006),$O$1006:$Q$1006,0)))),"Fix")))</f>
        <v xml:space="preserve"> </v>
      </c>
      <c r="C609" s="3" t="str">
        <f ca="1">IF(OR(INDEX($I$2:$I$1001,MATCH(ROWS($H$2:H609),$H$2:$H$1001,0),1)&gt;=100000,INDEX($O$1005:$Q$1005,1,MATCH(COLUMNS($O$1006:P1006),$O$1006:$Q$1006,0))&gt;=100000), " ",IF(INDEX($O$2:$Q$1001,MATCH(ROWS($H$2:H609),$H$2:$H$1001,0),MATCH(COLUMNS($O$1006:P1006),$O$1006:$Q$1006,0)), HYPERLINK("#",""), HYPERLINK(CONCATENATE("#metadata!", ADDRESS(INDEX($J$2:$J$1001,MATCH(ROWS($H$2:H609),$H$2:$H$1001,0),0), INDEX($O$1004:$Q$1004,1,MATCH(COLUMNS($O$1006:P1006),$O$1006:$Q$1006,0)))),"Fix")))</f>
        <v xml:space="preserve"> </v>
      </c>
      <c r="D609" s="3" t="str">
        <f ca="1">IF(OR(INDEX($I$2:$I$1001,MATCH(ROWS($H$2:H609),$H$2:$H$1001,0),1)&gt;=100000,INDEX($O$1005:$Q$1005,1,MATCH(COLUMNS($O$1006:Q1006),$O$1006:$Q$1006,0))&gt;=100000), " ",IF(INDEX($O$2:$Q$1001,MATCH(ROWS($H$2:H609),$H$2:$H$1001,0),MATCH(COLUMNS($O$1006:Q1006),$O$1006:$Q$1006,0)), HYPERLINK("#",""), HYPERLINK(CONCATENATE("#metadata!", ADDRESS(INDEX($J$2:$J$1001,MATCH(ROWS($H$2:H609),$H$2:$H$1001,0),0), INDEX($O$1004:$Q$1004,1,MATCH(COLUMNS($O$1006:Q1006),$O$1006:$Q$1006,0)))),"Fix")))</f>
        <v xml:space="preserve"> </v>
      </c>
      <c r="H609">
        <v>608</v>
      </c>
      <c r="I609">
        <v>100609</v>
      </c>
      <c r="J609">
        <v>609</v>
      </c>
      <c r="K609" t="b">
        <f t="shared" si="9"/>
        <v>1</v>
      </c>
      <c r="L609" t="b">
        <f>COUNTBLANK(metadata!B609:D609)=COLUMNS(metadata!B609:D609)</f>
        <v>1</v>
      </c>
      <c r="M609" t="str">
        <v/>
      </c>
      <c r="O609" t="b">
        <f ca="1"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P609" t="b">
        <f>AND(IF(metadata!C609="",FALSE,TRUE),EXACT(metadata!C609,"mouse gut metagenome"))</f>
        <v>0</v>
      </c>
      <c r="Q609" t="b">
        <f>AND(IF(metadata!D609="",FALSE,TRUE),EXACT(metadata!D609,"410661"))</f>
        <v>0</v>
      </c>
    </row>
    <row r="610" spans="1:17" x14ac:dyDescent="0.2">
      <c r="A610" s="4" t="str">
        <f ca="1">IF(B610=" "," ",HYPERLINK(CONCATENATE("#metadata!",ADDRESS(INDEX($J$2:$J$1001,MATCH(ROWS($H$2:H610),$H$2:$H$1001,0),0),1)),INDEX($M$2:$M$1001,MATCH(ROWS($H$2:H610),$H$2:$H$1001,0),0)))</f>
        <v xml:space="preserve"> </v>
      </c>
      <c r="B610" s="3" t="str">
        <f ca="1">IF(OR(INDEX($I$2:$I$1001,MATCH(ROWS($H$2:H610),$H$2:$H$1001,0),1)&gt;=100000,INDEX($O$1005:$Q$1005,1,MATCH(COLUMNS($O$1006:O1006),$O$1006:$Q$1006,0))&gt;=100000), " ",IF(INDEX($O$2:$Q$1001,MATCH(ROWS($H$2:H610),$H$2:$H$1001,0),MATCH(COLUMNS($O$1006:O1006),$O$1006:$Q$1006,0)), HYPERLINK("#",""), HYPERLINK(CONCATENATE("#metadata!", ADDRESS(INDEX($J$2:$J$1001,MATCH(ROWS($H$2:H610),$H$2:$H$1001,0),0), INDEX($O$1004:$Q$1004,1,MATCH(COLUMNS($O$1006:O1006),$O$1006:$Q$1006,0)))),"Fix")))</f>
        <v xml:space="preserve"> </v>
      </c>
      <c r="C610" s="3" t="str">
        <f ca="1">IF(OR(INDEX($I$2:$I$1001,MATCH(ROWS($H$2:H610),$H$2:$H$1001,0),1)&gt;=100000,INDEX($O$1005:$Q$1005,1,MATCH(COLUMNS($O$1006:P1006),$O$1006:$Q$1006,0))&gt;=100000), " ",IF(INDEX($O$2:$Q$1001,MATCH(ROWS($H$2:H610),$H$2:$H$1001,0),MATCH(COLUMNS($O$1006:P1006),$O$1006:$Q$1006,0)), HYPERLINK("#",""), HYPERLINK(CONCATENATE("#metadata!", ADDRESS(INDEX($J$2:$J$1001,MATCH(ROWS($H$2:H610),$H$2:$H$1001,0),0), INDEX($O$1004:$Q$1004,1,MATCH(COLUMNS($O$1006:P1006),$O$1006:$Q$1006,0)))),"Fix")))</f>
        <v xml:space="preserve"> </v>
      </c>
      <c r="D610" s="3" t="str">
        <f ca="1">IF(OR(INDEX($I$2:$I$1001,MATCH(ROWS($H$2:H610),$H$2:$H$1001,0),1)&gt;=100000,INDEX($O$1005:$Q$1005,1,MATCH(COLUMNS($O$1006:Q1006),$O$1006:$Q$1006,0))&gt;=100000), " ",IF(INDEX($O$2:$Q$1001,MATCH(ROWS($H$2:H610),$H$2:$H$1001,0),MATCH(COLUMNS($O$1006:Q1006),$O$1006:$Q$1006,0)), HYPERLINK("#",""), HYPERLINK(CONCATENATE("#metadata!", ADDRESS(INDEX($J$2:$J$1001,MATCH(ROWS($H$2:H610),$H$2:$H$1001,0),0), INDEX($O$1004:$Q$1004,1,MATCH(COLUMNS($O$1006:Q1006),$O$1006:$Q$1006,0)))),"Fix")))</f>
        <v xml:space="preserve"> </v>
      </c>
      <c r="H610">
        <v>609</v>
      </c>
      <c r="I610">
        <v>100610</v>
      </c>
      <c r="J610">
        <v>610</v>
      </c>
      <c r="K610" t="b">
        <f t="shared" si="9"/>
        <v>1</v>
      </c>
      <c r="L610" t="b">
        <f>COUNTBLANK(metadata!B610:D610)=COLUMNS(metadata!B610:D610)</f>
        <v>1</v>
      </c>
      <c r="M610" t="str">
        <v/>
      </c>
      <c r="O610" t="b">
        <f ca="1"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P610" t="b">
        <f>AND(IF(metadata!C610="",FALSE,TRUE),EXACT(metadata!C610,"mouse gut metagenome"))</f>
        <v>0</v>
      </c>
      <c r="Q610" t="b">
        <f>AND(IF(metadata!D610="",FALSE,TRUE),EXACT(metadata!D610,"410661"))</f>
        <v>0</v>
      </c>
    </row>
    <row r="611" spans="1:17" x14ac:dyDescent="0.2">
      <c r="A611" s="4" t="str">
        <f ca="1">IF(B611=" "," ",HYPERLINK(CONCATENATE("#metadata!",ADDRESS(INDEX($J$2:$J$1001,MATCH(ROWS($H$2:H611),$H$2:$H$1001,0),0),1)),INDEX($M$2:$M$1001,MATCH(ROWS($H$2:H611),$H$2:$H$1001,0),0)))</f>
        <v xml:space="preserve"> </v>
      </c>
      <c r="B611" s="3" t="str">
        <f ca="1">IF(OR(INDEX($I$2:$I$1001,MATCH(ROWS($H$2:H611),$H$2:$H$1001,0),1)&gt;=100000,INDEX($O$1005:$Q$1005,1,MATCH(COLUMNS($O$1006:O1006),$O$1006:$Q$1006,0))&gt;=100000), " ",IF(INDEX($O$2:$Q$1001,MATCH(ROWS($H$2:H611),$H$2:$H$1001,0),MATCH(COLUMNS($O$1006:O1006),$O$1006:$Q$1006,0)), HYPERLINK("#",""), HYPERLINK(CONCATENATE("#metadata!", ADDRESS(INDEX($J$2:$J$1001,MATCH(ROWS($H$2:H611),$H$2:$H$1001,0),0), INDEX($O$1004:$Q$1004,1,MATCH(COLUMNS($O$1006:O1006),$O$1006:$Q$1006,0)))),"Fix")))</f>
        <v xml:space="preserve"> </v>
      </c>
      <c r="C611" s="3" t="str">
        <f ca="1">IF(OR(INDEX($I$2:$I$1001,MATCH(ROWS($H$2:H611),$H$2:$H$1001,0),1)&gt;=100000,INDEX($O$1005:$Q$1005,1,MATCH(COLUMNS($O$1006:P1006),$O$1006:$Q$1006,0))&gt;=100000), " ",IF(INDEX($O$2:$Q$1001,MATCH(ROWS($H$2:H611),$H$2:$H$1001,0),MATCH(COLUMNS($O$1006:P1006),$O$1006:$Q$1006,0)), HYPERLINK("#",""), HYPERLINK(CONCATENATE("#metadata!", ADDRESS(INDEX($J$2:$J$1001,MATCH(ROWS($H$2:H611),$H$2:$H$1001,0),0), INDEX($O$1004:$Q$1004,1,MATCH(COLUMNS($O$1006:P1006),$O$1006:$Q$1006,0)))),"Fix")))</f>
        <v xml:space="preserve"> </v>
      </c>
      <c r="D611" s="3" t="str">
        <f ca="1">IF(OR(INDEX($I$2:$I$1001,MATCH(ROWS($H$2:H611),$H$2:$H$1001,0),1)&gt;=100000,INDEX($O$1005:$Q$1005,1,MATCH(COLUMNS($O$1006:Q1006),$O$1006:$Q$1006,0))&gt;=100000), " ",IF(INDEX($O$2:$Q$1001,MATCH(ROWS($H$2:H611),$H$2:$H$1001,0),MATCH(COLUMNS($O$1006:Q1006),$O$1006:$Q$1006,0)), HYPERLINK("#",""), HYPERLINK(CONCATENATE("#metadata!", ADDRESS(INDEX($J$2:$J$1001,MATCH(ROWS($H$2:H611),$H$2:$H$1001,0),0), INDEX($O$1004:$Q$1004,1,MATCH(COLUMNS($O$1006:Q1006),$O$1006:$Q$1006,0)))),"Fix")))</f>
        <v xml:space="preserve"> </v>
      </c>
      <c r="H611">
        <v>610</v>
      </c>
      <c r="I611">
        <v>100611</v>
      </c>
      <c r="J611">
        <v>611</v>
      </c>
      <c r="K611" t="b">
        <f t="shared" si="9"/>
        <v>1</v>
      </c>
      <c r="L611" t="b">
        <f>COUNTBLANK(metadata!B611:D611)=COLUMNS(metadata!B611:D611)</f>
        <v>1</v>
      </c>
      <c r="M611" t="str">
        <v/>
      </c>
      <c r="O611" t="b">
        <f ca="1"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P611" t="b">
        <f>AND(IF(metadata!C611="",FALSE,TRUE),EXACT(metadata!C611,"mouse gut metagenome"))</f>
        <v>0</v>
      </c>
      <c r="Q611" t="b">
        <f>AND(IF(metadata!D611="",FALSE,TRUE),EXACT(metadata!D611,"410661"))</f>
        <v>0</v>
      </c>
    </row>
    <row r="612" spans="1:17" x14ac:dyDescent="0.2">
      <c r="A612" s="4" t="str">
        <f ca="1">IF(B612=" "," ",HYPERLINK(CONCATENATE("#metadata!",ADDRESS(INDEX($J$2:$J$1001,MATCH(ROWS($H$2:H612),$H$2:$H$1001,0),0),1)),INDEX($M$2:$M$1001,MATCH(ROWS($H$2:H612),$H$2:$H$1001,0),0)))</f>
        <v xml:space="preserve"> </v>
      </c>
      <c r="B612" s="3" t="str">
        <f ca="1">IF(OR(INDEX($I$2:$I$1001,MATCH(ROWS($H$2:H612),$H$2:$H$1001,0),1)&gt;=100000,INDEX($O$1005:$Q$1005,1,MATCH(COLUMNS($O$1006:O1006),$O$1006:$Q$1006,0))&gt;=100000), " ",IF(INDEX($O$2:$Q$1001,MATCH(ROWS($H$2:H612),$H$2:$H$1001,0),MATCH(COLUMNS($O$1006:O1006),$O$1006:$Q$1006,0)), HYPERLINK("#",""), HYPERLINK(CONCATENATE("#metadata!", ADDRESS(INDEX($J$2:$J$1001,MATCH(ROWS($H$2:H612),$H$2:$H$1001,0),0), INDEX($O$1004:$Q$1004,1,MATCH(COLUMNS($O$1006:O1006),$O$1006:$Q$1006,0)))),"Fix")))</f>
        <v xml:space="preserve"> </v>
      </c>
      <c r="C612" s="3" t="str">
        <f ca="1">IF(OR(INDEX($I$2:$I$1001,MATCH(ROWS($H$2:H612),$H$2:$H$1001,0),1)&gt;=100000,INDEX($O$1005:$Q$1005,1,MATCH(COLUMNS($O$1006:P1006),$O$1006:$Q$1006,0))&gt;=100000), " ",IF(INDEX($O$2:$Q$1001,MATCH(ROWS($H$2:H612),$H$2:$H$1001,0),MATCH(COLUMNS($O$1006:P1006),$O$1006:$Q$1006,0)), HYPERLINK("#",""), HYPERLINK(CONCATENATE("#metadata!", ADDRESS(INDEX($J$2:$J$1001,MATCH(ROWS($H$2:H612),$H$2:$H$1001,0),0), INDEX($O$1004:$Q$1004,1,MATCH(COLUMNS($O$1006:P1006),$O$1006:$Q$1006,0)))),"Fix")))</f>
        <v xml:space="preserve"> </v>
      </c>
      <c r="D612" s="3" t="str">
        <f ca="1">IF(OR(INDEX($I$2:$I$1001,MATCH(ROWS($H$2:H612),$H$2:$H$1001,0),1)&gt;=100000,INDEX($O$1005:$Q$1005,1,MATCH(COLUMNS($O$1006:Q1006),$O$1006:$Q$1006,0))&gt;=100000), " ",IF(INDEX($O$2:$Q$1001,MATCH(ROWS($H$2:H612),$H$2:$H$1001,0),MATCH(COLUMNS($O$1006:Q1006),$O$1006:$Q$1006,0)), HYPERLINK("#",""), HYPERLINK(CONCATENATE("#metadata!", ADDRESS(INDEX($J$2:$J$1001,MATCH(ROWS($H$2:H612),$H$2:$H$1001,0),0), INDEX($O$1004:$Q$1004,1,MATCH(COLUMNS($O$1006:Q1006),$O$1006:$Q$1006,0)))),"Fix")))</f>
        <v xml:space="preserve"> </v>
      </c>
      <c r="H612">
        <v>611</v>
      </c>
      <c r="I612">
        <v>100612</v>
      </c>
      <c r="J612">
        <v>612</v>
      </c>
      <c r="K612" t="b">
        <f t="shared" si="9"/>
        <v>1</v>
      </c>
      <c r="L612" t="b">
        <f>COUNTBLANK(metadata!B612:D612)=COLUMNS(metadata!B612:D612)</f>
        <v>1</v>
      </c>
      <c r="M612" t="str">
        <v/>
      </c>
      <c r="O612" t="b">
        <f ca="1"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P612" t="b">
        <f>AND(IF(metadata!C612="",FALSE,TRUE),EXACT(metadata!C612,"mouse gut metagenome"))</f>
        <v>0</v>
      </c>
      <c r="Q612" t="b">
        <f>AND(IF(metadata!D612="",FALSE,TRUE),EXACT(metadata!D612,"410661"))</f>
        <v>0</v>
      </c>
    </row>
    <row r="613" spans="1:17" x14ac:dyDescent="0.2">
      <c r="A613" s="4" t="str">
        <f ca="1">IF(B613=" "," ",HYPERLINK(CONCATENATE("#metadata!",ADDRESS(INDEX($J$2:$J$1001,MATCH(ROWS($H$2:H613),$H$2:$H$1001,0),0),1)),INDEX($M$2:$M$1001,MATCH(ROWS($H$2:H613),$H$2:$H$1001,0),0)))</f>
        <v xml:space="preserve"> </v>
      </c>
      <c r="B613" s="3" t="str">
        <f ca="1">IF(OR(INDEX($I$2:$I$1001,MATCH(ROWS($H$2:H613),$H$2:$H$1001,0),1)&gt;=100000,INDEX($O$1005:$Q$1005,1,MATCH(COLUMNS($O$1006:O1006),$O$1006:$Q$1006,0))&gt;=100000), " ",IF(INDEX($O$2:$Q$1001,MATCH(ROWS($H$2:H613),$H$2:$H$1001,0),MATCH(COLUMNS($O$1006:O1006),$O$1006:$Q$1006,0)), HYPERLINK("#",""), HYPERLINK(CONCATENATE("#metadata!", ADDRESS(INDEX($J$2:$J$1001,MATCH(ROWS($H$2:H613),$H$2:$H$1001,0),0), INDEX($O$1004:$Q$1004,1,MATCH(COLUMNS($O$1006:O1006),$O$1006:$Q$1006,0)))),"Fix")))</f>
        <v xml:space="preserve"> </v>
      </c>
      <c r="C613" s="3" t="str">
        <f ca="1">IF(OR(INDEX($I$2:$I$1001,MATCH(ROWS($H$2:H613),$H$2:$H$1001,0),1)&gt;=100000,INDEX($O$1005:$Q$1005,1,MATCH(COLUMNS($O$1006:P1006),$O$1006:$Q$1006,0))&gt;=100000), " ",IF(INDEX($O$2:$Q$1001,MATCH(ROWS($H$2:H613),$H$2:$H$1001,0),MATCH(COLUMNS($O$1006:P1006),$O$1006:$Q$1006,0)), HYPERLINK("#",""), HYPERLINK(CONCATENATE("#metadata!", ADDRESS(INDEX($J$2:$J$1001,MATCH(ROWS($H$2:H613),$H$2:$H$1001,0),0), INDEX($O$1004:$Q$1004,1,MATCH(COLUMNS($O$1006:P1006),$O$1006:$Q$1006,0)))),"Fix")))</f>
        <v xml:space="preserve"> </v>
      </c>
      <c r="D613" s="3" t="str">
        <f ca="1">IF(OR(INDEX($I$2:$I$1001,MATCH(ROWS($H$2:H613),$H$2:$H$1001,0),1)&gt;=100000,INDEX($O$1005:$Q$1005,1,MATCH(COLUMNS($O$1006:Q1006),$O$1006:$Q$1006,0))&gt;=100000), " ",IF(INDEX($O$2:$Q$1001,MATCH(ROWS($H$2:H613),$H$2:$H$1001,0),MATCH(COLUMNS($O$1006:Q1006),$O$1006:$Q$1006,0)), HYPERLINK("#",""), HYPERLINK(CONCATENATE("#metadata!", ADDRESS(INDEX($J$2:$J$1001,MATCH(ROWS($H$2:H613),$H$2:$H$1001,0),0), INDEX($O$1004:$Q$1004,1,MATCH(COLUMNS($O$1006:Q1006),$O$1006:$Q$1006,0)))),"Fix")))</f>
        <v xml:space="preserve"> </v>
      </c>
      <c r="H613">
        <v>612</v>
      </c>
      <c r="I613">
        <v>100613</v>
      </c>
      <c r="J613">
        <v>613</v>
      </c>
      <c r="K613" t="b">
        <f t="shared" si="9"/>
        <v>1</v>
      </c>
      <c r="L613" t="b">
        <f>COUNTBLANK(metadata!B613:D613)=COLUMNS(metadata!B613:D613)</f>
        <v>1</v>
      </c>
      <c r="M613" t="str">
        <v/>
      </c>
      <c r="O613" t="b">
        <f ca="1"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P613" t="b">
        <f>AND(IF(metadata!C613="",FALSE,TRUE),EXACT(metadata!C613,"mouse gut metagenome"))</f>
        <v>0</v>
      </c>
      <c r="Q613" t="b">
        <f>AND(IF(metadata!D613="",FALSE,TRUE),EXACT(metadata!D613,"410661"))</f>
        <v>0</v>
      </c>
    </row>
    <row r="614" spans="1:17" x14ac:dyDescent="0.2">
      <c r="A614" s="4" t="str">
        <f ca="1">IF(B614=" "," ",HYPERLINK(CONCATENATE("#metadata!",ADDRESS(INDEX($J$2:$J$1001,MATCH(ROWS($H$2:H614),$H$2:$H$1001,0),0),1)),INDEX($M$2:$M$1001,MATCH(ROWS($H$2:H614),$H$2:$H$1001,0),0)))</f>
        <v xml:space="preserve"> </v>
      </c>
      <c r="B614" s="3" t="str">
        <f ca="1">IF(OR(INDEX($I$2:$I$1001,MATCH(ROWS($H$2:H614),$H$2:$H$1001,0),1)&gt;=100000,INDEX($O$1005:$Q$1005,1,MATCH(COLUMNS($O$1006:O1006),$O$1006:$Q$1006,0))&gt;=100000), " ",IF(INDEX($O$2:$Q$1001,MATCH(ROWS($H$2:H614),$H$2:$H$1001,0),MATCH(COLUMNS($O$1006:O1006),$O$1006:$Q$1006,0)), HYPERLINK("#",""), HYPERLINK(CONCATENATE("#metadata!", ADDRESS(INDEX($J$2:$J$1001,MATCH(ROWS($H$2:H614),$H$2:$H$1001,0),0), INDEX($O$1004:$Q$1004,1,MATCH(COLUMNS($O$1006:O1006),$O$1006:$Q$1006,0)))),"Fix")))</f>
        <v xml:space="preserve"> </v>
      </c>
      <c r="C614" s="3" t="str">
        <f ca="1">IF(OR(INDEX($I$2:$I$1001,MATCH(ROWS($H$2:H614),$H$2:$H$1001,0),1)&gt;=100000,INDEX($O$1005:$Q$1005,1,MATCH(COLUMNS($O$1006:P1006),$O$1006:$Q$1006,0))&gt;=100000), " ",IF(INDEX($O$2:$Q$1001,MATCH(ROWS($H$2:H614),$H$2:$H$1001,0),MATCH(COLUMNS($O$1006:P1006),$O$1006:$Q$1006,0)), HYPERLINK("#",""), HYPERLINK(CONCATENATE("#metadata!", ADDRESS(INDEX($J$2:$J$1001,MATCH(ROWS($H$2:H614),$H$2:$H$1001,0),0), INDEX($O$1004:$Q$1004,1,MATCH(COLUMNS($O$1006:P1006),$O$1006:$Q$1006,0)))),"Fix")))</f>
        <v xml:space="preserve"> </v>
      </c>
      <c r="D614" s="3" t="str">
        <f ca="1">IF(OR(INDEX($I$2:$I$1001,MATCH(ROWS($H$2:H614),$H$2:$H$1001,0),1)&gt;=100000,INDEX($O$1005:$Q$1005,1,MATCH(COLUMNS($O$1006:Q1006),$O$1006:$Q$1006,0))&gt;=100000), " ",IF(INDEX($O$2:$Q$1001,MATCH(ROWS($H$2:H614),$H$2:$H$1001,0),MATCH(COLUMNS($O$1006:Q1006),$O$1006:$Q$1006,0)), HYPERLINK("#",""), HYPERLINK(CONCATENATE("#metadata!", ADDRESS(INDEX($J$2:$J$1001,MATCH(ROWS($H$2:H614),$H$2:$H$1001,0),0), INDEX($O$1004:$Q$1004,1,MATCH(COLUMNS($O$1006:Q1006),$O$1006:$Q$1006,0)))),"Fix")))</f>
        <v xml:space="preserve"> </v>
      </c>
      <c r="H614">
        <v>613</v>
      </c>
      <c r="I614">
        <v>100614</v>
      </c>
      <c r="J614">
        <v>614</v>
      </c>
      <c r="K614" t="b">
        <f t="shared" si="9"/>
        <v>1</v>
      </c>
      <c r="L614" t="b">
        <f>COUNTBLANK(metadata!B614:D614)=COLUMNS(metadata!B614:D614)</f>
        <v>1</v>
      </c>
      <c r="M614" t="str">
        <v/>
      </c>
      <c r="O614" t="b">
        <f ca="1"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P614" t="b">
        <f>AND(IF(metadata!C614="",FALSE,TRUE),EXACT(metadata!C614,"mouse gut metagenome"))</f>
        <v>0</v>
      </c>
      <c r="Q614" t="b">
        <f>AND(IF(metadata!D614="",FALSE,TRUE),EXACT(metadata!D614,"410661"))</f>
        <v>0</v>
      </c>
    </row>
    <row r="615" spans="1:17" x14ac:dyDescent="0.2">
      <c r="A615" s="4" t="str">
        <f ca="1">IF(B615=" "," ",HYPERLINK(CONCATENATE("#metadata!",ADDRESS(INDEX($J$2:$J$1001,MATCH(ROWS($H$2:H615),$H$2:$H$1001,0),0),1)),INDEX($M$2:$M$1001,MATCH(ROWS($H$2:H615),$H$2:$H$1001,0),0)))</f>
        <v xml:space="preserve"> </v>
      </c>
      <c r="B615" s="3" t="str">
        <f ca="1">IF(OR(INDEX($I$2:$I$1001,MATCH(ROWS($H$2:H615),$H$2:$H$1001,0),1)&gt;=100000,INDEX($O$1005:$Q$1005,1,MATCH(COLUMNS($O$1006:O1006),$O$1006:$Q$1006,0))&gt;=100000), " ",IF(INDEX($O$2:$Q$1001,MATCH(ROWS($H$2:H615),$H$2:$H$1001,0),MATCH(COLUMNS($O$1006:O1006),$O$1006:$Q$1006,0)), HYPERLINK("#",""), HYPERLINK(CONCATENATE("#metadata!", ADDRESS(INDEX($J$2:$J$1001,MATCH(ROWS($H$2:H615),$H$2:$H$1001,0),0), INDEX($O$1004:$Q$1004,1,MATCH(COLUMNS($O$1006:O1006),$O$1006:$Q$1006,0)))),"Fix")))</f>
        <v xml:space="preserve"> </v>
      </c>
      <c r="C615" s="3" t="str">
        <f ca="1">IF(OR(INDEX($I$2:$I$1001,MATCH(ROWS($H$2:H615),$H$2:$H$1001,0),1)&gt;=100000,INDEX($O$1005:$Q$1005,1,MATCH(COLUMNS($O$1006:P1006),$O$1006:$Q$1006,0))&gt;=100000), " ",IF(INDEX($O$2:$Q$1001,MATCH(ROWS($H$2:H615),$H$2:$H$1001,0),MATCH(COLUMNS($O$1006:P1006),$O$1006:$Q$1006,0)), HYPERLINK("#",""), HYPERLINK(CONCATENATE("#metadata!", ADDRESS(INDEX($J$2:$J$1001,MATCH(ROWS($H$2:H615),$H$2:$H$1001,0),0), INDEX($O$1004:$Q$1004,1,MATCH(COLUMNS($O$1006:P1006),$O$1006:$Q$1006,0)))),"Fix")))</f>
        <v xml:space="preserve"> </v>
      </c>
      <c r="D615" s="3" t="str">
        <f ca="1">IF(OR(INDEX($I$2:$I$1001,MATCH(ROWS($H$2:H615),$H$2:$H$1001,0),1)&gt;=100000,INDEX($O$1005:$Q$1005,1,MATCH(COLUMNS($O$1006:Q1006),$O$1006:$Q$1006,0))&gt;=100000), " ",IF(INDEX($O$2:$Q$1001,MATCH(ROWS($H$2:H615),$H$2:$H$1001,0),MATCH(COLUMNS($O$1006:Q1006),$O$1006:$Q$1006,0)), HYPERLINK("#",""), HYPERLINK(CONCATENATE("#metadata!", ADDRESS(INDEX($J$2:$J$1001,MATCH(ROWS($H$2:H615),$H$2:$H$1001,0),0), INDEX($O$1004:$Q$1004,1,MATCH(COLUMNS($O$1006:Q1006),$O$1006:$Q$1006,0)))),"Fix")))</f>
        <v xml:space="preserve"> </v>
      </c>
      <c r="H615">
        <v>614</v>
      </c>
      <c r="I615">
        <v>100615</v>
      </c>
      <c r="J615">
        <v>615</v>
      </c>
      <c r="K615" t="b">
        <f t="shared" si="9"/>
        <v>1</v>
      </c>
      <c r="L615" t="b">
        <f>COUNTBLANK(metadata!B615:D615)=COLUMNS(metadata!B615:D615)</f>
        <v>1</v>
      </c>
      <c r="M615" t="str">
        <v/>
      </c>
      <c r="O615" t="b">
        <f ca="1"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P615" t="b">
        <f>AND(IF(metadata!C615="",FALSE,TRUE),EXACT(metadata!C615,"mouse gut metagenome"))</f>
        <v>0</v>
      </c>
      <c r="Q615" t="b">
        <f>AND(IF(metadata!D615="",FALSE,TRUE),EXACT(metadata!D615,"410661"))</f>
        <v>0</v>
      </c>
    </row>
    <row r="616" spans="1:17" x14ac:dyDescent="0.2">
      <c r="A616" s="4" t="str">
        <f ca="1">IF(B616=" "," ",HYPERLINK(CONCATENATE("#metadata!",ADDRESS(INDEX($J$2:$J$1001,MATCH(ROWS($H$2:H616),$H$2:$H$1001,0),0),1)),INDEX($M$2:$M$1001,MATCH(ROWS($H$2:H616),$H$2:$H$1001,0),0)))</f>
        <v xml:space="preserve"> </v>
      </c>
      <c r="B616" s="3" t="str">
        <f ca="1">IF(OR(INDEX($I$2:$I$1001,MATCH(ROWS($H$2:H616),$H$2:$H$1001,0),1)&gt;=100000,INDEX($O$1005:$Q$1005,1,MATCH(COLUMNS($O$1006:O1006),$O$1006:$Q$1006,0))&gt;=100000), " ",IF(INDEX($O$2:$Q$1001,MATCH(ROWS($H$2:H616),$H$2:$H$1001,0),MATCH(COLUMNS($O$1006:O1006),$O$1006:$Q$1006,0)), HYPERLINK("#",""), HYPERLINK(CONCATENATE("#metadata!", ADDRESS(INDEX($J$2:$J$1001,MATCH(ROWS($H$2:H616),$H$2:$H$1001,0),0), INDEX($O$1004:$Q$1004,1,MATCH(COLUMNS($O$1006:O1006),$O$1006:$Q$1006,0)))),"Fix")))</f>
        <v xml:space="preserve"> </v>
      </c>
      <c r="C616" s="3" t="str">
        <f ca="1">IF(OR(INDEX($I$2:$I$1001,MATCH(ROWS($H$2:H616),$H$2:$H$1001,0),1)&gt;=100000,INDEX($O$1005:$Q$1005,1,MATCH(COLUMNS($O$1006:P1006),$O$1006:$Q$1006,0))&gt;=100000), " ",IF(INDEX($O$2:$Q$1001,MATCH(ROWS($H$2:H616),$H$2:$H$1001,0),MATCH(COLUMNS($O$1006:P1006),$O$1006:$Q$1006,0)), HYPERLINK("#",""), HYPERLINK(CONCATENATE("#metadata!", ADDRESS(INDEX($J$2:$J$1001,MATCH(ROWS($H$2:H616),$H$2:$H$1001,0),0), INDEX($O$1004:$Q$1004,1,MATCH(COLUMNS($O$1006:P1006),$O$1006:$Q$1006,0)))),"Fix")))</f>
        <v xml:space="preserve"> </v>
      </c>
      <c r="D616" s="3" t="str">
        <f ca="1">IF(OR(INDEX($I$2:$I$1001,MATCH(ROWS($H$2:H616),$H$2:$H$1001,0),1)&gt;=100000,INDEX($O$1005:$Q$1005,1,MATCH(COLUMNS($O$1006:Q1006),$O$1006:$Q$1006,0))&gt;=100000), " ",IF(INDEX($O$2:$Q$1001,MATCH(ROWS($H$2:H616),$H$2:$H$1001,0),MATCH(COLUMNS($O$1006:Q1006),$O$1006:$Q$1006,0)), HYPERLINK("#",""), HYPERLINK(CONCATENATE("#metadata!", ADDRESS(INDEX($J$2:$J$1001,MATCH(ROWS($H$2:H616),$H$2:$H$1001,0),0), INDEX($O$1004:$Q$1004,1,MATCH(COLUMNS($O$1006:Q1006),$O$1006:$Q$1006,0)))),"Fix")))</f>
        <v xml:space="preserve"> </v>
      </c>
      <c r="H616">
        <v>615</v>
      </c>
      <c r="I616">
        <v>100616</v>
      </c>
      <c r="J616">
        <v>616</v>
      </c>
      <c r="K616" t="b">
        <f t="shared" si="9"/>
        <v>1</v>
      </c>
      <c r="L616" t="b">
        <f>COUNTBLANK(metadata!B616:D616)=COLUMNS(metadata!B616:D616)</f>
        <v>1</v>
      </c>
      <c r="M616" t="str">
        <v/>
      </c>
      <c r="O616" t="b">
        <f ca="1"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P616" t="b">
        <f>AND(IF(metadata!C616="",FALSE,TRUE),EXACT(metadata!C616,"mouse gut metagenome"))</f>
        <v>0</v>
      </c>
      <c r="Q616" t="b">
        <f>AND(IF(metadata!D616="",FALSE,TRUE),EXACT(metadata!D616,"410661"))</f>
        <v>0</v>
      </c>
    </row>
    <row r="617" spans="1:17" x14ac:dyDescent="0.2">
      <c r="A617" s="4" t="str">
        <f ca="1">IF(B617=" "," ",HYPERLINK(CONCATENATE("#metadata!",ADDRESS(INDEX($J$2:$J$1001,MATCH(ROWS($H$2:H617),$H$2:$H$1001,0),0),1)),INDEX($M$2:$M$1001,MATCH(ROWS($H$2:H617),$H$2:$H$1001,0),0)))</f>
        <v xml:space="preserve"> </v>
      </c>
      <c r="B617" s="3" t="str">
        <f ca="1">IF(OR(INDEX($I$2:$I$1001,MATCH(ROWS($H$2:H617),$H$2:$H$1001,0),1)&gt;=100000,INDEX($O$1005:$Q$1005,1,MATCH(COLUMNS($O$1006:O1006),$O$1006:$Q$1006,0))&gt;=100000), " ",IF(INDEX($O$2:$Q$1001,MATCH(ROWS($H$2:H617),$H$2:$H$1001,0),MATCH(COLUMNS($O$1006:O1006),$O$1006:$Q$1006,0)), HYPERLINK("#",""), HYPERLINK(CONCATENATE("#metadata!", ADDRESS(INDEX($J$2:$J$1001,MATCH(ROWS($H$2:H617),$H$2:$H$1001,0),0), INDEX($O$1004:$Q$1004,1,MATCH(COLUMNS($O$1006:O1006),$O$1006:$Q$1006,0)))),"Fix")))</f>
        <v xml:space="preserve"> </v>
      </c>
      <c r="C617" s="3" t="str">
        <f ca="1">IF(OR(INDEX($I$2:$I$1001,MATCH(ROWS($H$2:H617),$H$2:$H$1001,0),1)&gt;=100000,INDEX($O$1005:$Q$1005,1,MATCH(COLUMNS($O$1006:P1006),$O$1006:$Q$1006,0))&gt;=100000), " ",IF(INDEX($O$2:$Q$1001,MATCH(ROWS($H$2:H617),$H$2:$H$1001,0),MATCH(COLUMNS($O$1006:P1006),$O$1006:$Q$1006,0)), HYPERLINK("#",""), HYPERLINK(CONCATENATE("#metadata!", ADDRESS(INDEX($J$2:$J$1001,MATCH(ROWS($H$2:H617),$H$2:$H$1001,0),0), INDEX($O$1004:$Q$1004,1,MATCH(COLUMNS($O$1006:P1006),$O$1006:$Q$1006,0)))),"Fix")))</f>
        <v xml:space="preserve"> </v>
      </c>
      <c r="D617" s="3" t="str">
        <f ca="1">IF(OR(INDEX($I$2:$I$1001,MATCH(ROWS($H$2:H617),$H$2:$H$1001,0),1)&gt;=100000,INDEX($O$1005:$Q$1005,1,MATCH(COLUMNS($O$1006:Q1006),$O$1006:$Q$1006,0))&gt;=100000), " ",IF(INDEX($O$2:$Q$1001,MATCH(ROWS($H$2:H617),$H$2:$H$1001,0),MATCH(COLUMNS($O$1006:Q1006),$O$1006:$Q$1006,0)), HYPERLINK("#",""), HYPERLINK(CONCATENATE("#metadata!", ADDRESS(INDEX($J$2:$J$1001,MATCH(ROWS($H$2:H617),$H$2:$H$1001,0),0), INDEX($O$1004:$Q$1004,1,MATCH(COLUMNS($O$1006:Q1006),$O$1006:$Q$1006,0)))),"Fix")))</f>
        <v xml:space="preserve"> </v>
      </c>
      <c r="H617">
        <v>616</v>
      </c>
      <c r="I617">
        <v>100617</v>
      </c>
      <c r="J617">
        <v>617</v>
      </c>
      <c r="K617" t="b">
        <f t="shared" si="9"/>
        <v>1</v>
      </c>
      <c r="L617" t="b">
        <f>COUNTBLANK(metadata!B617:D617)=COLUMNS(metadata!B617:D617)</f>
        <v>1</v>
      </c>
      <c r="M617" t="str">
        <v/>
      </c>
      <c r="O617" t="b">
        <f ca="1"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P617" t="b">
        <f>AND(IF(metadata!C617="",FALSE,TRUE),EXACT(metadata!C617,"mouse gut metagenome"))</f>
        <v>0</v>
      </c>
      <c r="Q617" t="b">
        <f>AND(IF(metadata!D617="",FALSE,TRUE),EXACT(metadata!D617,"410661"))</f>
        <v>0</v>
      </c>
    </row>
    <row r="618" spans="1:17" x14ac:dyDescent="0.2">
      <c r="A618" s="4" t="str">
        <f ca="1">IF(B618=" "," ",HYPERLINK(CONCATENATE("#metadata!",ADDRESS(INDEX($J$2:$J$1001,MATCH(ROWS($H$2:H618),$H$2:$H$1001,0),0),1)),INDEX($M$2:$M$1001,MATCH(ROWS($H$2:H618),$H$2:$H$1001,0),0)))</f>
        <v xml:space="preserve"> </v>
      </c>
      <c r="B618" s="3" t="str">
        <f ca="1">IF(OR(INDEX($I$2:$I$1001,MATCH(ROWS($H$2:H618),$H$2:$H$1001,0),1)&gt;=100000,INDEX($O$1005:$Q$1005,1,MATCH(COLUMNS($O$1006:O1006),$O$1006:$Q$1006,0))&gt;=100000), " ",IF(INDEX($O$2:$Q$1001,MATCH(ROWS($H$2:H618),$H$2:$H$1001,0),MATCH(COLUMNS($O$1006:O1006),$O$1006:$Q$1006,0)), HYPERLINK("#",""), HYPERLINK(CONCATENATE("#metadata!", ADDRESS(INDEX($J$2:$J$1001,MATCH(ROWS($H$2:H618),$H$2:$H$1001,0),0), INDEX($O$1004:$Q$1004,1,MATCH(COLUMNS($O$1006:O1006),$O$1006:$Q$1006,0)))),"Fix")))</f>
        <v xml:space="preserve"> </v>
      </c>
      <c r="C618" s="3" t="str">
        <f ca="1">IF(OR(INDEX($I$2:$I$1001,MATCH(ROWS($H$2:H618),$H$2:$H$1001,0),1)&gt;=100000,INDEX($O$1005:$Q$1005,1,MATCH(COLUMNS($O$1006:P1006),$O$1006:$Q$1006,0))&gt;=100000), " ",IF(INDEX($O$2:$Q$1001,MATCH(ROWS($H$2:H618),$H$2:$H$1001,0),MATCH(COLUMNS($O$1006:P1006),$O$1006:$Q$1006,0)), HYPERLINK("#",""), HYPERLINK(CONCATENATE("#metadata!", ADDRESS(INDEX($J$2:$J$1001,MATCH(ROWS($H$2:H618),$H$2:$H$1001,0),0), INDEX($O$1004:$Q$1004,1,MATCH(COLUMNS($O$1006:P1006),$O$1006:$Q$1006,0)))),"Fix")))</f>
        <v xml:space="preserve"> </v>
      </c>
      <c r="D618" s="3" t="str">
        <f ca="1">IF(OR(INDEX($I$2:$I$1001,MATCH(ROWS($H$2:H618),$H$2:$H$1001,0),1)&gt;=100000,INDEX($O$1005:$Q$1005,1,MATCH(COLUMNS($O$1006:Q1006),$O$1006:$Q$1006,0))&gt;=100000), " ",IF(INDEX($O$2:$Q$1001,MATCH(ROWS($H$2:H618),$H$2:$H$1001,0),MATCH(COLUMNS($O$1006:Q1006),$O$1006:$Q$1006,0)), HYPERLINK("#",""), HYPERLINK(CONCATENATE("#metadata!", ADDRESS(INDEX($J$2:$J$1001,MATCH(ROWS($H$2:H618),$H$2:$H$1001,0),0), INDEX($O$1004:$Q$1004,1,MATCH(COLUMNS($O$1006:Q1006),$O$1006:$Q$1006,0)))),"Fix")))</f>
        <v xml:space="preserve"> </v>
      </c>
      <c r="H618">
        <v>617</v>
      </c>
      <c r="I618">
        <v>100618</v>
      </c>
      <c r="J618">
        <v>618</v>
      </c>
      <c r="K618" t="b">
        <f t="shared" si="9"/>
        <v>1</v>
      </c>
      <c r="L618" t="b">
        <f>COUNTBLANK(metadata!B618:D618)=COLUMNS(metadata!B618:D618)</f>
        <v>1</v>
      </c>
      <c r="M618" t="str">
        <v/>
      </c>
      <c r="O618" t="b">
        <f ca="1"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P618" t="b">
        <f>AND(IF(metadata!C618="",FALSE,TRUE),EXACT(metadata!C618,"mouse gut metagenome"))</f>
        <v>0</v>
      </c>
      <c r="Q618" t="b">
        <f>AND(IF(metadata!D618="",FALSE,TRUE),EXACT(metadata!D618,"410661"))</f>
        <v>0</v>
      </c>
    </row>
    <row r="619" spans="1:17" x14ac:dyDescent="0.2">
      <c r="A619" s="4" t="str">
        <f ca="1">IF(B619=" "," ",HYPERLINK(CONCATENATE("#metadata!",ADDRESS(INDEX($J$2:$J$1001,MATCH(ROWS($H$2:H619),$H$2:$H$1001,0),0),1)),INDEX($M$2:$M$1001,MATCH(ROWS($H$2:H619),$H$2:$H$1001,0),0)))</f>
        <v xml:space="preserve"> </v>
      </c>
      <c r="B619" s="3" t="str">
        <f ca="1">IF(OR(INDEX($I$2:$I$1001,MATCH(ROWS($H$2:H619),$H$2:$H$1001,0),1)&gt;=100000,INDEX($O$1005:$Q$1005,1,MATCH(COLUMNS($O$1006:O1006),$O$1006:$Q$1006,0))&gt;=100000), " ",IF(INDEX($O$2:$Q$1001,MATCH(ROWS($H$2:H619),$H$2:$H$1001,0),MATCH(COLUMNS($O$1006:O1006),$O$1006:$Q$1006,0)), HYPERLINK("#",""), HYPERLINK(CONCATENATE("#metadata!", ADDRESS(INDEX($J$2:$J$1001,MATCH(ROWS($H$2:H619),$H$2:$H$1001,0),0), INDEX($O$1004:$Q$1004,1,MATCH(COLUMNS($O$1006:O1006),$O$1006:$Q$1006,0)))),"Fix")))</f>
        <v xml:space="preserve"> </v>
      </c>
      <c r="C619" s="3" t="str">
        <f ca="1">IF(OR(INDEX($I$2:$I$1001,MATCH(ROWS($H$2:H619),$H$2:$H$1001,0),1)&gt;=100000,INDEX($O$1005:$Q$1005,1,MATCH(COLUMNS($O$1006:P1006),$O$1006:$Q$1006,0))&gt;=100000), " ",IF(INDEX($O$2:$Q$1001,MATCH(ROWS($H$2:H619),$H$2:$H$1001,0),MATCH(COLUMNS($O$1006:P1006),$O$1006:$Q$1006,0)), HYPERLINK("#",""), HYPERLINK(CONCATENATE("#metadata!", ADDRESS(INDEX($J$2:$J$1001,MATCH(ROWS($H$2:H619),$H$2:$H$1001,0),0), INDEX($O$1004:$Q$1004,1,MATCH(COLUMNS($O$1006:P1006),$O$1006:$Q$1006,0)))),"Fix")))</f>
        <v xml:space="preserve"> </v>
      </c>
      <c r="D619" s="3" t="str">
        <f ca="1">IF(OR(INDEX($I$2:$I$1001,MATCH(ROWS($H$2:H619),$H$2:$H$1001,0),1)&gt;=100000,INDEX($O$1005:$Q$1005,1,MATCH(COLUMNS($O$1006:Q1006),$O$1006:$Q$1006,0))&gt;=100000), " ",IF(INDEX($O$2:$Q$1001,MATCH(ROWS($H$2:H619),$H$2:$H$1001,0),MATCH(COLUMNS($O$1006:Q1006),$O$1006:$Q$1006,0)), HYPERLINK("#",""), HYPERLINK(CONCATENATE("#metadata!", ADDRESS(INDEX($J$2:$J$1001,MATCH(ROWS($H$2:H619),$H$2:$H$1001,0),0), INDEX($O$1004:$Q$1004,1,MATCH(COLUMNS($O$1006:Q1006),$O$1006:$Q$1006,0)))),"Fix")))</f>
        <v xml:space="preserve"> </v>
      </c>
      <c r="H619">
        <v>618</v>
      </c>
      <c r="I619">
        <v>100619</v>
      </c>
      <c r="J619">
        <v>619</v>
      </c>
      <c r="K619" t="b">
        <f t="shared" si="9"/>
        <v>1</v>
      </c>
      <c r="L619" t="b">
        <f>COUNTBLANK(metadata!B619:D619)=COLUMNS(metadata!B619:D619)</f>
        <v>1</v>
      </c>
      <c r="M619" t="str">
        <v/>
      </c>
      <c r="O619" t="b">
        <f ca="1"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P619" t="b">
        <f>AND(IF(metadata!C619="",FALSE,TRUE),EXACT(metadata!C619,"mouse gut metagenome"))</f>
        <v>0</v>
      </c>
      <c r="Q619" t="b">
        <f>AND(IF(metadata!D619="",FALSE,TRUE),EXACT(metadata!D619,"410661"))</f>
        <v>0</v>
      </c>
    </row>
    <row r="620" spans="1:17" x14ac:dyDescent="0.2">
      <c r="A620" s="4" t="str">
        <f ca="1">IF(B620=" "," ",HYPERLINK(CONCATENATE("#metadata!",ADDRESS(INDEX($J$2:$J$1001,MATCH(ROWS($H$2:H620),$H$2:$H$1001,0),0),1)),INDEX($M$2:$M$1001,MATCH(ROWS($H$2:H620),$H$2:$H$1001,0),0)))</f>
        <v xml:space="preserve"> </v>
      </c>
      <c r="B620" s="3" t="str">
        <f ca="1">IF(OR(INDEX($I$2:$I$1001,MATCH(ROWS($H$2:H620),$H$2:$H$1001,0),1)&gt;=100000,INDEX($O$1005:$Q$1005,1,MATCH(COLUMNS($O$1006:O1006),$O$1006:$Q$1006,0))&gt;=100000), " ",IF(INDEX($O$2:$Q$1001,MATCH(ROWS($H$2:H620),$H$2:$H$1001,0),MATCH(COLUMNS($O$1006:O1006),$O$1006:$Q$1006,0)), HYPERLINK("#",""), HYPERLINK(CONCATENATE("#metadata!", ADDRESS(INDEX($J$2:$J$1001,MATCH(ROWS($H$2:H620),$H$2:$H$1001,0),0), INDEX($O$1004:$Q$1004,1,MATCH(COLUMNS($O$1006:O1006),$O$1006:$Q$1006,0)))),"Fix")))</f>
        <v xml:space="preserve"> </v>
      </c>
      <c r="C620" s="3" t="str">
        <f ca="1">IF(OR(INDEX($I$2:$I$1001,MATCH(ROWS($H$2:H620),$H$2:$H$1001,0),1)&gt;=100000,INDEX($O$1005:$Q$1005,1,MATCH(COLUMNS($O$1006:P1006),$O$1006:$Q$1006,0))&gt;=100000), " ",IF(INDEX($O$2:$Q$1001,MATCH(ROWS($H$2:H620),$H$2:$H$1001,0),MATCH(COLUMNS($O$1006:P1006),$O$1006:$Q$1006,0)), HYPERLINK("#",""), HYPERLINK(CONCATENATE("#metadata!", ADDRESS(INDEX($J$2:$J$1001,MATCH(ROWS($H$2:H620),$H$2:$H$1001,0),0), INDEX($O$1004:$Q$1004,1,MATCH(COLUMNS($O$1006:P1006),$O$1006:$Q$1006,0)))),"Fix")))</f>
        <v xml:space="preserve"> </v>
      </c>
      <c r="D620" s="3" t="str">
        <f ca="1">IF(OR(INDEX($I$2:$I$1001,MATCH(ROWS($H$2:H620),$H$2:$H$1001,0),1)&gt;=100000,INDEX($O$1005:$Q$1005,1,MATCH(COLUMNS($O$1006:Q1006),$O$1006:$Q$1006,0))&gt;=100000), " ",IF(INDEX($O$2:$Q$1001,MATCH(ROWS($H$2:H620),$H$2:$H$1001,0),MATCH(COLUMNS($O$1006:Q1006),$O$1006:$Q$1006,0)), HYPERLINK("#",""), HYPERLINK(CONCATENATE("#metadata!", ADDRESS(INDEX($J$2:$J$1001,MATCH(ROWS($H$2:H620),$H$2:$H$1001,0),0), INDEX($O$1004:$Q$1004,1,MATCH(COLUMNS($O$1006:Q1006),$O$1006:$Q$1006,0)))),"Fix")))</f>
        <v xml:space="preserve"> </v>
      </c>
      <c r="H620">
        <v>619</v>
      </c>
      <c r="I620">
        <v>100620</v>
      </c>
      <c r="J620">
        <v>620</v>
      </c>
      <c r="K620" t="b">
        <f t="shared" si="9"/>
        <v>1</v>
      </c>
      <c r="L620" t="b">
        <f>COUNTBLANK(metadata!B620:D620)=COLUMNS(metadata!B620:D620)</f>
        <v>1</v>
      </c>
      <c r="M620" t="str">
        <v/>
      </c>
      <c r="O620" t="b">
        <f ca="1"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P620" t="b">
        <f>AND(IF(metadata!C620="",FALSE,TRUE),EXACT(metadata!C620,"mouse gut metagenome"))</f>
        <v>0</v>
      </c>
      <c r="Q620" t="b">
        <f>AND(IF(metadata!D620="",FALSE,TRUE),EXACT(metadata!D620,"410661"))</f>
        <v>0</v>
      </c>
    </row>
    <row r="621" spans="1:17" x14ac:dyDescent="0.2">
      <c r="A621" s="4" t="str">
        <f ca="1">IF(B621=" "," ",HYPERLINK(CONCATENATE("#metadata!",ADDRESS(INDEX($J$2:$J$1001,MATCH(ROWS($H$2:H621),$H$2:$H$1001,0),0),1)),INDEX($M$2:$M$1001,MATCH(ROWS($H$2:H621),$H$2:$H$1001,0),0)))</f>
        <v xml:space="preserve"> </v>
      </c>
      <c r="B621" s="3" t="str">
        <f ca="1">IF(OR(INDEX($I$2:$I$1001,MATCH(ROWS($H$2:H621),$H$2:$H$1001,0),1)&gt;=100000,INDEX($O$1005:$Q$1005,1,MATCH(COLUMNS($O$1006:O1006),$O$1006:$Q$1006,0))&gt;=100000), " ",IF(INDEX($O$2:$Q$1001,MATCH(ROWS($H$2:H621),$H$2:$H$1001,0),MATCH(COLUMNS($O$1006:O1006),$O$1006:$Q$1006,0)), HYPERLINK("#",""), HYPERLINK(CONCATENATE("#metadata!", ADDRESS(INDEX($J$2:$J$1001,MATCH(ROWS($H$2:H621),$H$2:$H$1001,0),0), INDEX($O$1004:$Q$1004,1,MATCH(COLUMNS($O$1006:O1006),$O$1006:$Q$1006,0)))),"Fix")))</f>
        <v xml:space="preserve"> </v>
      </c>
      <c r="C621" s="3" t="str">
        <f ca="1">IF(OR(INDEX($I$2:$I$1001,MATCH(ROWS($H$2:H621),$H$2:$H$1001,0),1)&gt;=100000,INDEX($O$1005:$Q$1005,1,MATCH(COLUMNS($O$1006:P1006),$O$1006:$Q$1006,0))&gt;=100000), " ",IF(INDEX($O$2:$Q$1001,MATCH(ROWS($H$2:H621),$H$2:$H$1001,0),MATCH(COLUMNS($O$1006:P1006),$O$1006:$Q$1006,0)), HYPERLINK("#",""), HYPERLINK(CONCATENATE("#metadata!", ADDRESS(INDEX($J$2:$J$1001,MATCH(ROWS($H$2:H621),$H$2:$H$1001,0),0), INDEX($O$1004:$Q$1004,1,MATCH(COLUMNS($O$1006:P1006),$O$1006:$Q$1006,0)))),"Fix")))</f>
        <v xml:space="preserve"> </v>
      </c>
      <c r="D621" s="3" t="str">
        <f ca="1">IF(OR(INDEX($I$2:$I$1001,MATCH(ROWS($H$2:H621),$H$2:$H$1001,0),1)&gt;=100000,INDEX($O$1005:$Q$1005,1,MATCH(COLUMNS($O$1006:Q1006),$O$1006:$Q$1006,0))&gt;=100000), " ",IF(INDEX($O$2:$Q$1001,MATCH(ROWS($H$2:H621),$H$2:$H$1001,0),MATCH(COLUMNS($O$1006:Q1006),$O$1006:$Q$1006,0)), HYPERLINK("#",""), HYPERLINK(CONCATENATE("#metadata!", ADDRESS(INDEX($J$2:$J$1001,MATCH(ROWS($H$2:H621),$H$2:$H$1001,0),0), INDEX($O$1004:$Q$1004,1,MATCH(COLUMNS($O$1006:Q1006),$O$1006:$Q$1006,0)))),"Fix")))</f>
        <v xml:space="preserve"> </v>
      </c>
      <c r="H621">
        <v>620</v>
      </c>
      <c r="I621">
        <v>100621</v>
      </c>
      <c r="J621">
        <v>621</v>
      </c>
      <c r="K621" t="b">
        <f t="shared" si="9"/>
        <v>1</v>
      </c>
      <c r="L621" t="b">
        <f>COUNTBLANK(metadata!B621:D621)=COLUMNS(metadata!B621:D621)</f>
        <v>1</v>
      </c>
      <c r="M621" t="str">
        <v/>
      </c>
      <c r="O621" t="b">
        <f ca="1"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P621" t="b">
        <f>AND(IF(metadata!C621="",FALSE,TRUE),EXACT(metadata!C621,"mouse gut metagenome"))</f>
        <v>0</v>
      </c>
      <c r="Q621" t="b">
        <f>AND(IF(metadata!D621="",FALSE,TRUE),EXACT(metadata!D621,"410661"))</f>
        <v>0</v>
      </c>
    </row>
    <row r="622" spans="1:17" x14ac:dyDescent="0.2">
      <c r="A622" s="4" t="str">
        <f ca="1">IF(B622=" "," ",HYPERLINK(CONCATENATE("#metadata!",ADDRESS(INDEX($J$2:$J$1001,MATCH(ROWS($H$2:H622),$H$2:$H$1001,0),0),1)),INDEX($M$2:$M$1001,MATCH(ROWS($H$2:H622),$H$2:$H$1001,0),0)))</f>
        <v xml:space="preserve"> </v>
      </c>
      <c r="B622" s="3" t="str">
        <f ca="1">IF(OR(INDEX($I$2:$I$1001,MATCH(ROWS($H$2:H622),$H$2:$H$1001,0),1)&gt;=100000,INDEX($O$1005:$Q$1005,1,MATCH(COLUMNS($O$1006:O1006),$O$1006:$Q$1006,0))&gt;=100000), " ",IF(INDEX($O$2:$Q$1001,MATCH(ROWS($H$2:H622),$H$2:$H$1001,0),MATCH(COLUMNS($O$1006:O1006),$O$1006:$Q$1006,0)), HYPERLINK("#",""), HYPERLINK(CONCATENATE("#metadata!", ADDRESS(INDEX($J$2:$J$1001,MATCH(ROWS($H$2:H622),$H$2:$H$1001,0),0), INDEX($O$1004:$Q$1004,1,MATCH(COLUMNS($O$1006:O1006),$O$1006:$Q$1006,0)))),"Fix")))</f>
        <v xml:space="preserve"> </v>
      </c>
      <c r="C622" s="3" t="str">
        <f ca="1">IF(OR(INDEX($I$2:$I$1001,MATCH(ROWS($H$2:H622),$H$2:$H$1001,0),1)&gt;=100000,INDEX($O$1005:$Q$1005,1,MATCH(COLUMNS($O$1006:P1006),$O$1006:$Q$1006,0))&gt;=100000), " ",IF(INDEX($O$2:$Q$1001,MATCH(ROWS($H$2:H622),$H$2:$H$1001,0),MATCH(COLUMNS($O$1006:P1006),$O$1006:$Q$1006,0)), HYPERLINK("#",""), HYPERLINK(CONCATENATE("#metadata!", ADDRESS(INDEX($J$2:$J$1001,MATCH(ROWS($H$2:H622),$H$2:$H$1001,0),0), INDEX($O$1004:$Q$1004,1,MATCH(COLUMNS($O$1006:P1006),$O$1006:$Q$1006,0)))),"Fix")))</f>
        <v xml:space="preserve"> </v>
      </c>
      <c r="D622" s="3" t="str">
        <f ca="1">IF(OR(INDEX($I$2:$I$1001,MATCH(ROWS($H$2:H622),$H$2:$H$1001,0),1)&gt;=100000,INDEX($O$1005:$Q$1005,1,MATCH(COLUMNS($O$1006:Q1006),$O$1006:$Q$1006,0))&gt;=100000), " ",IF(INDEX($O$2:$Q$1001,MATCH(ROWS($H$2:H622),$H$2:$H$1001,0),MATCH(COLUMNS($O$1006:Q1006),$O$1006:$Q$1006,0)), HYPERLINK("#",""), HYPERLINK(CONCATENATE("#metadata!", ADDRESS(INDEX($J$2:$J$1001,MATCH(ROWS($H$2:H622),$H$2:$H$1001,0),0), INDEX($O$1004:$Q$1004,1,MATCH(COLUMNS($O$1006:Q1006),$O$1006:$Q$1006,0)))),"Fix")))</f>
        <v xml:space="preserve"> </v>
      </c>
      <c r="H622">
        <v>621</v>
      </c>
      <c r="I622">
        <v>100622</v>
      </c>
      <c r="J622">
        <v>622</v>
      </c>
      <c r="K622" t="b">
        <f t="shared" si="9"/>
        <v>1</v>
      </c>
      <c r="L622" t="b">
        <f>COUNTBLANK(metadata!B622:D622)=COLUMNS(metadata!B622:D622)</f>
        <v>1</v>
      </c>
      <c r="M622" t="str">
        <v/>
      </c>
      <c r="O622" t="b">
        <f ca="1"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P622" t="b">
        <f>AND(IF(metadata!C622="",FALSE,TRUE),EXACT(metadata!C622,"mouse gut metagenome"))</f>
        <v>0</v>
      </c>
      <c r="Q622" t="b">
        <f>AND(IF(metadata!D622="",FALSE,TRUE),EXACT(metadata!D622,"410661"))</f>
        <v>0</v>
      </c>
    </row>
    <row r="623" spans="1:17" x14ac:dyDescent="0.2">
      <c r="A623" s="4" t="str">
        <f ca="1">IF(B623=" "," ",HYPERLINK(CONCATENATE("#metadata!",ADDRESS(INDEX($J$2:$J$1001,MATCH(ROWS($H$2:H623),$H$2:$H$1001,0),0),1)),INDEX($M$2:$M$1001,MATCH(ROWS($H$2:H623),$H$2:$H$1001,0),0)))</f>
        <v xml:space="preserve"> </v>
      </c>
      <c r="B623" s="3" t="str">
        <f ca="1">IF(OR(INDEX($I$2:$I$1001,MATCH(ROWS($H$2:H623),$H$2:$H$1001,0),1)&gt;=100000,INDEX($O$1005:$Q$1005,1,MATCH(COLUMNS($O$1006:O1006),$O$1006:$Q$1006,0))&gt;=100000), " ",IF(INDEX($O$2:$Q$1001,MATCH(ROWS($H$2:H623),$H$2:$H$1001,0),MATCH(COLUMNS($O$1006:O1006),$O$1006:$Q$1006,0)), HYPERLINK("#",""), HYPERLINK(CONCATENATE("#metadata!", ADDRESS(INDEX($J$2:$J$1001,MATCH(ROWS($H$2:H623),$H$2:$H$1001,0),0), INDEX($O$1004:$Q$1004,1,MATCH(COLUMNS($O$1006:O1006),$O$1006:$Q$1006,0)))),"Fix")))</f>
        <v xml:space="preserve"> </v>
      </c>
      <c r="C623" s="3" t="str">
        <f ca="1">IF(OR(INDEX($I$2:$I$1001,MATCH(ROWS($H$2:H623),$H$2:$H$1001,0),1)&gt;=100000,INDEX($O$1005:$Q$1005,1,MATCH(COLUMNS($O$1006:P1006),$O$1006:$Q$1006,0))&gt;=100000), " ",IF(INDEX($O$2:$Q$1001,MATCH(ROWS($H$2:H623),$H$2:$H$1001,0),MATCH(COLUMNS($O$1006:P1006),$O$1006:$Q$1006,0)), HYPERLINK("#",""), HYPERLINK(CONCATENATE("#metadata!", ADDRESS(INDEX($J$2:$J$1001,MATCH(ROWS($H$2:H623),$H$2:$H$1001,0),0), INDEX($O$1004:$Q$1004,1,MATCH(COLUMNS($O$1006:P1006),$O$1006:$Q$1006,0)))),"Fix")))</f>
        <v xml:space="preserve"> </v>
      </c>
      <c r="D623" s="3" t="str">
        <f ca="1">IF(OR(INDEX($I$2:$I$1001,MATCH(ROWS($H$2:H623),$H$2:$H$1001,0),1)&gt;=100000,INDEX($O$1005:$Q$1005,1,MATCH(COLUMNS($O$1006:Q1006),$O$1006:$Q$1006,0))&gt;=100000), " ",IF(INDEX($O$2:$Q$1001,MATCH(ROWS($H$2:H623),$H$2:$H$1001,0),MATCH(COLUMNS($O$1006:Q1006),$O$1006:$Q$1006,0)), HYPERLINK("#",""), HYPERLINK(CONCATENATE("#metadata!", ADDRESS(INDEX($J$2:$J$1001,MATCH(ROWS($H$2:H623),$H$2:$H$1001,0),0), INDEX($O$1004:$Q$1004,1,MATCH(COLUMNS($O$1006:Q1006),$O$1006:$Q$1006,0)))),"Fix")))</f>
        <v xml:space="preserve"> </v>
      </c>
      <c r="H623">
        <v>622</v>
      </c>
      <c r="I623">
        <v>100623</v>
      </c>
      <c r="J623">
        <v>623</v>
      </c>
      <c r="K623" t="b">
        <f t="shared" si="9"/>
        <v>1</v>
      </c>
      <c r="L623" t="b">
        <f>COUNTBLANK(metadata!B623:D623)=COLUMNS(metadata!B623:D623)</f>
        <v>1</v>
      </c>
      <c r="M623" t="str">
        <v/>
      </c>
      <c r="O623" t="b">
        <f ca="1"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P623" t="b">
        <f>AND(IF(metadata!C623="",FALSE,TRUE),EXACT(metadata!C623,"mouse gut metagenome"))</f>
        <v>0</v>
      </c>
      <c r="Q623" t="b">
        <f>AND(IF(metadata!D623="",FALSE,TRUE),EXACT(metadata!D623,"410661"))</f>
        <v>0</v>
      </c>
    </row>
    <row r="624" spans="1:17" x14ac:dyDescent="0.2">
      <c r="A624" s="4" t="str">
        <f ca="1">IF(B624=" "," ",HYPERLINK(CONCATENATE("#metadata!",ADDRESS(INDEX($J$2:$J$1001,MATCH(ROWS($H$2:H624),$H$2:$H$1001,0),0),1)),INDEX($M$2:$M$1001,MATCH(ROWS($H$2:H624),$H$2:$H$1001,0),0)))</f>
        <v xml:space="preserve"> </v>
      </c>
      <c r="B624" s="3" t="str">
        <f ca="1">IF(OR(INDEX($I$2:$I$1001,MATCH(ROWS($H$2:H624),$H$2:$H$1001,0),1)&gt;=100000,INDEX($O$1005:$Q$1005,1,MATCH(COLUMNS($O$1006:O1006),$O$1006:$Q$1006,0))&gt;=100000), " ",IF(INDEX($O$2:$Q$1001,MATCH(ROWS($H$2:H624),$H$2:$H$1001,0),MATCH(COLUMNS($O$1006:O1006),$O$1006:$Q$1006,0)), HYPERLINK("#",""), HYPERLINK(CONCATENATE("#metadata!", ADDRESS(INDEX($J$2:$J$1001,MATCH(ROWS($H$2:H624),$H$2:$H$1001,0),0), INDEX($O$1004:$Q$1004,1,MATCH(COLUMNS($O$1006:O1006),$O$1006:$Q$1006,0)))),"Fix")))</f>
        <v xml:space="preserve"> </v>
      </c>
      <c r="C624" s="3" t="str">
        <f ca="1">IF(OR(INDEX($I$2:$I$1001,MATCH(ROWS($H$2:H624),$H$2:$H$1001,0),1)&gt;=100000,INDEX($O$1005:$Q$1005,1,MATCH(COLUMNS($O$1006:P1006),$O$1006:$Q$1006,0))&gt;=100000), " ",IF(INDEX($O$2:$Q$1001,MATCH(ROWS($H$2:H624),$H$2:$H$1001,0),MATCH(COLUMNS($O$1006:P1006),$O$1006:$Q$1006,0)), HYPERLINK("#",""), HYPERLINK(CONCATENATE("#metadata!", ADDRESS(INDEX($J$2:$J$1001,MATCH(ROWS($H$2:H624),$H$2:$H$1001,0),0), INDEX($O$1004:$Q$1004,1,MATCH(COLUMNS($O$1006:P1006),$O$1006:$Q$1006,0)))),"Fix")))</f>
        <v xml:space="preserve"> </v>
      </c>
      <c r="D624" s="3" t="str">
        <f ca="1">IF(OR(INDEX($I$2:$I$1001,MATCH(ROWS($H$2:H624),$H$2:$H$1001,0),1)&gt;=100000,INDEX($O$1005:$Q$1005,1,MATCH(COLUMNS($O$1006:Q1006),$O$1006:$Q$1006,0))&gt;=100000), " ",IF(INDEX($O$2:$Q$1001,MATCH(ROWS($H$2:H624),$H$2:$H$1001,0),MATCH(COLUMNS($O$1006:Q1006),$O$1006:$Q$1006,0)), HYPERLINK("#",""), HYPERLINK(CONCATENATE("#metadata!", ADDRESS(INDEX($J$2:$J$1001,MATCH(ROWS($H$2:H624),$H$2:$H$1001,0),0), INDEX($O$1004:$Q$1004,1,MATCH(COLUMNS($O$1006:Q1006),$O$1006:$Q$1006,0)))),"Fix")))</f>
        <v xml:space="preserve"> </v>
      </c>
      <c r="H624">
        <v>623</v>
      </c>
      <c r="I624">
        <v>100624</v>
      </c>
      <c r="J624">
        <v>624</v>
      </c>
      <c r="K624" t="b">
        <f t="shared" si="9"/>
        <v>1</v>
      </c>
      <c r="L624" t="b">
        <f>COUNTBLANK(metadata!B624:D624)=COLUMNS(metadata!B624:D624)</f>
        <v>1</v>
      </c>
      <c r="M624" t="str">
        <v/>
      </c>
      <c r="O624" t="b">
        <f ca="1"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P624" t="b">
        <f>AND(IF(metadata!C624="",FALSE,TRUE),EXACT(metadata!C624,"mouse gut metagenome"))</f>
        <v>0</v>
      </c>
      <c r="Q624" t="b">
        <f>AND(IF(metadata!D624="",FALSE,TRUE),EXACT(metadata!D624,"410661"))</f>
        <v>0</v>
      </c>
    </row>
    <row r="625" spans="1:17" x14ac:dyDescent="0.2">
      <c r="A625" s="4" t="str">
        <f ca="1">IF(B625=" "," ",HYPERLINK(CONCATENATE("#metadata!",ADDRESS(INDEX($J$2:$J$1001,MATCH(ROWS($H$2:H625),$H$2:$H$1001,0),0),1)),INDEX($M$2:$M$1001,MATCH(ROWS($H$2:H625),$H$2:$H$1001,0),0)))</f>
        <v xml:space="preserve"> </v>
      </c>
      <c r="B625" s="3" t="str">
        <f ca="1">IF(OR(INDEX($I$2:$I$1001,MATCH(ROWS($H$2:H625),$H$2:$H$1001,0),1)&gt;=100000,INDEX($O$1005:$Q$1005,1,MATCH(COLUMNS($O$1006:O1006),$O$1006:$Q$1006,0))&gt;=100000), " ",IF(INDEX($O$2:$Q$1001,MATCH(ROWS($H$2:H625),$H$2:$H$1001,0),MATCH(COLUMNS($O$1006:O1006),$O$1006:$Q$1006,0)), HYPERLINK("#",""), HYPERLINK(CONCATENATE("#metadata!", ADDRESS(INDEX($J$2:$J$1001,MATCH(ROWS($H$2:H625),$H$2:$H$1001,0),0), INDEX($O$1004:$Q$1004,1,MATCH(COLUMNS($O$1006:O1006),$O$1006:$Q$1006,0)))),"Fix")))</f>
        <v xml:space="preserve"> </v>
      </c>
      <c r="C625" s="3" t="str">
        <f ca="1">IF(OR(INDEX($I$2:$I$1001,MATCH(ROWS($H$2:H625),$H$2:$H$1001,0),1)&gt;=100000,INDEX($O$1005:$Q$1005,1,MATCH(COLUMNS($O$1006:P1006),$O$1006:$Q$1006,0))&gt;=100000), " ",IF(INDEX($O$2:$Q$1001,MATCH(ROWS($H$2:H625),$H$2:$H$1001,0),MATCH(COLUMNS($O$1006:P1006),$O$1006:$Q$1006,0)), HYPERLINK("#",""), HYPERLINK(CONCATENATE("#metadata!", ADDRESS(INDEX($J$2:$J$1001,MATCH(ROWS($H$2:H625),$H$2:$H$1001,0),0), INDEX($O$1004:$Q$1004,1,MATCH(COLUMNS($O$1006:P1006),$O$1006:$Q$1006,0)))),"Fix")))</f>
        <v xml:space="preserve"> </v>
      </c>
      <c r="D625" s="3" t="str">
        <f ca="1">IF(OR(INDEX($I$2:$I$1001,MATCH(ROWS($H$2:H625),$H$2:$H$1001,0),1)&gt;=100000,INDEX($O$1005:$Q$1005,1,MATCH(COLUMNS($O$1006:Q1006),$O$1006:$Q$1006,0))&gt;=100000), " ",IF(INDEX($O$2:$Q$1001,MATCH(ROWS($H$2:H625),$H$2:$H$1001,0),MATCH(COLUMNS($O$1006:Q1006),$O$1006:$Q$1006,0)), HYPERLINK("#",""), HYPERLINK(CONCATENATE("#metadata!", ADDRESS(INDEX($J$2:$J$1001,MATCH(ROWS($H$2:H625),$H$2:$H$1001,0),0), INDEX($O$1004:$Q$1004,1,MATCH(COLUMNS($O$1006:Q1006),$O$1006:$Q$1006,0)))),"Fix")))</f>
        <v xml:space="preserve"> </v>
      </c>
      <c r="H625">
        <v>624</v>
      </c>
      <c r="I625">
        <v>100625</v>
      </c>
      <c r="J625">
        <v>625</v>
      </c>
      <c r="K625" t="b">
        <f t="shared" si="9"/>
        <v>1</v>
      </c>
      <c r="L625" t="b">
        <f>COUNTBLANK(metadata!B625:D625)=COLUMNS(metadata!B625:D625)</f>
        <v>1</v>
      </c>
      <c r="M625" t="str">
        <v/>
      </c>
      <c r="O625" t="b">
        <f ca="1"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P625" t="b">
        <f>AND(IF(metadata!C625="",FALSE,TRUE),EXACT(metadata!C625,"mouse gut metagenome"))</f>
        <v>0</v>
      </c>
      <c r="Q625" t="b">
        <f>AND(IF(metadata!D625="",FALSE,TRUE),EXACT(metadata!D625,"410661"))</f>
        <v>0</v>
      </c>
    </row>
    <row r="626" spans="1:17" x14ac:dyDescent="0.2">
      <c r="A626" s="4" t="str">
        <f ca="1">IF(B626=" "," ",HYPERLINK(CONCATENATE("#metadata!",ADDRESS(INDEX($J$2:$J$1001,MATCH(ROWS($H$2:H626),$H$2:$H$1001,0),0),1)),INDEX($M$2:$M$1001,MATCH(ROWS($H$2:H626),$H$2:$H$1001,0),0)))</f>
        <v xml:space="preserve"> </v>
      </c>
      <c r="B626" s="3" t="str">
        <f ca="1">IF(OR(INDEX($I$2:$I$1001,MATCH(ROWS($H$2:H626),$H$2:$H$1001,0),1)&gt;=100000,INDEX($O$1005:$Q$1005,1,MATCH(COLUMNS($O$1006:O1006),$O$1006:$Q$1006,0))&gt;=100000), " ",IF(INDEX($O$2:$Q$1001,MATCH(ROWS($H$2:H626),$H$2:$H$1001,0),MATCH(COLUMNS($O$1006:O1006),$O$1006:$Q$1006,0)), HYPERLINK("#",""), HYPERLINK(CONCATENATE("#metadata!", ADDRESS(INDEX($J$2:$J$1001,MATCH(ROWS($H$2:H626),$H$2:$H$1001,0),0), INDEX($O$1004:$Q$1004,1,MATCH(COLUMNS($O$1006:O1006),$O$1006:$Q$1006,0)))),"Fix")))</f>
        <v xml:space="preserve"> </v>
      </c>
      <c r="C626" s="3" t="str">
        <f ca="1">IF(OR(INDEX($I$2:$I$1001,MATCH(ROWS($H$2:H626),$H$2:$H$1001,0),1)&gt;=100000,INDEX($O$1005:$Q$1005,1,MATCH(COLUMNS($O$1006:P1006),$O$1006:$Q$1006,0))&gt;=100000), " ",IF(INDEX($O$2:$Q$1001,MATCH(ROWS($H$2:H626),$H$2:$H$1001,0),MATCH(COLUMNS($O$1006:P1006),$O$1006:$Q$1006,0)), HYPERLINK("#",""), HYPERLINK(CONCATENATE("#metadata!", ADDRESS(INDEX($J$2:$J$1001,MATCH(ROWS($H$2:H626),$H$2:$H$1001,0),0), INDEX($O$1004:$Q$1004,1,MATCH(COLUMNS($O$1006:P1006),$O$1006:$Q$1006,0)))),"Fix")))</f>
        <v xml:space="preserve"> </v>
      </c>
      <c r="D626" s="3" t="str">
        <f ca="1">IF(OR(INDEX($I$2:$I$1001,MATCH(ROWS($H$2:H626),$H$2:$H$1001,0),1)&gt;=100000,INDEX($O$1005:$Q$1005,1,MATCH(COLUMNS($O$1006:Q1006),$O$1006:$Q$1006,0))&gt;=100000), " ",IF(INDEX($O$2:$Q$1001,MATCH(ROWS($H$2:H626),$H$2:$H$1001,0),MATCH(COLUMNS($O$1006:Q1006),$O$1006:$Q$1006,0)), HYPERLINK("#",""), HYPERLINK(CONCATENATE("#metadata!", ADDRESS(INDEX($J$2:$J$1001,MATCH(ROWS($H$2:H626),$H$2:$H$1001,0),0), INDEX($O$1004:$Q$1004,1,MATCH(COLUMNS($O$1006:Q1006),$O$1006:$Q$1006,0)))),"Fix")))</f>
        <v xml:space="preserve"> </v>
      </c>
      <c r="H626">
        <v>625</v>
      </c>
      <c r="I626">
        <v>100626</v>
      </c>
      <c r="J626">
        <v>626</v>
      </c>
      <c r="K626" t="b">
        <f t="shared" si="9"/>
        <v>1</v>
      </c>
      <c r="L626" t="b">
        <f>COUNTBLANK(metadata!B626:D626)=COLUMNS(metadata!B626:D626)</f>
        <v>1</v>
      </c>
      <c r="M626" t="str">
        <v/>
      </c>
      <c r="O626" t="b">
        <f ca="1"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P626" t="b">
        <f>AND(IF(metadata!C626="",FALSE,TRUE),EXACT(metadata!C626,"mouse gut metagenome"))</f>
        <v>0</v>
      </c>
      <c r="Q626" t="b">
        <f>AND(IF(metadata!D626="",FALSE,TRUE),EXACT(metadata!D626,"410661"))</f>
        <v>0</v>
      </c>
    </row>
    <row r="627" spans="1:17" x14ac:dyDescent="0.2">
      <c r="A627" s="4" t="str">
        <f ca="1">IF(B627=" "," ",HYPERLINK(CONCATENATE("#metadata!",ADDRESS(INDEX($J$2:$J$1001,MATCH(ROWS($H$2:H627),$H$2:$H$1001,0),0),1)),INDEX($M$2:$M$1001,MATCH(ROWS($H$2:H627),$H$2:$H$1001,0),0)))</f>
        <v xml:space="preserve"> </v>
      </c>
      <c r="B627" s="3" t="str">
        <f ca="1">IF(OR(INDEX($I$2:$I$1001,MATCH(ROWS($H$2:H627),$H$2:$H$1001,0),1)&gt;=100000,INDEX($O$1005:$Q$1005,1,MATCH(COLUMNS($O$1006:O1006),$O$1006:$Q$1006,0))&gt;=100000), " ",IF(INDEX($O$2:$Q$1001,MATCH(ROWS($H$2:H627),$H$2:$H$1001,0),MATCH(COLUMNS($O$1006:O1006),$O$1006:$Q$1006,0)), HYPERLINK("#",""), HYPERLINK(CONCATENATE("#metadata!", ADDRESS(INDEX($J$2:$J$1001,MATCH(ROWS($H$2:H627),$H$2:$H$1001,0),0), INDEX($O$1004:$Q$1004,1,MATCH(COLUMNS($O$1006:O1006),$O$1006:$Q$1006,0)))),"Fix")))</f>
        <v xml:space="preserve"> </v>
      </c>
      <c r="C627" s="3" t="str">
        <f ca="1">IF(OR(INDEX($I$2:$I$1001,MATCH(ROWS($H$2:H627),$H$2:$H$1001,0),1)&gt;=100000,INDEX($O$1005:$Q$1005,1,MATCH(COLUMNS($O$1006:P1006),$O$1006:$Q$1006,0))&gt;=100000), " ",IF(INDEX($O$2:$Q$1001,MATCH(ROWS($H$2:H627),$H$2:$H$1001,0),MATCH(COLUMNS($O$1006:P1006),$O$1006:$Q$1006,0)), HYPERLINK("#",""), HYPERLINK(CONCATENATE("#metadata!", ADDRESS(INDEX($J$2:$J$1001,MATCH(ROWS($H$2:H627),$H$2:$H$1001,0),0), INDEX($O$1004:$Q$1004,1,MATCH(COLUMNS($O$1006:P1006),$O$1006:$Q$1006,0)))),"Fix")))</f>
        <v xml:space="preserve"> </v>
      </c>
      <c r="D627" s="3" t="str">
        <f ca="1">IF(OR(INDEX($I$2:$I$1001,MATCH(ROWS($H$2:H627),$H$2:$H$1001,0),1)&gt;=100000,INDEX($O$1005:$Q$1005,1,MATCH(COLUMNS($O$1006:Q1006),$O$1006:$Q$1006,0))&gt;=100000), " ",IF(INDEX($O$2:$Q$1001,MATCH(ROWS($H$2:H627),$H$2:$H$1001,0),MATCH(COLUMNS($O$1006:Q1006),$O$1006:$Q$1006,0)), HYPERLINK("#",""), HYPERLINK(CONCATENATE("#metadata!", ADDRESS(INDEX($J$2:$J$1001,MATCH(ROWS($H$2:H627),$H$2:$H$1001,0),0), INDEX($O$1004:$Q$1004,1,MATCH(COLUMNS($O$1006:Q1006),$O$1006:$Q$1006,0)))),"Fix")))</f>
        <v xml:space="preserve"> </v>
      </c>
      <c r="H627">
        <v>626</v>
      </c>
      <c r="I627">
        <v>100627</v>
      </c>
      <c r="J627">
        <v>627</v>
      </c>
      <c r="K627" t="b">
        <f t="shared" si="9"/>
        <v>1</v>
      </c>
      <c r="L627" t="b">
        <f>COUNTBLANK(metadata!B627:D627)=COLUMNS(metadata!B627:D627)</f>
        <v>1</v>
      </c>
      <c r="M627" t="str">
        <v/>
      </c>
      <c r="O627" t="b">
        <f ca="1"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P627" t="b">
        <f>AND(IF(metadata!C627="",FALSE,TRUE),EXACT(metadata!C627,"mouse gut metagenome"))</f>
        <v>0</v>
      </c>
      <c r="Q627" t="b">
        <f>AND(IF(metadata!D627="",FALSE,TRUE),EXACT(metadata!D627,"410661"))</f>
        <v>0</v>
      </c>
    </row>
    <row r="628" spans="1:17" x14ac:dyDescent="0.2">
      <c r="A628" s="4" t="str">
        <f ca="1">IF(B628=" "," ",HYPERLINK(CONCATENATE("#metadata!",ADDRESS(INDEX($J$2:$J$1001,MATCH(ROWS($H$2:H628),$H$2:$H$1001,0),0),1)),INDEX($M$2:$M$1001,MATCH(ROWS($H$2:H628),$H$2:$H$1001,0),0)))</f>
        <v xml:space="preserve"> </v>
      </c>
      <c r="B628" s="3" t="str">
        <f ca="1">IF(OR(INDEX($I$2:$I$1001,MATCH(ROWS($H$2:H628),$H$2:$H$1001,0),1)&gt;=100000,INDEX($O$1005:$Q$1005,1,MATCH(COLUMNS($O$1006:O1006),$O$1006:$Q$1006,0))&gt;=100000), " ",IF(INDEX($O$2:$Q$1001,MATCH(ROWS($H$2:H628),$H$2:$H$1001,0),MATCH(COLUMNS($O$1006:O1006),$O$1006:$Q$1006,0)), HYPERLINK("#",""), HYPERLINK(CONCATENATE("#metadata!", ADDRESS(INDEX($J$2:$J$1001,MATCH(ROWS($H$2:H628),$H$2:$H$1001,0),0), INDEX($O$1004:$Q$1004,1,MATCH(COLUMNS($O$1006:O1006),$O$1006:$Q$1006,0)))),"Fix")))</f>
        <v xml:space="preserve"> </v>
      </c>
      <c r="C628" s="3" t="str">
        <f ca="1">IF(OR(INDEX($I$2:$I$1001,MATCH(ROWS($H$2:H628),$H$2:$H$1001,0),1)&gt;=100000,INDEX($O$1005:$Q$1005,1,MATCH(COLUMNS($O$1006:P1006),$O$1006:$Q$1006,0))&gt;=100000), " ",IF(INDEX($O$2:$Q$1001,MATCH(ROWS($H$2:H628),$H$2:$H$1001,0),MATCH(COLUMNS($O$1006:P1006),$O$1006:$Q$1006,0)), HYPERLINK("#",""), HYPERLINK(CONCATENATE("#metadata!", ADDRESS(INDEX($J$2:$J$1001,MATCH(ROWS($H$2:H628),$H$2:$H$1001,0),0), INDEX($O$1004:$Q$1004,1,MATCH(COLUMNS($O$1006:P1006),$O$1006:$Q$1006,0)))),"Fix")))</f>
        <v xml:space="preserve"> </v>
      </c>
      <c r="D628" s="3" t="str">
        <f ca="1">IF(OR(INDEX($I$2:$I$1001,MATCH(ROWS($H$2:H628),$H$2:$H$1001,0),1)&gt;=100000,INDEX($O$1005:$Q$1005,1,MATCH(COLUMNS($O$1006:Q1006),$O$1006:$Q$1006,0))&gt;=100000), " ",IF(INDEX($O$2:$Q$1001,MATCH(ROWS($H$2:H628),$H$2:$H$1001,0),MATCH(COLUMNS($O$1006:Q1006),$O$1006:$Q$1006,0)), HYPERLINK("#",""), HYPERLINK(CONCATENATE("#metadata!", ADDRESS(INDEX($J$2:$J$1001,MATCH(ROWS($H$2:H628),$H$2:$H$1001,0),0), INDEX($O$1004:$Q$1004,1,MATCH(COLUMNS($O$1006:Q1006),$O$1006:$Q$1006,0)))),"Fix")))</f>
        <v xml:space="preserve"> </v>
      </c>
      <c r="H628">
        <v>627</v>
      </c>
      <c r="I628">
        <v>100628</v>
      </c>
      <c r="J628">
        <v>628</v>
      </c>
      <c r="K628" t="b">
        <f t="shared" si="9"/>
        <v>1</v>
      </c>
      <c r="L628" t="b">
        <f>COUNTBLANK(metadata!B628:D628)=COLUMNS(metadata!B628:D628)</f>
        <v>1</v>
      </c>
      <c r="M628" t="str">
        <v/>
      </c>
      <c r="O628" t="b">
        <f ca="1"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P628" t="b">
        <f>AND(IF(metadata!C628="",FALSE,TRUE),EXACT(metadata!C628,"mouse gut metagenome"))</f>
        <v>0</v>
      </c>
      <c r="Q628" t="b">
        <f>AND(IF(metadata!D628="",FALSE,TRUE),EXACT(metadata!D628,"410661"))</f>
        <v>0</v>
      </c>
    </row>
    <row r="629" spans="1:17" x14ac:dyDescent="0.2">
      <c r="A629" s="4" t="str">
        <f ca="1">IF(B629=" "," ",HYPERLINK(CONCATENATE("#metadata!",ADDRESS(INDEX($J$2:$J$1001,MATCH(ROWS($H$2:H629),$H$2:$H$1001,0),0),1)),INDEX($M$2:$M$1001,MATCH(ROWS($H$2:H629),$H$2:$H$1001,0),0)))</f>
        <v xml:space="preserve"> </v>
      </c>
      <c r="B629" s="3" t="str">
        <f ca="1">IF(OR(INDEX($I$2:$I$1001,MATCH(ROWS($H$2:H629),$H$2:$H$1001,0),1)&gt;=100000,INDEX($O$1005:$Q$1005,1,MATCH(COLUMNS($O$1006:O1006),$O$1006:$Q$1006,0))&gt;=100000), " ",IF(INDEX($O$2:$Q$1001,MATCH(ROWS($H$2:H629),$H$2:$H$1001,0),MATCH(COLUMNS($O$1006:O1006),$O$1006:$Q$1006,0)), HYPERLINK("#",""), HYPERLINK(CONCATENATE("#metadata!", ADDRESS(INDEX($J$2:$J$1001,MATCH(ROWS($H$2:H629),$H$2:$H$1001,0),0), INDEX($O$1004:$Q$1004,1,MATCH(COLUMNS($O$1006:O1006),$O$1006:$Q$1006,0)))),"Fix")))</f>
        <v xml:space="preserve"> </v>
      </c>
      <c r="C629" s="3" t="str">
        <f ca="1">IF(OR(INDEX($I$2:$I$1001,MATCH(ROWS($H$2:H629),$H$2:$H$1001,0),1)&gt;=100000,INDEX($O$1005:$Q$1005,1,MATCH(COLUMNS($O$1006:P1006),$O$1006:$Q$1006,0))&gt;=100000), " ",IF(INDEX($O$2:$Q$1001,MATCH(ROWS($H$2:H629),$H$2:$H$1001,0),MATCH(COLUMNS($O$1006:P1006),$O$1006:$Q$1006,0)), HYPERLINK("#",""), HYPERLINK(CONCATENATE("#metadata!", ADDRESS(INDEX($J$2:$J$1001,MATCH(ROWS($H$2:H629),$H$2:$H$1001,0),0), INDEX($O$1004:$Q$1004,1,MATCH(COLUMNS($O$1006:P1006),$O$1006:$Q$1006,0)))),"Fix")))</f>
        <v xml:space="preserve"> </v>
      </c>
      <c r="D629" s="3" t="str">
        <f ca="1">IF(OR(INDEX($I$2:$I$1001,MATCH(ROWS($H$2:H629),$H$2:$H$1001,0),1)&gt;=100000,INDEX($O$1005:$Q$1005,1,MATCH(COLUMNS($O$1006:Q1006),$O$1006:$Q$1006,0))&gt;=100000), " ",IF(INDEX($O$2:$Q$1001,MATCH(ROWS($H$2:H629),$H$2:$H$1001,0),MATCH(COLUMNS($O$1006:Q1006),$O$1006:$Q$1006,0)), HYPERLINK("#",""), HYPERLINK(CONCATENATE("#metadata!", ADDRESS(INDEX($J$2:$J$1001,MATCH(ROWS($H$2:H629),$H$2:$H$1001,0),0), INDEX($O$1004:$Q$1004,1,MATCH(COLUMNS($O$1006:Q1006),$O$1006:$Q$1006,0)))),"Fix")))</f>
        <v xml:space="preserve"> </v>
      </c>
      <c r="H629">
        <v>628</v>
      </c>
      <c r="I629">
        <v>100629</v>
      </c>
      <c r="J629">
        <v>629</v>
      </c>
      <c r="K629" t="b">
        <f t="shared" si="9"/>
        <v>1</v>
      </c>
      <c r="L629" t="b">
        <f>COUNTBLANK(metadata!B629:D629)=COLUMNS(metadata!B629:D629)</f>
        <v>1</v>
      </c>
      <c r="M629" t="str">
        <v/>
      </c>
      <c r="O629" t="b">
        <f ca="1"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P629" t="b">
        <f>AND(IF(metadata!C629="",FALSE,TRUE),EXACT(metadata!C629,"mouse gut metagenome"))</f>
        <v>0</v>
      </c>
      <c r="Q629" t="b">
        <f>AND(IF(metadata!D629="",FALSE,TRUE),EXACT(metadata!D629,"410661"))</f>
        <v>0</v>
      </c>
    </row>
    <row r="630" spans="1:17" x14ac:dyDescent="0.2">
      <c r="A630" s="4" t="str">
        <f ca="1">IF(B630=" "," ",HYPERLINK(CONCATENATE("#metadata!",ADDRESS(INDEX($J$2:$J$1001,MATCH(ROWS($H$2:H630),$H$2:$H$1001,0),0),1)),INDEX($M$2:$M$1001,MATCH(ROWS($H$2:H630),$H$2:$H$1001,0),0)))</f>
        <v xml:space="preserve"> </v>
      </c>
      <c r="B630" s="3" t="str">
        <f ca="1">IF(OR(INDEX($I$2:$I$1001,MATCH(ROWS($H$2:H630),$H$2:$H$1001,0),1)&gt;=100000,INDEX($O$1005:$Q$1005,1,MATCH(COLUMNS($O$1006:O1006),$O$1006:$Q$1006,0))&gt;=100000), " ",IF(INDEX($O$2:$Q$1001,MATCH(ROWS($H$2:H630),$H$2:$H$1001,0),MATCH(COLUMNS($O$1006:O1006),$O$1006:$Q$1006,0)), HYPERLINK("#",""), HYPERLINK(CONCATENATE("#metadata!", ADDRESS(INDEX($J$2:$J$1001,MATCH(ROWS($H$2:H630),$H$2:$H$1001,0),0), INDEX($O$1004:$Q$1004,1,MATCH(COLUMNS($O$1006:O1006),$O$1006:$Q$1006,0)))),"Fix")))</f>
        <v xml:space="preserve"> </v>
      </c>
      <c r="C630" s="3" t="str">
        <f ca="1">IF(OR(INDEX($I$2:$I$1001,MATCH(ROWS($H$2:H630),$H$2:$H$1001,0),1)&gt;=100000,INDEX($O$1005:$Q$1005,1,MATCH(COLUMNS($O$1006:P1006),$O$1006:$Q$1006,0))&gt;=100000), " ",IF(INDEX($O$2:$Q$1001,MATCH(ROWS($H$2:H630),$H$2:$H$1001,0),MATCH(COLUMNS($O$1006:P1006),$O$1006:$Q$1006,0)), HYPERLINK("#",""), HYPERLINK(CONCATENATE("#metadata!", ADDRESS(INDEX($J$2:$J$1001,MATCH(ROWS($H$2:H630),$H$2:$H$1001,0),0), INDEX($O$1004:$Q$1004,1,MATCH(COLUMNS($O$1006:P1006),$O$1006:$Q$1006,0)))),"Fix")))</f>
        <v xml:space="preserve"> </v>
      </c>
      <c r="D630" s="3" t="str">
        <f ca="1">IF(OR(INDEX($I$2:$I$1001,MATCH(ROWS($H$2:H630),$H$2:$H$1001,0),1)&gt;=100000,INDEX($O$1005:$Q$1005,1,MATCH(COLUMNS($O$1006:Q1006),$O$1006:$Q$1006,0))&gt;=100000), " ",IF(INDEX($O$2:$Q$1001,MATCH(ROWS($H$2:H630),$H$2:$H$1001,0),MATCH(COLUMNS($O$1006:Q1006),$O$1006:$Q$1006,0)), HYPERLINK("#",""), HYPERLINK(CONCATENATE("#metadata!", ADDRESS(INDEX($J$2:$J$1001,MATCH(ROWS($H$2:H630),$H$2:$H$1001,0),0), INDEX($O$1004:$Q$1004,1,MATCH(COLUMNS($O$1006:Q1006),$O$1006:$Q$1006,0)))),"Fix")))</f>
        <v xml:space="preserve"> </v>
      </c>
      <c r="H630">
        <v>629</v>
      </c>
      <c r="I630">
        <v>100630</v>
      </c>
      <c r="J630">
        <v>630</v>
      </c>
      <c r="K630" t="b">
        <f t="shared" si="9"/>
        <v>1</v>
      </c>
      <c r="L630" t="b">
        <f>COUNTBLANK(metadata!B630:D630)=COLUMNS(metadata!B630:D630)</f>
        <v>1</v>
      </c>
      <c r="M630" t="str">
        <v/>
      </c>
      <c r="O630" t="b">
        <f ca="1"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P630" t="b">
        <f>AND(IF(metadata!C630="",FALSE,TRUE),EXACT(metadata!C630,"mouse gut metagenome"))</f>
        <v>0</v>
      </c>
      <c r="Q630" t="b">
        <f>AND(IF(metadata!D630="",FALSE,TRUE),EXACT(metadata!D630,"410661"))</f>
        <v>0</v>
      </c>
    </row>
    <row r="631" spans="1:17" x14ac:dyDescent="0.2">
      <c r="A631" s="4" t="str">
        <f ca="1">IF(B631=" "," ",HYPERLINK(CONCATENATE("#metadata!",ADDRESS(INDEX($J$2:$J$1001,MATCH(ROWS($H$2:H631),$H$2:$H$1001,0),0),1)),INDEX($M$2:$M$1001,MATCH(ROWS($H$2:H631),$H$2:$H$1001,0),0)))</f>
        <v xml:space="preserve"> </v>
      </c>
      <c r="B631" s="3" t="str">
        <f ca="1">IF(OR(INDEX($I$2:$I$1001,MATCH(ROWS($H$2:H631),$H$2:$H$1001,0),1)&gt;=100000,INDEX($O$1005:$Q$1005,1,MATCH(COLUMNS($O$1006:O1006),$O$1006:$Q$1006,0))&gt;=100000), " ",IF(INDEX($O$2:$Q$1001,MATCH(ROWS($H$2:H631),$H$2:$H$1001,0),MATCH(COLUMNS($O$1006:O1006),$O$1006:$Q$1006,0)), HYPERLINK("#",""), HYPERLINK(CONCATENATE("#metadata!", ADDRESS(INDEX($J$2:$J$1001,MATCH(ROWS($H$2:H631),$H$2:$H$1001,0),0), INDEX($O$1004:$Q$1004,1,MATCH(COLUMNS($O$1006:O1006),$O$1006:$Q$1006,0)))),"Fix")))</f>
        <v xml:space="preserve"> </v>
      </c>
      <c r="C631" s="3" t="str">
        <f ca="1">IF(OR(INDEX($I$2:$I$1001,MATCH(ROWS($H$2:H631),$H$2:$H$1001,0),1)&gt;=100000,INDEX($O$1005:$Q$1005,1,MATCH(COLUMNS($O$1006:P1006),$O$1006:$Q$1006,0))&gt;=100000), " ",IF(INDEX($O$2:$Q$1001,MATCH(ROWS($H$2:H631),$H$2:$H$1001,0),MATCH(COLUMNS($O$1006:P1006),$O$1006:$Q$1006,0)), HYPERLINK("#",""), HYPERLINK(CONCATENATE("#metadata!", ADDRESS(INDEX($J$2:$J$1001,MATCH(ROWS($H$2:H631),$H$2:$H$1001,0),0), INDEX($O$1004:$Q$1004,1,MATCH(COLUMNS($O$1006:P1006),$O$1006:$Q$1006,0)))),"Fix")))</f>
        <v xml:space="preserve"> </v>
      </c>
      <c r="D631" s="3" t="str">
        <f ca="1">IF(OR(INDEX($I$2:$I$1001,MATCH(ROWS($H$2:H631),$H$2:$H$1001,0),1)&gt;=100000,INDEX($O$1005:$Q$1005,1,MATCH(COLUMNS($O$1006:Q1006),$O$1006:$Q$1006,0))&gt;=100000), " ",IF(INDEX($O$2:$Q$1001,MATCH(ROWS($H$2:H631),$H$2:$H$1001,0),MATCH(COLUMNS($O$1006:Q1006),$O$1006:$Q$1006,0)), HYPERLINK("#",""), HYPERLINK(CONCATENATE("#metadata!", ADDRESS(INDEX($J$2:$J$1001,MATCH(ROWS($H$2:H631),$H$2:$H$1001,0),0), INDEX($O$1004:$Q$1004,1,MATCH(COLUMNS($O$1006:Q1006),$O$1006:$Q$1006,0)))),"Fix")))</f>
        <v xml:space="preserve"> </v>
      </c>
      <c r="H631">
        <v>630</v>
      </c>
      <c r="I631">
        <v>100631</v>
      </c>
      <c r="J631">
        <v>631</v>
      </c>
      <c r="K631" t="b">
        <f t="shared" si="9"/>
        <v>1</v>
      </c>
      <c r="L631" t="b">
        <f>COUNTBLANK(metadata!B631:D631)=COLUMNS(metadata!B631:D631)</f>
        <v>1</v>
      </c>
      <c r="M631" t="str">
        <v/>
      </c>
      <c r="O631" t="b">
        <f ca="1"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P631" t="b">
        <f>AND(IF(metadata!C631="",FALSE,TRUE),EXACT(metadata!C631,"mouse gut metagenome"))</f>
        <v>0</v>
      </c>
      <c r="Q631" t="b">
        <f>AND(IF(metadata!D631="",FALSE,TRUE),EXACT(metadata!D631,"410661"))</f>
        <v>0</v>
      </c>
    </row>
    <row r="632" spans="1:17" x14ac:dyDescent="0.2">
      <c r="A632" s="4" t="str">
        <f ca="1">IF(B632=" "," ",HYPERLINK(CONCATENATE("#metadata!",ADDRESS(INDEX($J$2:$J$1001,MATCH(ROWS($H$2:H632),$H$2:$H$1001,0),0),1)),INDEX($M$2:$M$1001,MATCH(ROWS($H$2:H632),$H$2:$H$1001,0),0)))</f>
        <v xml:space="preserve"> </v>
      </c>
      <c r="B632" s="3" t="str">
        <f ca="1">IF(OR(INDEX($I$2:$I$1001,MATCH(ROWS($H$2:H632),$H$2:$H$1001,0),1)&gt;=100000,INDEX($O$1005:$Q$1005,1,MATCH(COLUMNS($O$1006:O1006),$O$1006:$Q$1006,0))&gt;=100000), " ",IF(INDEX($O$2:$Q$1001,MATCH(ROWS($H$2:H632),$H$2:$H$1001,0),MATCH(COLUMNS($O$1006:O1006),$O$1006:$Q$1006,0)), HYPERLINK("#",""), HYPERLINK(CONCATENATE("#metadata!", ADDRESS(INDEX($J$2:$J$1001,MATCH(ROWS($H$2:H632),$H$2:$H$1001,0),0), INDEX($O$1004:$Q$1004,1,MATCH(COLUMNS($O$1006:O1006),$O$1006:$Q$1006,0)))),"Fix")))</f>
        <v xml:space="preserve"> </v>
      </c>
      <c r="C632" s="3" t="str">
        <f ca="1">IF(OR(INDEX($I$2:$I$1001,MATCH(ROWS($H$2:H632),$H$2:$H$1001,0),1)&gt;=100000,INDEX($O$1005:$Q$1005,1,MATCH(COLUMNS($O$1006:P1006),$O$1006:$Q$1006,0))&gt;=100000), " ",IF(INDEX($O$2:$Q$1001,MATCH(ROWS($H$2:H632),$H$2:$H$1001,0),MATCH(COLUMNS($O$1006:P1006),$O$1006:$Q$1006,0)), HYPERLINK("#",""), HYPERLINK(CONCATENATE("#metadata!", ADDRESS(INDEX($J$2:$J$1001,MATCH(ROWS($H$2:H632),$H$2:$H$1001,0),0), INDEX($O$1004:$Q$1004,1,MATCH(COLUMNS($O$1006:P1006),$O$1006:$Q$1006,0)))),"Fix")))</f>
        <v xml:space="preserve"> </v>
      </c>
      <c r="D632" s="3" t="str">
        <f ca="1">IF(OR(INDEX($I$2:$I$1001,MATCH(ROWS($H$2:H632),$H$2:$H$1001,0),1)&gt;=100000,INDEX($O$1005:$Q$1005,1,MATCH(COLUMNS($O$1006:Q1006),$O$1006:$Q$1006,0))&gt;=100000), " ",IF(INDEX($O$2:$Q$1001,MATCH(ROWS($H$2:H632),$H$2:$H$1001,0),MATCH(COLUMNS($O$1006:Q1006),$O$1006:$Q$1006,0)), HYPERLINK("#",""), HYPERLINK(CONCATENATE("#metadata!", ADDRESS(INDEX($J$2:$J$1001,MATCH(ROWS($H$2:H632),$H$2:$H$1001,0),0), INDEX($O$1004:$Q$1004,1,MATCH(COLUMNS($O$1006:Q1006),$O$1006:$Q$1006,0)))),"Fix")))</f>
        <v xml:space="preserve"> </v>
      </c>
      <c r="H632">
        <v>631</v>
      </c>
      <c r="I632">
        <v>100632</v>
      </c>
      <c r="J632">
        <v>632</v>
      </c>
      <c r="K632" t="b">
        <f t="shared" si="9"/>
        <v>1</v>
      </c>
      <c r="L632" t="b">
        <f>COUNTBLANK(metadata!B632:D632)=COLUMNS(metadata!B632:D632)</f>
        <v>1</v>
      </c>
      <c r="M632" t="str">
        <v/>
      </c>
      <c r="O632" t="b">
        <f ca="1"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P632" t="b">
        <f>AND(IF(metadata!C632="",FALSE,TRUE),EXACT(metadata!C632,"mouse gut metagenome"))</f>
        <v>0</v>
      </c>
      <c r="Q632" t="b">
        <f>AND(IF(metadata!D632="",FALSE,TRUE),EXACT(metadata!D632,"410661"))</f>
        <v>0</v>
      </c>
    </row>
    <row r="633" spans="1:17" x14ac:dyDescent="0.2">
      <c r="A633" s="4" t="str">
        <f ca="1">IF(B633=" "," ",HYPERLINK(CONCATENATE("#metadata!",ADDRESS(INDEX($J$2:$J$1001,MATCH(ROWS($H$2:H633),$H$2:$H$1001,0),0),1)),INDEX($M$2:$M$1001,MATCH(ROWS($H$2:H633),$H$2:$H$1001,0),0)))</f>
        <v xml:space="preserve"> </v>
      </c>
      <c r="B633" s="3" t="str">
        <f ca="1">IF(OR(INDEX($I$2:$I$1001,MATCH(ROWS($H$2:H633),$H$2:$H$1001,0),1)&gt;=100000,INDEX($O$1005:$Q$1005,1,MATCH(COLUMNS($O$1006:O1006),$O$1006:$Q$1006,0))&gt;=100000), " ",IF(INDEX($O$2:$Q$1001,MATCH(ROWS($H$2:H633),$H$2:$H$1001,0),MATCH(COLUMNS($O$1006:O1006),$O$1006:$Q$1006,0)), HYPERLINK("#",""), HYPERLINK(CONCATENATE("#metadata!", ADDRESS(INDEX($J$2:$J$1001,MATCH(ROWS($H$2:H633),$H$2:$H$1001,0),0), INDEX($O$1004:$Q$1004,1,MATCH(COLUMNS($O$1006:O1006),$O$1006:$Q$1006,0)))),"Fix")))</f>
        <v xml:space="preserve"> </v>
      </c>
      <c r="C633" s="3" t="str">
        <f ca="1">IF(OR(INDEX($I$2:$I$1001,MATCH(ROWS($H$2:H633),$H$2:$H$1001,0),1)&gt;=100000,INDEX($O$1005:$Q$1005,1,MATCH(COLUMNS($O$1006:P1006),$O$1006:$Q$1006,0))&gt;=100000), " ",IF(INDEX($O$2:$Q$1001,MATCH(ROWS($H$2:H633),$H$2:$H$1001,0),MATCH(COLUMNS($O$1006:P1006),$O$1006:$Q$1006,0)), HYPERLINK("#",""), HYPERLINK(CONCATENATE("#metadata!", ADDRESS(INDEX($J$2:$J$1001,MATCH(ROWS($H$2:H633),$H$2:$H$1001,0),0), INDEX($O$1004:$Q$1004,1,MATCH(COLUMNS($O$1006:P1006),$O$1006:$Q$1006,0)))),"Fix")))</f>
        <v xml:space="preserve"> </v>
      </c>
      <c r="D633" s="3" t="str">
        <f ca="1">IF(OR(INDEX($I$2:$I$1001,MATCH(ROWS($H$2:H633),$H$2:$H$1001,0),1)&gt;=100000,INDEX($O$1005:$Q$1005,1,MATCH(COLUMNS($O$1006:Q1006),$O$1006:$Q$1006,0))&gt;=100000), " ",IF(INDEX($O$2:$Q$1001,MATCH(ROWS($H$2:H633),$H$2:$H$1001,0),MATCH(COLUMNS($O$1006:Q1006),$O$1006:$Q$1006,0)), HYPERLINK("#",""), HYPERLINK(CONCATENATE("#metadata!", ADDRESS(INDEX($J$2:$J$1001,MATCH(ROWS($H$2:H633),$H$2:$H$1001,0),0), INDEX($O$1004:$Q$1004,1,MATCH(COLUMNS($O$1006:Q1006),$O$1006:$Q$1006,0)))),"Fix")))</f>
        <v xml:space="preserve"> </v>
      </c>
      <c r="H633">
        <v>632</v>
      </c>
      <c r="I633">
        <v>100633</v>
      </c>
      <c r="J633">
        <v>633</v>
      </c>
      <c r="K633" t="b">
        <f t="shared" si="9"/>
        <v>1</v>
      </c>
      <c r="L633" t="b">
        <f>COUNTBLANK(metadata!B633:D633)=COLUMNS(metadata!B633:D633)</f>
        <v>1</v>
      </c>
      <c r="M633" t="str">
        <v/>
      </c>
      <c r="O633" t="b">
        <f ca="1"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P633" t="b">
        <f>AND(IF(metadata!C633="",FALSE,TRUE),EXACT(metadata!C633,"mouse gut metagenome"))</f>
        <v>0</v>
      </c>
      <c r="Q633" t="b">
        <f>AND(IF(metadata!D633="",FALSE,TRUE),EXACT(metadata!D633,"410661"))</f>
        <v>0</v>
      </c>
    </row>
    <row r="634" spans="1:17" x14ac:dyDescent="0.2">
      <c r="A634" s="4" t="str">
        <f ca="1">IF(B634=" "," ",HYPERLINK(CONCATENATE("#metadata!",ADDRESS(INDEX($J$2:$J$1001,MATCH(ROWS($H$2:H634),$H$2:$H$1001,0),0),1)),INDEX($M$2:$M$1001,MATCH(ROWS($H$2:H634),$H$2:$H$1001,0),0)))</f>
        <v xml:space="preserve"> </v>
      </c>
      <c r="B634" s="3" t="str">
        <f ca="1">IF(OR(INDEX($I$2:$I$1001,MATCH(ROWS($H$2:H634),$H$2:$H$1001,0),1)&gt;=100000,INDEX($O$1005:$Q$1005,1,MATCH(COLUMNS($O$1006:O1006),$O$1006:$Q$1006,0))&gt;=100000), " ",IF(INDEX($O$2:$Q$1001,MATCH(ROWS($H$2:H634),$H$2:$H$1001,0),MATCH(COLUMNS($O$1006:O1006),$O$1006:$Q$1006,0)), HYPERLINK("#",""), HYPERLINK(CONCATENATE("#metadata!", ADDRESS(INDEX($J$2:$J$1001,MATCH(ROWS($H$2:H634),$H$2:$H$1001,0),0), INDEX($O$1004:$Q$1004,1,MATCH(COLUMNS($O$1006:O1006),$O$1006:$Q$1006,0)))),"Fix")))</f>
        <v xml:space="preserve"> </v>
      </c>
      <c r="C634" s="3" t="str">
        <f ca="1">IF(OR(INDEX($I$2:$I$1001,MATCH(ROWS($H$2:H634),$H$2:$H$1001,0),1)&gt;=100000,INDEX($O$1005:$Q$1005,1,MATCH(COLUMNS($O$1006:P1006),$O$1006:$Q$1006,0))&gt;=100000), " ",IF(INDEX($O$2:$Q$1001,MATCH(ROWS($H$2:H634),$H$2:$H$1001,0),MATCH(COLUMNS($O$1006:P1006),$O$1006:$Q$1006,0)), HYPERLINK("#",""), HYPERLINK(CONCATENATE("#metadata!", ADDRESS(INDEX($J$2:$J$1001,MATCH(ROWS($H$2:H634),$H$2:$H$1001,0),0), INDEX($O$1004:$Q$1004,1,MATCH(COLUMNS($O$1006:P1006),$O$1006:$Q$1006,0)))),"Fix")))</f>
        <v xml:space="preserve"> </v>
      </c>
      <c r="D634" s="3" t="str">
        <f ca="1">IF(OR(INDEX($I$2:$I$1001,MATCH(ROWS($H$2:H634),$H$2:$H$1001,0),1)&gt;=100000,INDEX($O$1005:$Q$1005,1,MATCH(COLUMNS($O$1006:Q1006),$O$1006:$Q$1006,0))&gt;=100000), " ",IF(INDEX($O$2:$Q$1001,MATCH(ROWS($H$2:H634),$H$2:$H$1001,0),MATCH(COLUMNS($O$1006:Q1006),$O$1006:$Q$1006,0)), HYPERLINK("#",""), HYPERLINK(CONCATENATE("#metadata!", ADDRESS(INDEX($J$2:$J$1001,MATCH(ROWS($H$2:H634),$H$2:$H$1001,0),0), INDEX($O$1004:$Q$1004,1,MATCH(COLUMNS($O$1006:Q1006),$O$1006:$Q$1006,0)))),"Fix")))</f>
        <v xml:space="preserve"> </v>
      </c>
      <c r="H634">
        <v>633</v>
      </c>
      <c r="I634">
        <v>100634</v>
      </c>
      <c r="J634">
        <v>634</v>
      </c>
      <c r="K634" t="b">
        <f t="shared" si="9"/>
        <v>1</v>
      </c>
      <c r="L634" t="b">
        <f>COUNTBLANK(metadata!B634:D634)=COLUMNS(metadata!B634:D634)</f>
        <v>1</v>
      </c>
      <c r="M634" t="str">
        <v/>
      </c>
      <c r="O634" t="b">
        <f ca="1"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P634" t="b">
        <f>AND(IF(metadata!C634="",FALSE,TRUE),EXACT(metadata!C634,"mouse gut metagenome"))</f>
        <v>0</v>
      </c>
      <c r="Q634" t="b">
        <f>AND(IF(metadata!D634="",FALSE,TRUE),EXACT(metadata!D634,"410661"))</f>
        <v>0</v>
      </c>
    </row>
    <row r="635" spans="1:17" x14ac:dyDescent="0.2">
      <c r="A635" s="4" t="str">
        <f ca="1">IF(B635=" "," ",HYPERLINK(CONCATENATE("#metadata!",ADDRESS(INDEX($J$2:$J$1001,MATCH(ROWS($H$2:H635),$H$2:$H$1001,0),0),1)),INDEX($M$2:$M$1001,MATCH(ROWS($H$2:H635),$H$2:$H$1001,0),0)))</f>
        <v xml:space="preserve"> </v>
      </c>
      <c r="B635" s="3" t="str">
        <f ca="1">IF(OR(INDEX($I$2:$I$1001,MATCH(ROWS($H$2:H635),$H$2:$H$1001,0),1)&gt;=100000,INDEX($O$1005:$Q$1005,1,MATCH(COLUMNS($O$1006:O1006),$O$1006:$Q$1006,0))&gt;=100000), " ",IF(INDEX($O$2:$Q$1001,MATCH(ROWS($H$2:H635),$H$2:$H$1001,0),MATCH(COLUMNS($O$1006:O1006),$O$1006:$Q$1006,0)), HYPERLINK("#",""), HYPERLINK(CONCATENATE("#metadata!", ADDRESS(INDEX($J$2:$J$1001,MATCH(ROWS($H$2:H635),$H$2:$H$1001,0),0), INDEX($O$1004:$Q$1004,1,MATCH(COLUMNS($O$1006:O1006),$O$1006:$Q$1006,0)))),"Fix")))</f>
        <v xml:space="preserve"> </v>
      </c>
      <c r="C635" s="3" t="str">
        <f ca="1">IF(OR(INDEX($I$2:$I$1001,MATCH(ROWS($H$2:H635),$H$2:$H$1001,0),1)&gt;=100000,INDEX($O$1005:$Q$1005,1,MATCH(COLUMNS($O$1006:P1006),$O$1006:$Q$1006,0))&gt;=100000), " ",IF(INDEX($O$2:$Q$1001,MATCH(ROWS($H$2:H635),$H$2:$H$1001,0),MATCH(COLUMNS($O$1006:P1006),$O$1006:$Q$1006,0)), HYPERLINK("#",""), HYPERLINK(CONCATENATE("#metadata!", ADDRESS(INDEX($J$2:$J$1001,MATCH(ROWS($H$2:H635),$H$2:$H$1001,0),0), INDEX($O$1004:$Q$1004,1,MATCH(COLUMNS($O$1006:P1006),$O$1006:$Q$1006,0)))),"Fix")))</f>
        <v xml:space="preserve"> </v>
      </c>
      <c r="D635" s="3" t="str">
        <f ca="1">IF(OR(INDEX($I$2:$I$1001,MATCH(ROWS($H$2:H635),$H$2:$H$1001,0),1)&gt;=100000,INDEX($O$1005:$Q$1005,1,MATCH(COLUMNS($O$1006:Q1006),$O$1006:$Q$1006,0))&gt;=100000), " ",IF(INDEX($O$2:$Q$1001,MATCH(ROWS($H$2:H635),$H$2:$H$1001,0),MATCH(COLUMNS($O$1006:Q1006),$O$1006:$Q$1006,0)), HYPERLINK("#",""), HYPERLINK(CONCATENATE("#metadata!", ADDRESS(INDEX($J$2:$J$1001,MATCH(ROWS($H$2:H635),$H$2:$H$1001,0),0), INDEX($O$1004:$Q$1004,1,MATCH(COLUMNS($O$1006:Q1006),$O$1006:$Q$1006,0)))),"Fix")))</f>
        <v xml:space="preserve"> </v>
      </c>
      <c r="H635">
        <v>634</v>
      </c>
      <c r="I635">
        <v>100635</v>
      </c>
      <c r="J635">
        <v>635</v>
      </c>
      <c r="K635" t="b">
        <f t="shared" si="9"/>
        <v>1</v>
      </c>
      <c r="L635" t="b">
        <f>COUNTBLANK(metadata!B635:D635)=COLUMNS(metadata!B635:D635)</f>
        <v>1</v>
      </c>
      <c r="M635" t="str">
        <v/>
      </c>
      <c r="O635" t="b">
        <f ca="1"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P635" t="b">
        <f>AND(IF(metadata!C635="",FALSE,TRUE),EXACT(metadata!C635,"mouse gut metagenome"))</f>
        <v>0</v>
      </c>
      <c r="Q635" t="b">
        <f>AND(IF(metadata!D635="",FALSE,TRUE),EXACT(metadata!D635,"410661"))</f>
        <v>0</v>
      </c>
    </row>
    <row r="636" spans="1:17" x14ac:dyDescent="0.2">
      <c r="A636" s="4" t="str">
        <f ca="1">IF(B636=" "," ",HYPERLINK(CONCATENATE("#metadata!",ADDRESS(INDEX($J$2:$J$1001,MATCH(ROWS($H$2:H636),$H$2:$H$1001,0),0),1)),INDEX($M$2:$M$1001,MATCH(ROWS($H$2:H636),$H$2:$H$1001,0),0)))</f>
        <v xml:space="preserve"> </v>
      </c>
      <c r="B636" s="3" t="str">
        <f ca="1">IF(OR(INDEX($I$2:$I$1001,MATCH(ROWS($H$2:H636),$H$2:$H$1001,0),1)&gt;=100000,INDEX($O$1005:$Q$1005,1,MATCH(COLUMNS($O$1006:O1006),$O$1006:$Q$1006,0))&gt;=100000), " ",IF(INDEX($O$2:$Q$1001,MATCH(ROWS($H$2:H636),$H$2:$H$1001,0),MATCH(COLUMNS($O$1006:O1006),$O$1006:$Q$1006,0)), HYPERLINK("#",""), HYPERLINK(CONCATENATE("#metadata!", ADDRESS(INDEX($J$2:$J$1001,MATCH(ROWS($H$2:H636),$H$2:$H$1001,0),0), INDEX($O$1004:$Q$1004,1,MATCH(COLUMNS($O$1006:O1006),$O$1006:$Q$1006,0)))),"Fix")))</f>
        <v xml:space="preserve"> </v>
      </c>
      <c r="C636" s="3" t="str">
        <f ca="1">IF(OR(INDEX($I$2:$I$1001,MATCH(ROWS($H$2:H636),$H$2:$H$1001,0),1)&gt;=100000,INDEX($O$1005:$Q$1005,1,MATCH(COLUMNS($O$1006:P1006),$O$1006:$Q$1006,0))&gt;=100000), " ",IF(INDEX($O$2:$Q$1001,MATCH(ROWS($H$2:H636),$H$2:$H$1001,0),MATCH(COLUMNS($O$1006:P1006),$O$1006:$Q$1006,0)), HYPERLINK("#",""), HYPERLINK(CONCATENATE("#metadata!", ADDRESS(INDEX($J$2:$J$1001,MATCH(ROWS($H$2:H636),$H$2:$H$1001,0),0), INDEX($O$1004:$Q$1004,1,MATCH(COLUMNS($O$1006:P1006),$O$1006:$Q$1006,0)))),"Fix")))</f>
        <v xml:space="preserve"> </v>
      </c>
      <c r="D636" s="3" t="str">
        <f ca="1">IF(OR(INDEX($I$2:$I$1001,MATCH(ROWS($H$2:H636),$H$2:$H$1001,0),1)&gt;=100000,INDEX($O$1005:$Q$1005,1,MATCH(COLUMNS($O$1006:Q1006),$O$1006:$Q$1006,0))&gt;=100000), " ",IF(INDEX($O$2:$Q$1001,MATCH(ROWS($H$2:H636),$H$2:$H$1001,0),MATCH(COLUMNS($O$1006:Q1006),$O$1006:$Q$1006,0)), HYPERLINK("#",""), HYPERLINK(CONCATENATE("#metadata!", ADDRESS(INDEX($J$2:$J$1001,MATCH(ROWS($H$2:H636),$H$2:$H$1001,0),0), INDEX($O$1004:$Q$1004,1,MATCH(COLUMNS($O$1006:Q1006),$O$1006:$Q$1006,0)))),"Fix")))</f>
        <v xml:space="preserve"> </v>
      </c>
      <c r="H636">
        <v>635</v>
      </c>
      <c r="I636">
        <v>100636</v>
      </c>
      <c r="J636">
        <v>636</v>
      </c>
      <c r="K636" t="b">
        <f t="shared" si="9"/>
        <v>1</v>
      </c>
      <c r="L636" t="b">
        <f>COUNTBLANK(metadata!B636:D636)=COLUMNS(metadata!B636:D636)</f>
        <v>1</v>
      </c>
      <c r="M636" t="str">
        <v/>
      </c>
      <c r="O636" t="b">
        <f ca="1"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P636" t="b">
        <f>AND(IF(metadata!C636="",FALSE,TRUE),EXACT(metadata!C636,"mouse gut metagenome"))</f>
        <v>0</v>
      </c>
      <c r="Q636" t="b">
        <f>AND(IF(metadata!D636="",FALSE,TRUE),EXACT(metadata!D636,"410661"))</f>
        <v>0</v>
      </c>
    </row>
    <row r="637" spans="1:17" x14ac:dyDescent="0.2">
      <c r="A637" s="4" t="str">
        <f ca="1">IF(B637=" "," ",HYPERLINK(CONCATENATE("#metadata!",ADDRESS(INDEX($J$2:$J$1001,MATCH(ROWS($H$2:H637),$H$2:$H$1001,0),0),1)),INDEX($M$2:$M$1001,MATCH(ROWS($H$2:H637),$H$2:$H$1001,0),0)))</f>
        <v xml:space="preserve"> </v>
      </c>
      <c r="B637" s="3" t="str">
        <f ca="1">IF(OR(INDEX($I$2:$I$1001,MATCH(ROWS($H$2:H637),$H$2:$H$1001,0),1)&gt;=100000,INDEX($O$1005:$Q$1005,1,MATCH(COLUMNS($O$1006:O1006),$O$1006:$Q$1006,0))&gt;=100000), " ",IF(INDEX($O$2:$Q$1001,MATCH(ROWS($H$2:H637),$H$2:$H$1001,0),MATCH(COLUMNS($O$1006:O1006),$O$1006:$Q$1006,0)), HYPERLINK("#",""), HYPERLINK(CONCATENATE("#metadata!", ADDRESS(INDEX($J$2:$J$1001,MATCH(ROWS($H$2:H637),$H$2:$H$1001,0),0), INDEX($O$1004:$Q$1004,1,MATCH(COLUMNS($O$1006:O1006),$O$1006:$Q$1006,0)))),"Fix")))</f>
        <v xml:space="preserve"> </v>
      </c>
      <c r="C637" s="3" t="str">
        <f ca="1">IF(OR(INDEX($I$2:$I$1001,MATCH(ROWS($H$2:H637),$H$2:$H$1001,0),1)&gt;=100000,INDEX($O$1005:$Q$1005,1,MATCH(COLUMNS($O$1006:P1006),$O$1006:$Q$1006,0))&gt;=100000), " ",IF(INDEX($O$2:$Q$1001,MATCH(ROWS($H$2:H637),$H$2:$H$1001,0),MATCH(COLUMNS($O$1006:P1006),$O$1006:$Q$1006,0)), HYPERLINK("#",""), HYPERLINK(CONCATENATE("#metadata!", ADDRESS(INDEX($J$2:$J$1001,MATCH(ROWS($H$2:H637),$H$2:$H$1001,0),0), INDEX($O$1004:$Q$1004,1,MATCH(COLUMNS($O$1006:P1006),$O$1006:$Q$1006,0)))),"Fix")))</f>
        <v xml:space="preserve"> </v>
      </c>
      <c r="D637" s="3" t="str">
        <f ca="1">IF(OR(INDEX($I$2:$I$1001,MATCH(ROWS($H$2:H637),$H$2:$H$1001,0),1)&gt;=100000,INDEX($O$1005:$Q$1005,1,MATCH(COLUMNS($O$1006:Q1006),$O$1006:$Q$1006,0))&gt;=100000), " ",IF(INDEX($O$2:$Q$1001,MATCH(ROWS($H$2:H637),$H$2:$H$1001,0),MATCH(COLUMNS($O$1006:Q1006),$O$1006:$Q$1006,0)), HYPERLINK("#",""), HYPERLINK(CONCATENATE("#metadata!", ADDRESS(INDEX($J$2:$J$1001,MATCH(ROWS($H$2:H637),$H$2:$H$1001,0),0), INDEX($O$1004:$Q$1004,1,MATCH(COLUMNS($O$1006:Q1006),$O$1006:$Q$1006,0)))),"Fix")))</f>
        <v xml:space="preserve"> </v>
      </c>
      <c r="H637">
        <v>636</v>
      </c>
      <c r="I637">
        <v>100637</v>
      </c>
      <c r="J637">
        <v>637</v>
      </c>
      <c r="K637" t="b">
        <f t="shared" si="9"/>
        <v>1</v>
      </c>
      <c r="L637" t="b">
        <f>COUNTBLANK(metadata!B637:D637)=COLUMNS(metadata!B637:D637)</f>
        <v>1</v>
      </c>
      <c r="M637" t="str">
        <v/>
      </c>
      <c r="O637" t="b">
        <f ca="1"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P637" t="b">
        <f>AND(IF(metadata!C637="",FALSE,TRUE),EXACT(metadata!C637,"mouse gut metagenome"))</f>
        <v>0</v>
      </c>
      <c r="Q637" t="b">
        <f>AND(IF(metadata!D637="",FALSE,TRUE),EXACT(metadata!D637,"410661"))</f>
        <v>0</v>
      </c>
    </row>
    <row r="638" spans="1:17" x14ac:dyDescent="0.2">
      <c r="A638" s="4" t="str">
        <f ca="1">IF(B638=" "," ",HYPERLINK(CONCATENATE("#metadata!",ADDRESS(INDEX($J$2:$J$1001,MATCH(ROWS($H$2:H638),$H$2:$H$1001,0),0),1)),INDEX($M$2:$M$1001,MATCH(ROWS($H$2:H638),$H$2:$H$1001,0),0)))</f>
        <v xml:space="preserve"> </v>
      </c>
      <c r="B638" s="3" t="str">
        <f ca="1">IF(OR(INDEX($I$2:$I$1001,MATCH(ROWS($H$2:H638),$H$2:$H$1001,0),1)&gt;=100000,INDEX($O$1005:$Q$1005,1,MATCH(COLUMNS($O$1006:O1006),$O$1006:$Q$1006,0))&gt;=100000), " ",IF(INDEX($O$2:$Q$1001,MATCH(ROWS($H$2:H638),$H$2:$H$1001,0),MATCH(COLUMNS($O$1006:O1006),$O$1006:$Q$1006,0)), HYPERLINK("#",""), HYPERLINK(CONCATENATE("#metadata!", ADDRESS(INDEX($J$2:$J$1001,MATCH(ROWS($H$2:H638),$H$2:$H$1001,0),0), INDEX($O$1004:$Q$1004,1,MATCH(COLUMNS($O$1006:O1006),$O$1006:$Q$1006,0)))),"Fix")))</f>
        <v xml:space="preserve"> </v>
      </c>
      <c r="C638" s="3" t="str">
        <f ca="1">IF(OR(INDEX($I$2:$I$1001,MATCH(ROWS($H$2:H638),$H$2:$H$1001,0),1)&gt;=100000,INDEX($O$1005:$Q$1005,1,MATCH(COLUMNS($O$1006:P1006),$O$1006:$Q$1006,0))&gt;=100000), " ",IF(INDEX($O$2:$Q$1001,MATCH(ROWS($H$2:H638),$H$2:$H$1001,0),MATCH(COLUMNS($O$1006:P1006),$O$1006:$Q$1006,0)), HYPERLINK("#",""), HYPERLINK(CONCATENATE("#metadata!", ADDRESS(INDEX($J$2:$J$1001,MATCH(ROWS($H$2:H638),$H$2:$H$1001,0),0), INDEX($O$1004:$Q$1004,1,MATCH(COLUMNS($O$1006:P1006),$O$1006:$Q$1006,0)))),"Fix")))</f>
        <v xml:space="preserve"> </v>
      </c>
      <c r="D638" s="3" t="str">
        <f ca="1">IF(OR(INDEX($I$2:$I$1001,MATCH(ROWS($H$2:H638),$H$2:$H$1001,0),1)&gt;=100000,INDEX($O$1005:$Q$1005,1,MATCH(COLUMNS($O$1006:Q1006),$O$1006:$Q$1006,0))&gt;=100000), " ",IF(INDEX($O$2:$Q$1001,MATCH(ROWS($H$2:H638),$H$2:$H$1001,0),MATCH(COLUMNS($O$1006:Q1006),$O$1006:$Q$1006,0)), HYPERLINK("#",""), HYPERLINK(CONCATENATE("#metadata!", ADDRESS(INDEX($J$2:$J$1001,MATCH(ROWS($H$2:H638),$H$2:$H$1001,0),0), INDEX($O$1004:$Q$1004,1,MATCH(COLUMNS($O$1006:Q1006),$O$1006:$Q$1006,0)))),"Fix")))</f>
        <v xml:space="preserve"> </v>
      </c>
      <c r="H638">
        <v>637</v>
      </c>
      <c r="I638">
        <v>100638</v>
      </c>
      <c r="J638">
        <v>638</v>
      </c>
      <c r="K638" t="b">
        <f t="shared" si="9"/>
        <v>1</v>
      </c>
      <c r="L638" t="b">
        <f>COUNTBLANK(metadata!B638:D638)=COLUMNS(metadata!B638:D638)</f>
        <v>1</v>
      </c>
      <c r="M638" t="str">
        <v/>
      </c>
      <c r="O638" t="b">
        <f ca="1"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P638" t="b">
        <f>AND(IF(metadata!C638="",FALSE,TRUE),EXACT(metadata!C638,"mouse gut metagenome"))</f>
        <v>0</v>
      </c>
      <c r="Q638" t="b">
        <f>AND(IF(metadata!D638="",FALSE,TRUE),EXACT(metadata!D638,"410661"))</f>
        <v>0</v>
      </c>
    </row>
    <row r="639" spans="1:17" x14ac:dyDescent="0.2">
      <c r="A639" s="4" t="str">
        <f ca="1">IF(B639=" "," ",HYPERLINK(CONCATENATE("#metadata!",ADDRESS(INDEX($J$2:$J$1001,MATCH(ROWS($H$2:H639),$H$2:$H$1001,0),0),1)),INDEX($M$2:$M$1001,MATCH(ROWS($H$2:H639),$H$2:$H$1001,0),0)))</f>
        <v xml:space="preserve"> </v>
      </c>
      <c r="B639" s="3" t="str">
        <f ca="1">IF(OR(INDEX($I$2:$I$1001,MATCH(ROWS($H$2:H639),$H$2:$H$1001,0),1)&gt;=100000,INDEX($O$1005:$Q$1005,1,MATCH(COLUMNS($O$1006:O1006),$O$1006:$Q$1006,0))&gt;=100000), " ",IF(INDEX($O$2:$Q$1001,MATCH(ROWS($H$2:H639),$H$2:$H$1001,0),MATCH(COLUMNS($O$1006:O1006),$O$1006:$Q$1006,0)), HYPERLINK("#",""), HYPERLINK(CONCATENATE("#metadata!", ADDRESS(INDEX($J$2:$J$1001,MATCH(ROWS($H$2:H639),$H$2:$H$1001,0),0), INDEX($O$1004:$Q$1004,1,MATCH(COLUMNS($O$1006:O1006),$O$1006:$Q$1006,0)))),"Fix")))</f>
        <v xml:space="preserve"> </v>
      </c>
      <c r="C639" s="3" t="str">
        <f ca="1">IF(OR(INDEX($I$2:$I$1001,MATCH(ROWS($H$2:H639),$H$2:$H$1001,0),1)&gt;=100000,INDEX($O$1005:$Q$1005,1,MATCH(COLUMNS($O$1006:P1006),$O$1006:$Q$1006,0))&gt;=100000), " ",IF(INDEX($O$2:$Q$1001,MATCH(ROWS($H$2:H639),$H$2:$H$1001,0),MATCH(COLUMNS($O$1006:P1006),$O$1006:$Q$1006,0)), HYPERLINK("#",""), HYPERLINK(CONCATENATE("#metadata!", ADDRESS(INDEX($J$2:$J$1001,MATCH(ROWS($H$2:H639),$H$2:$H$1001,0),0), INDEX($O$1004:$Q$1004,1,MATCH(COLUMNS($O$1006:P1006),$O$1006:$Q$1006,0)))),"Fix")))</f>
        <v xml:space="preserve"> </v>
      </c>
      <c r="D639" s="3" t="str">
        <f ca="1">IF(OR(INDEX($I$2:$I$1001,MATCH(ROWS($H$2:H639),$H$2:$H$1001,0),1)&gt;=100000,INDEX($O$1005:$Q$1005,1,MATCH(COLUMNS($O$1006:Q1006),$O$1006:$Q$1006,0))&gt;=100000), " ",IF(INDEX($O$2:$Q$1001,MATCH(ROWS($H$2:H639),$H$2:$H$1001,0),MATCH(COLUMNS($O$1006:Q1006),$O$1006:$Q$1006,0)), HYPERLINK("#",""), HYPERLINK(CONCATENATE("#metadata!", ADDRESS(INDEX($J$2:$J$1001,MATCH(ROWS($H$2:H639),$H$2:$H$1001,0),0), INDEX($O$1004:$Q$1004,1,MATCH(COLUMNS($O$1006:Q1006),$O$1006:$Q$1006,0)))),"Fix")))</f>
        <v xml:space="preserve"> </v>
      </c>
      <c r="H639">
        <v>638</v>
      </c>
      <c r="I639">
        <v>100639</v>
      </c>
      <c r="J639">
        <v>639</v>
      </c>
      <c r="K639" t="b">
        <f t="shared" si="9"/>
        <v>1</v>
      </c>
      <c r="L639" t="b">
        <f>COUNTBLANK(metadata!B639:D639)=COLUMNS(metadata!B639:D639)</f>
        <v>1</v>
      </c>
      <c r="M639" t="str">
        <v/>
      </c>
      <c r="O639" t="b">
        <f ca="1"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P639" t="b">
        <f>AND(IF(metadata!C639="",FALSE,TRUE),EXACT(metadata!C639,"mouse gut metagenome"))</f>
        <v>0</v>
      </c>
      <c r="Q639" t="b">
        <f>AND(IF(metadata!D639="",FALSE,TRUE),EXACT(metadata!D639,"410661"))</f>
        <v>0</v>
      </c>
    </row>
    <row r="640" spans="1:17" x14ac:dyDescent="0.2">
      <c r="A640" s="4" t="str">
        <f ca="1">IF(B640=" "," ",HYPERLINK(CONCATENATE("#metadata!",ADDRESS(INDEX($J$2:$J$1001,MATCH(ROWS($H$2:H640),$H$2:$H$1001,0),0),1)),INDEX($M$2:$M$1001,MATCH(ROWS($H$2:H640),$H$2:$H$1001,0),0)))</f>
        <v xml:space="preserve"> </v>
      </c>
      <c r="B640" s="3" t="str">
        <f ca="1">IF(OR(INDEX($I$2:$I$1001,MATCH(ROWS($H$2:H640),$H$2:$H$1001,0),1)&gt;=100000,INDEX($O$1005:$Q$1005,1,MATCH(COLUMNS($O$1006:O1006),$O$1006:$Q$1006,0))&gt;=100000), " ",IF(INDEX($O$2:$Q$1001,MATCH(ROWS($H$2:H640),$H$2:$H$1001,0),MATCH(COLUMNS($O$1006:O1006),$O$1006:$Q$1006,0)), HYPERLINK("#",""), HYPERLINK(CONCATENATE("#metadata!", ADDRESS(INDEX($J$2:$J$1001,MATCH(ROWS($H$2:H640),$H$2:$H$1001,0),0), INDEX($O$1004:$Q$1004,1,MATCH(COLUMNS($O$1006:O1006),$O$1006:$Q$1006,0)))),"Fix")))</f>
        <v xml:space="preserve"> </v>
      </c>
      <c r="C640" s="3" t="str">
        <f ca="1">IF(OR(INDEX($I$2:$I$1001,MATCH(ROWS($H$2:H640),$H$2:$H$1001,0),1)&gt;=100000,INDEX($O$1005:$Q$1005,1,MATCH(COLUMNS($O$1006:P1006),$O$1006:$Q$1006,0))&gt;=100000), " ",IF(INDEX($O$2:$Q$1001,MATCH(ROWS($H$2:H640),$H$2:$H$1001,0),MATCH(COLUMNS($O$1006:P1006),$O$1006:$Q$1006,0)), HYPERLINK("#",""), HYPERLINK(CONCATENATE("#metadata!", ADDRESS(INDEX($J$2:$J$1001,MATCH(ROWS($H$2:H640),$H$2:$H$1001,0),0), INDEX($O$1004:$Q$1004,1,MATCH(COLUMNS($O$1006:P1006),$O$1006:$Q$1006,0)))),"Fix")))</f>
        <v xml:space="preserve"> </v>
      </c>
      <c r="D640" s="3" t="str">
        <f ca="1">IF(OR(INDEX($I$2:$I$1001,MATCH(ROWS($H$2:H640),$H$2:$H$1001,0),1)&gt;=100000,INDEX($O$1005:$Q$1005,1,MATCH(COLUMNS($O$1006:Q1006),$O$1006:$Q$1006,0))&gt;=100000), " ",IF(INDEX($O$2:$Q$1001,MATCH(ROWS($H$2:H640),$H$2:$H$1001,0),MATCH(COLUMNS($O$1006:Q1006),$O$1006:$Q$1006,0)), HYPERLINK("#",""), HYPERLINK(CONCATENATE("#metadata!", ADDRESS(INDEX($J$2:$J$1001,MATCH(ROWS($H$2:H640),$H$2:$H$1001,0),0), INDEX($O$1004:$Q$1004,1,MATCH(COLUMNS($O$1006:Q1006),$O$1006:$Q$1006,0)))),"Fix")))</f>
        <v xml:space="preserve"> </v>
      </c>
      <c r="H640">
        <v>639</v>
      </c>
      <c r="I640">
        <v>100640</v>
      </c>
      <c r="J640">
        <v>640</v>
      </c>
      <c r="K640" t="b">
        <f t="shared" si="9"/>
        <v>1</v>
      </c>
      <c r="L640" t="b">
        <f>COUNTBLANK(metadata!B640:D640)=COLUMNS(metadata!B640:D640)</f>
        <v>1</v>
      </c>
      <c r="M640" t="str">
        <v/>
      </c>
      <c r="O640" t="b">
        <f ca="1"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P640" t="b">
        <f>AND(IF(metadata!C640="",FALSE,TRUE),EXACT(metadata!C640,"mouse gut metagenome"))</f>
        <v>0</v>
      </c>
      <c r="Q640" t="b">
        <f>AND(IF(metadata!D640="",FALSE,TRUE),EXACT(metadata!D640,"410661"))</f>
        <v>0</v>
      </c>
    </row>
    <row r="641" spans="1:17" x14ac:dyDescent="0.2">
      <c r="A641" s="4" t="str">
        <f ca="1">IF(B641=" "," ",HYPERLINK(CONCATENATE("#metadata!",ADDRESS(INDEX($J$2:$J$1001,MATCH(ROWS($H$2:H641),$H$2:$H$1001,0),0),1)),INDEX($M$2:$M$1001,MATCH(ROWS($H$2:H641),$H$2:$H$1001,0),0)))</f>
        <v xml:space="preserve"> </v>
      </c>
      <c r="B641" s="3" t="str">
        <f ca="1">IF(OR(INDEX($I$2:$I$1001,MATCH(ROWS($H$2:H641),$H$2:$H$1001,0),1)&gt;=100000,INDEX($O$1005:$Q$1005,1,MATCH(COLUMNS($O$1006:O1006),$O$1006:$Q$1006,0))&gt;=100000), " ",IF(INDEX($O$2:$Q$1001,MATCH(ROWS($H$2:H641),$H$2:$H$1001,0),MATCH(COLUMNS($O$1006:O1006),$O$1006:$Q$1006,0)), HYPERLINK("#",""), HYPERLINK(CONCATENATE("#metadata!", ADDRESS(INDEX($J$2:$J$1001,MATCH(ROWS($H$2:H641),$H$2:$H$1001,0),0), INDEX($O$1004:$Q$1004,1,MATCH(COLUMNS($O$1006:O1006),$O$1006:$Q$1006,0)))),"Fix")))</f>
        <v xml:space="preserve"> </v>
      </c>
      <c r="C641" s="3" t="str">
        <f ca="1">IF(OR(INDEX($I$2:$I$1001,MATCH(ROWS($H$2:H641),$H$2:$H$1001,0),1)&gt;=100000,INDEX($O$1005:$Q$1005,1,MATCH(COLUMNS($O$1006:P1006),$O$1006:$Q$1006,0))&gt;=100000), " ",IF(INDEX($O$2:$Q$1001,MATCH(ROWS($H$2:H641),$H$2:$H$1001,0),MATCH(COLUMNS($O$1006:P1006),$O$1006:$Q$1006,0)), HYPERLINK("#",""), HYPERLINK(CONCATENATE("#metadata!", ADDRESS(INDEX($J$2:$J$1001,MATCH(ROWS($H$2:H641),$H$2:$H$1001,0),0), INDEX($O$1004:$Q$1004,1,MATCH(COLUMNS($O$1006:P1006),$O$1006:$Q$1006,0)))),"Fix")))</f>
        <v xml:space="preserve"> </v>
      </c>
      <c r="D641" s="3" t="str">
        <f ca="1">IF(OR(INDEX($I$2:$I$1001,MATCH(ROWS($H$2:H641),$H$2:$H$1001,0),1)&gt;=100000,INDEX($O$1005:$Q$1005,1,MATCH(COLUMNS($O$1006:Q1006),$O$1006:$Q$1006,0))&gt;=100000), " ",IF(INDEX($O$2:$Q$1001,MATCH(ROWS($H$2:H641),$H$2:$H$1001,0),MATCH(COLUMNS($O$1006:Q1006),$O$1006:$Q$1006,0)), HYPERLINK("#",""), HYPERLINK(CONCATENATE("#metadata!", ADDRESS(INDEX($J$2:$J$1001,MATCH(ROWS($H$2:H641),$H$2:$H$1001,0),0), INDEX($O$1004:$Q$1004,1,MATCH(COLUMNS($O$1006:Q1006),$O$1006:$Q$1006,0)))),"Fix")))</f>
        <v xml:space="preserve"> </v>
      </c>
      <c r="H641">
        <v>640</v>
      </c>
      <c r="I641">
        <v>100641</v>
      </c>
      <c r="J641">
        <v>641</v>
      </c>
      <c r="K641" t="b">
        <f t="shared" si="9"/>
        <v>1</v>
      </c>
      <c r="L641" t="b">
        <f>COUNTBLANK(metadata!B641:D641)=COLUMNS(metadata!B641:D641)</f>
        <v>1</v>
      </c>
      <c r="M641" t="str">
        <v/>
      </c>
      <c r="O641" t="b">
        <f ca="1"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P641" t="b">
        <f>AND(IF(metadata!C641="",FALSE,TRUE),EXACT(metadata!C641,"mouse gut metagenome"))</f>
        <v>0</v>
      </c>
      <c r="Q641" t="b">
        <f>AND(IF(metadata!D641="",FALSE,TRUE),EXACT(metadata!D641,"410661"))</f>
        <v>0</v>
      </c>
    </row>
    <row r="642" spans="1:17" x14ac:dyDescent="0.2">
      <c r="A642" s="4" t="str">
        <f ca="1">IF(B642=" "," ",HYPERLINK(CONCATENATE("#metadata!",ADDRESS(INDEX($J$2:$J$1001,MATCH(ROWS($H$2:H642),$H$2:$H$1001,0),0),1)),INDEX($M$2:$M$1001,MATCH(ROWS($H$2:H642),$H$2:$H$1001,0),0)))</f>
        <v xml:space="preserve"> </v>
      </c>
      <c r="B642" s="3" t="str">
        <f ca="1">IF(OR(INDEX($I$2:$I$1001,MATCH(ROWS($H$2:H642),$H$2:$H$1001,0),1)&gt;=100000,INDEX($O$1005:$Q$1005,1,MATCH(COLUMNS($O$1006:O1006),$O$1006:$Q$1006,0))&gt;=100000), " ",IF(INDEX($O$2:$Q$1001,MATCH(ROWS($H$2:H642),$H$2:$H$1001,0),MATCH(COLUMNS($O$1006:O1006),$O$1006:$Q$1006,0)), HYPERLINK("#",""), HYPERLINK(CONCATENATE("#metadata!", ADDRESS(INDEX($J$2:$J$1001,MATCH(ROWS($H$2:H642),$H$2:$H$1001,0),0), INDEX($O$1004:$Q$1004,1,MATCH(COLUMNS($O$1006:O1006),$O$1006:$Q$1006,0)))),"Fix")))</f>
        <v xml:space="preserve"> </v>
      </c>
      <c r="C642" s="3" t="str">
        <f ca="1">IF(OR(INDEX($I$2:$I$1001,MATCH(ROWS($H$2:H642),$H$2:$H$1001,0),1)&gt;=100000,INDEX($O$1005:$Q$1005,1,MATCH(COLUMNS($O$1006:P1006),$O$1006:$Q$1006,0))&gt;=100000), " ",IF(INDEX($O$2:$Q$1001,MATCH(ROWS($H$2:H642),$H$2:$H$1001,0),MATCH(COLUMNS($O$1006:P1006),$O$1006:$Q$1006,0)), HYPERLINK("#",""), HYPERLINK(CONCATENATE("#metadata!", ADDRESS(INDEX($J$2:$J$1001,MATCH(ROWS($H$2:H642),$H$2:$H$1001,0),0), INDEX($O$1004:$Q$1004,1,MATCH(COLUMNS($O$1006:P1006),$O$1006:$Q$1006,0)))),"Fix")))</f>
        <v xml:space="preserve"> </v>
      </c>
      <c r="D642" s="3" t="str">
        <f ca="1">IF(OR(INDEX($I$2:$I$1001,MATCH(ROWS($H$2:H642),$H$2:$H$1001,0),1)&gt;=100000,INDEX($O$1005:$Q$1005,1,MATCH(COLUMNS($O$1006:Q1006),$O$1006:$Q$1006,0))&gt;=100000), " ",IF(INDEX($O$2:$Q$1001,MATCH(ROWS($H$2:H642),$H$2:$H$1001,0),MATCH(COLUMNS($O$1006:Q1006),$O$1006:$Q$1006,0)), HYPERLINK("#",""), HYPERLINK(CONCATENATE("#metadata!", ADDRESS(INDEX($J$2:$J$1001,MATCH(ROWS($H$2:H642),$H$2:$H$1001,0),0), INDEX($O$1004:$Q$1004,1,MATCH(COLUMNS($O$1006:Q1006),$O$1006:$Q$1006,0)))),"Fix")))</f>
        <v xml:space="preserve"> </v>
      </c>
      <c r="H642">
        <v>641</v>
      </c>
      <c r="I642">
        <v>100642</v>
      </c>
      <c r="J642">
        <v>642</v>
      </c>
      <c r="K642" t="b">
        <f t="shared" ref="K642:K705" si="10">IF(L642,TRUE,AND(O642:Q642))</f>
        <v>1</v>
      </c>
      <c r="L642" t="b">
        <f>COUNTBLANK(metadata!B642:D642)=COLUMNS(metadata!B642:D642)</f>
        <v>1</v>
      </c>
      <c r="M642" t="str">
        <v/>
      </c>
      <c r="O642" t="b">
        <f ca="1"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P642" t="b">
        <f>AND(IF(metadata!C642="",FALSE,TRUE),EXACT(metadata!C642,"mouse gut metagenome"))</f>
        <v>0</v>
      </c>
      <c r="Q642" t="b">
        <f>AND(IF(metadata!D642="",FALSE,TRUE),EXACT(metadata!D642,"410661"))</f>
        <v>0</v>
      </c>
    </row>
    <row r="643" spans="1:17" x14ac:dyDescent="0.2">
      <c r="A643" s="4" t="str">
        <f ca="1">IF(B643=" "," ",HYPERLINK(CONCATENATE("#metadata!",ADDRESS(INDEX($J$2:$J$1001,MATCH(ROWS($H$2:H643),$H$2:$H$1001,0),0),1)),INDEX($M$2:$M$1001,MATCH(ROWS($H$2:H643),$H$2:$H$1001,0),0)))</f>
        <v xml:space="preserve"> </v>
      </c>
      <c r="B643" s="3" t="str">
        <f ca="1">IF(OR(INDEX($I$2:$I$1001,MATCH(ROWS($H$2:H643),$H$2:$H$1001,0),1)&gt;=100000,INDEX($O$1005:$Q$1005,1,MATCH(COLUMNS($O$1006:O1006),$O$1006:$Q$1006,0))&gt;=100000), " ",IF(INDEX($O$2:$Q$1001,MATCH(ROWS($H$2:H643),$H$2:$H$1001,0),MATCH(COLUMNS($O$1006:O1006),$O$1006:$Q$1006,0)), HYPERLINK("#",""), HYPERLINK(CONCATENATE("#metadata!", ADDRESS(INDEX($J$2:$J$1001,MATCH(ROWS($H$2:H643),$H$2:$H$1001,0),0), INDEX($O$1004:$Q$1004,1,MATCH(COLUMNS($O$1006:O1006),$O$1006:$Q$1006,0)))),"Fix")))</f>
        <v xml:space="preserve"> </v>
      </c>
      <c r="C643" s="3" t="str">
        <f ca="1">IF(OR(INDEX($I$2:$I$1001,MATCH(ROWS($H$2:H643),$H$2:$H$1001,0),1)&gt;=100000,INDEX($O$1005:$Q$1005,1,MATCH(COLUMNS($O$1006:P1006),$O$1006:$Q$1006,0))&gt;=100000), " ",IF(INDEX($O$2:$Q$1001,MATCH(ROWS($H$2:H643),$H$2:$H$1001,0),MATCH(COLUMNS($O$1006:P1006),$O$1006:$Q$1006,0)), HYPERLINK("#",""), HYPERLINK(CONCATENATE("#metadata!", ADDRESS(INDEX($J$2:$J$1001,MATCH(ROWS($H$2:H643),$H$2:$H$1001,0),0), INDEX($O$1004:$Q$1004,1,MATCH(COLUMNS($O$1006:P1006),$O$1006:$Q$1006,0)))),"Fix")))</f>
        <v xml:space="preserve"> </v>
      </c>
      <c r="D643" s="3" t="str">
        <f ca="1">IF(OR(INDEX($I$2:$I$1001,MATCH(ROWS($H$2:H643),$H$2:$H$1001,0),1)&gt;=100000,INDEX($O$1005:$Q$1005,1,MATCH(COLUMNS($O$1006:Q1006),$O$1006:$Q$1006,0))&gt;=100000), " ",IF(INDEX($O$2:$Q$1001,MATCH(ROWS($H$2:H643),$H$2:$H$1001,0),MATCH(COLUMNS($O$1006:Q1006),$O$1006:$Q$1006,0)), HYPERLINK("#",""), HYPERLINK(CONCATENATE("#metadata!", ADDRESS(INDEX($J$2:$J$1001,MATCH(ROWS($H$2:H643),$H$2:$H$1001,0),0), INDEX($O$1004:$Q$1004,1,MATCH(COLUMNS($O$1006:Q1006),$O$1006:$Q$1006,0)))),"Fix")))</f>
        <v xml:space="preserve"> </v>
      </c>
      <c r="H643">
        <v>642</v>
      </c>
      <c r="I643">
        <v>100643</v>
      </c>
      <c r="J643">
        <v>643</v>
      </c>
      <c r="K643" t="b">
        <f t="shared" si="10"/>
        <v>1</v>
      </c>
      <c r="L643" t="b">
        <f>COUNTBLANK(metadata!B643:D643)=COLUMNS(metadata!B643:D643)</f>
        <v>1</v>
      </c>
      <c r="M643" t="str">
        <v/>
      </c>
      <c r="O643" t="b">
        <f ca="1"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P643" t="b">
        <f>AND(IF(metadata!C643="",FALSE,TRUE),EXACT(metadata!C643,"mouse gut metagenome"))</f>
        <v>0</v>
      </c>
      <c r="Q643" t="b">
        <f>AND(IF(metadata!D643="",FALSE,TRUE),EXACT(metadata!D643,"410661"))</f>
        <v>0</v>
      </c>
    </row>
    <row r="644" spans="1:17" x14ac:dyDescent="0.2">
      <c r="A644" s="4" t="str">
        <f ca="1">IF(B644=" "," ",HYPERLINK(CONCATENATE("#metadata!",ADDRESS(INDEX($J$2:$J$1001,MATCH(ROWS($H$2:H644),$H$2:$H$1001,0),0),1)),INDEX($M$2:$M$1001,MATCH(ROWS($H$2:H644),$H$2:$H$1001,0),0)))</f>
        <v xml:space="preserve"> </v>
      </c>
      <c r="B644" s="3" t="str">
        <f ca="1">IF(OR(INDEX($I$2:$I$1001,MATCH(ROWS($H$2:H644),$H$2:$H$1001,0),1)&gt;=100000,INDEX($O$1005:$Q$1005,1,MATCH(COLUMNS($O$1006:O1006),$O$1006:$Q$1006,0))&gt;=100000), " ",IF(INDEX($O$2:$Q$1001,MATCH(ROWS($H$2:H644),$H$2:$H$1001,0),MATCH(COLUMNS($O$1006:O1006),$O$1006:$Q$1006,0)), HYPERLINK("#",""), HYPERLINK(CONCATENATE("#metadata!", ADDRESS(INDEX($J$2:$J$1001,MATCH(ROWS($H$2:H644),$H$2:$H$1001,0),0), INDEX($O$1004:$Q$1004,1,MATCH(COLUMNS($O$1006:O1006),$O$1006:$Q$1006,0)))),"Fix")))</f>
        <v xml:space="preserve"> </v>
      </c>
      <c r="C644" s="3" t="str">
        <f ca="1">IF(OR(INDEX($I$2:$I$1001,MATCH(ROWS($H$2:H644),$H$2:$H$1001,0),1)&gt;=100000,INDEX($O$1005:$Q$1005,1,MATCH(COLUMNS($O$1006:P1006),$O$1006:$Q$1006,0))&gt;=100000), " ",IF(INDEX($O$2:$Q$1001,MATCH(ROWS($H$2:H644),$H$2:$H$1001,0),MATCH(COLUMNS($O$1006:P1006),$O$1006:$Q$1006,0)), HYPERLINK("#",""), HYPERLINK(CONCATENATE("#metadata!", ADDRESS(INDEX($J$2:$J$1001,MATCH(ROWS($H$2:H644),$H$2:$H$1001,0),0), INDEX($O$1004:$Q$1004,1,MATCH(COLUMNS($O$1006:P1006),$O$1006:$Q$1006,0)))),"Fix")))</f>
        <v xml:space="preserve"> </v>
      </c>
      <c r="D644" s="3" t="str">
        <f ca="1">IF(OR(INDEX($I$2:$I$1001,MATCH(ROWS($H$2:H644),$H$2:$H$1001,0),1)&gt;=100000,INDEX($O$1005:$Q$1005,1,MATCH(COLUMNS($O$1006:Q1006),$O$1006:$Q$1006,0))&gt;=100000), " ",IF(INDEX($O$2:$Q$1001,MATCH(ROWS($H$2:H644),$H$2:$H$1001,0),MATCH(COLUMNS($O$1006:Q1006),$O$1006:$Q$1006,0)), HYPERLINK("#",""), HYPERLINK(CONCATENATE("#metadata!", ADDRESS(INDEX($J$2:$J$1001,MATCH(ROWS($H$2:H644),$H$2:$H$1001,0),0), INDEX($O$1004:$Q$1004,1,MATCH(COLUMNS($O$1006:Q1006),$O$1006:$Q$1006,0)))),"Fix")))</f>
        <v xml:space="preserve"> </v>
      </c>
      <c r="H644">
        <v>643</v>
      </c>
      <c r="I644">
        <v>100644</v>
      </c>
      <c r="J644">
        <v>644</v>
      </c>
      <c r="K644" t="b">
        <f t="shared" si="10"/>
        <v>1</v>
      </c>
      <c r="L644" t="b">
        <f>COUNTBLANK(metadata!B644:D644)=COLUMNS(metadata!B644:D644)</f>
        <v>1</v>
      </c>
      <c r="M644" t="str">
        <v/>
      </c>
      <c r="O644" t="b">
        <f ca="1"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P644" t="b">
        <f>AND(IF(metadata!C644="",FALSE,TRUE),EXACT(metadata!C644,"mouse gut metagenome"))</f>
        <v>0</v>
      </c>
      <c r="Q644" t="b">
        <f>AND(IF(metadata!D644="",FALSE,TRUE),EXACT(metadata!D644,"410661"))</f>
        <v>0</v>
      </c>
    </row>
    <row r="645" spans="1:17" x14ac:dyDescent="0.2">
      <c r="A645" s="4" t="str">
        <f ca="1">IF(B645=" "," ",HYPERLINK(CONCATENATE("#metadata!",ADDRESS(INDEX($J$2:$J$1001,MATCH(ROWS($H$2:H645),$H$2:$H$1001,0),0),1)),INDEX($M$2:$M$1001,MATCH(ROWS($H$2:H645),$H$2:$H$1001,0),0)))</f>
        <v xml:space="preserve"> </v>
      </c>
      <c r="B645" s="3" t="str">
        <f ca="1">IF(OR(INDEX($I$2:$I$1001,MATCH(ROWS($H$2:H645),$H$2:$H$1001,0),1)&gt;=100000,INDEX($O$1005:$Q$1005,1,MATCH(COLUMNS($O$1006:O1006),$O$1006:$Q$1006,0))&gt;=100000), " ",IF(INDEX($O$2:$Q$1001,MATCH(ROWS($H$2:H645),$H$2:$H$1001,0),MATCH(COLUMNS($O$1006:O1006),$O$1006:$Q$1006,0)), HYPERLINK("#",""), HYPERLINK(CONCATENATE("#metadata!", ADDRESS(INDEX($J$2:$J$1001,MATCH(ROWS($H$2:H645),$H$2:$H$1001,0),0), INDEX($O$1004:$Q$1004,1,MATCH(COLUMNS($O$1006:O1006),$O$1006:$Q$1006,0)))),"Fix")))</f>
        <v xml:space="preserve"> </v>
      </c>
      <c r="C645" s="3" t="str">
        <f ca="1">IF(OR(INDEX($I$2:$I$1001,MATCH(ROWS($H$2:H645),$H$2:$H$1001,0),1)&gt;=100000,INDEX($O$1005:$Q$1005,1,MATCH(COLUMNS($O$1006:P1006),$O$1006:$Q$1006,0))&gt;=100000), " ",IF(INDEX($O$2:$Q$1001,MATCH(ROWS($H$2:H645),$H$2:$H$1001,0),MATCH(COLUMNS($O$1006:P1006),$O$1006:$Q$1006,0)), HYPERLINK("#",""), HYPERLINK(CONCATENATE("#metadata!", ADDRESS(INDEX($J$2:$J$1001,MATCH(ROWS($H$2:H645),$H$2:$H$1001,0),0), INDEX($O$1004:$Q$1004,1,MATCH(COLUMNS($O$1006:P1006),$O$1006:$Q$1006,0)))),"Fix")))</f>
        <v xml:space="preserve"> </v>
      </c>
      <c r="D645" s="3" t="str">
        <f ca="1">IF(OR(INDEX($I$2:$I$1001,MATCH(ROWS($H$2:H645),$H$2:$H$1001,0),1)&gt;=100000,INDEX($O$1005:$Q$1005,1,MATCH(COLUMNS($O$1006:Q1006),$O$1006:$Q$1006,0))&gt;=100000), " ",IF(INDEX($O$2:$Q$1001,MATCH(ROWS($H$2:H645),$H$2:$H$1001,0),MATCH(COLUMNS($O$1006:Q1006),$O$1006:$Q$1006,0)), HYPERLINK("#",""), HYPERLINK(CONCATENATE("#metadata!", ADDRESS(INDEX($J$2:$J$1001,MATCH(ROWS($H$2:H645),$H$2:$H$1001,0),0), INDEX($O$1004:$Q$1004,1,MATCH(COLUMNS($O$1006:Q1006),$O$1006:$Q$1006,0)))),"Fix")))</f>
        <v xml:space="preserve"> </v>
      </c>
      <c r="H645">
        <v>644</v>
      </c>
      <c r="I645">
        <v>100645</v>
      </c>
      <c r="J645">
        <v>645</v>
      </c>
      <c r="K645" t="b">
        <f t="shared" si="10"/>
        <v>1</v>
      </c>
      <c r="L645" t="b">
        <f>COUNTBLANK(metadata!B645:D645)=COLUMNS(metadata!B645:D645)</f>
        <v>1</v>
      </c>
      <c r="M645" t="str">
        <v/>
      </c>
      <c r="O645" t="b">
        <f ca="1"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P645" t="b">
        <f>AND(IF(metadata!C645="",FALSE,TRUE),EXACT(metadata!C645,"mouse gut metagenome"))</f>
        <v>0</v>
      </c>
      <c r="Q645" t="b">
        <f>AND(IF(metadata!D645="",FALSE,TRUE),EXACT(metadata!D645,"410661"))</f>
        <v>0</v>
      </c>
    </row>
    <row r="646" spans="1:17" x14ac:dyDescent="0.2">
      <c r="A646" s="4" t="str">
        <f ca="1">IF(B646=" "," ",HYPERLINK(CONCATENATE("#metadata!",ADDRESS(INDEX($J$2:$J$1001,MATCH(ROWS($H$2:H646),$H$2:$H$1001,0),0),1)),INDEX($M$2:$M$1001,MATCH(ROWS($H$2:H646),$H$2:$H$1001,0),0)))</f>
        <v xml:space="preserve"> </v>
      </c>
      <c r="B646" s="3" t="str">
        <f ca="1">IF(OR(INDEX($I$2:$I$1001,MATCH(ROWS($H$2:H646),$H$2:$H$1001,0),1)&gt;=100000,INDEX($O$1005:$Q$1005,1,MATCH(COLUMNS($O$1006:O1006),$O$1006:$Q$1006,0))&gt;=100000), " ",IF(INDEX($O$2:$Q$1001,MATCH(ROWS($H$2:H646),$H$2:$H$1001,0),MATCH(COLUMNS($O$1006:O1006),$O$1006:$Q$1006,0)), HYPERLINK("#",""), HYPERLINK(CONCATENATE("#metadata!", ADDRESS(INDEX($J$2:$J$1001,MATCH(ROWS($H$2:H646),$H$2:$H$1001,0),0), INDEX($O$1004:$Q$1004,1,MATCH(COLUMNS($O$1006:O1006),$O$1006:$Q$1006,0)))),"Fix")))</f>
        <v xml:space="preserve"> </v>
      </c>
      <c r="C646" s="3" t="str">
        <f ca="1">IF(OR(INDEX($I$2:$I$1001,MATCH(ROWS($H$2:H646),$H$2:$H$1001,0),1)&gt;=100000,INDEX($O$1005:$Q$1005,1,MATCH(COLUMNS($O$1006:P1006),$O$1006:$Q$1006,0))&gt;=100000), " ",IF(INDEX($O$2:$Q$1001,MATCH(ROWS($H$2:H646),$H$2:$H$1001,0),MATCH(COLUMNS($O$1006:P1006),$O$1006:$Q$1006,0)), HYPERLINK("#",""), HYPERLINK(CONCATENATE("#metadata!", ADDRESS(INDEX($J$2:$J$1001,MATCH(ROWS($H$2:H646),$H$2:$H$1001,0),0), INDEX($O$1004:$Q$1004,1,MATCH(COLUMNS($O$1006:P1006),$O$1006:$Q$1006,0)))),"Fix")))</f>
        <v xml:space="preserve"> </v>
      </c>
      <c r="D646" s="3" t="str">
        <f ca="1">IF(OR(INDEX($I$2:$I$1001,MATCH(ROWS($H$2:H646),$H$2:$H$1001,0),1)&gt;=100000,INDEX($O$1005:$Q$1005,1,MATCH(COLUMNS($O$1006:Q1006),$O$1006:$Q$1006,0))&gt;=100000), " ",IF(INDEX($O$2:$Q$1001,MATCH(ROWS($H$2:H646),$H$2:$H$1001,0),MATCH(COLUMNS($O$1006:Q1006),$O$1006:$Q$1006,0)), HYPERLINK("#",""), HYPERLINK(CONCATENATE("#metadata!", ADDRESS(INDEX($J$2:$J$1001,MATCH(ROWS($H$2:H646),$H$2:$H$1001,0),0), INDEX($O$1004:$Q$1004,1,MATCH(COLUMNS($O$1006:Q1006),$O$1006:$Q$1006,0)))),"Fix")))</f>
        <v xml:space="preserve"> </v>
      </c>
      <c r="H646">
        <v>645</v>
      </c>
      <c r="I646">
        <v>100646</v>
      </c>
      <c r="J646">
        <v>646</v>
      </c>
      <c r="K646" t="b">
        <f t="shared" si="10"/>
        <v>1</v>
      </c>
      <c r="L646" t="b">
        <f>COUNTBLANK(metadata!B646:D646)=COLUMNS(metadata!B646:D646)</f>
        <v>1</v>
      </c>
      <c r="M646" t="str">
        <v/>
      </c>
      <c r="O646" t="b">
        <f ca="1"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P646" t="b">
        <f>AND(IF(metadata!C646="",FALSE,TRUE),EXACT(metadata!C646,"mouse gut metagenome"))</f>
        <v>0</v>
      </c>
      <c r="Q646" t="b">
        <f>AND(IF(metadata!D646="",FALSE,TRUE),EXACT(metadata!D646,"410661"))</f>
        <v>0</v>
      </c>
    </row>
    <row r="647" spans="1:17" x14ac:dyDescent="0.2">
      <c r="A647" s="4" t="str">
        <f ca="1">IF(B647=" "," ",HYPERLINK(CONCATENATE("#metadata!",ADDRESS(INDEX($J$2:$J$1001,MATCH(ROWS($H$2:H647),$H$2:$H$1001,0),0),1)),INDEX($M$2:$M$1001,MATCH(ROWS($H$2:H647),$H$2:$H$1001,0),0)))</f>
        <v xml:space="preserve"> </v>
      </c>
      <c r="B647" s="3" t="str">
        <f ca="1">IF(OR(INDEX($I$2:$I$1001,MATCH(ROWS($H$2:H647),$H$2:$H$1001,0),1)&gt;=100000,INDEX($O$1005:$Q$1005,1,MATCH(COLUMNS($O$1006:O1006),$O$1006:$Q$1006,0))&gt;=100000), " ",IF(INDEX($O$2:$Q$1001,MATCH(ROWS($H$2:H647),$H$2:$H$1001,0),MATCH(COLUMNS($O$1006:O1006),$O$1006:$Q$1006,0)), HYPERLINK("#",""), HYPERLINK(CONCATENATE("#metadata!", ADDRESS(INDEX($J$2:$J$1001,MATCH(ROWS($H$2:H647),$H$2:$H$1001,0),0), INDEX($O$1004:$Q$1004,1,MATCH(COLUMNS($O$1006:O1006),$O$1006:$Q$1006,0)))),"Fix")))</f>
        <v xml:space="preserve"> </v>
      </c>
      <c r="C647" s="3" t="str">
        <f ca="1">IF(OR(INDEX($I$2:$I$1001,MATCH(ROWS($H$2:H647),$H$2:$H$1001,0),1)&gt;=100000,INDEX($O$1005:$Q$1005,1,MATCH(COLUMNS($O$1006:P1006),$O$1006:$Q$1006,0))&gt;=100000), " ",IF(INDEX($O$2:$Q$1001,MATCH(ROWS($H$2:H647),$H$2:$H$1001,0),MATCH(COLUMNS($O$1006:P1006),$O$1006:$Q$1006,0)), HYPERLINK("#",""), HYPERLINK(CONCATENATE("#metadata!", ADDRESS(INDEX($J$2:$J$1001,MATCH(ROWS($H$2:H647),$H$2:$H$1001,0),0), INDEX($O$1004:$Q$1004,1,MATCH(COLUMNS($O$1006:P1006),$O$1006:$Q$1006,0)))),"Fix")))</f>
        <v xml:space="preserve"> </v>
      </c>
      <c r="D647" s="3" t="str">
        <f ca="1">IF(OR(INDEX($I$2:$I$1001,MATCH(ROWS($H$2:H647),$H$2:$H$1001,0),1)&gt;=100000,INDEX($O$1005:$Q$1005,1,MATCH(COLUMNS($O$1006:Q1006),$O$1006:$Q$1006,0))&gt;=100000), " ",IF(INDEX($O$2:$Q$1001,MATCH(ROWS($H$2:H647),$H$2:$H$1001,0),MATCH(COLUMNS($O$1006:Q1006),$O$1006:$Q$1006,0)), HYPERLINK("#",""), HYPERLINK(CONCATENATE("#metadata!", ADDRESS(INDEX($J$2:$J$1001,MATCH(ROWS($H$2:H647),$H$2:$H$1001,0),0), INDEX($O$1004:$Q$1004,1,MATCH(COLUMNS($O$1006:Q1006),$O$1006:$Q$1006,0)))),"Fix")))</f>
        <v xml:space="preserve"> </v>
      </c>
      <c r="H647">
        <v>646</v>
      </c>
      <c r="I647">
        <v>100647</v>
      </c>
      <c r="J647">
        <v>647</v>
      </c>
      <c r="K647" t="b">
        <f t="shared" si="10"/>
        <v>1</v>
      </c>
      <c r="L647" t="b">
        <f>COUNTBLANK(metadata!B647:D647)=COLUMNS(metadata!B647:D647)</f>
        <v>1</v>
      </c>
      <c r="M647" t="str">
        <v/>
      </c>
      <c r="O647" t="b">
        <f ca="1"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P647" t="b">
        <f>AND(IF(metadata!C647="",FALSE,TRUE),EXACT(metadata!C647,"mouse gut metagenome"))</f>
        <v>0</v>
      </c>
      <c r="Q647" t="b">
        <f>AND(IF(metadata!D647="",FALSE,TRUE),EXACT(metadata!D647,"410661"))</f>
        <v>0</v>
      </c>
    </row>
    <row r="648" spans="1:17" x14ac:dyDescent="0.2">
      <c r="A648" s="4" t="str">
        <f ca="1">IF(B648=" "," ",HYPERLINK(CONCATENATE("#metadata!",ADDRESS(INDEX($J$2:$J$1001,MATCH(ROWS($H$2:H648),$H$2:$H$1001,0),0),1)),INDEX($M$2:$M$1001,MATCH(ROWS($H$2:H648),$H$2:$H$1001,0),0)))</f>
        <v xml:space="preserve"> </v>
      </c>
      <c r="B648" s="3" t="str">
        <f ca="1">IF(OR(INDEX($I$2:$I$1001,MATCH(ROWS($H$2:H648),$H$2:$H$1001,0),1)&gt;=100000,INDEX($O$1005:$Q$1005,1,MATCH(COLUMNS($O$1006:O1006),$O$1006:$Q$1006,0))&gt;=100000), " ",IF(INDEX($O$2:$Q$1001,MATCH(ROWS($H$2:H648),$H$2:$H$1001,0),MATCH(COLUMNS($O$1006:O1006),$O$1006:$Q$1006,0)), HYPERLINK("#",""), HYPERLINK(CONCATENATE("#metadata!", ADDRESS(INDEX($J$2:$J$1001,MATCH(ROWS($H$2:H648),$H$2:$H$1001,0),0), INDEX($O$1004:$Q$1004,1,MATCH(COLUMNS($O$1006:O1006),$O$1006:$Q$1006,0)))),"Fix")))</f>
        <v xml:space="preserve"> </v>
      </c>
      <c r="C648" s="3" t="str">
        <f ca="1">IF(OR(INDEX($I$2:$I$1001,MATCH(ROWS($H$2:H648),$H$2:$H$1001,0),1)&gt;=100000,INDEX($O$1005:$Q$1005,1,MATCH(COLUMNS($O$1006:P1006),$O$1006:$Q$1006,0))&gt;=100000), " ",IF(INDEX($O$2:$Q$1001,MATCH(ROWS($H$2:H648),$H$2:$H$1001,0),MATCH(COLUMNS($O$1006:P1006),$O$1006:$Q$1006,0)), HYPERLINK("#",""), HYPERLINK(CONCATENATE("#metadata!", ADDRESS(INDEX($J$2:$J$1001,MATCH(ROWS($H$2:H648),$H$2:$H$1001,0),0), INDEX($O$1004:$Q$1004,1,MATCH(COLUMNS($O$1006:P1006),$O$1006:$Q$1006,0)))),"Fix")))</f>
        <v xml:space="preserve"> </v>
      </c>
      <c r="D648" s="3" t="str">
        <f ca="1">IF(OR(INDEX($I$2:$I$1001,MATCH(ROWS($H$2:H648),$H$2:$H$1001,0),1)&gt;=100000,INDEX($O$1005:$Q$1005,1,MATCH(COLUMNS($O$1006:Q1006),$O$1006:$Q$1006,0))&gt;=100000), " ",IF(INDEX($O$2:$Q$1001,MATCH(ROWS($H$2:H648),$H$2:$H$1001,0),MATCH(COLUMNS($O$1006:Q1006),$O$1006:$Q$1006,0)), HYPERLINK("#",""), HYPERLINK(CONCATENATE("#metadata!", ADDRESS(INDEX($J$2:$J$1001,MATCH(ROWS($H$2:H648),$H$2:$H$1001,0),0), INDEX($O$1004:$Q$1004,1,MATCH(COLUMNS($O$1006:Q1006),$O$1006:$Q$1006,0)))),"Fix")))</f>
        <v xml:space="preserve"> </v>
      </c>
      <c r="H648">
        <v>647</v>
      </c>
      <c r="I648">
        <v>100648</v>
      </c>
      <c r="J648">
        <v>648</v>
      </c>
      <c r="K648" t="b">
        <f t="shared" si="10"/>
        <v>1</v>
      </c>
      <c r="L648" t="b">
        <f>COUNTBLANK(metadata!B648:D648)=COLUMNS(metadata!B648:D648)</f>
        <v>1</v>
      </c>
      <c r="M648" t="str">
        <v/>
      </c>
      <c r="O648" t="b">
        <f ca="1"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P648" t="b">
        <f>AND(IF(metadata!C648="",FALSE,TRUE),EXACT(metadata!C648,"mouse gut metagenome"))</f>
        <v>0</v>
      </c>
      <c r="Q648" t="b">
        <f>AND(IF(metadata!D648="",FALSE,TRUE),EXACT(metadata!D648,"410661"))</f>
        <v>0</v>
      </c>
    </row>
    <row r="649" spans="1:17" x14ac:dyDescent="0.2">
      <c r="A649" s="4" t="str">
        <f ca="1">IF(B649=" "," ",HYPERLINK(CONCATENATE("#metadata!",ADDRESS(INDEX($J$2:$J$1001,MATCH(ROWS($H$2:H649),$H$2:$H$1001,0),0),1)),INDEX($M$2:$M$1001,MATCH(ROWS($H$2:H649),$H$2:$H$1001,0),0)))</f>
        <v xml:space="preserve"> </v>
      </c>
      <c r="B649" s="3" t="str">
        <f ca="1">IF(OR(INDEX($I$2:$I$1001,MATCH(ROWS($H$2:H649),$H$2:$H$1001,0),1)&gt;=100000,INDEX($O$1005:$Q$1005,1,MATCH(COLUMNS($O$1006:O1006),$O$1006:$Q$1006,0))&gt;=100000), " ",IF(INDEX($O$2:$Q$1001,MATCH(ROWS($H$2:H649),$H$2:$H$1001,0),MATCH(COLUMNS($O$1006:O1006),$O$1006:$Q$1006,0)), HYPERLINK("#",""), HYPERLINK(CONCATENATE("#metadata!", ADDRESS(INDEX($J$2:$J$1001,MATCH(ROWS($H$2:H649),$H$2:$H$1001,0),0), INDEX($O$1004:$Q$1004,1,MATCH(COLUMNS($O$1006:O1006),$O$1006:$Q$1006,0)))),"Fix")))</f>
        <v xml:space="preserve"> </v>
      </c>
      <c r="C649" s="3" t="str">
        <f ca="1">IF(OR(INDEX($I$2:$I$1001,MATCH(ROWS($H$2:H649),$H$2:$H$1001,0),1)&gt;=100000,INDEX($O$1005:$Q$1005,1,MATCH(COLUMNS($O$1006:P1006),$O$1006:$Q$1006,0))&gt;=100000), " ",IF(INDEX($O$2:$Q$1001,MATCH(ROWS($H$2:H649),$H$2:$H$1001,0),MATCH(COLUMNS($O$1006:P1006),$O$1006:$Q$1006,0)), HYPERLINK("#",""), HYPERLINK(CONCATENATE("#metadata!", ADDRESS(INDEX($J$2:$J$1001,MATCH(ROWS($H$2:H649),$H$2:$H$1001,0),0), INDEX($O$1004:$Q$1004,1,MATCH(COLUMNS($O$1006:P1006),$O$1006:$Q$1006,0)))),"Fix")))</f>
        <v xml:space="preserve"> </v>
      </c>
      <c r="D649" s="3" t="str">
        <f ca="1">IF(OR(INDEX($I$2:$I$1001,MATCH(ROWS($H$2:H649),$H$2:$H$1001,0),1)&gt;=100000,INDEX($O$1005:$Q$1005,1,MATCH(COLUMNS($O$1006:Q1006),$O$1006:$Q$1006,0))&gt;=100000), " ",IF(INDEX($O$2:$Q$1001,MATCH(ROWS($H$2:H649),$H$2:$H$1001,0),MATCH(COLUMNS($O$1006:Q1006),$O$1006:$Q$1006,0)), HYPERLINK("#",""), HYPERLINK(CONCATENATE("#metadata!", ADDRESS(INDEX($J$2:$J$1001,MATCH(ROWS($H$2:H649),$H$2:$H$1001,0),0), INDEX($O$1004:$Q$1004,1,MATCH(COLUMNS($O$1006:Q1006),$O$1006:$Q$1006,0)))),"Fix")))</f>
        <v xml:space="preserve"> </v>
      </c>
      <c r="H649">
        <v>648</v>
      </c>
      <c r="I649">
        <v>100649</v>
      </c>
      <c r="J649">
        <v>649</v>
      </c>
      <c r="K649" t="b">
        <f t="shared" si="10"/>
        <v>1</v>
      </c>
      <c r="L649" t="b">
        <f>COUNTBLANK(metadata!B649:D649)=COLUMNS(metadata!B649:D649)</f>
        <v>1</v>
      </c>
      <c r="M649" t="str">
        <v/>
      </c>
      <c r="O649" t="b">
        <f ca="1"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P649" t="b">
        <f>AND(IF(metadata!C649="",FALSE,TRUE),EXACT(metadata!C649,"mouse gut metagenome"))</f>
        <v>0</v>
      </c>
      <c r="Q649" t="b">
        <f>AND(IF(metadata!D649="",FALSE,TRUE),EXACT(metadata!D649,"410661"))</f>
        <v>0</v>
      </c>
    </row>
    <row r="650" spans="1:17" x14ac:dyDescent="0.2">
      <c r="A650" s="4" t="str">
        <f ca="1">IF(B650=" "," ",HYPERLINK(CONCATENATE("#metadata!",ADDRESS(INDEX($J$2:$J$1001,MATCH(ROWS($H$2:H650),$H$2:$H$1001,0),0),1)),INDEX($M$2:$M$1001,MATCH(ROWS($H$2:H650),$H$2:$H$1001,0),0)))</f>
        <v xml:space="preserve"> </v>
      </c>
      <c r="B650" s="3" t="str">
        <f ca="1">IF(OR(INDEX($I$2:$I$1001,MATCH(ROWS($H$2:H650),$H$2:$H$1001,0),1)&gt;=100000,INDEX($O$1005:$Q$1005,1,MATCH(COLUMNS($O$1006:O1006),$O$1006:$Q$1006,0))&gt;=100000), " ",IF(INDEX($O$2:$Q$1001,MATCH(ROWS($H$2:H650),$H$2:$H$1001,0),MATCH(COLUMNS($O$1006:O1006),$O$1006:$Q$1006,0)), HYPERLINK("#",""), HYPERLINK(CONCATENATE("#metadata!", ADDRESS(INDEX($J$2:$J$1001,MATCH(ROWS($H$2:H650),$H$2:$H$1001,0),0), INDEX($O$1004:$Q$1004,1,MATCH(COLUMNS($O$1006:O1006),$O$1006:$Q$1006,0)))),"Fix")))</f>
        <v xml:space="preserve"> </v>
      </c>
      <c r="C650" s="3" t="str">
        <f ca="1">IF(OR(INDEX($I$2:$I$1001,MATCH(ROWS($H$2:H650),$H$2:$H$1001,0),1)&gt;=100000,INDEX($O$1005:$Q$1005,1,MATCH(COLUMNS($O$1006:P1006),$O$1006:$Q$1006,0))&gt;=100000), " ",IF(INDEX($O$2:$Q$1001,MATCH(ROWS($H$2:H650),$H$2:$H$1001,0),MATCH(COLUMNS($O$1006:P1006),$O$1006:$Q$1006,0)), HYPERLINK("#",""), HYPERLINK(CONCATENATE("#metadata!", ADDRESS(INDEX($J$2:$J$1001,MATCH(ROWS($H$2:H650),$H$2:$H$1001,0),0), INDEX($O$1004:$Q$1004,1,MATCH(COLUMNS($O$1006:P1006),$O$1006:$Q$1006,0)))),"Fix")))</f>
        <v xml:space="preserve"> </v>
      </c>
      <c r="D650" s="3" t="str">
        <f ca="1">IF(OR(INDEX($I$2:$I$1001,MATCH(ROWS($H$2:H650),$H$2:$H$1001,0),1)&gt;=100000,INDEX($O$1005:$Q$1005,1,MATCH(COLUMNS($O$1006:Q1006),$O$1006:$Q$1006,0))&gt;=100000), " ",IF(INDEX($O$2:$Q$1001,MATCH(ROWS($H$2:H650),$H$2:$H$1001,0),MATCH(COLUMNS($O$1006:Q1006),$O$1006:$Q$1006,0)), HYPERLINK("#",""), HYPERLINK(CONCATENATE("#metadata!", ADDRESS(INDEX($J$2:$J$1001,MATCH(ROWS($H$2:H650),$H$2:$H$1001,0),0), INDEX($O$1004:$Q$1004,1,MATCH(COLUMNS($O$1006:Q1006),$O$1006:$Q$1006,0)))),"Fix")))</f>
        <v xml:space="preserve"> </v>
      </c>
      <c r="H650">
        <v>649</v>
      </c>
      <c r="I650">
        <v>100650</v>
      </c>
      <c r="J650">
        <v>650</v>
      </c>
      <c r="K650" t="b">
        <f t="shared" si="10"/>
        <v>1</v>
      </c>
      <c r="L650" t="b">
        <f>COUNTBLANK(metadata!B650:D650)=COLUMNS(metadata!B650:D650)</f>
        <v>1</v>
      </c>
      <c r="M650" t="str">
        <v/>
      </c>
      <c r="O650" t="b">
        <f ca="1"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P650" t="b">
        <f>AND(IF(metadata!C650="",FALSE,TRUE),EXACT(metadata!C650,"mouse gut metagenome"))</f>
        <v>0</v>
      </c>
      <c r="Q650" t="b">
        <f>AND(IF(metadata!D650="",FALSE,TRUE),EXACT(metadata!D650,"410661"))</f>
        <v>0</v>
      </c>
    </row>
    <row r="651" spans="1:17" x14ac:dyDescent="0.2">
      <c r="A651" s="4" t="str">
        <f ca="1">IF(B651=" "," ",HYPERLINK(CONCATENATE("#metadata!",ADDRESS(INDEX($J$2:$J$1001,MATCH(ROWS($H$2:H651),$H$2:$H$1001,0),0),1)),INDEX($M$2:$M$1001,MATCH(ROWS($H$2:H651),$H$2:$H$1001,0),0)))</f>
        <v xml:space="preserve"> </v>
      </c>
      <c r="B651" s="3" t="str">
        <f ca="1">IF(OR(INDEX($I$2:$I$1001,MATCH(ROWS($H$2:H651),$H$2:$H$1001,0),1)&gt;=100000,INDEX($O$1005:$Q$1005,1,MATCH(COLUMNS($O$1006:O1006),$O$1006:$Q$1006,0))&gt;=100000), " ",IF(INDEX($O$2:$Q$1001,MATCH(ROWS($H$2:H651),$H$2:$H$1001,0),MATCH(COLUMNS($O$1006:O1006),$O$1006:$Q$1006,0)), HYPERLINK("#",""), HYPERLINK(CONCATENATE("#metadata!", ADDRESS(INDEX($J$2:$J$1001,MATCH(ROWS($H$2:H651),$H$2:$H$1001,0),0), INDEX($O$1004:$Q$1004,1,MATCH(COLUMNS($O$1006:O1006),$O$1006:$Q$1006,0)))),"Fix")))</f>
        <v xml:space="preserve"> </v>
      </c>
      <c r="C651" s="3" t="str">
        <f ca="1">IF(OR(INDEX($I$2:$I$1001,MATCH(ROWS($H$2:H651),$H$2:$H$1001,0),1)&gt;=100000,INDEX($O$1005:$Q$1005,1,MATCH(COLUMNS($O$1006:P1006),$O$1006:$Q$1006,0))&gt;=100000), " ",IF(INDEX($O$2:$Q$1001,MATCH(ROWS($H$2:H651),$H$2:$H$1001,0),MATCH(COLUMNS($O$1006:P1006),$O$1006:$Q$1006,0)), HYPERLINK("#",""), HYPERLINK(CONCATENATE("#metadata!", ADDRESS(INDEX($J$2:$J$1001,MATCH(ROWS($H$2:H651),$H$2:$H$1001,0),0), INDEX($O$1004:$Q$1004,1,MATCH(COLUMNS($O$1006:P1006),$O$1006:$Q$1006,0)))),"Fix")))</f>
        <v xml:space="preserve"> </v>
      </c>
      <c r="D651" s="3" t="str">
        <f ca="1">IF(OR(INDEX($I$2:$I$1001,MATCH(ROWS($H$2:H651),$H$2:$H$1001,0),1)&gt;=100000,INDEX($O$1005:$Q$1005,1,MATCH(COLUMNS($O$1006:Q1006),$O$1006:$Q$1006,0))&gt;=100000), " ",IF(INDEX($O$2:$Q$1001,MATCH(ROWS($H$2:H651),$H$2:$H$1001,0),MATCH(COLUMNS($O$1006:Q1006),$O$1006:$Q$1006,0)), HYPERLINK("#",""), HYPERLINK(CONCATENATE("#metadata!", ADDRESS(INDEX($J$2:$J$1001,MATCH(ROWS($H$2:H651),$H$2:$H$1001,0),0), INDEX($O$1004:$Q$1004,1,MATCH(COLUMNS($O$1006:Q1006),$O$1006:$Q$1006,0)))),"Fix")))</f>
        <v xml:space="preserve"> </v>
      </c>
      <c r="H651">
        <v>650</v>
      </c>
      <c r="I651">
        <v>100651</v>
      </c>
      <c r="J651">
        <v>651</v>
      </c>
      <c r="K651" t="b">
        <f t="shared" si="10"/>
        <v>1</v>
      </c>
      <c r="L651" t="b">
        <f>COUNTBLANK(metadata!B651:D651)=COLUMNS(metadata!B651:D651)</f>
        <v>1</v>
      </c>
      <c r="M651" t="str">
        <v/>
      </c>
      <c r="O651" t="b">
        <f ca="1"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P651" t="b">
        <f>AND(IF(metadata!C651="",FALSE,TRUE),EXACT(metadata!C651,"mouse gut metagenome"))</f>
        <v>0</v>
      </c>
      <c r="Q651" t="b">
        <f>AND(IF(metadata!D651="",FALSE,TRUE),EXACT(metadata!D651,"410661"))</f>
        <v>0</v>
      </c>
    </row>
    <row r="652" spans="1:17" x14ac:dyDescent="0.2">
      <c r="A652" s="4" t="str">
        <f ca="1">IF(B652=" "," ",HYPERLINK(CONCATENATE("#metadata!",ADDRESS(INDEX($J$2:$J$1001,MATCH(ROWS($H$2:H652),$H$2:$H$1001,0),0),1)),INDEX($M$2:$M$1001,MATCH(ROWS($H$2:H652),$H$2:$H$1001,0),0)))</f>
        <v xml:space="preserve"> </v>
      </c>
      <c r="B652" s="3" t="str">
        <f ca="1">IF(OR(INDEX($I$2:$I$1001,MATCH(ROWS($H$2:H652),$H$2:$H$1001,0),1)&gt;=100000,INDEX($O$1005:$Q$1005,1,MATCH(COLUMNS($O$1006:O1006),$O$1006:$Q$1006,0))&gt;=100000), " ",IF(INDEX($O$2:$Q$1001,MATCH(ROWS($H$2:H652),$H$2:$H$1001,0),MATCH(COLUMNS($O$1006:O1006),$O$1006:$Q$1006,0)), HYPERLINK("#",""), HYPERLINK(CONCATENATE("#metadata!", ADDRESS(INDEX($J$2:$J$1001,MATCH(ROWS($H$2:H652),$H$2:$H$1001,0),0), INDEX($O$1004:$Q$1004,1,MATCH(COLUMNS($O$1006:O1006),$O$1006:$Q$1006,0)))),"Fix")))</f>
        <v xml:space="preserve"> </v>
      </c>
      <c r="C652" s="3" t="str">
        <f ca="1">IF(OR(INDEX($I$2:$I$1001,MATCH(ROWS($H$2:H652),$H$2:$H$1001,0),1)&gt;=100000,INDEX($O$1005:$Q$1005,1,MATCH(COLUMNS($O$1006:P1006),$O$1006:$Q$1006,0))&gt;=100000), " ",IF(INDEX($O$2:$Q$1001,MATCH(ROWS($H$2:H652),$H$2:$H$1001,0),MATCH(COLUMNS($O$1006:P1006),$O$1006:$Q$1006,0)), HYPERLINK("#",""), HYPERLINK(CONCATENATE("#metadata!", ADDRESS(INDEX($J$2:$J$1001,MATCH(ROWS($H$2:H652),$H$2:$H$1001,0),0), INDEX($O$1004:$Q$1004,1,MATCH(COLUMNS($O$1006:P1006),$O$1006:$Q$1006,0)))),"Fix")))</f>
        <v xml:space="preserve"> </v>
      </c>
      <c r="D652" s="3" t="str">
        <f ca="1">IF(OR(INDEX($I$2:$I$1001,MATCH(ROWS($H$2:H652),$H$2:$H$1001,0),1)&gt;=100000,INDEX($O$1005:$Q$1005,1,MATCH(COLUMNS($O$1006:Q1006),$O$1006:$Q$1006,0))&gt;=100000), " ",IF(INDEX($O$2:$Q$1001,MATCH(ROWS($H$2:H652),$H$2:$H$1001,0),MATCH(COLUMNS($O$1006:Q1006),$O$1006:$Q$1006,0)), HYPERLINK("#",""), HYPERLINK(CONCATENATE("#metadata!", ADDRESS(INDEX($J$2:$J$1001,MATCH(ROWS($H$2:H652),$H$2:$H$1001,0),0), INDEX($O$1004:$Q$1004,1,MATCH(COLUMNS($O$1006:Q1006),$O$1006:$Q$1006,0)))),"Fix")))</f>
        <v xml:space="preserve"> </v>
      </c>
      <c r="H652">
        <v>651</v>
      </c>
      <c r="I652">
        <v>100652</v>
      </c>
      <c r="J652">
        <v>652</v>
      </c>
      <c r="K652" t="b">
        <f t="shared" si="10"/>
        <v>1</v>
      </c>
      <c r="L652" t="b">
        <f>COUNTBLANK(metadata!B652:D652)=COLUMNS(metadata!B652:D652)</f>
        <v>1</v>
      </c>
      <c r="M652" t="str">
        <v/>
      </c>
      <c r="O652" t="b">
        <f ca="1"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P652" t="b">
        <f>AND(IF(metadata!C652="",FALSE,TRUE),EXACT(metadata!C652,"mouse gut metagenome"))</f>
        <v>0</v>
      </c>
      <c r="Q652" t="b">
        <f>AND(IF(metadata!D652="",FALSE,TRUE),EXACT(metadata!D652,"410661"))</f>
        <v>0</v>
      </c>
    </row>
    <row r="653" spans="1:17" x14ac:dyDescent="0.2">
      <c r="A653" s="4" t="str">
        <f ca="1">IF(B653=" "," ",HYPERLINK(CONCATENATE("#metadata!",ADDRESS(INDEX($J$2:$J$1001,MATCH(ROWS($H$2:H653),$H$2:$H$1001,0),0),1)),INDEX($M$2:$M$1001,MATCH(ROWS($H$2:H653),$H$2:$H$1001,0),0)))</f>
        <v xml:space="preserve"> </v>
      </c>
      <c r="B653" s="3" t="str">
        <f ca="1">IF(OR(INDEX($I$2:$I$1001,MATCH(ROWS($H$2:H653),$H$2:$H$1001,0),1)&gt;=100000,INDEX($O$1005:$Q$1005,1,MATCH(COLUMNS($O$1006:O1006),$O$1006:$Q$1006,0))&gt;=100000), " ",IF(INDEX($O$2:$Q$1001,MATCH(ROWS($H$2:H653),$H$2:$H$1001,0),MATCH(COLUMNS($O$1006:O1006),$O$1006:$Q$1006,0)), HYPERLINK("#",""), HYPERLINK(CONCATENATE("#metadata!", ADDRESS(INDEX($J$2:$J$1001,MATCH(ROWS($H$2:H653),$H$2:$H$1001,0),0), INDEX($O$1004:$Q$1004,1,MATCH(COLUMNS($O$1006:O1006),$O$1006:$Q$1006,0)))),"Fix")))</f>
        <v xml:space="preserve"> </v>
      </c>
      <c r="C653" s="3" t="str">
        <f ca="1">IF(OR(INDEX($I$2:$I$1001,MATCH(ROWS($H$2:H653),$H$2:$H$1001,0),1)&gt;=100000,INDEX($O$1005:$Q$1005,1,MATCH(COLUMNS($O$1006:P1006),$O$1006:$Q$1006,0))&gt;=100000), " ",IF(INDEX($O$2:$Q$1001,MATCH(ROWS($H$2:H653),$H$2:$H$1001,0),MATCH(COLUMNS($O$1006:P1006),$O$1006:$Q$1006,0)), HYPERLINK("#",""), HYPERLINK(CONCATENATE("#metadata!", ADDRESS(INDEX($J$2:$J$1001,MATCH(ROWS($H$2:H653),$H$2:$H$1001,0),0), INDEX($O$1004:$Q$1004,1,MATCH(COLUMNS($O$1006:P1006),$O$1006:$Q$1006,0)))),"Fix")))</f>
        <v xml:space="preserve"> </v>
      </c>
      <c r="D653" s="3" t="str">
        <f ca="1">IF(OR(INDEX($I$2:$I$1001,MATCH(ROWS($H$2:H653),$H$2:$H$1001,0),1)&gt;=100000,INDEX($O$1005:$Q$1005,1,MATCH(COLUMNS($O$1006:Q1006),$O$1006:$Q$1006,0))&gt;=100000), " ",IF(INDEX($O$2:$Q$1001,MATCH(ROWS($H$2:H653),$H$2:$H$1001,0),MATCH(COLUMNS($O$1006:Q1006),$O$1006:$Q$1006,0)), HYPERLINK("#",""), HYPERLINK(CONCATENATE("#metadata!", ADDRESS(INDEX($J$2:$J$1001,MATCH(ROWS($H$2:H653),$H$2:$H$1001,0),0), INDEX($O$1004:$Q$1004,1,MATCH(COLUMNS($O$1006:Q1006),$O$1006:$Q$1006,0)))),"Fix")))</f>
        <v xml:space="preserve"> </v>
      </c>
      <c r="H653">
        <v>652</v>
      </c>
      <c r="I653">
        <v>100653</v>
      </c>
      <c r="J653">
        <v>653</v>
      </c>
      <c r="K653" t="b">
        <f t="shared" si="10"/>
        <v>1</v>
      </c>
      <c r="L653" t="b">
        <f>COUNTBLANK(metadata!B653:D653)=COLUMNS(metadata!B653:D653)</f>
        <v>1</v>
      </c>
      <c r="M653" t="str">
        <v/>
      </c>
      <c r="O653" t="b">
        <f ca="1"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P653" t="b">
        <f>AND(IF(metadata!C653="",FALSE,TRUE),EXACT(metadata!C653,"mouse gut metagenome"))</f>
        <v>0</v>
      </c>
      <c r="Q653" t="b">
        <f>AND(IF(metadata!D653="",FALSE,TRUE),EXACT(metadata!D653,"410661"))</f>
        <v>0</v>
      </c>
    </row>
    <row r="654" spans="1:17" x14ac:dyDescent="0.2">
      <c r="A654" s="4" t="str">
        <f ca="1">IF(B654=" "," ",HYPERLINK(CONCATENATE("#metadata!",ADDRESS(INDEX($J$2:$J$1001,MATCH(ROWS($H$2:H654),$H$2:$H$1001,0),0),1)),INDEX($M$2:$M$1001,MATCH(ROWS($H$2:H654),$H$2:$H$1001,0),0)))</f>
        <v xml:space="preserve"> </v>
      </c>
      <c r="B654" s="3" t="str">
        <f ca="1">IF(OR(INDEX($I$2:$I$1001,MATCH(ROWS($H$2:H654),$H$2:$H$1001,0),1)&gt;=100000,INDEX($O$1005:$Q$1005,1,MATCH(COLUMNS($O$1006:O1006),$O$1006:$Q$1006,0))&gt;=100000), " ",IF(INDEX($O$2:$Q$1001,MATCH(ROWS($H$2:H654),$H$2:$H$1001,0),MATCH(COLUMNS($O$1006:O1006),$O$1006:$Q$1006,0)), HYPERLINK("#",""), HYPERLINK(CONCATENATE("#metadata!", ADDRESS(INDEX($J$2:$J$1001,MATCH(ROWS($H$2:H654),$H$2:$H$1001,0),0), INDEX($O$1004:$Q$1004,1,MATCH(COLUMNS($O$1006:O1006),$O$1006:$Q$1006,0)))),"Fix")))</f>
        <v xml:space="preserve"> </v>
      </c>
      <c r="C654" s="3" t="str">
        <f ca="1">IF(OR(INDEX($I$2:$I$1001,MATCH(ROWS($H$2:H654),$H$2:$H$1001,0),1)&gt;=100000,INDEX($O$1005:$Q$1005,1,MATCH(COLUMNS($O$1006:P1006),$O$1006:$Q$1006,0))&gt;=100000), " ",IF(INDEX($O$2:$Q$1001,MATCH(ROWS($H$2:H654),$H$2:$H$1001,0),MATCH(COLUMNS($O$1006:P1006),$O$1006:$Q$1006,0)), HYPERLINK("#",""), HYPERLINK(CONCATENATE("#metadata!", ADDRESS(INDEX($J$2:$J$1001,MATCH(ROWS($H$2:H654),$H$2:$H$1001,0),0), INDEX($O$1004:$Q$1004,1,MATCH(COLUMNS($O$1006:P1006),$O$1006:$Q$1006,0)))),"Fix")))</f>
        <v xml:space="preserve"> </v>
      </c>
      <c r="D654" s="3" t="str">
        <f ca="1">IF(OR(INDEX($I$2:$I$1001,MATCH(ROWS($H$2:H654),$H$2:$H$1001,0),1)&gt;=100000,INDEX($O$1005:$Q$1005,1,MATCH(COLUMNS($O$1006:Q1006),$O$1006:$Q$1006,0))&gt;=100000), " ",IF(INDEX($O$2:$Q$1001,MATCH(ROWS($H$2:H654),$H$2:$H$1001,0),MATCH(COLUMNS($O$1006:Q1006),$O$1006:$Q$1006,0)), HYPERLINK("#",""), HYPERLINK(CONCATENATE("#metadata!", ADDRESS(INDEX($J$2:$J$1001,MATCH(ROWS($H$2:H654),$H$2:$H$1001,0),0), INDEX($O$1004:$Q$1004,1,MATCH(COLUMNS($O$1006:Q1006),$O$1006:$Q$1006,0)))),"Fix")))</f>
        <v xml:space="preserve"> </v>
      </c>
      <c r="H654">
        <v>653</v>
      </c>
      <c r="I654">
        <v>100654</v>
      </c>
      <c r="J654">
        <v>654</v>
      </c>
      <c r="K654" t="b">
        <f t="shared" si="10"/>
        <v>1</v>
      </c>
      <c r="L654" t="b">
        <f>COUNTBLANK(metadata!B654:D654)=COLUMNS(metadata!B654:D654)</f>
        <v>1</v>
      </c>
      <c r="M654" t="str">
        <v/>
      </c>
      <c r="O654" t="b">
        <f ca="1"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P654" t="b">
        <f>AND(IF(metadata!C654="",FALSE,TRUE),EXACT(metadata!C654,"mouse gut metagenome"))</f>
        <v>0</v>
      </c>
      <c r="Q654" t="b">
        <f>AND(IF(metadata!D654="",FALSE,TRUE),EXACT(metadata!D654,"410661"))</f>
        <v>0</v>
      </c>
    </row>
    <row r="655" spans="1:17" x14ac:dyDescent="0.2">
      <c r="A655" s="4" t="str">
        <f ca="1">IF(B655=" "," ",HYPERLINK(CONCATENATE("#metadata!",ADDRESS(INDEX($J$2:$J$1001,MATCH(ROWS($H$2:H655),$H$2:$H$1001,0),0),1)),INDEX($M$2:$M$1001,MATCH(ROWS($H$2:H655),$H$2:$H$1001,0),0)))</f>
        <v xml:space="preserve"> </v>
      </c>
      <c r="B655" s="3" t="str">
        <f ca="1">IF(OR(INDEX($I$2:$I$1001,MATCH(ROWS($H$2:H655),$H$2:$H$1001,0),1)&gt;=100000,INDEX($O$1005:$Q$1005,1,MATCH(COLUMNS($O$1006:O1006),$O$1006:$Q$1006,0))&gt;=100000), " ",IF(INDEX($O$2:$Q$1001,MATCH(ROWS($H$2:H655),$H$2:$H$1001,0),MATCH(COLUMNS($O$1006:O1006),$O$1006:$Q$1006,0)), HYPERLINK("#",""), HYPERLINK(CONCATENATE("#metadata!", ADDRESS(INDEX($J$2:$J$1001,MATCH(ROWS($H$2:H655),$H$2:$H$1001,0),0), INDEX($O$1004:$Q$1004,1,MATCH(COLUMNS($O$1006:O1006),$O$1006:$Q$1006,0)))),"Fix")))</f>
        <v xml:space="preserve"> </v>
      </c>
      <c r="C655" s="3" t="str">
        <f ca="1">IF(OR(INDEX($I$2:$I$1001,MATCH(ROWS($H$2:H655),$H$2:$H$1001,0),1)&gt;=100000,INDEX($O$1005:$Q$1005,1,MATCH(COLUMNS($O$1006:P1006),$O$1006:$Q$1006,0))&gt;=100000), " ",IF(INDEX($O$2:$Q$1001,MATCH(ROWS($H$2:H655),$H$2:$H$1001,0),MATCH(COLUMNS($O$1006:P1006),$O$1006:$Q$1006,0)), HYPERLINK("#",""), HYPERLINK(CONCATENATE("#metadata!", ADDRESS(INDEX($J$2:$J$1001,MATCH(ROWS($H$2:H655),$H$2:$H$1001,0),0), INDEX($O$1004:$Q$1004,1,MATCH(COLUMNS($O$1006:P1006),$O$1006:$Q$1006,0)))),"Fix")))</f>
        <v xml:space="preserve"> </v>
      </c>
      <c r="D655" s="3" t="str">
        <f ca="1">IF(OR(INDEX($I$2:$I$1001,MATCH(ROWS($H$2:H655),$H$2:$H$1001,0),1)&gt;=100000,INDEX($O$1005:$Q$1005,1,MATCH(COLUMNS($O$1006:Q1006),$O$1006:$Q$1006,0))&gt;=100000), " ",IF(INDEX($O$2:$Q$1001,MATCH(ROWS($H$2:H655),$H$2:$H$1001,0),MATCH(COLUMNS($O$1006:Q1006),$O$1006:$Q$1006,0)), HYPERLINK("#",""), HYPERLINK(CONCATENATE("#metadata!", ADDRESS(INDEX($J$2:$J$1001,MATCH(ROWS($H$2:H655),$H$2:$H$1001,0),0), INDEX($O$1004:$Q$1004,1,MATCH(COLUMNS($O$1006:Q1006),$O$1006:$Q$1006,0)))),"Fix")))</f>
        <v xml:space="preserve"> </v>
      </c>
      <c r="H655">
        <v>654</v>
      </c>
      <c r="I655">
        <v>100655</v>
      </c>
      <c r="J655">
        <v>655</v>
      </c>
      <c r="K655" t="b">
        <f t="shared" si="10"/>
        <v>1</v>
      </c>
      <c r="L655" t="b">
        <f>COUNTBLANK(metadata!B655:D655)=COLUMNS(metadata!B655:D655)</f>
        <v>1</v>
      </c>
      <c r="M655" t="str">
        <v/>
      </c>
      <c r="O655" t="b">
        <f ca="1"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P655" t="b">
        <f>AND(IF(metadata!C655="",FALSE,TRUE),EXACT(metadata!C655,"mouse gut metagenome"))</f>
        <v>0</v>
      </c>
      <c r="Q655" t="b">
        <f>AND(IF(metadata!D655="",FALSE,TRUE),EXACT(metadata!D655,"410661"))</f>
        <v>0</v>
      </c>
    </row>
    <row r="656" spans="1:17" x14ac:dyDescent="0.2">
      <c r="A656" s="4" t="str">
        <f ca="1">IF(B656=" "," ",HYPERLINK(CONCATENATE("#metadata!",ADDRESS(INDEX($J$2:$J$1001,MATCH(ROWS($H$2:H656),$H$2:$H$1001,0),0),1)),INDEX($M$2:$M$1001,MATCH(ROWS($H$2:H656),$H$2:$H$1001,0),0)))</f>
        <v xml:space="preserve"> </v>
      </c>
      <c r="B656" s="3" t="str">
        <f ca="1">IF(OR(INDEX($I$2:$I$1001,MATCH(ROWS($H$2:H656),$H$2:$H$1001,0),1)&gt;=100000,INDEX($O$1005:$Q$1005,1,MATCH(COLUMNS($O$1006:O1006),$O$1006:$Q$1006,0))&gt;=100000), " ",IF(INDEX($O$2:$Q$1001,MATCH(ROWS($H$2:H656),$H$2:$H$1001,0),MATCH(COLUMNS($O$1006:O1006),$O$1006:$Q$1006,0)), HYPERLINK("#",""), HYPERLINK(CONCATENATE("#metadata!", ADDRESS(INDEX($J$2:$J$1001,MATCH(ROWS($H$2:H656),$H$2:$H$1001,0),0), INDEX($O$1004:$Q$1004,1,MATCH(COLUMNS($O$1006:O1006),$O$1006:$Q$1006,0)))),"Fix")))</f>
        <v xml:space="preserve"> </v>
      </c>
      <c r="C656" s="3" t="str">
        <f ca="1">IF(OR(INDEX($I$2:$I$1001,MATCH(ROWS($H$2:H656),$H$2:$H$1001,0),1)&gt;=100000,INDEX($O$1005:$Q$1005,1,MATCH(COLUMNS($O$1006:P1006),$O$1006:$Q$1006,0))&gt;=100000), " ",IF(INDEX($O$2:$Q$1001,MATCH(ROWS($H$2:H656),$H$2:$H$1001,0),MATCH(COLUMNS($O$1006:P1006),$O$1006:$Q$1006,0)), HYPERLINK("#",""), HYPERLINK(CONCATENATE("#metadata!", ADDRESS(INDEX($J$2:$J$1001,MATCH(ROWS($H$2:H656),$H$2:$H$1001,0),0), INDEX($O$1004:$Q$1004,1,MATCH(COLUMNS($O$1006:P1006),$O$1006:$Q$1006,0)))),"Fix")))</f>
        <v xml:space="preserve"> </v>
      </c>
      <c r="D656" s="3" t="str">
        <f ca="1">IF(OR(INDEX($I$2:$I$1001,MATCH(ROWS($H$2:H656),$H$2:$H$1001,0),1)&gt;=100000,INDEX($O$1005:$Q$1005,1,MATCH(COLUMNS($O$1006:Q1006),$O$1006:$Q$1006,0))&gt;=100000), " ",IF(INDEX($O$2:$Q$1001,MATCH(ROWS($H$2:H656),$H$2:$H$1001,0),MATCH(COLUMNS($O$1006:Q1006),$O$1006:$Q$1006,0)), HYPERLINK("#",""), HYPERLINK(CONCATENATE("#metadata!", ADDRESS(INDEX($J$2:$J$1001,MATCH(ROWS($H$2:H656),$H$2:$H$1001,0),0), INDEX($O$1004:$Q$1004,1,MATCH(COLUMNS($O$1006:Q1006),$O$1006:$Q$1006,0)))),"Fix")))</f>
        <v xml:space="preserve"> </v>
      </c>
      <c r="H656">
        <v>655</v>
      </c>
      <c r="I656">
        <v>100656</v>
      </c>
      <c r="J656">
        <v>656</v>
      </c>
      <c r="K656" t="b">
        <f t="shared" si="10"/>
        <v>1</v>
      </c>
      <c r="L656" t="b">
        <f>COUNTBLANK(metadata!B656:D656)=COLUMNS(metadata!B656:D656)</f>
        <v>1</v>
      </c>
      <c r="M656" t="str">
        <v/>
      </c>
      <c r="O656" t="b">
        <f ca="1"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P656" t="b">
        <f>AND(IF(metadata!C656="",FALSE,TRUE),EXACT(metadata!C656,"mouse gut metagenome"))</f>
        <v>0</v>
      </c>
      <c r="Q656" t="b">
        <f>AND(IF(metadata!D656="",FALSE,TRUE),EXACT(metadata!D656,"410661"))</f>
        <v>0</v>
      </c>
    </row>
    <row r="657" spans="1:17" x14ac:dyDescent="0.2">
      <c r="A657" s="4" t="str">
        <f ca="1">IF(B657=" "," ",HYPERLINK(CONCATENATE("#metadata!",ADDRESS(INDEX($J$2:$J$1001,MATCH(ROWS($H$2:H657),$H$2:$H$1001,0),0),1)),INDEX($M$2:$M$1001,MATCH(ROWS($H$2:H657),$H$2:$H$1001,0),0)))</f>
        <v xml:space="preserve"> </v>
      </c>
      <c r="B657" s="3" t="str">
        <f ca="1">IF(OR(INDEX($I$2:$I$1001,MATCH(ROWS($H$2:H657),$H$2:$H$1001,0),1)&gt;=100000,INDEX($O$1005:$Q$1005,1,MATCH(COLUMNS($O$1006:O1006),$O$1006:$Q$1006,0))&gt;=100000), " ",IF(INDEX($O$2:$Q$1001,MATCH(ROWS($H$2:H657),$H$2:$H$1001,0),MATCH(COLUMNS($O$1006:O1006),$O$1006:$Q$1006,0)), HYPERLINK("#",""), HYPERLINK(CONCATENATE("#metadata!", ADDRESS(INDEX($J$2:$J$1001,MATCH(ROWS($H$2:H657),$H$2:$H$1001,0),0), INDEX($O$1004:$Q$1004,1,MATCH(COLUMNS($O$1006:O1006),$O$1006:$Q$1006,0)))),"Fix")))</f>
        <v xml:space="preserve"> </v>
      </c>
      <c r="C657" s="3" t="str">
        <f ca="1">IF(OR(INDEX($I$2:$I$1001,MATCH(ROWS($H$2:H657),$H$2:$H$1001,0),1)&gt;=100000,INDEX($O$1005:$Q$1005,1,MATCH(COLUMNS($O$1006:P1006),$O$1006:$Q$1006,0))&gt;=100000), " ",IF(INDEX($O$2:$Q$1001,MATCH(ROWS($H$2:H657),$H$2:$H$1001,0),MATCH(COLUMNS($O$1006:P1006),$O$1006:$Q$1006,0)), HYPERLINK("#",""), HYPERLINK(CONCATENATE("#metadata!", ADDRESS(INDEX($J$2:$J$1001,MATCH(ROWS($H$2:H657),$H$2:$H$1001,0),0), INDEX($O$1004:$Q$1004,1,MATCH(COLUMNS($O$1006:P1006),$O$1006:$Q$1006,0)))),"Fix")))</f>
        <v xml:space="preserve"> </v>
      </c>
      <c r="D657" s="3" t="str">
        <f ca="1">IF(OR(INDEX($I$2:$I$1001,MATCH(ROWS($H$2:H657),$H$2:$H$1001,0),1)&gt;=100000,INDEX($O$1005:$Q$1005,1,MATCH(COLUMNS($O$1006:Q1006),$O$1006:$Q$1006,0))&gt;=100000), " ",IF(INDEX($O$2:$Q$1001,MATCH(ROWS($H$2:H657),$H$2:$H$1001,0),MATCH(COLUMNS($O$1006:Q1006),$O$1006:$Q$1006,0)), HYPERLINK("#",""), HYPERLINK(CONCATENATE("#metadata!", ADDRESS(INDEX($J$2:$J$1001,MATCH(ROWS($H$2:H657),$H$2:$H$1001,0),0), INDEX($O$1004:$Q$1004,1,MATCH(COLUMNS($O$1006:Q1006),$O$1006:$Q$1006,0)))),"Fix")))</f>
        <v xml:space="preserve"> </v>
      </c>
      <c r="H657">
        <v>656</v>
      </c>
      <c r="I657">
        <v>100657</v>
      </c>
      <c r="J657">
        <v>657</v>
      </c>
      <c r="K657" t="b">
        <f t="shared" si="10"/>
        <v>1</v>
      </c>
      <c r="L657" t="b">
        <f>COUNTBLANK(metadata!B657:D657)=COLUMNS(metadata!B657:D657)</f>
        <v>1</v>
      </c>
      <c r="M657" t="str">
        <v/>
      </c>
      <c r="O657" t="b">
        <f ca="1"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P657" t="b">
        <f>AND(IF(metadata!C657="",FALSE,TRUE),EXACT(metadata!C657,"mouse gut metagenome"))</f>
        <v>0</v>
      </c>
      <c r="Q657" t="b">
        <f>AND(IF(metadata!D657="",FALSE,TRUE),EXACT(metadata!D657,"410661"))</f>
        <v>0</v>
      </c>
    </row>
    <row r="658" spans="1:17" x14ac:dyDescent="0.2">
      <c r="A658" s="4" t="str">
        <f ca="1">IF(B658=" "," ",HYPERLINK(CONCATENATE("#metadata!",ADDRESS(INDEX($J$2:$J$1001,MATCH(ROWS($H$2:H658),$H$2:$H$1001,0),0),1)),INDEX($M$2:$M$1001,MATCH(ROWS($H$2:H658),$H$2:$H$1001,0),0)))</f>
        <v xml:space="preserve"> </v>
      </c>
      <c r="B658" s="3" t="str">
        <f ca="1">IF(OR(INDEX($I$2:$I$1001,MATCH(ROWS($H$2:H658),$H$2:$H$1001,0),1)&gt;=100000,INDEX($O$1005:$Q$1005,1,MATCH(COLUMNS($O$1006:O1006),$O$1006:$Q$1006,0))&gt;=100000), " ",IF(INDEX($O$2:$Q$1001,MATCH(ROWS($H$2:H658),$H$2:$H$1001,0),MATCH(COLUMNS($O$1006:O1006),$O$1006:$Q$1006,0)), HYPERLINK("#",""), HYPERLINK(CONCATENATE("#metadata!", ADDRESS(INDEX($J$2:$J$1001,MATCH(ROWS($H$2:H658),$H$2:$H$1001,0),0), INDEX($O$1004:$Q$1004,1,MATCH(COLUMNS($O$1006:O1006),$O$1006:$Q$1006,0)))),"Fix")))</f>
        <v xml:space="preserve"> </v>
      </c>
      <c r="C658" s="3" t="str">
        <f ca="1">IF(OR(INDEX($I$2:$I$1001,MATCH(ROWS($H$2:H658),$H$2:$H$1001,0),1)&gt;=100000,INDEX($O$1005:$Q$1005,1,MATCH(COLUMNS($O$1006:P1006),$O$1006:$Q$1006,0))&gt;=100000), " ",IF(INDEX($O$2:$Q$1001,MATCH(ROWS($H$2:H658),$H$2:$H$1001,0),MATCH(COLUMNS($O$1006:P1006),$O$1006:$Q$1006,0)), HYPERLINK("#",""), HYPERLINK(CONCATENATE("#metadata!", ADDRESS(INDEX($J$2:$J$1001,MATCH(ROWS($H$2:H658),$H$2:$H$1001,0),0), INDEX($O$1004:$Q$1004,1,MATCH(COLUMNS($O$1006:P1006),$O$1006:$Q$1006,0)))),"Fix")))</f>
        <v xml:space="preserve"> </v>
      </c>
      <c r="D658" s="3" t="str">
        <f ca="1">IF(OR(INDEX($I$2:$I$1001,MATCH(ROWS($H$2:H658),$H$2:$H$1001,0),1)&gt;=100000,INDEX($O$1005:$Q$1005,1,MATCH(COLUMNS($O$1006:Q1006),$O$1006:$Q$1006,0))&gt;=100000), " ",IF(INDEX($O$2:$Q$1001,MATCH(ROWS($H$2:H658),$H$2:$H$1001,0),MATCH(COLUMNS($O$1006:Q1006),$O$1006:$Q$1006,0)), HYPERLINK("#",""), HYPERLINK(CONCATENATE("#metadata!", ADDRESS(INDEX($J$2:$J$1001,MATCH(ROWS($H$2:H658),$H$2:$H$1001,0),0), INDEX($O$1004:$Q$1004,1,MATCH(COLUMNS($O$1006:Q1006),$O$1006:$Q$1006,0)))),"Fix")))</f>
        <v xml:space="preserve"> </v>
      </c>
      <c r="H658">
        <v>657</v>
      </c>
      <c r="I658">
        <v>100658</v>
      </c>
      <c r="J658">
        <v>658</v>
      </c>
      <c r="K658" t="b">
        <f t="shared" si="10"/>
        <v>1</v>
      </c>
      <c r="L658" t="b">
        <f>COUNTBLANK(metadata!B658:D658)=COLUMNS(metadata!B658:D658)</f>
        <v>1</v>
      </c>
      <c r="M658" t="str">
        <v/>
      </c>
      <c r="O658" t="b">
        <f ca="1"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P658" t="b">
        <f>AND(IF(metadata!C658="",FALSE,TRUE),EXACT(metadata!C658,"mouse gut metagenome"))</f>
        <v>0</v>
      </c>
      <c r="Q658" t="b">
        <f>AND(IF(metadata!D658="",FALSE,TRUE),EXACT(metadata!D658,"410661"))</f>
        <v>0</v>
      </c>
    </row>
    <row r="659" spans="1:17" x14ac:dyDescent="0.2">
      <c r="A659" s="4" t="str">
        <f ca="1">IF(B659=" "," ",HYPERLINK(CONCATENATE("#metadata!",ADDRESS(INDEX($J$2:$J$1001,MATCH(ROWS($H$2:H659),$H$2:$H$1001,0),0),1)),INDEX($M$2:$M$1001,MATCH(ROWS($H$2:H659),$H$2:$H$1001,0),0)))</f>
        <v xml:space="preserve"> </v>
      </c>
      <c r="B659" s="3" t="str">
        <f ca="1">IF(OR(INDEX($I$2:$I$1001,MATCH(ROWS($H$2:H659),$H$2:$H$1001,0),1)&gt;=100000,INDEX($O$1005:$Q$1005,1,MATCH(COLUMNS($O$1006:O1006),$O$1006:$Q$1006,0))&gt;=100000), " ",IF(INDEX($O$2:$Q$1001,MATCH(ROWS($H$2:H659),$H$2:$H$1001,0),MATCH(COLUMNS($O$1006:O1006),$O$1006:$Q$1006,0)), HYPERLINK("#",""), HYPERLINK(CONCATENATE("#metadata!", ADDRESS(INDEX($J$2:$J$1001,MATCH(ROWS($H$2:H659),$H$2:$H$1001,0),0), INDEX($O$1004:$Q$1004,1,MATCH(COLUMNS($O$1006:O1006),$O$1006:$Q$1006,0)))),"Fix")))</f>
        <v xml:space="preserve"> </v>
      </c>
      <c r="C659" s="3" t="str">
        <f ca="1">IF(OR(INDEX($I$2:$I$1001,MATCH(ROWS($H$2:H659),$H$2:$H$1001,0),1)&gt;=100000,INDEX($O$1005:$Q$1005,1,MATCH(COLUMNS($O$1006:P1006),$O$1006:$Q$1006,0))&gt;=100000), " ",IF(INDEX($O$2:$Q$1001,MATCH(ROWS($H$2:H659),$H$2:$H$1001,0),MATCH(COLUMNS($O$1006:P1006),$O$1006:$Q$1006,0)), HYPERLINK("#",""), HYPERLINK(CONCATENATE("#metadata!", ADDRESS(INDEX($J$2:$J$1001,MATCH(ROWS($H$2:H659),$H$2:$H$1001,0),0), INDEX($O$1004:$Q$1004,1,MATCH(COLUMNS($O$1006:P1006),$O$1006:$Q$1006,0)))),"Fix")))</f>
        <v xml:space="preserve"> </v>
      </c>
      <c r="D659" s="3" t="str">
        <f ca="1">IF(OR(INDEX($I$2:$I$1001,MATCH(ROWS($H$2:H659),$H$2:$H$1001,0),1)&gt;=100000,INDEX($O$1005:$Q$1005,1,MATCH(COLUMNS($O$1006:Q1006),$O$1006:$Q$1006,0))&gt;=100000), " ",IF(INDEX($O$2:$Q$1001,MATCH(ROWS($H$2:H659),$H$2:$H$1001,0),MATCH(COLUMNS($O$1006:Q1006),$O$1006:$Q$1006,0)), HYPERLINK("#",""), HYPERLINK(CONCATENATE("#metadata!", ADDRESS(INDEX($J$2:$J$1001,MATCH(ROWS($H$2:H659),$H$2:$H$1001,0),0), INDEX($O$1004:$Q$1004,1,MATCH(COLUMNS($O$1006:Q1006),$O$1006:$Q$1006,0)))),"Fix")))</f>
        <v xml:space="preserve"> </v>
      </c>
      <c r="H659">
        <v>658</v>
      </c>
      <c r="I659">
        <v>100659</v>
      </c>
      <c r="J659">
        <v>659</v>
      </c>
      <c r="K659" t="b">
        <f t="shared" si="10"/>
        <v>1</v>
      </c>
      <c r="L659" t="b">
        <f>COUNTBLANK(metadata!B659:D659)=COLUMNS(metadata!B659:D659)</f>
        <v>1</v>
      </c>
      <c r="M659" t="str">
        <v/>
      </c>
      <c r="O659" t="b">
        <f ca="1"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P659" t="b">
        <f>AND(IF(metadata!C659="",FALSE,TRUE),EXACT(metadata!C659,"mouse gut metagenome"))</f>
        <v>0</v>
      </c>
      <c r="Q659" t="b">
        <f>AND(IF(metadata!D659="",FALSE,TRUE),EXACT(metadata!D659,"410661"))</f>
        <v>0</v>
      </c>
    </row>
    <row r="660" spans="1:17" x14ac:dyDescent="0.2">
      <c r="A660" s="4" t="str">
        <f ca="1">IF(B660=" "," ",HYPERLINK(CONCATENATE("#metadata!",ADDRESS(INDEX($J$2:$J$1001,MATCH(ROWS($H$2:H660),$H$2:$H$1001,0),0),1)),INDEX($M$2:$M$1001,MATCH(ROWS($H$2:H660),$H$2:$H$1001,0),0)))</f>
        <v xml:space="preserve"> </v>
      </c>
      <c r="B660" s="3" t="str">
        <f ca="1">IF(OR(INDEX($I$2:$I$1001,MATCH(ROWS($H$2:H660),$H$2:$H$1001,0),1)&gt;=100000,INDEX($O$1005:$Q$1005,1,MATCH(COLUMNS($O$1006:O1006),$O$1006:$Q$1006,0))&gt;=100000), " ",IF(INDEX($O$2:$Q$1001,MATCH(ROWS($H$2:H660),$H$2:$H$1001,0),MATCH(COLUMNS($O$1006:O1006),$O$1006:$Q$1006,0)), HYPERLINK("#",""), HYPERLINK(CONCATENATE("#metadata!", ADDRESS(INDEX($J$2:$J$1001,MATCH(ROWS($H$2:H660),$H$2:$H$1001,0),0), INDEX($O$1004:$Q$1004,1,MATCH(COLUMNS($O$1006:O1006),$O$1006:$Q$1006,0)))),"Fix")))</f>
        <v xml:space="preserve"> </v>
      </c>
      <c r="C660" s="3" t="str">
        <f ca="1">IF(OR(INDEX($I$2:$I$1001,MATCH(ROWS($H$2:H660),$H$2:$H$1001,0),1)&gt;=100000,INDEX($O$1005:$Q$1005,1,MATCH(COLUMNS($O$1006:P1006),$O$1006:$Q$1006,0))&gt;=100000), " ",IF(INDEX($O$2:$Q$1001,MATCH(ROWS($H$2:H660),$H$2:$H$1001,0),MATCH(COLUMNS($O$1006:P1006),$O$1006:$Q$1006,0)), HYPERLINK("#",""), HYPERLINK(CONCATENATE("#metadata!", ADDRESS(INDEX($J$2:$J$1001,MATCH(ROWS($H$2:H660),$H$2:$H$1001,0),0), INDEX($O$1004:$Q$1004,1,MATCH(COLUMNS($O$1006:P1006),$O$1006:$Q$1006,0)))),"Fix")))</f>
        <v xml:space="preserve"> </v>
      </c>
      <c r="D660" s="3" t="str">
        <f ca="1">IF(OR(INDEX($I$2:$I$1001,MATCH(ROWS($H$2:H660),$H$2:$H$1001,0),1)&gt;=100000,INDEX($O$1005:$Q$1005,1,MATCH(COLUMNS($O$1006:Q1006),$O$1006:$Q$1006,0))&gt;=100000), " ",IF(INDEX($O$2:$Q$1001,MATCH(ROWS($H$2:H660),$H$2:$H$1001,0),MATCH(COLUMNS($O$1006:Q1006),$O$1006:$Q$1006,0)), HYPERLINK("#",""), HYPERLINK(CONCATENATE("#metadata!", ADDRESS(INDEX($J$2:$J$1001,MATCH(ROWS($H$2:H660),$H$2:$H$1001,0),0), INDEX($O$1004:$Q$1004,1,MATCH(COLUMNS($O$1006:Q1006),$O$1006:$Q$1006,0)))),"Fix")))</f>
        <v xml:space="preserve"> </v>
      </c>
      <c r="H660">
        <v>659</v>
      </c>
      <c r="I660">
        <v>100660</v>
      </c>
      <c r="J660">
        <v>660</v>
      </c>
      <c r="K660" t="b">
        <f t="shared" si="10"/>
        <v>1</v>
      </c>
      <c r="L660" t="b">
        <f>COUNTBLANK(metadata!B660:D660)=COLUMNS(metadata!B660:D660)</f>
        <v>1</v>
      </c>
      <c r="M660" t="str">
        <v/>
      </c>
      <c r="O660" t="b">
        <f ca="1"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P660" t="b">
        <f>AND(IF(metadata!C660="",FALSE,TRUE),EXACT(metadata!C660,"mouse gut metagenome"))</f>
        <v>0</v>
      </c>
      <c r="Q660" t="b">
        <f>AND(IF(metadata!D660="",FALSE,TRUE),EXACT(metadata!D660,"410661"))</f>
        <v>0</v>
      </c>
    </row>
    <row r="661" spans="1:17" x14ac:dyDescent="0.2">
      <c r="A661" s="4" t="str">
        <f ca="1">IF(B661=" "," ",HYPERLINK(CONCATENATE("#metadata!",ADDRESS(INDEX($J$2:$J$1001,MATCH(ROWS($H$2:H661),$H$2:$H$1001,0),0),1)),INDEX($M$2:$M$1001,MATCH(ROWS($H$2:H661),$H$2:$H$1001,0),0)))</f>
        <v xml:space="preserve"> </v>
      </c>
      <c r="B661" s="3" t="str">
        <f ca="1">IF(OR(INDEX($I$2:$I$1001,MATCH(ROWS($H$2:H661),$H$2:$H$1001,0),1)&gt;=100000,INDEX($O$1005:$Q$1005,1,MATCH(COLUMNS($O$1006:O1006),$O$1006:$Q$1006,0))&gt;=100000), " ",IF(INDEX($O$2:$Q$1001,MATCH(ROWS($H$2:H661),$H$2:$H$1001,0),MATCH(COLUMNS($O$1006:O1006),$O$1006:$Q$1006,0)), HYPERLINK("#",""), HYPERLINK(CONCATENATE("#metadata!", ADDRESS(INDEX($J$2:$J$1001,MATCH(ROWS($H$2:H661),$H$2:$H$1001,0),0), INDEX($O$1004:$Q$1004,1,MATCH(COLUMNS($O$1006:O1006),$O$1006:$Q$1006,0)))),"Fix")))</f>
        <v xml:space="preserve"> </v>
      </c>
      <c r="C661" s="3" t="str">
        <f ca="1">IF(OR(INDEX($I$2:$I$1001,MATCH(ROWS($H$2:H661),$H$2:$H$1001,0),1)&gt;=100000,INDEX($O$1005:$Q$1005,1,MATCH(COLUMNS($O$1006:P1006),$O$1006:$Q$1006,0))&gt;=100000), " ",IF(INDEX($O$2:$Q$1001,MATCH(ROWS($H$2:H661),$H$2:$H$1001,0),MATCH(COLUMNS($O$1006:P1006),$O$1006:$Q$1006,0)), HYPERLINK("#",""), HYPERLINK(CONCATENATE("#metadata!", ADDRESS(INDEX($J$2:$J$1001,MATCH(ROWS($H$2:H661),$H$2:$H$1001,0),0), INDEX($O$1004:$Q$1004,1,MATCH(COLUMNS($O$1006:P1006),$O$1006:$Q$1006,0)))),"Fix")))</f>
        <v xml:space="preserve"> </v>
      </c>
      <c r="D661" s="3" t="str">
        <f ca="1">IF(OR(INDEX($I$2:$I$1001,MATCH(ROWS($H$2:H661),$H$2:$H$1001,0),1)&gt;=100000,INDEX($O$1005:$Q$1005,1,MATCH(COLUMNS($O$1006:Q1006),$O$1006:$Q$1006,0))&gt;=100000), " ",IF(INDEX($O$2:$Q$1001,MATCH(ROWS($H$2:H661),$H$2:$H$1001,0),MATCH(COLUMNS($O$1006:Q1006),$O$1006:$Q$1006,0)), HYPERLINK("#",""), HYPERLINK(CONCATENATE("#metadata!", ADDRESS(INDEX($J$2:$J$1001,MATCH(ROWS($H$2:H661),$H$2:$H$1001,0),0), INDEX($O$1004:$Q$1004,1,MATCH(COLUMNS($O$1006:Q1006),$O$1006:$Q$1006,0)))),"Fix")))</f>
        <v xml:space="preserve"> </v>
      </c>
      <c r="H661">
        <v>660</v>
      </c>
      <c r="I661">
        <v>100661</v>
      </c>
      <c r="J661">
        <v>661</v>
      </c>
      <c r="K661" t="b">
        <f t="shared" si="10"/>
        <v>1</v>
      </c>
      <c r="L661" t="b">
        <f>COUNTBLANK(metadata!B661:D661)=COLUMNS(metadata!B661:D661)</f>
        <v>1</v>
      </c>
      <c r="M661" t="str">
        <v/>
      </c>
      <c r="O661" t="b">
        <f ca="1"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P661" t="b">
        <f>AND(IF(metadata!C661="",FALSE,TRUE),EXACT(metadata!C661,"mouse gut metagenome"))</f>
        <v>0</v>
      </c>
      <c r="Q661" t="b">
        <f>AND(IF(metadata!D661="",FALSE,TRUE),EXACT(metadata!D661,"410661"))</f>
        <v>0</v>
      </c>
    </row>
    <row r="662" spans="1:17" x14ac:dyDescent="0.2">
      <c r="A662" s="4" t="str">
        <f ca="1">IF(B662=" "," ",HYPERLINK(CONCATENATE("#metadata!",ADDRESS(INDEX($J$2:$J$1001,MATCH(ROWS($H$2:H662),$H$2:$H$1001,0),0),1)),INDEX($M$2:$M$1001,MATCH(ROWS($H$2:H662),$H$2:$H$1001,0),0)))</f>
        <v xml:space="preserve"> </v>
      </c>
      <c r="B662" s="3" t="str">
        <f ca="1">IF(OR(INDEX($I$2:$I$1001,MATCH(ROWS($H$2:H662),$H$2:$H$1001,0),1)&gt;=100000,INDEX($O$1005:$Q$1005,1,MATCH(COLUMNS($O$1006:O1006),$O$1006:$Q$1006,0))&gt;=100000), " ",IF(INDEX($O$2:$Q$1001,MATCH(ROWS($H$2:H662),$H$2:$H$1001,0),MATCH(COLUMNS($O$1006:O1006),$O$1006:$Q$1006,0)), HYPERLINK("#",""), HYPERLINK(CONCATENATE("#metadata!", ADDRESS(INDEX($J$2:$J$1001,MATCH(ROWS($H$2:H662),$H$2:$H$1001,0),0), INDEX($O$1004:$Q$1004,1,MATCH(COLUMNS($O$1006:O1006),$O$1006:$Q$1006,0)))),"Fix")))</f>
        <v xml:space="preserve"> </v>
      </c>
      <c r="C662" s="3" t="str">
        <f ca="1">IF(OR(INDEX($I$2:$I$1001,MATCH(ROWS($H$2:H662),$H$2:$H$1001,0),1)&gt;=100000,INDEX($O$1005:$Q$1005,1,MATCH(COLUMNS($O$1006:P1006),$O$1006:$Q$1006,0))&gt;=100000), " ",IF(INDEX($O$2:$Q$1001,MATCH(ROWS($H$2:H662),$H$2:$H$1001,0),MATCH(COLUMNS($O$1006:P1006),$O$1006:$Q$1006,0)), HYPERLINK("#",""), HYPERLINK(CONCATENATE("#metadata!", ADDRESS(INDEX($J$2:$J$1001,MATCH(ROWS($H$2:H662),$H$2:$H$1001,0),0), INDEX($O$1004:$Q$1004,1,MATCH(COLUMNS($O$1006:P1006),$O$1006:$Q$1006,0)))),"Fix")))</f>
        <v xml:space="preserve"> </v>
      </c>
      <c r="D662" s="3" t="str">
        <f ca="1">IF(OR(INDEX($I$2:$I$1001,MATCH(ROWS($H$2:H662),$H$2:$H$1001,0),1)&gt;=100000,INDEX($O$1005:$Q$1005,1,MATCH(COLUMNS($O$1006:Q1006),$O$1006:$Q$1006,0))&gt;=100000), " ",IF(INDEX($O$2:$Q$1001,MATCH(ROWS($H$2:H662),$H$2:$H$1001,0),MATCH(COLUMNS($O$1006:Q1006),$O$1006:$Q$1006,0)), HYPERLINK("#",""), HYPERLINK(CONCATENATE("#metadata!", ADDRESS(INDEX($J$2:$J$1001,MATCH(ROWS($H$2:H662),$H$2:$H$1001,0),0), INDEX($O$1004:$Q$1004,1,MATCH(COLUMNS($O$1006:Q1006),$O$1006:$Q$1006,0)))),"Fix")))</f>
        <v xml:space="preserve"> </v>
      </c>
      <c r="H662">
        <v>661</v>
      </c>
      <c r="I662">
        <v>100662</v>
      </c>
      <c r="J662">
        <v>662</v>
      </c>
      <c r="K662" t="b">
        <f t="shared" si="10"/>
        <v>1</v>
      </c>
      <c r="L662" t="b">
        <f>COUNTBLANK(metadata!B662:D662)=COLUMNS(metadata!B662:D662)</f>
        <v>1</v>
      </c>
      <c r="M662" t="str">
        <v/>
      </c>
      <c r="O662" t="b">
        <f ca="1"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P662" t="b">
        <f>AND(IF(metadata!C662="",FALSE,TRUE),EXACT(metadata!C662,"mouse gut metagenome"))</f>
        <v>0</v>
      </c>
      <c r="Q662" t="b">
        <f>AND(IF(metadata!D662="",FALSE,TRUE),EXACT(metadata!D662,"410661"))</f>
        <v>0</v>
      </c>
    </row>
    <row r="663" spans="1:17" x14ac:dyDescent="0.2">
      <c r="A663" s="4" t="str">
        <f ca="1">IF(B663=" "," ",HYPERLINK(CONCATENATE("#metadata!",ADDRESS(INDEX($J$2:$J$1001,MATCH(ROWS($H$2:H663),$H$2:$H$1001,0),0),1)),INDEX($M$2:$M$1001,MATCH(ROWS($H$2:H663),$H$2:$H$1001,0),0)))</f>
        <v xml:space="preserve"> </v>
      </c>
      <c r="B663" s="3" t="str">
        <f ca="1">IF(OR(INDEX($I$2:$I$1001,MATCH(ROWS($H$2:H663),$H$2:$H$1001,0),1)&gt;=100000,INDEX($O$1005:$Q$1005,1,MATCH(COLUMNS($O$1006:O1006),$O$1006:$Q$1006,0))&gt;=100000), " ",IF(INDEX($O$2:$Q$1001,MATCH(ROWS($H$2:H663),$H$2:$H$1001,0),MATCH(COLUMNS($O$1006:O1006),$O$1006:$Q$1006,0)), HYPERLINK("#",""), HYPERLINK(CONCATENATE("#metadata!", ADDRESS(INDEX($J$2:$J$1001,MATCH(ROWS($H$2:H663),$H$2:$H$1001,0),0), INDEX($O$1004:$Q$1004,1,MATCH(COLUMNS($O$1006:O1006),$O$1006:$Q$1006,0)))),"Fix")))</f>
        <v xml:space="preserve"> </v>
      </c>
      <c r="C663" s="3" t="str">
        <f ca="1">IF(OR(INDEX($I$2:$I$1001,MATCH(ROWS($H$2:H663),$H$2:$H$1001,0),1)&gt;=100000,INDEX($O$1005:$Q$1005,1,MATCH(COLUMNS($O$1006:P1006),$O$1006:$Q$1006,0))&gt;=100000), " ",IF(INDEX($O$2:$Q$1001,MATCH(ROWS($H$2:H663),$H$2:$H$1001,0),MATCH(COLUMNS($O$1006:P1006),$O$1006:$Q$1006,0)), HYPERLINK("#",""), HYPERLINK(CONCATENATE("#metadata!", ADDRESS(INDEX($J$2:$J$1001,MATCH(ROWS($H$2:H663),$H$2:$H$1001,0),0), INDEX($O$1004:$Q$1004,1,MATCH(COLUMNS($O$1006:P1006),$O$1006:$Q$1006,0)))),"Fix")))</f>
        <v xml:space="preserve"> </v>
      </c>
      <c r="D663" s="3" t="str">
        <f ca="1">IF(OR(INDEX($I$2:$I$1001,MATCH(ROWS($H$2:H663),$H$2:$H$1001,0),1)&gt;=100000,INDEX($O$1005:$Q$1005,1,MATCH(COLUMNS($O$1006:Q1006),$O$1006:$Q$1006,0))&gt;=100000), " ",IF(INDEX($O$2:$Q$1001,MATCH(ROWS($H$2:H663),$H$2:$H$1001,0),MATCH(COLUMNS($O$1006:Q1006),$O$1006:$Q$1006,0)), HYPERLINK("#",""), HYPERLINK(CONCATENATE("#metadata!", ADDRESS(INDEX($J$2:$J$1001,MATCH(ROWS($H$2:H663),$H$2:$H$1001,0),0), INDEX($O$1004:$Q$1004,1,MATCH(COLUMNS($O$1006:Q1006),$O$1006:$Q$1006,0)))),"Fix")))</f>
        <v xml:space="preserve"> </v>
      </c>
      <c r="H663">
        <v>662</v>
      </c>
      <c r="I663">
        <v>100663</v>
      </c>
      <c r="J663">
        <v>663</v>
      </c>
      <c r="K663" t="b">
        <f t="shared" si="10"/>
        <v>1</v>
      </c>
      <c r="L663" t="b">
        <f>COUNTBLANK(metadata!B663:D663)=COLUMNS(metadata!B663:D663)</f>
        <v>1</v>
      </c>
      <c r="M663" t="str">
        <v/>
      </c>
      <c r="O663" t="b">
        <f ca="1"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P663" t="b">
        <f>AND(IF(metadata!C663="",FALSE,TRUE),EXACT(metadata!C663,"mouse gut metagenome"))</f>
        <v>0</v>
      </c>
      <c r="Q663" t="b">
        <f>AND(IF(metadata!D663="",FALSE,TRUE),EXACT(metadata!D663,"410661"))</f>
        <v>0</v>
      </c>
    </row>
    <row r="664" spans="1:17" x14ac:dyDescent="0.2">
      <c r="A664" s="4" t="str">
        <f ca="1">IF(B664=" "," ",HYPERLINK(CONCATENATE("#metadata!",ADDRESS(INDEX($J$2:$J$1001,MATCH(ROWS($H$2:H664),$H$2:$H$1001,0),0),1)),INDEX($M$2:$M$1001,MATCH(ROWS($H$2:H664),$H$2:$H$1001,0),0)))</f>
        <v xml:space="preserve"> </v>
      </c>
      <c r="B664" s="3" t="str">
        <f ca="1">IF(OR(INDEX($I$2:$I$1001,MATCH(ROWS($H$2:H664),$H$2:$H$1001,0),1)&gt;=100000,INDEX($O$1005:$Q$1005,1,MATCH(COLUMNS($O$1006:O1006),$O$1006:$Q$1006,0))&gt;=100000), " ",IF(INDEX($O$2:$Q$1001,MATCH(ROWS($H$2:H664),$H$2:$H$1001,0),MATCH(COLUMNS($O$1006:O1006),$O$1006:$Q$1006,0)), HYPERLINK("#",""), HYPERLINK(CONCATENATE("#metadata!", ADDRESS(INDEX($J$2:$J$1001,MATCH(ROWS($H$2:H664),$H$2:$H$1001,0),0), INDEX($O$1004:$Q$1004,1,MATCH(COLUMNS($O$1006:O1006),$O$1006:$Q$1006,0)))),"Fix")))</f>
        <v xml:space="preserve"> </v>
      </c>
      <c r="C664" s="3" t="str">
        <f ca="1">IF(OR(INDEX($I$2:$I$1001,MATCH(ROWS($H$2:H664),$H$2:$H$1001,0),1)&gt;=100000,INDEX($O$1005:$Q$1005,1,MATCH(COLUMNS($O$1006:P1006),$O$1006:$Q$1006,0))&gt;=100000), " ",IF(INDEX($O$2:$Q$1001,MATCH(ROWS($H$2:H664),$H$2:$H$1001,0),MATCH(COLUMNS($O$1006:P1006),$O$1006:$Q$1006,0)), HYPERLINK("#",""), HYPERLINK(CONCATENATE("#metadata!", ADDRESS(INDEX($J$2:$J$1001,MATCH(ROWS($H$2:H664),$H$2:$H$1001,0),0), INDEX($O$1004:$Q$1004,1,MATCH(COLUMNS($O$1006:P1006),$O$1006:$Q$1006,0)))),"Fix")))</f>
        <v xml:space="preserve"> </v>
      </c>
      <c r="D664" s="3" t="str">
        <f ca="1">IF(OR(INDEX($I$2:$I$1001,MATCH(ROWS($H$2:H664),$H$2:$H$1001,0),1)&gt;=100000,INDEX($O$1005:$Q$1005,1,MATCH(COLUMNS($O$1006:Q1006),$O$1006:$Q$1006,0))&gt;=100000), " ",IF(INDEX($O$2:$Q$1001,MATCH(ROWS($H$2:H664),$H$2:$H$1001,0),MATCH(COLUMNS($O$1006:Q1006),$O$1006:$Q$1006,0)), HYPERLINK("#",""), HYPERLINK(CONCATENATE("#metadata!", ADDRESS(INDEX($J$2:$J$1001,MATCH(ROWS($H$2:H664),$H$2:$H$1001,0),0), INDEX($O$1004:$Q$1004,1,MATCH(COLUMNS($O$1006:Q1006),$O$1006:$Q$1006,0)))),"Fix")))</f>
        <v xml:space="preserve"> </v>
      </c>
      <c r="H664">
        <v>663</v>
      </c>
      <c r="I664">
        <v>100664</v>
      </c>
      <c r="J664">
        <v>664</v>
      </c>
      <c r="K664" t="b">
        <f t="shared" si="10"/>
        <v>1</v>
      </c>
      <c r="L664" t="b">
        <f>COUNTBLANK(metadata!B664:D664)=COLUMNS(metadata!B664:D664)</f>
        <v>1</v>
      </c>
      <c r="M664" t="str">
        <v/>
      </c>
      <c r="O664" t="b">
        <f ca="1"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P664" t="b">
        <f>AND(IF(metadata!C664="",FALSE,TRUE),EXACT(metadata!C664,"mouse gut metagenome"))</f>
        <v>0</v>
      </c>
      <c r="Q664" t="b">
        <f>AND(IF(metadata!D664="",FALSE,TRUE),EXACT(metadata!D664,"410661"))</f>
        <v>0</v>
      </c>
    </row>
    <row r="665" spans="1:17" x14ac:dyDescent="0.2">
      <c r="A665" s="4" t="str">
        <f ca="1">IF(B665=" "," ",HYPERLINK(CONCATENATE("#metadata!",ADDRESS(INDEX($J$2:$J$1001,MATCH(ROWS($H$2:H665),$H$2:$H$1001,0),0),1)),INDEX($M$2:$M$1001,MATCH(ROWS($H$2:H665),$H$2:$H$1001,0),0)))</f>
        <v xml:space="preserve"> </v>
      </c>
      <c r="B665" s="3" t="str">
        <f ca="1">IF(OR(INDEX($I$2:$I$1001,MATCH(ROWS($H$2:H665),$H$2:$H$1001,0),1)&gt;=100000,INDEX($O$1005:$Q$1005,1,MATCH(COLUMNS($O$1006:O1006),$O$1006:$Q$1006,0))&gt;=100000), " ",IF(INDEX($O$2:$Q$1001,MATCH(ROWS($H$2:H665),$H$2:$H$1001,0),MATCH(COLUMNS($O$1006:O1006),$O$1006:$Q$1006,0)), HYPERLINK("#",""), HYPERLINK(CONCATENATE("#metadata!", ADDRESS(INDEX($J$2:$J$1001,MATCH(ROWS($H$2:H665),$H$2:$H$1001,0),0), INDEX($O$1004:$Q$1004,1,MATCH(COLUMNS($O$1006:O1006),$O$1006:$Q$1006,0)))),"Fix")))</f>
        <v xml:space="preserve"> </v>
      </c>
      <c r="C665" s="3" t="str">
        <f ca="1">IF(OR(INDEX($I$2:$I$1001,MATCH(ROWS($H$2:H665),$H$2:$H$1001,0),1)&gt;=100000,INDEX($O$1005:$Q$1005,1,MATCH(COLUMNS($O$1006:P1006),$O$1006:$Q$1006,0))&gt;=100000), " ",IF(INDEX($O$2:$Q$1001,MATCH(ROWS($H$2:H665),$H$2:$H$1001,0),MATCH(COLUMNS($O$1006:P1006),$O$1006:$Q$1006,0)), HYPERLINK("#",""), HYPERLINK(CONCATENATE("#metadata!", ADDRESS(INDEX($J$2:$J$1001,MATCH(ROWS($H$2:H665),$H$2:$H$1001,0),0), INDEX($O$1004:$Q$1004,1,MATCH(COLUMNS($O$1006:P1006),$O$1006:$Q$1006,0)))),"Fix")))</f>
        <v xml:space="preserve"> </v>
      </c>
      <c r="D665" s="3" t="str">
        <f ca="1">IF(OR(INDEX($I$2:$I$1001,MATCH(ROWS($H$2:H665),$H$2:$H$1001,0),1)&gt;=100000,INDEX($O$1005:$Q$1005,1,MATCH(COLUMNS($O$1006:Q1006),$O$1006:$Q$1006,0))&gt;=100000), " ",IF(INDEX($O$2:$Q$1001,MATCH(ROWS($H$2:H665),$H$2:$H$1001,0),MATCH(COLUMNS($O$1006:Q1006),$O$1006:$Q$1006,0)), HYPERLINK("#",""), HYPERLINK(CONCATENATE("#metadata!", ADDRESS(INDEX($J$2:$J$1001,MATCH(ROWS($H$2:H665),$H$2:$H$1001,0),0), INDEX($O$1004:$Q$1004,1,MATCH(COLUMNS($O$1006:Q1006),$O$1006:$Q$1006,0)))),"Fix")))</f>
        <v xml:space="preserve"> </v>
      </c>
      <c r="H665">
        <v>664</v>
      </c>
      <c r="I665">
        <v>100665</v>
      </c>
      <c r="J665">
        <v>665</v>
      </c>
      <c r="K665" t="b">
        <f t="shared" si="10"/>
        <v>1</v>
      </c>
      <c r="L665" t="b">
        <f>COUNTBLANK(metadata!B665:D665)=COLUMNS(metadata!B665:D665)</f>
        <v>1</v>
      </c>
      <c r="M665" t="str">
        <v/>
      </c>
      <c r="O665" t="b">
        <f ca="1"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P665" t="b">
        <f>AND(IF(metadata!C665="",FALSE,TRUE),EXACT(metadata!C665,"mouse gut metagenome"))</f>
        <v>0</v>
      </c>
      <c r="Q665" t="b">
        <f>AND(IF(metadata!D665="",FALSE,TRUE),EXACT(metadata!D665,"410661"))</f>
        <v>0</v>
      </c>
    </row>
    <row r="666" spans="1:17" x14ac:dyDescent="0.2">
      <c r="A666" s="4" t="str">
        <f ca="1">IF(B666=" "," ",HYPERLINK(CONCATENATE("#metadata!",ADDRESS(INDEX($J$2:$J$1001,MATCH(ROWS($H$2:H666),$H$2:$H$1001,0),0),1)),INDEX($M$2:$M$1001,MATCH(ROWS($H$2:H666),$H$2:$H$1001,0),0)))</f>
        <v xml:space="preserve"> </v>
      </c>
      <c r="B666" s="3" t="str">
        <f ca="1">IF(OR(INDEX($I$2:$I$1001,MATCH(ROWS($H$2:H666),$H$2:$H$1001,0),1)&gt;=100000,INDEX($O$1005:$Q$1005,1,MATCH(COLUMNS($O$1006:O1006),$O$1006:$Q$1006,0))&gt;=100000), " ",IF(INDEX($O$2:$Q$1001,MATCH(ROWS($H$2:H666),$H$2:$H$1001,0),MATCH(COLUMNS($O$1006:O1006),$O$1006:$Q$1006,0)), HYPERLINK("#",""), HYPERLINK(CONCATENATE("#metadata!", ADDRESS(INDEX($J$2:$J$1001,MATCH(ROWS($H$2:H666),$H$2:$H$1001,0),0), INDEX($O$1004:$Q$1004,1,MATCH(COLUMNS($O$1006:O1006),$O$1006:$Q$1006,0)))),"Fix")))</f>
        <v xml:space="preserve"> </v>
      </c>
      <c r="C666" s="3" t="str">
        <f ca="1">IF(OR(INDEX($I$2:$I$1001,MATCH(ROWS($H$2:H666),$H$2:$H$1001,0),1)&gt;=100000,INDEX($O$1005:$Q$1005,1,MATCH(COLUMNS($O$1006:P1006),$O$1006:$Q$1006,0))&gt;=100000), " ",IF(INDEX($O$2:$Q$1001,MATCH(ROWS($H$2:H666),$H$2:$H$1001,0),MATCH(COLUMNS($O$1006:P1006),$O$1006:$Q$1006,0)), HYPERLINK("#",""), HYPERLINK(CONCATENATE("#metadata!", ADDRESS(INDEX($J$2:$J$1001,MATCH(ROWS($H$2:H666),$H$2:$H$1001,0),0), INDEX($O$1004:$Q$1004,1,MATCH(COLUMNS($O$1006:P1006),$O$1006:$Q$1006,0)))),"Fix")))</f>
        <v xml:space="preserve"> </v>
      </c>
      <c r="D666" s="3" t="str">
        <f ca="1">IF(OR(INDEX($I$2:$I$1001,MATCH(ROWS($H$2:H666),$H$2:$H$1001,0),1)&gt;=100000,INDEX($O$1005:$Q$1005,1,MATCH(COLUMNS($O$1006:Q1006),$O$1006:$Q$1006,0))&gt;=100000), " ",IF(INDEX($O$2:$Q$1001,MATCH(ROWS($H$2:H666),$H$2:$H$1001,0),MATCH(COLUMNS($O$1006:Q1006),$O$1006:$Q$1006,0)), HYPERLINK("#",""), HYPERLINK(CONCATENATE("#metadata!", ADDRESS(INDEX($J$2:$J$1001,MATCH(ROWS($H$2:H666),$H$2:$H$1001,0),0), INDEX($O$1004:$Q$1004,1,MATCH(COLUMNS($O$1006:Q1006),$O$1006:$Q$1006,0)))),"Fix")))</f>
        <v xml:space="preserve"> </v>
      </c>
      <c r="H666">
        <v>665</v>
      </c>
      <c r="I666">
        <v>100666</v>
      </c>
      <c r="J666">
        <v>666</v>
      </c>
      <c r="K666" t="b">
        <f t="shared" si="10"/>
        <v>1</v>
      </c>
      <c r="L666" t="b">
        <f>COUNTBLANK(metadata!B666:D666)=COLUMNS(metadata!B666:D666)</f>
        <v>1</v>
      </c>
      <c r="M666" t="str">
        <v/>
      </c>
      <c r="O666" t="b">
        <f ca="1"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P666" t="b">
        <f>AND(IF(metadata!C666="",FALSE,TRUE),EXACT(metadata!C666,"mouse gut metagenome"))</f>
        <v>0</v>
      </c>
      <c r="Q666" t="b">
        <f>AND(IF(metadata!D666="",FALSE,TRUE),EXACT(metadata!D666,"410661"))</f>
        <v>0</v>
      </c>
    </row>
    <row r="667" spans="1:17" x14ac:dyDescent="0.2">
      <c r="A667" s="4" t="str">
        <f ca="1">IF(B667=" "," ",HYPERLINK(CONCATENATE("#metadata!",ADDRESS(INDEX($J$2:$J$1001,MATCH(ROWS($H$2:H667),$H$2:$H$1001,0),0),1)),INDEX($M$2:$M$1001,MATCH(ROWS($H$2:H667),$H$2:$H$1001,0),0)))</f>
        <v xml:space="preserve"> </v>
      </c>
      <c r="B667" s="3" t="str">
        <f ca="1">IF(OR(INDEX($I$2:$I$1001,MATCH(ROWS($H$2:H667),$H$2:$H$1001,0),1)&gt;=100000,INDEX($O$1005:$Q$1005,1,MATCH(COLUMNS($O$1006:O1006),$O$1006:$Q$1006,0))&gt;=100000), " ",IF(INDEX($O$2:$Q$1001,MATCH(ROWS($H$2:H667),$H$2:$H$1001,0),MATCH(COLUMNS($O$1006:O1006),$O$1006:$Q$1006,0)), HYPERLINK("#",""), HYPERLINK(CONCATENATE("#metadata!", ADDRESS(INDEX($J$2:$J$1001,MATCH(ROWS($H$2:H667),$H$2:$H$1001,0),0), INDEX($O$1004:$Q$1004,1,MATCH(COLUMNS($O$1006:O1006),$O$1006:$Q$1006,0)))),"Fix")))</f>
        <v xml:space="preserve"> </v>
      </c>
      <c r="C667" s="3" t="str">
        <f ca="1">IF(OR(INDEX($I$2:$I$1001,MATCH(ROWS($H$2:H667),$H$2:$H$1001,0),1)&gt;=100000,INDEX($O$1005:$Q$1005,1,MATCH(COLUMNS($O$1006:P1006),$O$1006:$Q$1006,0))&gt;=100000), " ",IF(INDEX($O$2:$Q$1001,MATCH(ROWS($H$2:H667),$H$2:$H$1001,0),MATCH(COLUMNS($O$1006:P1006),$O$1006:$Q$1006,0)), HYPERLINK("#",""), HYPERLINK(CONCATENATE("#metadata!", ADDRESS(INDEX($J$2:$J$1001,MATCH(ROWS($H$2:H667),$H$2:$H$1001,0),0), INDEX($O$1004:$Q$1004,1,MATCH(COLUMNS($O$1006:P1006),$O$1006:$Q$1006,0)))),"Fix")))</f>
        <v xml:space="preserve"> </v>
      </c>
      <c r="D667" s="3" t="str">
        <f ca="1">IF(OR(INDEX($I$2:$I$1001,MATCH(ROWS($H$2:H667),$H$2:$H$1001,0),1)&gt;=100000,INDEX($O$1005:$Q$1005,1,MATCH(COLUMNS($O$1006:Q1006),$O$1006:$Q$1006,0))&gt;=100000), " ",IF(INDEX($O$2:$Q$1001,MATCH(ROWS($H$2:H667),$H$2:$H$1001,0),MATCH(COLUMNS($O$1006:Q1006),$O$1006:$Q$1006,0)), HYPERLINK("#",""), HYPERLINK(CONCATENATE("#metadata!", ADDRESS(INDEX($J$2:$J$1001,MATCH(ROWS($H$2:H667),$H$2:$H$1001,0),0), INDEX($O$1004:$Q$1004,1,MATCH(COLUMNS($O$1006:Q1006),$O$1006:$Q$1006,0)))),"Fix")))</f>
        <v xml:space="preserve"> </v>
      </c>
      <c r="H667">
        <v>666</v>
      </c>
      <c r="I667">
        <v>100667</v>
      </c>
      <c r="J667">
        <v>667</v>
      </c>
      <c r="K667" t="b">
        <f t="shared" si="10"/>
        <v>1</v>
      </c>
      <c r="L667" t="b">
        <f>COUNTBLANK(metadata!B667:D667)=COLUMNS(metadata!B667:D667)</f>
        <v>1</v>
      </c>
      <c r="M667" t="str">
        <v/>
      </c>
      <c r="O667" t="b">
        <f ca="1"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P667" t="b">
        <f>AND(IF(metadata!C667="",FALSE,TRUE),EXACT(metadata!C667,"mouse gut metagenome"))</f>
        <v>0</v>
      </c>
      <c r="Q667" t="b">
        <f>AND(IF(metadata!D667="",FALSE,TRUE),EXACT(metadata!D667,"410661"))</f>
        <v>0</v>
      </c>
    </row>
    <row r="668" spans="1:17" x14ac:dyDescent="0.2">
      <c r="A668" s="4" t="str">
        <f ca="1">IF(B668=" "," ",HYPERLINK(CONCATENATE("#metadata!",ADDRESS(INDEX($J$2:$J$1001,MATCH(ROWS($H$2:H668),$H$2:$H$1001,0),0),1)),INDEX($M$2:$M$1001,MATCH(ROWS($H$2:H668),$H$2:$H$1001,0),0)))</f>
        <v xml:space="preserve"> </v>
      </c>
      <c r="B668" s="3" t="str">
        <f ca="1">IF(OR(INDEX($I$2:$I$1001,MATCH(ROWS($H$2:H668),$H$2:$H$1001,0),1)&gt;=100000,INDEX($O$1005:$Q$1005,1,MATCH(COLUMNS($O$1006:O1006),$O$1006:$Q$1006,0))&gt;=100000), " ",IF(INDEX($O$2:$Q$1001,MATCH(ROWS($H$2:H668),$H$2:$H$1001,0),MATCH(COLUMNS($O$1006:O1006),$O$1006:$Q$1006,0)), HYPERLINK("#",""), HYPERLINK(CONCATENATE("#metadata!", ADDRESS(INDEX($J$2:$J$1001,MATCH(ROWS($H$2:H668),$H$2:$H$1001,0),0), INDEX($O$1004:$Q$1004,1,MATCH(COLUMNS($O$1006:O1006),$O$1006:$Q$1006,0)))),"Fix")))</f>
        <v xml:space="preserve"> </v>
      </c>
      <c r="C668" s="3" t="str">
        <f ca="1">IF(OR(INDEX($I$2:$I$1001,MATCH(ROWS($H$2:H668),$H$2:$H$1001,0),1)&gt;=100000,INDEX($O$1005:$Q$1005,1,MATCH(COLUMNS($O$1006:P1006),$O$1006:$Q$1006,0))&gt;=100000), " ",IF(INDEX($O$2:$Q$1001,MATCH(ROWS($H$2:H668),$H$2:$H$1001,0),MATCH(COLUMNS($O$1006:P1006),$O$1006:$Q$1006,0)), HYPERLINK("#",""), HYPERLINK(CONCATENATE("#metadata!", ADDRESS(INDEX($J$2:$J$1001,MATCH(ROWS($H$2:H668),$H$2:$H$1001,0),0), INDEX($O$1004:$Q$1004,1,MATCH(COLUMNS($O$1006:P1006),$O$1006:$Q$1006,0)))),"Fix")))</f>
        <v xml:space="preserve"> </v>
      </c>
      <c r="D668" s="3" t="str">
        <f ca="1">IF(OR(INDEX($I$2:$I$1001,MATCH(ROWS($H$2:H668),$H$2:$H$1001,0),1)&gt;=100000,INDEX($O$1005:$Q$1005,1,MATCH(COLUMNS($O$1006:Q1006),$O$1006:$Q$1006,0))&gt;=100000), " ",IF(INDEX($O$2:$Q$1001,MATCH(ROWS($H$2:H668),$H$2:$H$1001,0),MATCH(COLUMNS($O$1006:Q1006),$O$1006:$Q$1006,0)), HYPERLINK("#",""), HYPERLINK(CONCATENATE("#metadata!", ADDRESS(INDEX($J$2:$J$1001,MATCH(ROWS($H$2:H668),$H$2:$H$1001,0),0), INDEX($O$1004:$Q$1004,1,MATCH(COLUMNS($O$1006:Q1006),$O$1006:$Q$1006,0)))),"Fix")))</f>
        <v xml:space="preserve"> </v>
      </c>
      <c r="H668">
        <v>667</v>
      </c>
      <c r="I668">
        <v>100668</v>
      </c>
      <c r="J668">
        <v>668</v>
      </c>
      <c r="K668" t="b">
        <f t="shared" si="10"/>
        <v>1</v>
      </c>
      <c r="L668" t="b">
        <f>COUNTBLANK(metadata!B668:D668)=COLUMNS(metadata!B668:D668)</f>
        <v>1</v>
      </c>
      <c r="M668" t="str">
        <v/>
      </c>
      <c r="O668" t="b">
        <f ca="1"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P668" t="b">
        <f>AND(IF(metadata!C668="",FALSE,TRUE),EXACT(metadata!C668,"mouse gut metagenome"))</f>
        <v>0</v>
      </c>
      <c r="Q668" t="b">
        <f>AND(IF(metadata!D668="",FALSE,TRUE),EXACT(metadata!D668,"410661"))</f>
        <v>0</v>
      </c>
    </row>
    <row r="669" spans="1:17" x14ac:dyDescent="0.2">
      <c r="A669" s="4" t="str">
        <f ca="1">IF(B669=" "," ",HYPERLINK(CONCATENATE("#metadata!",ADDRESS(INDEX($J$2:$J$1001,MATCH(ROWS($H$2:H669),$H$2:$H$1001,0),0),1)),INDEX($M$2:$M$1001,MATCH(ROWS($H$2:H669),$H$2:$H$1001,0),0)))</f>
        <v xml:space="preserve"> </v>
      </c>
      <c r="B669" s="3" t="str">
        <f ca="1">IF(OR(INDEX($I$2:$I$1001,MATCH(ROWS($H$2:H669),$H$2:$H$1001,0),1)&gt;=100000,INDEX($O$1005:$Q$1005,1,MATCH(COLUMNS($O$1006:O1006),$O$1006:$Q$1006,0))&gt;=100000), " ",IF(INDEX($O$2:$Q$1001,MATCH(ROWS($H$2:H669),$H$2:$H$1001,0),MATCH(COLUMNS($O$1006:O1006),$O$1006:$Q$1006,0)), HYPERLINK("#",""), HYPERLINK(CONCATENATE("#metadata!", ADDRESS(INDEX($J$2:$J$1001,MATCH(ROWS($H$2:H669),$H$2:$H$1001,0),0), INDEX($O$1004:$Q$1004,1,MATCH(COLUMNS($O$1006:O1006),$O$1006:$Q$1006,0)))),"Fix")))</f>
        <v xml:space="preserve"> </v>
      </c>
      <c r="C669" s="3" t="str">
        <f ca="1">IF(OR(INDEX($I$2:$I$1001,MATCH(ROWS($H$2:H669),$H$2:$H$1001,0),1)&gt;=100000,INDEX($O$1005:$Q$1005,1,MATCH(COLUMNS($O$1006:P1006),$O$1006:$Q$1006,0))&gt;=100000), " ",IF(INDEX($O$2:$Q$1001,MATCH(ROWS($H$2:H669),$H$2:$H$1001,0),MATCH(COLUMNS($O$1006:P1006),$O$1006:$Q$1006,0)), HYPERLINK("#",""), HYPERLINK(CONCATENATE("#metadata!", ADDRESS(INDEX($J$2:$J$1001,MATCH(ROWS($H$2:H669),$H$2:$H$1001,0),0), INDEX($O$1004:$Q$1004,1,MATCH(COLUMNS($O$1006:P1006),$O$1006:$Q$1006,0)))),"Fix")))</f>
        <v xml:space="preserve"> </v>
      </c>
      <c r="D669" s="3" t="str">
        <f ca="1">IF(OR(INDEX($I$2:$I$1001,MATCH(ROWS($H$2:H669),$H$2:$H$1001,0),1)&gt;=100000,INDEX($O$1005:$Q$1005,1,MATCH(COLUMNS($O$1006:Q1006),$O$1006:$Q$1006,0))&gt;=100000), " ",IF(INDEX($O$2:$Q$1001,MATCH(ROWS($H$2:H669),$H$2:$H$1001,0),MATCH(COLUMNS($O$1006:Q1006),$O$1006:$Q$1006,0)), HYPERLINK("#",""), HYPERLINK(CONCATENATE("#metadata!", ADDRESS(INDEX($J$2:$J$1001,MATCH(ROWS($H$2:H669),$H$2:$H$1001,0),0), INDEX($O$1004:$Q$1004,1,MATCH(COLUMNS($O$1006:Q1006),$O$1006:$Q$1006,0)))),"Fix")))</f>
        <v xml:space="preserve"> </v>
      </c>
      <c r="H669">
        <v>668</v>
      </c>
      <c r="I669">
        <v>100669</v>
      </c>
      <c r="J669">
        <v>669</v>
      </c>
      <c r="K669" t="b">
        <f t="shared" si="10"/>
        <v>1</v>
      </c>
      <c r="L669" t="b">
        <f>COUNTBLANK(metadata!B669:D669)=COLUMNS(metadata!B669:D669)</f>
        <v>1</v>
      </c>
      <c r="M669" t="str">
        <v/>
      </c>
      <c r="O669" t="b">
        <f ca="1"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P669" t="b">
        <f>AND(IF(metadata!C669="",FALSE,TRUE),EXACT(metadata!C669,"mouse gut metagenome"))</f>
        <v>0</v>
      </c>
      <c r="Q669" t="b">
        <f>AND(IF(metadata!D669="",FALSE,TRUE),EXACT(metadata!D669,"410661"))</f>
        <v>0</v>
      </c>
    </row>
    <row r="670" spans="1:17" x14ac:dyDescent="0.2">
      <c r="A670" s="4" t="str">
        <f ca="1">IF(B670=" "," ",HYPERLINK(CONCATENATE("#metadata!",ADDRESS(INDEX($J$2:$J$1001,MATCH(ROWS($H$2:H670),$H$2:$H$1001,0),0),1)),INDEX($M$2:$M$1001,MATCH(ROWS($H$2:H670),$H$2:$H$1001,0),0)))</f>
        <v xml:space="preserve"> </v>
      </c>
      <c r="B670" s="3" t="str">
        <f ca="1">IF(OR(INDEX($I$2:$I$1001,MATCH(ROWS($H$2:H670),$H$2:$H$1001,0),1)&gt;=100000,INDEX($O$1005:$Q$1005,1,MATCH(COLUMNS($O$1006:O1006),$O$1006:$Q$1006,0))&gt;=100000), " ",IF(INDEX($O$2:$Q$1001,MATCH(ROWS($H$2:H670),$H$2:$H$1001,0),MATCH(COLUMNS($O$1006:O1006),$O$1006:$Q$1006,0)), HYPERLINK("#",""), HYPERLINK(CONCATENATE("#metadata!", ADDRESS(INDEX($J$2:$J$1001,MATCH(ROWS($H$2:H670),$H$2:$H$1001,0),0), INDEX($O$1004:$Q$1004,1,MATCH(COLUMNS($O$1006:O1006),$O$1006:$Q$1006,0)))),"Fix")))</f>
        <v xml:space="preserve"> </v>
      </c>
      <c r="C670" s="3" t="str">
        <f ca="1">IF(OR(INDEX($I$2:$I$1001,MATCH(ROWS($H$2:H670),$H$2:$H$1001,0),1)&gt;=100000,INDEX($O$1005:$Q$1005,1,MATCH(COLUMNS($O$1006:P1006),$O$1006:$Q$1006,0))&gt;=100000), " ",IF(INDEX($O$2:$Q$1001,MATCH(ROWS($H$2:H670),$H$2:$H$1001,0),MATCH(COLUMNS($O$1006:P1006),$O$1006:$Q$1006,0)), HYPERLINK("#",""), HYPERLINK(CONCATENATE("#metadata!", ADDRESS(INDEX($J$2:$J$1001,MATCH(ROWS($H$2:H670),$H$2:$H$1001,0),0), INDEX($O$1004:$Q$1004,1,MATCH(COLUMNS($O$1006:P1006),$O$1006:$Q$1006,0)))),"Fix")))</f>
        <v xml:space="preserve"> </v>
      </c>
      <c r="D670" s="3" t="str">
        <f ca="1">IF(OR(INDEX($I$2:$I$1001,MATCH(ROWS($H$2:H670),$H$2:$H$1001,0),1)&gt;=100000,INDEX($O$1005:$Q$1005,1,MATCH(COLUMNS($O$1006:Q1006),$O$1006:$Q$1006,0))&gt;=100000), " ",IF(INDEX($O$2:$Q$1001,MATCH(ROWS($H$2:H670),$H$2:$H$1001,0),MATCH(COLUMNS($O$1006:Q1006),$O$1006:$Q$1006,0)), HYPERLINK("#",""), HYPERLINK(CONCATENATE("#metadata!", ADDRESS(INDEX($J$2:$J$1001,MATCH(ROWS($H$2:H670),$H$2:$H$1001,0),0), INDEX($O$1004:$Q$1004,1,MATCH(COLUMNS($O$1006:Q1006),$O$1006:$Q$1006,0)))),"Fix")))</f>
        <v xml:space="preserve"> </v>
      </c>
      <c r="H670">
        <v>669</v>
      </c>
      <c r="I670">
        <v>100670</v>
      </c>
      <c r="J670">
        <v>670</v>
      </c>
      <c r="K670" t="b">
        <f t="shared" si="10"/>
        <v>1</v>
      </c>
      <c r="L670" t="b">
        <f>COUNTBLANK(metadata!B670:D670)=COLUMNS(metadata!B670:D670)</f>
        <v>1</v>
      </c>
      <c r="M670" t="str">
        <v/>
      </c>
      <c r="O670" t="b">
        <f ca="1"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P670" t="b">
        <f>AND(IF(metadata!C670="",FALSE,TRUE),EXACT(metadata!C670,"mouse gut metagenome"))</f>
        <v>0</v>
      </c>
      <c r="Q670" t="b">
        <f>AND(IF(metadata!D670="",FALSE,TRUE),EXACT(metadata!D670,"410661"))</f>
        <v>0</v>
      </c>
    </row>
    <row r="671" spans="1:17" x14ac:dyDescent="0.2">
      <c r="A671" s="4" t="str">
        <f ca="1">IF(B671=" "," ",HYPERLINK(CONCATENATE("#metadata!",ADDRESS(INDEX($J$2:$J$1001,MATCH(ROWS($H$2:H671),$H$2:$H$1001,0),0),1)),INDEX($M$2:$M$1001,MATCH(ROWS($H$2:H671),$H$2:$H$1001,0),0)))</f>
        <v xml:space="preserve"> </v>
      </c>
      <c r="B671" s="3" t="str">
        <f ca="1">IF(OR(INDEX($I$2:$I$1001,MATCH(ROWS($H$2:H671),$H$2:$H$1001,0),1)&gt;=100000,INDEX($O$1005:$Q$1005,1,MATCH(COLUMNS($O$1006:O1006),$O$1006:$Q$1006,0))&gt;=100000), " ",IF(INDEX($O$2:$Q$1001,MATCH(ROWS($H$2:H671),$H$2:$H$1001,0),MATCH(COLUMNS($O$1006:O1006),$O$1006:$Q$1006,0)), HYPERLINK("#",""), HYPERLINK(CONCATENATE("#metadata!", ADDRESS(INDEX($J$2:$J$1001,MATCH(ROWS($H$2:H671),$H$2:$H$1001,0),0), INDEX($O$1004:$Q$1004,1,MATCH(COLUMNS($O$1006:O1006),$O$1006:$Q$1006,0)))),"Fix")))</f>
        <v xml:space="preserve"> </v>
      </c>
      <c r="C671" s="3" t="str">
        <f ca="1">IF(OR(INDEX($I$2:$I$1001,MATCH(ROWS($H$2:H671),$H$2:$H$1001,0),1)&gt;=100000,INDEX($O$1005:$Q$1005,1,MATCH(COLUMNS($O$1006:P1006),$O$1006:$Q$1006,0))&gt;=100000), " ",IF(INDEX($O$2:$Q$1001,MATCH(ROWS($H$2:H671),$H$2:$H$1001,0),MATCH(COLUMNS($O$1006:P1006),$O$1006:$Q$1006,0)), HYPERLINK("#",""), HYPERLINK(CONCATENATE("#metadata!", ADDRESS(INDEX($J$2:$J$1001,MATCH(ROWS($H$2:H671),$H$2:$H$1001,0),0), INDEX($O$1004:$Q$1004,1,MATCH(COLUMNS($O$1006:P1006),$O$1006:$Q$1006,0)))),"Fix")))</f>
        <v xml:space="preserve"> </v>
      </c>
      <c r="D671" s="3" t="str">
        <f ca="1">IF(OR(INDEX($I$2:$I$1001,MATCH(ROWS($H$2:H671),$H$2:$H$1001,0),1)&gt;=100000,INDEX($O$1005:$Q$1005,1,MATCH(COLUMNS($O$1006:Q1006),$O$1006:$Q$1006,0))&gt;=100000), " ",IF(INDEX($O$2:$Q$1001,MATCH(ROWS($H$2:H671),$H$2:$H$1001,0),MATCH(COLUMNS($O$1006:Q1006),$O$1006:$Q$1006,0)), HYPERLINK("#",""), HYPERLINK(CONCATENATE("#metadata!", ADDRESS(INDEX($J$2:$J$1001,MATCH(ROWS($H$2:H671),$H$2:$H$1001,0),0), INDEX($O$1004:$Q$1004,1,MATCH(COLUMNS($O$1006:Q1006),$O$1006:$Q$1006,0)))),"Fix")))</f>
        <v xml:space="preserve"> </v>
      </c>
      <c r="H671">
        <v>670</v>
      </c>
      <c r="I671">
        <v>100671</v>
      </c>
      <c r="J671">
        <v>671</v>
      </c>
      <c r="K671" t="b">
        <f t="shared" si="10"/>
        <v>1</v>
      </c>
      <c r="L671" t="b">
        <f>COUNTBLANK(metadata!B671:D671)=COLUMNS(metadata!B671:D671)</f>
        <v>1</v>
      </c>
      <c r="M671" t="str">
        <v/>
      </c>
      <c r="O671" t="b">
        <f ca="1"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P671" t="b">
        <f>AND(IF(metadata!C671="",FALSE,TRUE),EXACT(metadata!C671,"mouse gut metagenome"))</f>
        <v>0</v>
      </c>
      <c r="Q671" t="b">
        <f>AND(IF(metadata!D671="",FALSE,TRUE),EXACT(metadata!D671,"410661"))</f>
        <v>0</v>
      </c>
    </row>
    <row r="672" spans="1:17" x14ac:dyDescent="0.2">
      <c r="A672" s="4" t="str">
        <f ca="1">IF(B672=" "," ",HYPERLINK(CONCATENATE("#metadata!",ADDRESS(INDEX($J$2:$J$1001,MATCH(ROWS($H$2:H672),$H$2:$H$1001,0),0),1)),INDEX($M$2:$M$1001,MATCH(ROWS($H$2:H672),$H$2:$H$1001,0),0)))</f>
        <v xml:space="preserve"> </v>
      </c>
      <c r="B672" s="3" t="str">
        <f ca="1">IF(OR(INDEX($I$2:$I$1001,MATCH(ROWS($H$2:H672),$H$2:$H$1001,0),1)&gt;=100000,INDEX($O$1005:$Q$1005,1,MATCH(COLUMNS($O$1006:O1006),$O$1006:$Q$1006,0))&gt;=100000), " ",IF(INDEX($O$2:$Q$1001,MATCH(ROWS($H$2:H672),$H$2:$H$1001,0),MATCH(COLUMNS($O$1006:O1006),$O$1006:$Q$1006,0)), HYPERLINK("#",""), HYPERLINK(CONCATENATE("#metadata!", ADDRESS(INDEX($J$2:$J$1001,MATCH(ROWS($H$2:H672),$H$2:$H$1001,0),0), INDEX($O$1004:$Q$1004,1,MATCH(COLUMNS($O$1006:O1006),$O$1006:$Q$1006,0)))),"Fix")))</f>
        <v xml:space="preserve"> </v>
      </c>
      <c r="C672" s="3" t="str">
        <f ca="1">IF(OR(INDEX($I$2:$I$1001,MATCH(ROWS($H$2:H672),$H$2:$H$1001,0),1)&gt;=100000,INDEX($O$1005:$Q$1005,1,MATCH(COLUMNS($O$1006:P1006),$O$1006:$Q$1006,0))&gt;=100000), " ",IF(INDEX($O$2:$Q$1001,MATCH(ROWS($H$2:H672),$H$2:$H$1001,0),MATCH(COLUMNS($O$1006:P1006),$O$1006:$Q$1006,0)), HYPERLINK("#",""), HYPERLINK(CONCATENATE("#metadata!", ADDRESS(INDEX($J$2:$J$1001,MATCH(ROWS($H$2:H672),$H$2:$H$1001,0),0), INDEX($O$1004:$Q$1004,1,MATCH(COLUMNS($O$1006:P1006),$O$1006:$Q$1006,0)))),"Fix")))</f>
        <v xml:space="preserve"> </v>
      </c>
      <c r="D672" s="3" t="str">
        <f ca="1">IF(OR(INDEX($I$2:$I$1001,MATCH(ROWS($H$2:H672),$H$2:$H$1001,0),1)&gt;=100000,INDEX($O$1005:$Q$1005,1,MATCH(COLUMNS($O$1006:Q1006),$O$1006:$Q$1006,0))&gt;=100000), " ",IF(INDEX($O$2:$Q$1001,MATCH(ROWS($H$2:H672),$H$2:$H$1001,0),MATCH(COLUMNS($O$1006:Q1006),$O$1006:$Q$1006,0)), HYPERLINK("#",""), HYPERLINK(CONCATENATE("#metadata!", ADDRESS(INDEX($J$2:$J$1001,MATCH(ROWS($H$2:H672),$H$2:$H$1001,0),0), INDEX($O$1004:$Q$1004,1,MATCH(COLUMNS($O$1006:Q1006),$O$1006:$Q$1006,0)))),"Fix")))</f>
        <v xml:space="preserve"> </v>
      </c>
      <c r="H672">
        <v>671</v>
      </c>
      <c r="I672">
        <v>100672</v>
      </c>
      <c r="J672">
        <v>672</v>
      </c>
      <c r="K672" t="b">
        <f t="shared" si="10"/>
        <v>1</v>
      </c>
      <c r="L672" t="b">
        <f>COUNTBLANK(metadata!B672:D672)=COLUMNS(metadata!B672:D672)</f>
        <v>1</v>
      </c>
      <c r="M672" t="str">
        <v/>
      </c>
      <c r="O672" t="b">
        <f ca="1"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P672" t="b">
        <f>AND(IF(metadata!C672="",FALSE,TRUE),EXACT(metadata!C672,"mouse gut metagenome"))</f>
        <v>0</v>
      </c>
      <c r="Q672" t="b">
        <f>AND(IF(metadata!D672="",FALSE,TRUE),EXACT(metadata!D672,"410661"))</f>
        <v>0</v>
      </c>
    </row>
    <row r="673" spans="1:17" x14ac:dyDescent="0.2">
      <c r="A673" s="4" t="str">
        <f ca="1">IF(B673=" "," ",HYPERLINK(CONCATENATE("#metadata!",ADDRESS(INDEX($J$2:$J$1001,MATCH(ROWS($H$2:H673),$H$2:$H$1001,0),0),1)),INDEX($M$2:$M$1001,MATCH(ROWS($H$2:H673),$H$2:$H$1001,0),0)))</f>
        <v xml:space="preserve"> </v>
      </c>
      <c r="B673" s="3" t="str">
        <f ca="1">IF(OR(INDEX($I$2:$I$1001,MATCH(ROWS($H$2:H673),$H$2:$H$1001,0),1)&gt;=100000,INDEX($O$1005:$Q$1005,1,MATCH(COLUMNS($O$1006:O1006),$O$1006:$Q$1006,0))&gt;=100000), " ",IF(INDEX($O$2:$Q$1001,MATCH(ROWS($H$2:H673),$H$2:$H$1001,0),MATCH(COLUMNS($O$1006:O1006),$O$1006:$Q$1006,0)), HYPERLINK("#",""), HYPERLINK(CONCATENATE("#metadata!", ADDRESS(INDEX($J$2:$J$1001,MATCH(ROWS($H$2:H673),$H$2:$H$1001,0),0), INDEX($O$1004:$Q$1004,1,MATCH(COLUMNS($O$1006:O1006),$O$1006:$Q$1006,0)))),"Fix")))</f>
        <v xml:space="preserve"> </v>
      </c>
      <c r="C673" s="3" t="str">
        <f ca="1">IF(OR(INDEX($I$2:$I$1001,MATCH(ROWS($H$2:H673),$H$2:$H$1001,0),1)&gt;=100000,INDEX($O$1005:$Q$1005,1,MATCH(COLUMNS($O$1006:P1006),$O$1006:$Q$1006,0))&gt;=100000), " ",IF(INDEX($O$2:$Q$1001,MATCH(ROWS($H$2:H673),$H$2:$H$1001,0),MATCH(COLUMNS($O$1006:P1006),$O$1006:$Q$1006,0)), HYPERLINK("#",""), HYPERLINK(CONCATENATE("#metadata!", ADDRESS(INDEX($J$2:$J$1001,MATCH(ROWS($H$2:H673),$H$2:$H$1001,0),0), INDEX($O$1004:$Q$1004,1,MATCH(COLUMNS($O$1006:P1006),$O$1006:$Q$1006,0)))),"Fix")))</f>
        <v xml:space="preserve"> </v>
      </c>
      <c r="D673" s="3" t="str">
        <f ca="1">IF(OR(INDEX($I$2:$I$1001,MATCH(ROWS($H$2:H673),$H$2:$H$1001,0),1)&gt;=100000,INDEX($O$1005:$Q$1005,1,MATCH(COLUMNS($O$1006:Q1006),$O$1006:$Q$1006,0))&gt;=100000), " ",IF(INDEX($O$2:$Q$1001,MATCH(ROWS($H$2:H673),$H$2:$H$1001,0),MATCH(COLUMNS($O$1006:Q1006),$O$1006:$Q$1006,0)), HYPERLINK("#",""), HYPERLINK(CONCATENATE("#metadata!", ADDRESS(INDEX($J$2:$J$1001,MATCH(ROWS($H$2:H673),$H$2:$H$1001,0),0), INDEX($O$1004:$Q$1004,1,MATCH(COLUMNS($O$1006:Q1006),$O$1006:$Q$1006,0)))),"Fix")))</f>
        <v xml:space="preserve"> </v>
      </c>
      <c r="H673">
        <v>672</v>
      </c>
      <c r="I673">
        <v>100673</v>
      </c>
      <c r="J673">
        <v>673</v>
      </c>
      <c r="K673" t="b">
        <f t="shared" si="10"/>
        <v>1</v>
      </c>
      <c r="L673" t="b">
        <f>COUNTBLANK(metadata!B673:D673)=COLUMNS(metadata!B673:D673)</f>
        <v>1</v>
      </c>
      <c r="M673" t="str">
        <v/>
      </c>
      <c r="O673" t="b">
        <f ca="1"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P673" t="b">
        <f>AND(IF(metadata!C673="",FALSE,TRUE),EXACT(metadata!C673,"mouse gut metagenome"))</f>
        <v>0</v>
      </c>
      <c r="Q673" t="b">
        <f>AND(IF(metadata!D673="",FALSE,TRUE),EXACT(metadata!D673,"410661"))</f>
        <v>0</v>
      </c>
    </row>
    <row r="674" spans="1:17" x14ac:dyDescent="0.2">
      <c r="A674" s="4" t="str">
        <f ca="1">IF(B674=" "," ",HYPERLINK(CONCATENATE("#metadata!",ADDRESS(INDEX($J$2:$J$1001,MATCH(ROWS($H$2:H674),$H$2:$H$1001,0),0),1)),INDEX($M$2:$M$1001,MATCH(ROWS($H$2:H674),$H$2:$H$1001,0),0)))</f>
        <v xml:space="preserve"> </v>
      </c>
      <c r="B674" s="3" t="str">
        <f ca="1">IF(OR(INDEX($I$2:$I$1001,MATCH(ROWS($H$2:H674),$H$2:$H$1001,0),1)&gt;=100000,INDEX($O$1005:$Q$1005,1,MATCH(COLUMNS($O$1006:O1006),$O$1006:$Q$1006,0))&gt;=100000), " ",IF(INDEX($O$2:$Q$1001,MATCH(ROWS($H$2:H674),$H$2:$H$1001,0),MATCH(COLUMNS($O$1006:O1006),$O$1006:$Q$1006,0)), HYPERLINK("#",""), HYPERLINK(CONCATENATE("#metadata!", ADDRESS(INDEX($J$2:$J$1001,MATCH(ROWS($H$2:H674),$H$2:$H$1001,0),0), INDEX($O$1004:$Q$1004,1,MATCH(COLUMNS($O$1006:O1006),$O$1006:$Q$1006,0)))),"Fix")))</f>
        <v xml:space="preserve"> </v>
      </c>
      <c r="C674" s="3" t="str">
        <f ca="1">IF(OR(INDEX($I$2:$I$1001,MATCH(ROWS($H$2:H674),$H$2:$H$1001,0),1)&gt;=100000,INDEX($O$1005:$Q$1005,1,MATCH(COLUMNS($O$1006:P1006),$O$1006:$Q$1006,0))&gt;=100000), " ",IF(INDEX($O$2:$Q$1001,MATCH(ROWS($H$2:H674),$H$2:$H$1001,0),MATCH(COLUMNS($O$1006:P1006),$O$1006:$Q$1006,0)), HYPERLINK("#",""), HYPERLINK(CONCATENATE("#metadata!", ADDRESS(INDEX($J$2:$J$1001,MATCH(ROWS($H$2:H674),$H$2:$H$1001,0),0), INDEX($O$1004:$Q$1004,1,MATCH(COLUMNS($O$1006:P1006),$O$1006:$Q$1006,0)))),"Fix")))</f>
        <v xml:space="preserve"> </v>
      </c>
      <c r="D674" s="3" t="str">
        <f ca="1">IF(OR(INDEX($I$2:$I$1001,MATCH(ROWS($H$2:H674),$H$2:$H$1001,0),1)&gt;=100000,INDEX($O$1005:$Q$1005,1,MATCH(COLUMNS($O$1006:Q1006),$O$1006:$Q$1006,0))&gt;=100000), " ",IF(INDEX($O$2:$Q$1001,MATCH(ROWS($H$2:H674),$H$2:$H$1001,0),MATCH(COLUMNS($O$1006:Q1006),$O$1006:$Q$1006,0)), HYPERLINK("#",""), HYPERLINK(CONCATENATE("#metadata!", ADDRESS(INDEX($J$2:$J$1001,MATCH(ROWS($H$2:H674),$H$2:$H$1001,0),0), INDEX($O$1004:$Q$1004,1,MATCH(COLUMNS($O$1006:Q1006),$O$1006:$Q$1006,0)))),"Fix")))</f>
        <v xml:space="preserve"> </v>
      </c>
      <c r="H674">
        <v>673</v>
      </c>
      <c r="I674">
        <v>100674</v>
      </c>
      <c r="J674">
        <v>674</v>
      </c>
      <c r="K674" t="b">
        <f t="shared" si="10"/>
        <v>1</v>
      </c>
      <c r="L674" t="b">
        <f>COUNTBLANK(metadata!B674:D674)=COLUMNS(metadata!B674:D674)</f>
        <v>1</v>
      </c>
      <c r="M674" t="str">
        <v/>
      </c>
      <c r="O674" t="b">
        <f ca="1"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P674" t="b">
        <f>AND(IF(metadata!C674="",FALSE,TRUE),EXACT(metadata!C674,"mouse gut metagenome"))</f>
        <v>0</v>
      </c>
      <c r="Q674" t="b">
        <f>AND(IF(metadata!D674="",FALSE,TRUE),EXACT(metadata!D674,"410661"))</f>
        <v>0</v>
      </c>
    </row>
    <row r="675" spans="1:17" x14ac:dyDescent="0.2">
      <c r="A675" s="4" t="str">
        <f ca="1">IF(B675=" "," ",HYPERLINK(CONCATENATE("#metadata!",ADDRESS(INDEX($J$2:$J$1001,MATCH(ROWS($H$2:H675),$H$2:$H$1001,0),0),1)),INDEX($M$2:$M$1001,MATCH(ROWS($H$2:H675),$H$2:$H$1001,0),0)))</f>
        <v xml:space="preserve"> </v>
      </c>
      <c r="B675" s="3" t="str">
        <f ca="1">IF(OR(INDEX($I$2:$I$1001,MATCH(ROWS($H$2:H675),$H$2:$H$1001,0),1)&gt;=100000,INDEX($O$1005:$Q$1005,1,MATCH(COLUMNS($O$1006:O1006),$O$1006:$Q$1006,0))&gt;=100000), " ",IF(INDEX($O$2:$Q$1001,MATCH(ROWS($H$2:H675),$H$2:$H$1001,0),MATCH(COLUMNS($O$1006:O1006),$O$1006:$Q$1006,0)), HYPERLINK("#",""), HYPERLINK(CONCATENATE("#metadata!", ADDRESS(INDEX($J$2:$J$1001,MATCH(ROWS($H$2:H675),$H$2:$H$1001,0),0), INDEX($O$1004:$Q$1004,1,MATCH(COLUMNS($O$1006:O1006),$O$1006:$Q$1006,0)))),"Fix")))</f>
        <v xml:space="preserve"> </v>
      </c>
      <c r="C675" s="3" t="str">
        <f ca="1">IF(OR(INDEX($I$2:$I$1001,MATCH(ROWS($H$2:H675),$H$2:$H$1001,0),1)&gt;=100000,INDEX($O$1005:$Q$1005,1,MATCH(COLUMNS($O$1006:P1006),$O$1006:$Q$1006,0))&gt;=100000), " ",IF(INDEX($O$2:$Q$1001,MATCH(ROWS($H$2:H675),$H$2:$H$1001,0),MATCH(COLUMNS($O$1006:P1006),$O$1006:$Q$1006,0)), HYPERLINK("#",""), HYPERLINK(CONCATENATE("#metadata!", ADDRESS(INDEX($J$2:$J$1001,MATCH(ROWS($H$2:H675),$H$2:$H$1001,0),0), INDEX($O$1004:$Q$1004,1,MATCH(COLUMNS($O$1006:P1006),$O$1006:$Q$1006,0)))),"Fix")))</f>
        <v xml:space="preserve"> </v>
      </c>
      <c r="D675" s="3" t="str">
        <f ca="1">IF(OR(INDEX($I$2:$I$1001,MATCH(ROWS($H$2:H675),$H$2:$H$1001,0),1)&gt;=100000,INDEX($O$1005:$Q$1005,1,MATCH(COLUMNS($O$1006:Q1006),$O$1006:$Q$1006,0))&gt;=100000), " ",IF(INDEX($O$2:$Q$1001,MATCH(ROWS($H$2:H675),$H$2:$H$1001,0),MATCH(COLUMNS($O$1006:Q1006),$O$1006:$Q$1006,0)), HYPERLINK("#",""), HYPERLINK(CONCATENATE("#metadata!", ADDRESS(INDEX($J$2:$J$1001,MATCH(ROWS($H$2:H675),$H$2:$H$1001,0),0), INDEX($O$1004:$Q$1004,1,MATCH(COLUMNS($O$1006:Q1006),$O$1006:$Q$1006,0)))),"Fix")))</f>
        <v xml:space="preserve"> </v>
      </c>
      <c r="H675">
        <v>674</v>
      </c>
      <c r="I675">
        <v>100675</v>
      </c>
      <c r="J675">
        <v>675</v>
      </c>
      <c r="K675" t="b">
        <f t="shared" si="10"/>
        <v>1</v>
      </c>
      <c r="L675" t="b">
        <f>COUNTBLANK(metadata!B675:D675)=COLUMNS(metadata!B675:D675)</f>
        <v>1</v>
      </c>
      <c r="M675" t="str">
        <v/>
      </c>
      <c r="O675" t="b">
        <f ca="1"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P675" t="b">
        <f>AND(IF(metadata!C675="",FALSE,TRUE),EXACT(metadata!C675,"mouse gut metagenome"))</f>
        <v>0</v>
      </c>
      <c r="Q675" t="b">
        <f>AND(IF(metadata!D675="",FALSE,TRUE),EXACT(metadata!D675,"410661"))</f>
        <v>0</v>
      </c>
    </row>
    <row r="676" spans="1:17" x14ac:dyDescent="0.2">
      <c r="A676" s="4" t="str">
        <f ca="1">IF(B676=" "," ",HYPERLINK(CONCATENATE("#metadata!",ADDRESS(INDEX($J$2:$J$1001,MATCH(ROWS($H$2:H676),$H$2:$H$1001,0),0),1)),INDEX($M$2:$M$1001,MATCH(ROWS($H$2:H676),$H$2:$H$1001,0),0)))</f>
        <v xml:space="preserve"> </v>
      </c>
      <c r="B676" s="3" t="str">
        <f ca="1">IF(OR(INDEX($I$2:$I$1001,MATCH(ROWS($H$2:H676),$H$2:$H$1001,0),1)&gt;=100000,INDEX($O$1005:$Q$1005,1,MATCH(COLUMNS($O$1006:O1006),$O$1006:$Q$1006,0))&gt;=100000), " ",IF(INDEX($O$2:$Q$1001,MATCH(ROWS($H$2:H676),$H$2:$H$1001,0),MATCH(COLUMNS($O$1006:O1006),$O$1006:$Q$1006,0)), HYPERLINK("#",""), HYPERLINK(CONCATENATE("#metadata!", ADDRESS(INDEX($J$2:$J$1001,MATCH(ROWS($H$2:H676),$H$2:$H$1001,0),0), INDEX($O$1004:$Q$1004,1,MATCH(COLUMNS($O$1006:O1006),$O$1006:$Q$1006,0)))),"Fix")))</f>
        <v xml:space="preserve"> </v>
      </c>
      <c r="C676" s="3" t="str">
        <f ca="1">IF(OR(INDEX($I$2:$I$1001,MATCH(ROWS($H$2:H676),$H$2:$H$1001,0),1)&gt;=100000,INDEX($O$1005:$Q$1005,1,MATCH(COLUMNS($O$1006:P1006),$O$1006:$Q$1006,0))&gt;=100000), " ",IF(INDEX($O$2:$Q$1001,MATCH(ROWS($H$2:H676),$H$2:$H$1001,0),MATCH(COLUMNS($O$1006:P1006),$O$1006:$Q$1006,0)), HYPERLINK("#",""), HYPERLINK(CONCATENATE("#metadata!", ADDRESS(INDEX($J$2:$J$1001,MATCH(ROWS($H$2:H676),$H$2:$H$1001,0),0), INDEX($O$1004:$Q$1004,1,MATCH(COLUMNS($O$1006:P1006),$O$1006:$Q$1006,0)))),"Fix")))</f>
        <v xml:space="preserve"> </v>
      </c>
      <c r="D676" s="3" t="str">
        <f ca="1">IF(OR(INDEX($I$2:$I$1001,MATCH(ROWS($H$2:H676),$H$2:$H$1001,0),1)&gt;=100000,INDEX($O$1005:$Q$1005,1,MATCH(COLUMNS($O$1006:Q1006),$O$1006:$Q$1006,0))&gt;=100000), " ",IF(INDEX($O$2:$Q$1001,MATCH(ROWS($H$2:H676),$H$2:$H$1001,0),MATCH(COLUMNS($O$1006:Q1006),$O$1006:$Q$1006,0)), HYPERLINK("#",""), HYPERLINK(CONCATENATE("#metadata!", ADDRESS(INDEX($J$2:$J$1001,MATCH(ROWS($H$2:H676),$H$2:$H$1001,0),0), INDEX($O$1004:$Q$1004,1,MATCH(COLUMNS($O$1006:Q1006),$O$1006:$Q$1006,0)))),"Fix")))</f>
        <v xml:space="preserve"> </v>
      </c>
      <c r="H676">
        <v>675</v>
      </c>
      <c r="I676">
        <v>100676</v>
      </c>
      <c r="J676">
        <v>676</v>
      </c>
      <c r="K676" t="b">
        <f t="shared" si="10"/>
        <v>1</v>
      </c>
      <c r="L676" t="b">
        <f>COUNTBLANK(metadata!B676:D676)=COLUMNS(metadata!B676:D676)</f>
        <v>1</v>
      </c>
      <c r="M676" t="str">
        <v/>
      </c>
      <c r="O676" t="b">
        <f ca="1"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P676" t="b">
        <f>AND(IF(metadata!C676="",FALSE,TRUE),EXACT(metadata!C676,"mouse gut metagenome"))</f>
        <v>0</v>
      </c>
      <c r="Q676" t="b">
        <f>AND(IF(metadata!D676="",FALSE,TRUE),EXACT(metadata!D676,"410661"))</f>
        <v>0</v>
      </c>
    </row>
    <row r="677" spans="1:17" x14ac:dyDescent="0.2">
      <c r="A677" s="4" t="str">
        <f ca="1">IF(B677=" "," ",HYPERLINK(CONCATENATE("#metadata!",ADDRESS(INDEX($J$2:$J$1001,MATCH(ROWS($H$2:H677),$H$2:$H$1001,0),0),1)),INDEX($M$2:$M$1001,MATCH(ROWS($H$2:H677),$H$2:$H$1001,0),0)))</f>
        <v xml:space="preserve"> </v>
      </c>
      <c r="B677" s="3" t="str">
        <f ca="1">IF(OR(INDEX($I$2:$I$1001,MATCH(ROWS($H$2:H677),$H$2:$H$1001,0),1)&gt;=100000,INDEX($O$1005:$Q$1005,1,MATCH(COLUMNS($O$1006:O1006),$O$1006:$Q$1006,0))&gt;=100000), " ",IF(INDEX($O$2:$Q$1001,MATCH(ROWS($H$2:H677),$H$2:$H$1001,0),MATCH(COLUMNS($O$1006:O1006),$O$1006:$Q$1006,0)), HYPERLINK("#",""), HYPERLINK(CONCATENATE("#metadata!", ADDRESS(INDEX($J$2:$J$1001,MATCH(ROWS($H$2:H677),$H$2:$H$1001,0),0), INDEX($O$1004:$Q$1004,1,MATCH(COLUMNS($O$1006:O1006),$O$1006:$Q$1006,0)))),"Fix")))</f>
        <v xml:space="preserve"> </v>
      </c>
      <c r="C677" s="3" t="str">
        <f ca="1">IF(OR(INDEX($I$2:$I$1001,MATCH(ROWS($H$2:H677),$H$2:$H$1001,0),1)&gt;=100000,INDEX($O$1005:$Q$1005,1,MATCH(COLUMNS($O$1006:P1006),$O$1006:$Q$1006,0))&gt;=100000), " ",IF(INDEX($O$2:$Q$1001,MATCH(ROWS($H$2:H677),$H$2:$H$1001,0),MATCH(COLUMNS($O$1006:P1006),$O$1006:$Q$1006,0)), HYPERLINK("#",""), HYPERLINK(CONCATENATE("#metadata!", ADDRESS(INDEX($J$2:$J$1001,MATCH(ROWS($H$2:H677),$H$2:$H$1001,0),0), INDEX($O$1004:$Q$1004,1,MATCH(COLUMNS($O$1006:P1006),$O$1006:$Q$1006,0)))),"Fix")))</f>
        <v xml:space="preserve"> </v>
      </c>
      <c r="D677" s="3" t="str">
        <f ca="1">IF(OR(INDEX($I$2:$I$1001,MATCH(ROWS($H$2:H677),$H$2:$H$1001,0),1)&gt;=100000,INDEX($O$1005:$Q$1005,1,MATCH(COLUMNS($O$1006:Q1006),$O$1006:$Q$1006,0))&gt;=100000), " ",IF(INDEX($O$2:$Q$1001,MATCH(ROWS($H$2:H677),$H$2:$H$1001,0),MATCH(COLUMNS($O$1006:Q1006),$O$1006:$Q$1006,0)), HYPERLINK("#",""), HYPERLINK(CONCATENATE("#metadata!", ADDRESS(INDEX($J$2:$J$1001,MATCH(ROWS($H$2:H677),$H$2:$H$1001,0),0), INDEX($O$1004:$Q$1004,1,MATCH(COLUMNS($O$1006:Q1006),$O$1006:$Q$1006,0)))),"Fix")))</f>
        <v xml:space="preserve"> </v>
      </c>
      <c r="H677">
        <v>676</v>
      </c>
      <c r="I677">
        <v>100677</v>
      </c>
      <c r="J677">
        <v>677</v>
      </c>
      <c r="K677" t="b">
        <f t="shared" si="10"/>
        <v>1</v>
      </c>
      <c r="L677" t="b">
        <f>COUNTBLANK(metadata!B677:D677)=COLUMNS(metadata!B677:D677)</f>
        <v>1</v>
      </c>
      <c r="M677" t="str">
        <v/>
      </c>
      <c r="O677" t="b">
        <f ca="1"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P677" t="b">
        <f>AND(IF(metadata!C677="",FALSE,TRUE),EXACT(metadata!C677,"mouse gut metagenome"))</f>
        <v>0</v>
      </c>
      <c r="Q677" t="b">
        <f>AND(IF(metadata!D677="",FALSE,TRUE),EXACT(metadata!D677,"410661"))</f>
        <v>0</v>
      </c>
    </row>
    <row r="678" spans="1:17" x14ac:dyDescent="0.2">
      <c r="A678" s="4" t="str">
        <f ca="1">IF(B678=" "," ",HYPERLINK(CONCATENATE("#metadata!",ADDRESS(INDEX($J$2:$J$1001,MATCH(ROWS($H$2:H678),$H$2:$H$1001,0),0),1)),INDEX($M$2:$M$1001,MATCH(ROWS($H$2:H678),$H$2:$H$1001,0),0)))</f>
        <v xml:space="preserve"> </v>
      </c>
      <c r="B678" s="3" t="str">
        <f ca="1">IF(OR(INDEX($I$2:$I$1001,MATCH(ROWS($H$2:H678),$H$2:$H$1001,0),1)&gt;=100000,INDEX($O$1005:$Q$1005,1,MATCH(COLUMNS($O$1006:O1006),$O$1006:$Q$1006,0))&gt;=100000), " ",IF(INDEX($O$2:$Q$1001,MATCH(ROWS($H$2:H678),$H$2:$H$1001,0),MATCH(COLUMNS($O$1006:O1006),$O$1006:$Q$1006,0)), HYPERLINK("#",""), HYPERLINK(CONCATENATE("#metadata!", ADDRESS(INDEX($J$2:$J$1001,MATCH(ROWS($H$2:H678),$H$2:$H$1001,0),0), INDEX($O$1004:$Q$1004,1,MATCH(COLUMNS($O$1006:O1006),$O$1006:$Q$1006,0)))),"Fix")))</f>
        <v xml:space="preserve"> </v>
      </c>
      <c r="C678" s="3" t="str">
        <f ca="1">IF(OR(INDEX($I$2:$I$1001,MATCH(ROWS($H$2:H678),$H$2:$H$1001,0),1)&gt;=100000,INDEX($O$1005:$Q$1005,1,MATCH(COLUMNS($O$1006:P1006),$O$1006:$Q$1006,0))&gt;=100000), " ",IF(INDEX($O$2:$Q$1001,MATCH(ROWS($H$2:H678),$H$2:$H$1001,0),MATCH(COLUMNS($O$1006:P1006),$O$1006:$Q$1006,0)), HYPERLINK("#",""), HYPERLINK(CONCATENATE("#metadata!", ADDRESS(INDEX($J$2:$J$1001,MATCH(ROWS($H$2:H678),$H$2:$H$1001,0),0), INDEX($O$1004:$Q$1004,1,MATCH(COLUMNS($O$1006:P1006),$O$1006:$Q$1006,0)))),"Fix")))</f>
        <v xml:space="preserve"> </v>
      </c>
      <c r="D678" s="3" t="str">
        <f ca="1">IF(OR(INDEX($I$2:$I$1001,MATCH(ROWS($H$2:H678),$H$2:$H$1001,0),1)&gt;=100000,INDEX($O$1005:$Q$1005,1,MATCH(COLUMNS($O$1006:Q1006),$O$1006:$Q$1006,0))&gt;=100000), " ",IF(INDEX($O$2:$Q$1001,MATCH(ROWS($H$2:H678),$H$2:$H$1001,0),MATCH(COLUMNS($O$1006:Q1006),$O$1006:$Q$1006,0)), HYPERLINK("#",""), HYPERLINK(CONCATENATE("#metadata!", ADDRESS(INDEX($J$2:$J$1001,MATCH(ROWS($H$2:H678),$H$2:$H$1001,0),0), INDEX($O$1004:$Q$1004,1,MATCH(COLUMNS($O$1006:Q1006),$O$1006:$Q$1006,0)))),"Fix")))</f>
        <v xml:space="preserve"> </v>
      </c>
      <c r="H678">
        <v>677</v>
      </c>
      <c r="I678">
        <v>100678</v>
      </c>
      <c r="J678">
        <v>678</v>
      </c>
      <c r="K678" t="b">
        <f t="shared" si="10"/>
        <v>1</v>
      </c>
      <c r="L678" t="b">
        <f>COUNTBLANK(metadata!B678:D678)=COLUMNS(metadata!B678:D678)</f>
        <v>1</v>
      </c>
      <c r="M678" t="str">
        <v/>
      </c>
      <c r="O678" t="b">
        <f ca="1"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P678" t="b">
        <f>AND(IF(metadata!C678="",FALSE,TRUE),EXACT(metadata!C678,"mouse gut metagenome"))</f>
        <v>0</v>
      </c>
      <c r="Q678" t="b">
        <f>AND(IF(metadata!D678="",FALSE,TRUE),EXACT(metadata!D678,"410661"))</f>
        <v>0</v>
      </c>
    </row>
    <row r="679" spans="1:17" x14ac:dyDescent="0.2">
      <c r="A679" s="4" t="str">
        <f ca="1">IF(B679=" "," ",HYPERLINK(CONCATENATE("#metadata!",ADDRESS(INDEX($J$2:$J$1001,MATCH(ROWS($H$2:H679),$H$2:$H$1001,0),0),1)),INDEX($M$2:$M$1001,MATCH(ROWS($H$2:H679),$H$2:$H$1001,0),0)))</f>
        <v xml:space="preserve"> </v>
      </c>
      <c r="B679" s="3" t="str">
        <f ca="1">IF(OR(INDEX($I$2:$I$1001,MATCH(ROWS($H$2:H679),$H$2:$H$1001,0),1)&gt;=100000,INDEX($O$1005:$Q$1005,1,MATCH(COLUMNS($O$1006:O1006),$O$1006:$Q$1006,0))&gt;=100000), " ",IF(INDEX($O$2:$Q$1001,MATCH(ROWS($H$2:H679),$H$2:$H$1001,0),MATCH(COLUMNS($O$1006:O1006),$O$1006:$Q$1006,0)), HYPERLINK("#",""), HYPERLINK(CONCATENATE("#metadata!", ADDRESS(INDEX($J$2:$J$1001,MATCH(ROWS($H$2:H679),$H$2:$H$1001,0),0), INDEX($O$1004:$Q$1004,1,MATCH(COLUMNS($O$1006:O1006),$O$1006:$Q$1006,0)))),"Fix")))</f>
        <v xml:space="preserve"> </v>
      </c>
      <c r="C679" s="3" t="str">
        <f ca="1">IF(OR(INDEX($I$2:$I$1001,MATCH(ROWS($H$2:H679),$H$2:$H$1001,0),1)&gt;=100000,INDEX($O$1005:$Q$1005,1,MATCH(COLUMNS($O$1006:P1006),$O$1006:$Q$1006,0))&gt;=100000), " ",IF(INDEX($O$2:$Q$1001,MATCH(ROWS($H$2:H679),$H$2:$H$1001,0),MATCH(COLUMNS($O$1006:P1006),$O$1006:$Q$1006,0)), HYPERLINK("#",""), HYPERLINK(CONCATENATE("#metadata!", ADDRESS(INDEX($J$2:$J$1001,MATCH(ROWS($H$2:H679),$H$2:$H$1001,0),0), INDEX($O$1004:$Q$1004,1,MATCH(COLUMNS($O$1006:P1006),$O$1006:$Q$1006,0)))),"Fix")))</f>
        <v xml:space="preserve"> </v>
      </c>
      <c r="D679" s="3" t="str">
        <f ca="1">IF(OR(INDEX($I$2:$I$1001,MATCH(ROWS($H$2:H679),$H$2:$H$1001,0),1)&gt;=100000,INDEX($O$1005:$Q$1005,1,MATCH(COLUMNS($O$1006:Q1006),$O$1006:$Q$1006,0))&gt;=100000), " ",IF(INDEX($O$2:$Q$1001,MATCH(ROWS($H$2:H679),$H$2:$H$1001,0),MATCH(COLUMNS($O$1006:Q1006),$O$1006:$Q$1006,0)), HYPERLINK("#",""), HYPERLINK(CONCATENATE("#metadata!", ADDRESS(INDEX($J$2:$J$1001,MATCH(ROWS($H$2:H679),$H$2:$H$1001,0),0), INDEX($O$1004:$Q$1004,1,MATCH(COLUMNS($O$1006:Q1006),$O$1006:$Q$1006,0)))),"Fix")))</f>
        <v xml:space="preserve"> </v>
      </c>
      <c r="H679">
        <v>678</v>
      </c>
      <c r="I679">
        <v>100679</v>
      </c>
      <c r="J679">
        <v>679</v>
      </c>
      <c r="K679" t="b">
        <f t="shared" si="10"/>
        <v>1</v>
      </c>
      <c r="L679" t="b">
        <f>COUNTBLANK(metadata!B679:D679)=COLUMNS(metadata!B679:D679)</f>
        <v>1</v>
      </c>
      <c r="M679" t="str">
        <v/>
      </c>
      <c r="O679" t="b">
        <f ca="1"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P679" t="b">
        <f>AND(IF(metadata!C679="",FALSE,TRUE),EXACT(metadata!C679,"mouse gut metagenome"))</f>
        <v>0</v>
      </c>
      <c r="Q679" t="b">
        <f>AND(IF(metadata!D679="",FALSE,TRUE),EXACT(metadata!D679,"410661"))</f>
        <v>0</v>
      </c>
    </row>
    <row r="680" spans="1:17" x14ac:dyDescent="0.2">
      <c r="A680" s="4" t="str">
        <f ca="1">IF(B680=" "," ",HYPERLINK(CONCATENATE("#metadata!",ADDRESS(INDEX($J$2:$J$1001,MATCH(ROWS($H$2:H680),$H$2:$H$1001,0),0),1)),INDEX($M$2:$M$1001,MATCH(ROWS($H$2:H680),$H$2:$H$1001,0),0)))</f>
        <v xml:space="preserve"> </v>
      </c>
      <c r="B680" s="3" t="str">
        <f ca="1">IF(OR(INDEX($I$2:$I$1001,MATCH(ROWS($H$2:H680),$H$2:$H$1001,0),1)&gt;=100000,INDEX($O$1005:$Q$1005,1,MATCH(COLUMNS($O$1006:O1006),$O$1006:$Q$1006,0))&gt;=100000), " ",IF(INDEX($O$2:$Q$1001,MATCH(ROWS($H$2:H680),$H$2:$H$1001,0),MATCH(COLUMNS($O$1006:O1006),$O$1006:$Q$1006,0)), HYPERLINK("#",""), HYPERLINK(CONCATENATE("#metadata!", ADDRESS(INDEX($J$2:$J$1001,MATCH(ROWS($H$2:H680),$H$2:$H$1001,0),0), INDEX($O$1004:$Q$1004,1,MATCH(COLUMNS($O$1006:O1006),$O$1006:$Q$1006,0)))),"Fix")))</f>
        <v xml:space="preserve"> </v>
      </c>
      <c r="C680" s="3" t="str">
        <f ca="1">IF(OR(INDEX($I$2:$I$1001,MATCH(ROWS($H$2:H680),$H$2:$H$1001,0),1)&gt;=100000,INDEX($O$1005:$Q$1005,1,MATCH(COLUMNS($O$1006:P1006),$O$1006:$Q$1006,0))&gt;=100000), " ",IF(INDEX($O$2:$Q$1001,MATCH(ROWS($H$2:H680),$H$2:$H$1001,0),MATCH(COLUMNS($O$1006:P1006),$O$1006:$Q$1006,0)), HYPERLINK("#",""), HYPERLINK(CONCATENATE("#metadata!", ADDRESS(INDEX($J$2:$J$1001,MATCH(ROWS($H$2:H680),$H$2:$H$1001,0),0), INDEX($O$1004:$Q$1004,1,MATCH(COLUMNS($O$1006:P1006),$O$1006:$Q$1006,0)))),"Fix")))</f>
        <v xml:space="preserve"> </v>
      </c>
      <c r="D680" s="3" t="str">
        <f ca="1">IF(OR(INDEX($I$2:$I$1001,MATCH(ROWS($H$2:H680),$H$2:$H$1001,0),1)&gt;=100000,INDEX($O$1005:$Q$1005,1,MATCH(COLUMNS($O$1006:Q1006),$O$1006:$Q$1006,0))&gt;=100000), " ",IF(INDEX($O$2:$Q$1001,MATCH(ROWS($H$2:H680),$H$2:$H$1001,0),MATCH(COLUMNS($O$1006:Q1006),$O$1006:$Q$1006,0)), HYPERLINK("#",""), HYPERLINK(CONCATENATE("#metadata!", ADDRESS(INDEX($J$2:$J$1001,MATCH(ROWS($H$2:H680),$H$2:$H$1001,0),0), INDEX($O$1004:$Q$1004,1,MATCH(COLUMNS($O$1006:Q1006),$O$1006:$Q$1006,0)))),"Fix")))</f>
        <v xml:space="preserve"> </v>
      </c>
      <c r="H680">
        <v>679</v>
      </c>
      <c r="I680">
        <v>100680</v>
      </c>
      <c r="J680">
        <v>680</v>
      </c>
      <c r="K680" t="b">
        <f t="shared" si="10"/>
        <v>1</v>
      </c>
      <c r="L680" t="b">
        <f>COUNTBLANK(metadata!B680:D680)=COLUMNS(metadata!B680:D680)</f>
        <v>1</v>
      </c>
      <c r="M680" t="str">
        <v/>
      </c>
      <c r="O680" t="b">
        <f ca="1"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P680" t="b">
        <f>AND(IF(metadata!C680="",FALSE,TRUE),EXACT(metadata!C680,"mouse gut metagenome"))</f>
        <v>0</v>
      </c>
      <c r="Q680" t="b">
        <f>AND(IF(metadata!D680="",FALSE,TRUE),EXACT(metadata!D680,"410661"))</f>
        <v>0</v>
      </c>
    </row>
    <row r="681" spans="1:17" x14ac:dyDescent="0.2">
      <c r="A681" s="4" t="str">
        <f ca="1">IF(B681=" "," ",HYPERLINK(CONCATENATE("#metadata!",ADDRESS(INDEX($J$2:$J$1001,MATCH(ROWS($H$2:H681),$H$2:$H$1001,0),0),1)),INDEX($M$2:$M$1001,MATCH(ROWS($H$2:H681),$H$2:$H$1001,0),0)))</f>
        <v xml:space="preserve"> </v>
      </c>
      <c r="B681" s="3" t="str">
        <f ca="1">IF(OR(INDEX($I$2:$I$1001,MATCH(ROWS($H$2:H681),$H$2:$H$1001,0),1)&gt;=100000,INDEX($O$1005:$Q$1005,1,MATCH(COLUMNS($O$1006:O1006),$O$1006:$Q$1006,0))&gt;=100000), " ",IF(INDEX($O$2:$Q$1001,MATCH(ROWS($H$2:H681),$H$2:$H$1001,0),MATCH(COLUMNS($O$1006:O1006),$O$1006:$Q$1006,0)), HYPERLINK("#",""), HYPERLINK(CONCATENATE("#metadata!", ADDRESS(INDEX($J$2:$J$1001,MATCH(ROWS($H$2:H681),$H$2:$H$1001,0),0), INDEX($O$1004:$Q$1004,1,MATCH(COLUMNS($O$1006:O1006),$O$1006:$Q$1006,0)))),"Fix")))</f>
        <v xml:space="preserve"> </v>
      </c>
      <c r="C681" s="3" t="str">
        <f ca="1">IF(OR(INDEX($I$2:$I$1001,MATCH(ROWS($H$2:H681),$H$2:$H$1001,0),1)&gt;=100000,INDEX($O$1005:$Q$1005,1,MATCH(COLUMNS($O$1006:P1006),$O$1006:$Q$1006,0))&gt;=100000), " ",IF(INDEX($O$2:$Q$1001,MATCH(ROWS($H$2:H681),$H$2:$H$1001,0),MATCH(COLUMNS($O$1006:P1006),$O$1006:$Q$1006,0)), HYPERLINK("#",""), HYPERLINK(CONCATENATE("#metadata!", ADDRESS(INDEX($J$2:$J$1001,MATCH(ROWS($H$2:H681),$H$2:$H$1001,0),0), INDEX($O$1004:$Q$1004,1,MATCH(COLUMNS($O$1006:P1006),$O$1006:$Q$1006,0)))),"Fix")))</f>
        <v xml:space="preserve"> </v>
      </c>
      <c r="D681" s="3" t="str">
        <f ca="1">IF(OR(INDEX($I$2:$I$1001,MATCH(ROWS($H$2:H681),$H$2:$H$1001,0),1)&gt;=100000,INDEX($O$1005:$Q$1005,1,MATCH(COLUMNS($O$1006:Q1006),$O$1006:$Q$1006,0))&gt;=100000), " ",IF(INDEX($O$2:$Q$1001,MATCH(ROWS($H$2:H681),$H$2:$H$1001,0),MATCH(COLUMNS($O$1006:Q1006),$O$1006:$Q$1006,0)), HYPERLINK("#",""), HYPERLINK(CONCATENATE("#metadata!", ADDRESS(INDEX($J$2:$J$1001,MATCH(ROWS($H$2:H681),$H$2:$H$1001,0),0), INDEX($O$1004:$Q$1004,1,MATCH(COLUMNS($O$1006:Q1006),$O$1006:$Q$1006,0)))),"Fix")))</f>
        <v xml:space="preserve"> </v>
      </c>
      <c r="H681">
        <v>680</v>
      </c>
      <c r="I681">
        <v>100681</v>
      </c>
      <c r="J681">
        <v>681</v>
      </c>
      <c r="K681" t="b">
        <f t="shared" si="10"/>
        <v>1</v>
      </c>
      <c r="L681" t="b">
        <f>COUNTBLANK(metadata!B681:D681)=COLUMNS(metadata!B681:D681)</f>
        <v>1</v>
      </c>
      <c r="M681" t="str">
        <v/>
      </c>
      <c r="O681" t="b">
        <f ca="1"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P681" t="b">
        <f>AND(IF(metadata!C681="",FALSE,TRUE),EXACT(metadata!C681,"mouse gut metagenome"))</f>
        <v>0</v>
      </c>
      <c r="Q681" t="b">
        <f>AND(IF(metadata!D681="",FALSE,TRUE),EXACT(metadata!D681,"410661"))</f>
        <v>0</v>
      </c>
    </row>
    <row r="682" spans="1:17" x14ac:dyDescent="0.2">
      <c r="A682" s="4" t="str">
        <f ca="1">IF(B682=" "," ",HYPERLINK(CONCATENATE("#metadata!",ADDRESS(INDEX($J$2:$J$1001,MATCH(ROWS($H$2:H682),$H$2:$H$1001,0),0),1)),INDEX($M$2:$M$1001,MATCH(ROWS($H$2:H682),$H$2:$H$1001,0),0)))</f>
        <v xml:space="preserve"> </v>
      </c>
      <c r="B682" s="3" t="str">
        <f ca="1">IF(OR(INDEX($I$2:$I$1001,MATCH(ROWS($H$2:H682),$H$2:$H$1001,0),1)&gt;=100000,INDEX($O$1005:$Q$1005,1,MATCH(COLUMNS($O$1006:O1006),$O$1006:$Q$1006,0))&gt;=100000), " ",IF(INDEX($O$2:$Q$1001,MATCH(ROWS($H$2:H682),$H$2:$H$1001,0),MATCH(COLUMNS($O$1006:O1006),$O$1006:$Q$1006,0)), HYPERLINK("#",""), HYPERLINK(CONCATENATE("#metadata!", ADDRESS(INDEX($J$2:$J$1001,MATCH(ROWS($H$2:H682),$H$2:$H$1001,0),0), INDEX($O$1004:$Q$1004,1,MATCH(COLUMNS($O$1006:O1006),$O$1006:$Q$1006,0)))),"Fix")))</f>
        <v xml:space="preserve"> </v>
      </c>
      <c r="C682" s="3" t="str">
        <f ca="1">IF(OR(INDEX($I$2:$I$1001,MATCH(ROWS($H$2:H682),$H$2:$H$1001,0),1)&gt;=100000,INDEX($O$1005:$Q$1005,1,MATCH(COLUMNS($O$1006:P1006),$O$1006:$Q$1006,0))&gt;=100000), " ",IF(INDEX($O$2:$Q$1001,MATCH(ROWS($H$2:H682),$H$2:$H$1001,0),MATCH(COLUMNS($O$1006:P1006),$O$1006:$Q$1006,0)), HYPERLINK("#",""), HYPERLINK(CONCATENATE("#metadata!", ADDRESS(INDEX($J$2:$J$1001,MATCH(ROWS($H$2:H682),$H$2:$H$1001,0),0), INDEX($O$1004:$Q$1004,1,MATCH(COLUMNS($O$1006:P1006),$O$1006:$Q$1006,0)))),"Fix")))</f>
        <v xml:space="preserve"> </v>
      </c>
      <c r="D682" s="3" t="str">
        <f ca="1">IF(OR(INDEX($I$2:$I$1001,MATCH(ROWS($H$2:H682),$H$2:$H$1001,0),1)&gt;=100000,INDEX($O$1005:$Q$1005,1,MATCH(COLUMNS($O$1006:Q1006),$O$1006:$Q$1006,0))&gt;=100000), " ",IF(INDEX($O$2:$Q$1001,MATCH(ROWS($H$2:H682),$H$2:$H$1001,0),MATCH(COLUMNS($O$1006:Q1006),$O$1006:$Q$1006,0)), HYPERLINK("#",""), HYPERLINK(CONCATENATE("#metadata!", ADDRESS(INDEX($J$2:$J$1001,MATCH(ROWS($H$2:H682),$H$2:$H$1001,0),0), INDEX($O$1004:$Q$1004,1,MATCH(COLUMNS($O$1006:Q1006),$O$1006:$Q$1006,0)))),"Fix")))</f>
        <v xml:space="preserve"> </v>
      </c>
      <c r="H682">
        <v>681</v>
      </c>
      <c r="I682">
        <v>100682</v>
      </c>
      <c r="J682">
        <v>682</v>
      </c>
      <c r="K682" t="b">
        <f t="shared" si="10"/>
        <v>1</v>
      </c>
      <c r="L682" t="b">
        <f>COUNTBLANK(metadata!B682:D682)=COLUMNS(metadata!B682:D682)</f>
        <v>1</v>
      </c>
      <c r="M682" t="str">
        <v/>
      </c>
      <c r="O682" t="b">
        <f ca="1"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P682" t="b">
        <f>AND(IF(metadata!C682="",FALSE,TRUE),EXACT(metadata!C682,"mouse gut metagenome"))</f>
        <v>0</v>
      </c>
      <c r="Q682" t="b">
        <f>AND(IF(metadata!D682="",FALSE,TRUE),EXACT(metadata!D682,"410661"))</f>
        <v>0</v>
      </c>
    </row>
    <row r="683" spans="1:17" x14ac:dyDescent="0.2">
      <c r="A683" s="4" t="str">
        <f ca="1">IF(B683=" "," ",HYPERLINK(CONCATENATE("#metadata!",ADDRESS(INDEX($J$2:$J$1001,MATCH(ROWS($H$2:H683),$H$2:$H$1001,0),0),1)),INDEX($M$2:$M$1001,MATCH(ROWS($H$2:H683),$H$2:$H$1001,0),0)))</f>
        <v xml:space="preserve"> </v>
      </c>
      <c r="B683" s="3" t="str">
        <f ca="1">IF(OR(INDEX($I$2:$I$1001,MATCH(ROWS($H$2:H683),$H$2:$H$1001,0),1)&gt;=100000,INDEX($O$1005:$Q$1005,1,MATCH(COLUMNS($O$1006:O1006),$O$1006:$Q$1006,0))&gt;=100000), " ",IF(INDEX($O$2:$Q$1001,MATCH(ROWS($H$2:H683),$H$2:$H$1001,0),MATCH(COLUMNS($O$1006:O1006),$O$1006:$Q$1006,0)), HYPERLINK("#",""), HYPERLINK(CONCATENATE("#metadata!", ADDRESS(INDEX($J$2:$J$1001,MATCH(ROWS($H$2:H683),$H$2:$H$1001,0),0), INDEX($O$1004:$Q$1004,1,MATCH(COLUMNS($O$1006:O1006),$O$1006:$Q$1006,0)))),"Fix")))</f>
        <v xml:space="preserve"> </v>
      </c>
      <c r="C683" s="3" t="str">
        <f ca="1">IF(OR(INDEX($I$2:$I$1001,MATCH(ROWS($H$2:H683),$H$2:$H$1001,0),1)&gt;=100000,INDEX($O$1005:$Q$1005,1,MATCH(COLUMNS($O$1006:P1006),$O$1006:$Q$1006,0))&gt;=100000), " ",IF(INDEX($O$2:$Q$1001,MATCH(ROWS($H$2:H683),$H$2:$H$1001,0),MATCH(COLUMNS($O$1006:P1006),$O$1006:$Q$1006,0)), HYPERLINK("#",""), HYPERLINK(CONCATENATE("#metadata!", ADDRESS(INDEX($J$2:$J$1001,MATCH(ROWS($H$2:H683),$H$2:$H$1001,0),0), INDEX($O$1004:$Q$1004,1,MATCH(COLUMNS($O$1006:P1006),$O$1006:$Q$1006,0)))),"Fix")))</f>
        <v xml:space="preserve"> </v>
      </c>
      <c r="D683" s="3" t="str">
        <f ca="1">IF(OR(INDEX($I$2:$I$1001,MATCH(ROWS($H$2:H683),$H$2:$H$1001,0),1)&gt;=100000,INDEX($O$1005:$Q$1005,1,MATCH(COLUMNS($O$1006:Q1006),$O$1006:$Q$1006,0))&gt;=100000), " ",IF(INDEX($O$2:$Q$1001,MATCH(ROWS($H$2:H683),$H$2:$H$1001,0),MATCH(COLUMNS($O$1006:Q1006),$O$1006:$Q$1006,0)), HYPERLINK("#",""), HYPERLINK(CONCATENATE("#metadata!", ADDRESS(INDEX($J$2:$J$1001,MATCH(ROWS($H$2:H683),$H$2:$H$1001,0),0), INDEX($O$1004:$Q$1004,1,MATCH(COLUMNS($O$1006:Q1006),$O$1006:$Q$1006,0)))),"Fix")))</f>
        <v xml:space="preserve"> </v>
      </c>
      <c r="H683">
        <v>682</v>
      </c>
      <c r="I683">
        <v>100683</v>
      </c>
      <c r="J683">
        <v>683</v>
      </c>
      <c r="K683" t="b">
        <f t="shared" si="10"/>
        <v>1</v>
      </c>
      <c r="L683" t="b">
        <f>COUNTBLANK(metadata!B683:D683)=COLUMNS(metadata!B683:D683)</f>
        <v>1</v>
      </c>
      <c r="M683" t="str">
        <v/>
      </c>
      <c r="O683" t="b">
        <f ca="1"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P683" t="b">
        <f>AND(IF(metadata!C683="",FALSE,TRUE),EXACT(metadata!C683,"mouse gut metagenome"))</f>
        <v>0</v>
      </c>
      <c r="Q683" t="b">
        <f>AND(IF(metadata!D683="",FALSE,TRUE),EXACT(metadata!D683,"410661"))</f>
        <v>0</v>
      </c>
    </row>
    <row r="684" spans="1:17" x14ac:dyDescent="0.2">
      <c r="A684" s="4" t="str">
        <f ca="1">IF(B684=" "," ",HYPERLINK(CONCATENATE("#metadata!",ADDRESS(INDEX($J$2:$J$1001,MATCH(ROWS($H$2:H684),$H$2:$H$1001,0),0),1)),INDEX($M$2:$M$1001,MATCH(ROWS($H$2:H684),$H$2:$H$1001,0),0)))</f>
        <v xml:space="preserve"> </v>
      </c>
      <c r="B684" s="3" t="str">
        <f ca="1">IF(OR(INDEX($I$2:$I$1001,MATCH(ROWS($H$2:H684),$H$2:$H$1001,0),1)&gt;=100000,INDEX($O$1005:$Q$1005,1,MATCH(COLUMNS($O$1006:O1006),$O$1006:$Q$1006,0))&gt;=100000), " ",IF(INDEX($O$2:$Q$1001,MATCH(ROWS($H$2:H684),$H$2:$H$1001,0),MATCH(COLUMNS($O$1006:O1006),$O$1006:$Q$1006,0)), HYPERLINK("#",""), HYPERLINK(CONCATENATE("#metadata!", ADDRESS(INDEX($J$2:$J$1001,MATCH(ROWS($H$2:H684),$H$2:$H$1001,0),0), INDEX($O$1004:$Q$1004,1,MATCH(COLUMNS($O$1006:O1006),$O$1006:$Q$1006,0)))),"Fix")))</f>
        <v xml:space="preserve"> </v>
      </c>
      <c r="C684" s="3" t="str">
        <f ca="1">IF(OR(INDEX($I$2:$I$1001,MATCH(ROWS($H$2:H684),$H$2:$H$1001,0),1)&gt;=100000,INDEX($O$1005:$Q$1005,1,MATCH(COLUMNS($O$1006:P1006),$O$1006:$Q$1006,0))&gt;=100000), " ",IF(INDEX($O$2:$Q$1001,MATCH(ROWS($H$2:H684),$H$2:$H$1001,0),MATCH(COLUMNS($O$1006:P1006),$O$1006:$Q$1006,0)), HYPERLINK("#",""), HYPERLINK(CONCATENATE("#metadata!", ADDRESS(INDEX($J$2:$J$1001,MATCH(ROWS($H$2:H684),$H$2:$H$1001,0),0), INDEX($O$1004:$Q$1004,1,MATCH(COLUMNS($O$1006:P1006),$O$1006:$Q$1006,0)))),"Fix")))</f>
        <v xml:space="preserve"> </v>
      </c>
      <c r="D684" s="3" t="str">
        <f ca="1">IF(OR(INDEX($I$2:$I$1001,MATCH(ROWS($H$2:H684),$H$2:$H$1001,0),1)&gt;=100000,INDEX($O$1005:$Q$1005,1,MATCH(COLUMNS($O$1006:Q1006),$O$1006:$Q$1006,0))&gt;=100000), " ",IF(INDEX($O$2:$Q$1001,MATCH(ROWS($H$2:H684),$H$2:$H$1001,0),MATCH(COLUMNS($O$1006:Q1006),$O$1006:$Q$1006,0)), HYPERLINK("#",""), HYPERLINK(CONCATENATE("#metadata!", ADDRESS(INDEX($J$2:$J$1001,MATCH(ROWS($H$2:H684),$H$2:$H$1001,0),0), INDEX($O$1004:$Q$1004,1,MATCH(COLUMNS($O$1006:Q1006),$O$1006:$Q$1006,0)))),"Fix")))</f>
        <v xml:space="preserve"> </v>
      </c>
      <c r="H684">
        <v>683</v>
      </c>
      <c r="I684">
        <v>100684</v>
      </c>
      <c r="J684">
        <v>684</v>
      </c>
      <c r="K684" t="b">
        <f t="shared" si="10"/>
        <v>1</v>
      </c>
      <c r="L684" t="b">
        <f>COUNTBLANK(metadata!B684:D684)=COLUMNS(metadata!B684:D684)</f>
        <v>1</v>
      </c>
      <c r="M684" t="str">
        <v/>
      </c>
      <c r="O684" t="b">
        <f ca="1"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P684" t="b">
        <f>AND(IF(metadata!C684="",FALSE,TRUE),EXACT(metadata!C684,"mouse gut metagenome"))</f>
        <v>0</v>
      </c>
      <c r="Q684" t="b">
        <f>AND(IF(metadata!D684="",FALSE,TRUE),EXACT(metadata!D684,"410661"))</f>
        <v>0</v>
      </c>
    </row>
    <row r="685" spans="1:17" x14ac:dyDescent="0.2">
      <c r="A685" s="4" t="str">
        <f ca="1">IF(B685=" "," ",HYPERLINK(CONCATENATE("#metadata!",ADDRESS(INDEX($J$2:$J$1001,MATCH(ROWS($H$2:H685),$H$2:$H$1001,0),0),1)),INDEX($M$2:$M$1001,MATCH(ROWS($H$2:H685),$H$2:$H$1001,0),0)))</f>
        <v xml:space="preserve"> </v>
      </c>
      <c r="B685" s="3" t="str">
        <f ca="1">IF(OR(INDEX($I$2:$I$1001,MATCH(ROWS($H$2:H685),$H$2:$H$1001,0),1)&gt;=100000,INDEX($O$1005:$Q$1005,1,MATCH(COLUMNS($O$1006:O1006),$O$1006:$Q$1006,0))&gt;=100000), " ",IF(INDEX($O$2:$Q$1001,MATCH(ROWS($H$2:H685),$H$2:$H$1001,0),MATCH(COLUMNS($O$1006:O1006),$O$1006:$Q$1006,0)), HYPERLINK("#",""), HYPERLINK(CONCATENATE("#metadata!", ADDRESS(INDEX($J$2:$J$1001,MATCH(ROWS($H$2:H685),$H$2:$H$1001,0),0), INDEX($O$1004:$Q$1004,1,MATCH(COLUMNS($O$1006:O1006),$O$1006:$Q$1006,0)))),"Fix")))</f>
        <v xml:space="preserve"> </v>
      </c>
      <c r="C685" s="3" t="str">
        <f ca="1">IF(OR(INDEX($I$2:$I$1001,MATCH(ROWS($H$2:H685),$H$2:$H$1001,0),1)&gt;=100000,INDEX($O$1005:$Q$1005,1,MATCH(COLUMNS($O$1006:P1006),$O$1006:$Q$1006,0))&gt;=100000), " ",IF(INDEX($O$2:$Q$1001,MATCH(ROWS($H$2:H685),$H$2:$H$1001,0),MATCH(COLUMNS($O$1006:P1006),$O$1006:$Q$1006,0)), HYPERLINK("#",""), HYPERLINK(CONCATENATE("#metadata!", ADDRESS(INDEX($J$2:$J$1001,MATCH(ROWS($H$2:H685),$H$2:$H$1001,0),0), INDEX($O$1004:$Q$1004,1,MATCH(COLUMNS($O$1006:P1006),$O$1006:$Q$1006,0)))),"Fix")))</f>
        <v xml:space="preserve"> </v>
      </c>
      <c r="D685" s="3" t="str">
        <f ca="1">IF(OR(INDEX($I$2:$I$1001,MATCH(ROWS($H$2:H685),$H$2:$H$1001,0),1)&gt;=100000,INDEX($O$1005:$Q$1005,1,MATCH(COLUMNS($O$1006:Q1006),$O$1006:$Q$1006,0))&gt;=100000), " ",IF(INDEX($O$2:$Q$1001,MATCH(ROWS($H$2:H685),$H$2:$H$1001,0),MATCH(COLUMNS($O$1006:Q1006),$O$1006:$Q$1006,0)), HYPERLINK("#",""), HYPERLINK(CONCATENATE("#metadata!", ADDRESS(INDEX($J$2:$J$1001,MATCH(ROWS($H$2:H685),$H$2:$H$1001,0),0), INDEX($O$1004:$Q$1004,1,MATCH(COLUMNS($O$1006:Q1006),$O$1006:$Q$1006,0)))),"Fix")))</f>
        <v xml:space="preserve"> </v>
      </c>
      <c r="H685">
        <v>684</v>
      </c>
      <c r="I685">
        <v>100685</v>
      </c>
      <c r="J685">
        <v>685</v>
      </c>
      <c r="K685" t="b">
        <f t="shared" si="10"/>
        <v>1</v>
      </c>
      <c r="L685" t="b">
        <f>COUNTBLANK(metadata!B685:D685)=COLUMNS(metadata!B685:D685)</f>
        <v>1</v>
      </c>
      <c r="M685" t="str">
        <v/>
      </c>
      <c r="O685" t="b">
        <f ca="1"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P685" t="b">
        <f>AND(IF(metadata!C685="",FALSE,TRUE),EXACT(metadata!C685,"mouse gut metagenome"))</f>
        <v>0</v>
      </c>
      <c r="Q685" t="b">
        <f>AND(IF(metadata!D685="",FALSE,TRUE),EXACT(metadata!D685,"410661"))</f>
        <v>0</v>
      </c>
    </row>
    <row r="686" spans="1:17" x14ac:dyDescent="0.2">
      <c r="A686" s="4" t="str">
        <f ca="1">IF(B686=" "," ",HYPERLINK(CONCATENATE("#metadata!",ADDRESS(INDEX($J$2:$J$1001,MATCH(ROWS($H$2:H686),$H$2:$H$1001,0),0),1)),INDEX($M$2:$M$1001,MATCH(ROWS($H$2:H686),$H$2:$H$1001,0),0)))</f>
        <v xml:space="preserve"> </v>
      </c>
      <c r="B686" s="3" t="str">
        <f ca="1">IF(OR(INDEX($I$2:$I$1001,MATCH(ROWS($H$2:H686),$H$2:$H$1001,0),1)&gt;=100000,INDEX($O$1005:$Q$1005,1,MATCH(COLUMNS($O$1006:O1006),$O$1006:$Q$1006,0))&gt;=100000), " ",IF(INDEX($O$2:$Q$1001,MATCH(ROWS($H$2:H686),$H$2:$H$1001,0),MATCH(COLUMNS($O$1006:O1006),$O$1006:$Q$1006,0)), HYPERLINK("#",""), HYPERLINK(CONCATENATE("#metadata!", ADDRESS(INDEX($J$2:$J$1001,MATCH(ROWS($H$2:H686),$H$2:$H$1001,0),0), INDEX($O$1004:$Q$1004,1,MATCH(COLUMNS($O$1006:O1006),$O$1006:$Q$1006,0)))),"Fix")))</f>
        <v xml:space="preserve"> </v>
      </c>
      <c r="C686" s="3" t="str">
        <f ca="1">IF(OR(INDEX($I$2:$I$1001,MATCH(ROWS($H$2:H686),$H$2:$H$1001,0),1)&gt;=100000,INDEX($O$1005:$Q$1005,1,MATCH(COLUMNS($O$1006:P1006),$O$1006:$Q$1006,0))&gt;=100000), " ",IF(INDEX($O$2:$Q$1001,MATCH(ROWS($H$2:H686),$H$2:$H$1001,0),MATCH(COLUMNS($O$1006:P1006),$O$1006:$Q$1006,0)), HYPERLINK("#",""), HYPERLINK(CONCATENATE("#metadata!", ADDRESS(INDEX($J$2:$J$1001,MATCH(ROWS($H$2:H686),$H$2:$H$1001,0),0), INDEX($O$1004:$Q$1004,1,MATCH(COLUMNS($O$1006:P1006),$O$1006:$Q$1006,0)))),"Fix")))</f>
        <v xml:space="preserve"> </v>
      </c>
      <c r="D686" s="3" t="str">
        <f ca="1">IF(OR(INDEX($I$2:$I$1001,MATCH(ROWS($H$2:H686),$H$2:$H$1001,0),1)&gt;=100000,INDEX($O$1005:$Q$1005,1,MATCH(COLUMNS($O$1006:Q1006),$O$1006:$Q$1006,0))&gt;=100000), " ",IF(INDEX($O$2:$Q$1001,MATCH(ROWS($H$2:H686),$H$2:$H$1001,0),MATCH(COLUMNS($O$1006:Q1006),$O$1006:$Q$1006,0)), HYPERLINK("#",""), HYPERLINK(CONCATENATE("#metadata!", ADDRESS(INDEX($J$2:$J$1001,MATCH(ROWS($H$2:H686),$H$2:$H$1001,0),0), INDEX($O$1004:$Q$1004,1,MATCH(COLUMNS($O$1006:Q1006),$O$1006:$Q$1006,0)))),"Fix")))</f>
        <v xml:space="preserve"> </v>
      </c>
      <c r="H686">
        <v>685</v>
      </c>
      <c r="I686">
        <v>100686</v>
      </c>
      <c r="J686">
        <v>686</v>
      </c>
      <c r="K686" t="b">
        <f t="shared" si="10"/>
        <v>1</v>
      </c>
      <c r="L686" t="b">
        <f>COUNTBLANK(metadata!B686:D686)=COLUMNS(metadata!B686:D686)</f>
        <v>1</v>
      </c>
      <c r="M686" t="str">
        <v/>
      </c>
      <c r="O686" t="b">
        <f ca="1"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P686" t="b">
        <f>AND(IF(metadata!C686="",FALSE,TRUE),EXACT(metadata!C686,"mouse gut metagenome"))</f>
        <v>0</v>
      </c>
      <c r="Q686" t="b">
        <f>AND(IF(metadata!D686="",FALSE,TRUE),EXACT(metadata!D686,"410661"))</f>
        <v>0</v>
      </c>
    </row>
    <row r="687" spans="1:17" x14ac:dyDescent="0.2">
      <c r="A687" s="4" t="str">
        <f ca="1">IF(B687=" "," ",HYPERLINK(CONCATENATE("#metadata!",ADDRESS(INDEX($J$2:$J$1001,MATCH(ROWS($H$2:H687),$H$2:$H$1001,0),0),1)),INDEX($M$2:$M$1001,MATCH(ROWS($H$2:H687),$H$2:$H$1001,0),0)))</f>
        <v xml:space="preserve"> </v>
      </c>
      <c r="B687" s="3" t="str">
        <f ca="1">IF(OR(INDEX($I$2:$I$1001,MATCH(ROWS($H$2:H687),$H$2:$H$1001,0),1)&gt;=100000,INDEX($O$1005:$Q$1005,1,MATCH(COLUMNS($O$1006:O1006),$O$1006:$Q$1006,0))&gt;=100000), " ",IF(INDEX($O$2:$Q$1001,MATCH(ROWS($H$2:H687),$H$2:$H$1001,0),MATCH(COLUMNS($O$1006:O1006),$O$1006:$Q$1006,0)), HYPERLINK("#",""), HYPERLINK(CONCATENATE("#metadata!", ADDRESS(INDEX($J$2:$J$1001,MATCH(ROWS($H$2:H687),$H$2:$H$1001,0),0), INDEX($O$1004:$Q$1004,1,MATCH(COLUMNS($O$1006:O1006),$O$1006:$Q$1006,0)))),"Fix")))</f>
        <v xml:space="preserve"> </v>
      </c>
      <c r="C687" s="3" t="str">
        <f ca="1">IF(OR(INDEX($I$2:$I$1001,MATCH(ROWS($H$2:H687),$H$2:$H$1001,0),1)&gt;=100000,INDEX($O$1005:$Q$1005,1,MATCH(COLUMNS($O$1006:P1006),$O$1006:$Q$1006,0))&gt;=100000), " ",IF(INDEX($O$2:$Q$1001,MATCH(ROWS($H$2:H687),$H$2:$H$1001,0),MATCH(COLUMNS($O$1006:P1006),$O$1006:$Q$1006,0)), HYPERLINK("#",""), HYPERLINK(CONCATENATE("#metadata!", ADDRESS(INDEX($J$2:$J$1001,MATCH(ROWS($H$2:H687),$H$2:$H$1001,0),0), INDEX($O$1004:$Q$1004,1,MATCH(COLUMNS($O$1006:P1006),$O$1006:$Q$1006,0)))),"Fix")))</f>
        <v xml:space="preserve"> </v>
      </c>
      <c r="D687" s="3" t="str">
        <f ca="1">IF(OR(INDEX($I$2:$I$1001,MATCH(ROWS($H$2:H687),$H$2:$H$1001,0),1)&gt;=100000,INDEX($O$1005:$Q$1005,1,MATCH(COLUMNS($O$1006:Q1006),$O$1006:$Q$1006,0))&gt;=100000), " ",IF(INDEX($O$2:$Q$1001,MATCH(ROWS($H$2:H687),$H$2:$H$1001,0),MATCH(COLUMNS($O$1006:Q1006),$O$1006:$Q$1006,0)), HYPERLINK("#",""), HYPERLINK(CONCATENATE("#metadata!", ADDRESS(INDEX($J$2:$J$1001,MATCH(ROWS($H$2:H687),$H$2:$H$1001,0),0), INDEX($O$1004:$Q$1004,1,MATCH(COLUMNS($O$1006:Q1006),$O$1006:$Q$1006,0)))),"Fix")))</f>
        <v xml:space="preserve"> </v>
      </c>
      <c r="H687">
        <v>686</v>
      </c>
      <c r="I687">
        <v>100687</v>
      </c>
      <c r="J687">
        <v>687</v>
      </c>
      <c r="K687" t="b">
        <f t="shared" si="10"/>
        <v>1</v>
      </c>
      <c r="L687" t="b">
        <f>COUNTBLANK(metadata!B687:D687)=COLUMNS(metadata!B687:D687)</f>
        <v>1</v>
      </c>
      <c r="M687" t="str">
        <v/>
      </c>
      <c r="O687" t="b">
        <f ca="1"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P687" t="b">
        <f>AND(IF(metadata!C687="",FALSE,TRUE),EXACT(metadata!C687,"mouse gut metagenome"))</f>
        <v>0</v>
      </c>
      <c r="Q687" t="b">
        <f>AND(IF(metadata!D687="",FALSE,TRUE),EXACT(metadata!D687,"410661"))</f>
        <v>0</v>
      </c>
    </row>
    <row r="688" spans="1:17" x14ac:dyDescent="0.2">
      <c r="A688" s="4" t="str">
        <f ca="1">IF(B688=" "," ",HYPERLINK(CONCATENATE("#metadata!",ADDRESS(INDEX($J$2:$J$1001,MATCH(ROWS($H$2:H688),$H$2:$H$1001,0),0),1)),INDEX($M$2:$M$1001,MATCH(ROWS($H$2:H688),$H$2:$H$1001,0),0)))</f>
        <v xml:space="preserve"> </v>
      </c>
      <c r="B688" s="3" t="str">
        <f ca="1">IF(OR(INDEX($I$2:$I$1001,MATCH(ROWS($H$2:H688),$H$2:$H$1001,0),1)&gt;=100000,INDEX($O$1005:$Q$1005,1,MATCH(COLUMNS($O$1006:O1006),$O$1006:$Q$1006,0))&gt;=100000), " ",IF(INDEX($O$2:$Q$1001,MATCH(ROWS($H$2:H688),$H$2:$H$1001,0),MATCH(COLUMNS($O$1006:O1006),$O$1006:$Q$1006,0)), HYPERLINK("#",""), HYPERLINK(CONCATENATE("#metadata!", ADDRESS(INDEX($J$2:$J$1001,MATCH(ROWS($H$2:H688),$H$2:$H$1001,0),0), INDEX($O$1004:$Q$1004,1,MATCH(COLUMNS($O$1006:O1006),$O$1006:$Q$1006,0)))),"Fix")))</f>
        <v xml:space="preserve"> </v>
      </c>
      <c r="C688" s="3" t="str">
        <f ca="1">IF(OR(INDEX($I$2:$I$1001,MATCH(ROWS($H$2:H688),$H$2:$H$1001,0),1)&gt;=100000,INDEX($O$1005:$Q$1005,1,MATCH(COLUMNS($O$1006:P1006),$O$1006:$Q$1006,0))&gt;=100000), " ",IF(INDEX($O$2:$Q$1001,MATCH(ROWS($H$2:H688),$H$2:$H$1001,0),MATCH(COLUMNS($O$1006:P1006),$O$1006:$Q$1006,0)), HYPERLINK("#",""), HYPERLINK(CONCATENATE("#metadata!", ADDRESS(INDEX($J$2:$J$1001,MATCH(ROWS($H$2:H688),$H$2:$H$1001,0),0), INDEX($O$1004:$Q$1004,1,MATCH(COLUMNS($O$1006:P1006),$O$1006:$Q$1006,0)))),"Fix")))</f>
        <v xml:space="preserve"> </v>
      </c>
      <c r="D688" s="3" t="str">
        <f ca="1">IF(OR(INDEX($I$2:$I$1001,MATCH(ROWS($H$2:H688),$H$2:$H$1001,0),1)&gt;=100000,INDEX($O$1005:$Q$1005,1,MATCH(COLUMNS($O$1006:Q1006),$O$1006:$Q$1006,0))&gt;=100000), " ",IF(INDEX($O$2:$Q$1001,MATCH(ROWS($H$2:H688),$H$2:$H$1001,0),MATCH(COLUMNS($O$1006:Q1006),$O$1006:$Q$1006,0)), HYPERLINK("#",""), HYPERLINK(CONCATENATE("#metadata!", ADDRESS(INDEX($J$2:$J$1001,MATCH(ROWS($H$2:H688),$H$2:$H$1001,0),0), INDEX($O$1004:$Q$1004,1,MATCH(COLUMNS($O$1006:Q1006),$O$1006:$Q$1006,0)))),"Fix")))</f>
        <v xml:space="preserve"> </v>
      </c>
      <c r="H688">
        <v>687</v>
      </c>
      <c r="I688">
        <v>100688</v>
      </c>
      <c r="J688">
        <v>688</v>
      </c>
      <c r="K688" t="b">
        <f t="shared" si="10"/>
        <v>1</v>
      </c>
      <c r="L688" t="b">
        <f>COUNTBLANK(metadata!B688:D688)=COLUMNS(metadata!B688:D688)</f>
        <v>1</v>
      </c>
      <c r="M688" t="str">
        <v/>
      </c>
      <c r="O688" t="b">
        <f ca="1"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P688" t="b">
        <f>AND(IF(metadata!C688="",FALSE,TRUE),EXACT(metadata!C688,"mouse gut metagenome"))</f>
        <v>0</v>
      </c>
      <c r="Q688" t="b">
        <f>AND(IF(metadata!D688="",FALSE,TRUE),EXACT(metadata!D688,"410661"))</f>
        <v>0</v>
      </c>
    </row>
    <row r="689" spans="1:17" x14ac:dyDescent="0.2">
      <c r="A689" s="4" t="str">
        <f ca="1">IF(B689=" "," ",HYPERLINK(CONCATENATE("#metadata!",ADDRESS(INDEX($J$2:$J$1001,MATCH(ROWS($H$2:H689),$H$2:$H$1001,0),0),1)),INDEX($M$2:$M$1001,MATCH(ROWS($H$2:H689),$H$2:$H$1001,0),0)))</f>
        <v xml:space="preserve"> </v>
      </c>
      <c r="B689" s="3" t="str">
        <f ca="1">IF(OR(INDEX($I$2:$I$1001,MATCH(ROWS($H$2:H689),$H$2:$H$1001,0),1)&gt;=100000,INDEX($O$1005:$Q$1005,1,MATCH(COLUMNS($O$1006:O1006),$O$1006:$Q$1006,0))&gt;=100000), " ",IF(INDEX($O$2:$Q$1001,MATCH(ROWS($H$2:H689),$H$2:$H$1001,0),MATCH(COLUMNS($O$1006:O1006),$O$1006:$Q$1006,0)), HYPERLINK("#",""), HYPERLINK(CONCATENATE("#metadata!", ADDRESS(INDEX($J$2:$J$1001,MATCH(ROWS($H$2:H689),$H$2:$H$1001,0),0), INDEX($O$1004:$Q$1004,1,MATCH(COLUMNS($O$1006:O1006),$O$1006:$Q$1006,0)))),"Fix")))</f>
        <v xml:space="preserve"> </v>
      </c>
      <c r="C689" s="3" t="str">
        <f ca="1">IF(OR(INDEX($I$2:$I$1001,MATCH(ROWS($H$2:H689),$H$2:$H$1001,0),1)&gt;=100000,INDEX($O$1005:$Q$1005,1,MATCH(COLUMNS($O$1006:P1006),$O$1006:$Q$1006,0))&gt;=100000), " ",IF(INDEX($O$2:$Q$1001,MATCH(ROWS($H$2:H689),$H$2:$H$1001,0),MATCH(COLUMNS($O$1006:P1006),$O$1006:$Q$1006,0)), HYPERLINK("#",""), HYPERLINK(CONCATENATE("#metadata!", ADDRESS(INDEX($J$2:$J$1001,MATCH(ROWS($H$2:H689),$H$2:$H$1001,0),0), INDEX($O$1004:$Q$1004,1,MATCH(COLUMNS($O$1006:P1006),$O$1006:$Q$1006,0)))),"Fix")))</f>
        <v xml:space="preserve"> </v>
      </c>
      <c r="D689" s="3" t="str">
        <f ca="1">IF(OR(INDEX($I$2:$I$1001,MATCH(ROWS($H$2:H689),$H$2:$H$1001,0),1)&gt;=100000,INDEX($O$1005:$Q$1005,1,MATCH(COLUMNS($O$1006:Q1006),$O$1006:$Q$1006,0))&gt;=100000), " ",IF(INDEX($O$2:$Q$1001,MATCH(ROWS($H$2:H689),$H$2:$H$1001,0),MATCH(COLUMNS($O$1006:Q1006),$O$1006:$Q$1006,0)), HYPERLINK("#",""), HYPERLINK(CONCATENATE("#metadata!", ADDRESS(INDEX($J$2:$J$1001,MATCH(ROWS($H$2:H689),$H$2:$H$1001,0),0), INDEX($O$1004:$Q$1004,1,MATCH(COLUMNS($O$1006:Q1006),$O$1006:$Q$1006,0)))),"Fix")))</f>
        <v xml:space="preserve"> </v>
      </c>
      <c r="H689">
        <v>688</v>
      </c>
      <c r="I689">
        <v>100689</v>
      </c>
      <c r="J689">
        <v>689</v>
      </c>
      <c r="K689" t="b">
        <f t="shared" si="10"/>
        <v>1</v>
      </c>
      <c r="L689" t="b">
        <f>COUNTBLANK(metadata!B689:D689)=COLUMNS(metadata!B689:D689)</f>
        <v>1</v>
      </c>
      <c r="M689" t="str">
        <v/>
      </c>
      <c r="O689" t="b">
        <f ca="1"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P689" t="b">
        <f>AND(IF(metadata!C689="",FALSE,TRUE),EXACT(metadata!C689,"mouse gut metagenome"))</f>
        <v>0</v>
      </c>
      <c r="Q689" t="b">
        <f>AND(IF(metadata!D689="",FALSE,TRUE),EXACT(metadata!D689,"410661"))</f>
        <v>0</v>
      </c>
    </row>
    <row r="690" spans="1:17" x14ac:dyDescent="0.2">
      <c r="A690" s="4" t="str">
        <f ca="1">IF(B690=" "," ",HYPERLINK(CONCATENATE("#metadata!",ADDRESS(INDEX($J$2:$J$1001,MATCH(ROWS($H$2:H690),$H$2:$H$1001,0),0),1)),INDEX($M$2:$M$1001,MATCH(ROWS($H$2:H690),$H$2:$H$1001,0),0)))</f>
        <v xml:space="preserve"> </v>
      </c>
      <c r="B690" s="3" t="str">
        <f ca="1">IF(OR(INDEX($I$2:$I$1001,MATCH(ROWS($H$2:H690),$H$2:$H$1001,0),1)&gt;=100000,INDEX($O$1005:$Q$1005,1,MATCH(COLUMNS($O$1006:O1006),$O$1006:$Q$1006,0))&gt;=100000), " ",IF(INDEX($O$2:$Q$1001,MATCH(ROWS($H$2:H690),$H$2:$H$1001,0),MATCH(COLUMNS($O$1006:O1006),$O$1006:$Q$1006,0)), HYPERLINK("#",""), HYPERLINK(CONCATENATE("#metadata!", ADDRESS(INDEX($J$2:$J$1001,MATCH(ROWS($H$2:H690),$H$2:$H$1001,0),0), INDEX($O$1004:$Q$1004,1,MATCH(COLUMNS($O$1006:O1006),$O$1006:$Q$1006,0)))),"Fix")))</f>
        <v xml:space="preserve"> </v>
      </c>
      <c r="C690" s="3" t="str">
        <f ca="1">IF(OR(INDEX($I$2:$I$1001,MATCH(ROWS($H$2:H690),$H$2:$H$1001,0),1)&gt;=100000,INDEX($O$1005:$Q$1005,1,MATCH(COLUMNS($O$1006:P1006),$O$1006:$Q$1006,0))&gt;=100000), " ",IF(INDEX($O$2:$Q$1001,MATCH(ROWS($H$2:H690),$H$2:$H$1001,0),MATCH(COLUMNS($O$1006:P1006),$O$1006:$Q$1006,0)), HYPERLINK("#",""), HYPERLINK(CONCATENATE("#metadata!", ADDRESS(INDEX($J$2:$J$1001,MATCH(ROWS($H$2:H690),$H$2:$H$1001,0),0), INDEX($O$1004:$Q$1004,1,MATCH(COLUMNS($O$1006:P1006),$O$1006:$Q$1006,0)))),"Fix")))</f>
        <v xml:space="preserve"> </v>
      </c>
      <c r="D690" s="3" t="str">
        <f ca="1">IF(OR(INDEX($I$2:$I$1001,MATCH(ROWS($H$2:H690),$H$2:$H$1001,0),1)&gt;=100000,INDEX($O$1005:$Q$1005,1,MATCH(COLUMNS($O$1006:Q1006),$O$1006:$Q$1006,0))&gt;=100000), " ",IF(INDEX($O$2:$Q$1001,MATCH(ROWS($H$2:H690),$H$2:$H$1001,0),MATCH(COLUMNS($O$1006:Q1006),$O$1006:$Q$1006,0)), HYPERLINK("#",""), HYPERLINK(CONCATENATE("#metadata!", ADDRESS(INDEX($J$2:$J$1001,MATCH(ROWS($H$2:H690),$H$2:$H$1001,0),0), INDEX($O$1004:$Q$1004,1,MATCH(COLUMNS($O$1006:Q1006),$O$1006:$Q$1006,0)))),"Fix")))</f>
        <v xml:space="preserve"> </v>
      </c>
      <c r="H690">
        <v>689</v>
      </c>
      <c r="I690">
        <v>100690</v>
      </c>
      <c r="J690">
        <v>690</v>
      </c>
      <c r="K690" t="b">
        <f t="shared" si="10"/>
        <v>1</v>
      </c>
      <c r="L690" t="b">
        <f>COUNTBLANK(metadata!B690:D690)=COLUMNS(metadata!B690:D690)</f>
        <v>1</v>
      </c>
      <c r="M690" t="str">
        <v/>
      </c>
      <c r="O690" t="b">
        <f ca="1"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P690" t="b">
        <f>AND(IF(metadata!C690="",FALSE,TRUE),EXACT(metadata!C690,"mouse gut metagenome"))</f>
        <v>0</v>
      </c>
      <c r="Q690" t="b">
        <f>AND(IF(metadata!D690="",FALSE,TRUE),EXACT(metadata!D690,"410661"))</f>
        <v>0</v>
      </c>
    </row>
    <row r="691" spans="1:17" x14ac:dyDescent="0.2">
      <c r="A691" s="4" t="str">
        <f ca="1">IF(B691=" "," ",HYPERLINK(CONCATENATE("#metadata!",ADDRESS(INDEX($J$2:$J$1001,MATCH(ROWS($H$2:H691),$H$2:$H$1001,0),0),1)),INDEX($M$2:$M$1001,MATCH(ROWS($H$2:H691),$H$2:$H$1001,0),0)))</f>
        <v xml:space="preserve"> </v>
      </c>
      <c r="B691" s="3" t="str">
        <f ca="1">IF(OR(INDEX($I$2:$I$1001,MATCH(ROWS($H$2:H691),$H$2:$H$1001,0),1)&gt;=100000,INDEX($O$1005:$Q$1005,1,MATCH(COLUMNS($O$1006:O1006),$O$1006:$Q$1006,0))&gt;=100000), " ",IF(INDEX($O$2:$Q$1001,MATCH(ROWS($H$2:H691),$H$2:$H$1001,0),MATCH(COLUMNS($O$1006:O1006),$O$1006:$Q$1006,0)), HYPERLINK("#",""), HYPERLINK(CONCATENATE("#metadata!", ADDRESS(INDEX($J$2:$J$1001,MATCH(ROWS($H$2:H691),$H$2:$H$1001,0),0), INDEX($O$1004:$Q$1004,1,MATCH(COLUMNS($O$1006:O1006),$O$1006:$Q$1006,0)))),"Fix")))</f>
        <v xml:space="preserve"> </v>
      </c>
      <c r="C691" s="3" t="str">
        <f ca="1">IF(OR(INDEX($I$2:$I$1001,MATCH(ROWS($H$2:H691),$H$2:$H$1001,0),1)&gt;=100000,INDEX($O$1005:$Q$1005,1,MATCH(COLUMNS($O$1006:P1006),$O$1006:$Q$1006,0))&gt;=100000), " ",IF(INDEX($O$2:$Q$1001,MATCH(ROWS($H$2:H691),$H$2:$H$1001,0),MATCH(COLUMNS($O$1006:P1006),$O$1006:$Q$1006,0)), HYPERLINK("#",""), HYPERLINK(CONCATENATE("#metadata!", ADDRESS(INDEX($J$2:$J$1001,MATCH(ROWS($H$2:H691),$H$2:$H$1001,0),0), INDEX($O$1004:$Q$1004,1,MATCH(COLUMNS($O$1006:P1006),$O$1006:$Q$1006,0)))),"Fix")))</f>
        <v xml:space="preserve"> </v>
      </c>
      <c r="D691" s="3" t="str">
        <f ca="1">IF(OR(INDEX($I$2:$I$1001,MATCH(ROWS($H$2:H691),$H$2:$H$1001,0),1)&gt;=100000,INDEX($O$1005:$Q$1005,1,MATCH(COLUMNS($O$1006:Q1006),$O$1006:$Q$1006,0))&gt;=100000), " ",IF(INDEX($O$2:$Q$1001,MATCH(ROWS($H$2:H691),$H$2:$H$1001,0),MATCH(COLUMNS($O$1006:Q1006),$O$1006:$Q$1006,0)), HYPERLINK("#",""), HYPERLINK(CONCATENATE("#metadata!", ADDRESS(INDEX($J$2:$J$1001,MATCH(ROWS($H$2:H691),$H$2:$H$1001,0),0), INDEX($O$1004:$Q$1004,1,MATCH(COLUMNS($O$1006:Q1006),$O$1006:$Q$1006,0)))),"Fix")))</f>
        <v xml:space="preserve"> </v>
      </c>
      <c r="H691">
        <v>690</v>
      </c>
      <c r="I691">
        <v>100691</v>
      </c>
      <c r="J691">
        <v>691</v>
      </c>
      <c r="K691" t="b">
        <f t="shared" si="10"/>
        <v>1</v>
      </c>
      <c r="L691" t="b">
        <f>COUNTBLANK(metadata!B691:D691)=COLUMNS(metadata!B691:D691)</f>
        <v>1</v>
      </c>
      <c r="M691" t="str">
        <v/>
      </c>
      <c r="O691" t="b">
        <f ca="1"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P691" t="b">
        <f>AND(IF(metadata!C691="",FALSE,TRUE),EXACT(metadata!C691,"mouse gut metagenome"))</f>
        <v>0</v>
      </c>
      <c r="Q691" t="b">
        <f>AND(IF(metadata!D691="",FALSE,TRUE),EXACT(metadata!D691,"410661"))</f>
        <v>0</v>
      </c>
    </row>
    <row r="692" spans="1:17" x14ac:dyDescent="0.2">
      <c r="A692" s="4" t="str">
        <f ca="1">IF(B692=" "," ",HYPERLINK(CONCATENATE("#metadata!",ADDRESS(INDEX($J$2:$J$1001,MATCH(ROWS($H$2:H692),$H$2:$H$1001,0),0),1)),INDEX($M$2:$M$1001,MATCH(ROWS($H$2:H692),$H$2:$H$1001,0),0)))</f>
        <v xml:space="preserve"> </v>
      </c>
      <c r="B692" s="3" t="str">
        <f ca="1">IF(OR(INDEX($I$2:$I$1001,MATCH(ROWS($H$2:H692),$H$2:$H$1001,0),1)&gt;=100000,INDEX($O$1005:$Q$1005,1,MATCH(COLUMNS($O$1006:O1006),$O$1006:$Q$1006,0))&gt;=100000), " ",IF(INDEX($O$2:$Q$1001,MATCH(ROWS($H$2:H692),$H$2:$H$1001,0),MATCH(COLUMNS($O$1006:O1006),$O$1006:$Q$1006,0)), HYPERLINK("#",""), HYPERLINK(CONCATENATE("#metadata!", ADDRESS(INDEX($J$2:$J$1001,MATCH(ROWS($H$2:H692),$H$2:$H$1001,0),0), INDEX($O$1004:$Q$1004,1,MATCH(COLUMNS($O$1006:O1006),$O$1006:$Q$1006,0)))),"Fix")))</f>
        <v xml:space="preserve"> </v>
      </c>
      <c r="C692" s="3" t="str">
        <f ca="1">IF(OR(INDEX($I$2:$I$1001,MATCH(ROWS($H$2:H692),$H$2:$H$1001,0),1)&gt;=100000,INDEX($O$1005:$Q$1005,1,MATCH(COLUMNS($O$1006:P1006),$O$1006:$Q$1006,0))&gt;=100000), " ",IF(INDEX($O$2:$Q$1001,MATCH(ROWS($H$2:H692),$H$2:$H$1001,0),MATCH(COLUMNS($O$1006:P1006),$O$1006:$Q$1006,0)), HYPERLINK("#",""), HYPERLINK(CONCATENATE("#metadata!", ADDRESS(INDEX($J$2:$J$1001,MATCH(ROWS($H$2:H692),$H$2:$H$1001,0),0), INDEX($O$1004:$Q$1004,1,MATCH(COLUMNS($O$1006:P1006),$O$1006:$Q$1006,0)))),"Fix")))</f>
        <v xml:space="preserve"> </v>
      </c>
      <c r="D692" s="3" t="str">
        <f ca="1">IF(OR(INDEX($I$2:$I$1001,MATCH(ROWS($H$2:H692),$H$2:$H$1001,0),1)&gt;=100000,INDEX($O$1005:$Q$1005,1,MATCH(COLUMNS($O$1006:Q1006),$O$1006:$Q$1006,0))&gt;=100000), " ",IF(INDEX($O$2:$Q$1001,MATCH(ROWS($H$2:H692),$H$2:$H$1001,0),MATCH(COLUMNS($O$1006:Q1006),$O$1006:$Q$1006,0)), HYPERLINK("#",""), HYPERLINK(CONCATENATE("#metadata!", ADDRESS(INDEX($J$2:$J$1001,MATCH(ROWS($H$2:H692),$H$2:$H$1001,0),0), INDEX($O$1004:$Q$1004,1,MATCH(COLUMNS($O$1006:Q1006),$O$1006:$Q$1006,0)))),"Fix")))</f>
        <v xml:space="preserve"> </v>
      </c>
      <c r="H692">
        <v>691</v>
      </c>
      <c r="I692">
        <v>100692</v>
      </c>
      <c r="J692">
        <v>692</v>
      </c>
      <c r="K692" t="b">
        <f t="shared" si="10"/>
        <v>1</v>
      </c>
      <c r="L692" t="b">
        <f>COUNTBLANK(metadata!B692:D692)=COLUMNS(metadata!B692:D692)</f>
        <v>1</v>
      </c>
      <c r="M692" t="str">
        <v/>
      </c>
      <c r="O692" t="b">
        <f ca="1"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P692" t="b">
        <f>AND(IF(metadata!C692="",FALSE,TRUE),EXACT(metadata!C692,"mouse gut metagenome"))</f>
        <v>0</v>
      </c>
      <c r="Q692" t="b">
        <f>AND(IF(metadata!D692="",FALSE,TRUE),EXACT(metadata!D692,"410661"))</f>
        <v>0</v>
      </c>
    </row>
    <row r="693" spans="1:17" x14ac:dyDescent="0.2">
      <c r="A693" s="4" t="str">
        <f ca="1">IF(B693=" "," ",HYPERLINK(CONCATENATE("#metadata!",ADDRESS(INDEX($J$2:$J$1001,MATCH(ROWS($H$2:H693),$H$2:$H$1001,0),0),1)),INDEX($M$2:$M$1001,MATCH(ROWS($H$2:H693),$H$2:$H$1001,0),0)))</f>
        <v xml:space="preserve"> </v>
      </c>
      <c r="B693" s="3" t="str">
        <f ca="1">IF(OR(INDEX($I$2:$I$1001,MATCH(ROWS($H$2:H693),$H$2:$H$1001,0),1)&gt;=100000,INDEX($O$1005:$Q$1005,1,MATCH(COLUMNS($O$1006:O1006),$O$1006:$Q$1006,0))&gt;=100000), " ",IF(INDEX($O$2:$Q$1001,MATCH(ROWS($H$2:H693),$H$2:$H$1001,0),MATCH(COLUMNS($O$1006:O1006),$O$1006:$Q$1006,0)), HYPERLINK("#",""), HYPERLINK(CONCATENATE("#metadata!", ADDRESS(INDEX($J$2:$J$1001,MATCH(ROWS($H$2:H693),$H$2:$H$1001,0),0), INDEX($O$1004:$Q$1004,1,MATCH(COLUMNS($O$1006:O1006),$O$1006:$Q$1006,0)))),"Fix")))</f>
        <v xml:space="preserve"> </v>
      </c>
      <c r="C693" s="3" t="str">
        <f ca="1">IF(OR(INDEX($I$2:$I$1001,MATCH(ROWS($H$2:H693),$H$2:$H$1001,0),1)&gt;=100000,INDEX($O$1005:$Q$1005,1,MATCH(COLUMNS($O$1006:P1006),$O$1006:$Q$1006,0))&gt;=100000), " ",IF(INDEX($O$2:$Q$1001,MATCH(ROWS($H$2:H693),$H$2:$H$1001,0),MATCH(COLUMNS($O$1006:P1006),$O$1006:$Q$1006,0)), HYPERLINK("#",""), HYPERLINK(CONCATENATE("#metadata!", ADDRESS(INDEX($J$2:$J$1001,MATCH(ROWS($H$2:H693),$H$2:$H$1001,0),0), INDEX($O$1004:$Q$1004,1,MATCH(COLUMNS($O$1006:P1006),$O$1006:$Q$1006,0)))),"Fix")))</f>
        <v xml:space="preserve"> </v>
      </c>
      <c r="D693" s="3" t="str">
        <f ca="1">IF(OR(INDEX($I$2:$I$1001,MATCH(ROWS($H$2:H693),$H$2:$H$1001,0),1)&gt;=100000,INDEX($O$1005:$Q$1005,1,MATCH(COLUMNS($O$1006:Q1006),$O$1006:$Q$1006,0))&gt;=100000), " ",IF(INDEX($O$2:$Q$1001,MATCH(ROWS($H$2:H693),$H$2:$H$1001,0),MATCH(COLUMNS($O$1006:Q1006),$O$1006:$Q$1006,0)), HYPERLINK("#",""), HYPERLINK(CONCATENATE("#metadata!", ADDRESS(INDEX($J$2:$J$1001,MATCH(ROWS($H$2:H693),$H$2:$H$1001,0),0), INDEX($O$1004:$Q$1004,1,MATCH(COLUMNS($O$1006:Q1006),$O$1006:$Q$1006,0)))),"Fix")))</f>
        <v xml:space="preserve"> </v>
      </c>
      <c r="H693">
        <v>692</v>
      </c>
      <c r="I693">
        <v>100693</v>
      </c>
      <c r="J693">
        <v>693</v>
      </c>
      <c r="K693" t="b">
        <f t="shared" si="10"/>
        <v>1</v>
      </c>
      <c r="L693" t="b">
        <f>COUNTBLANK(metadata!B693:D693)=COLUMNS(metadata!B693:D693)</f>
        <v>1</v>
      </c>
      <c r="M693" t="str">
        <v/>
      </c>
      <c r="O693" t="b">
        <f ca="1"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P693" t="b">
        <f>AND(IF(metadata!C693="",FALSE,TRUE),EXACT(metadata!C693,"mouse gut metagenome"))</f>
        <v>0</v>
      </c>
      <c r="Q693" t="b">
        <f>AND(IF(metadata!D693="",FALSE,TRUE),EXACT(metadata!D693,"410661"))</f>
        <v>0</v>
      </c>
    </row>
    <row r="694" spans="1:17" x14ac:dyDescent="0.2">
      <c r="A694" s="4" t="str">
        <f ca="1">IF(B694=" "," ",HYPERLINK(CONCATENATE("#metadata!",ADDRESS(INDEX($J$2:$J$1001,MATCH(ROWS($H$2:H694),$H$2:$H$1001,0),0),1)),INDEX($M$2:$M$1001,MATCH(ROWS($H$2:H694),$H$2:$H$1001,0),0)))</f>
        <v xml:space="preserve"> </v>
      </c>
      <c r="B694" s="3" t="str">
        <f ca="1">IF(OR(INDEX($I$2:$I$1001,MATCH(ROWS($H$2:H694),$H$2:$H$1001,0),1)&gt;=100000,INDEX($O$1005:$Q$1005,1,MATCH(COLUMNS($O$1006:O1006),$O$1006:$Q$1006,0))&gt;=100000), " ",IF(INDEX($O$2:$Q$1001,MATCH(ROWS($H$2:H694),$H$2:$H$1001,0),MATCH(COLUMNS($O$1006:O1006),$O$1006:$Q$1006,0)), HYPERLINK("#",""), HYPERLINK(CONCATENATE("#metadata!", ADDRESS(INDEX($J$2:$J$1001,MATCH(ROWS($H$2:H694),$H$2:$H$1001,0),0), INDEX($O$1004:$Q$1004,1,MATCH(COLUMNS($O$1006:O1006),$O$1006:$Q$1006,0)))),"Fix")))</f>
        <v xml:space="preserve"> </v>
      </c>
      <c r="C694" s="3" t="str">
        <f ca="1">IF(OR(INDEX($I$2:$I$1001,MATCH(ROWS($H$2:H694),$H$2:$H$1001,0),1)&gt;=100000,INDEX($O$1005:$Q$1005,1,MATCH(COLUMNS($O$1006:P1006),$O$1006:$Q$1006,0))&gt;=100000), " ",IF(INDEX($O$2:$Q$1001,MATCH(ROWS($H$2:H694),$H$2:$H$1001,0),MATCH(COLUMNS($O$1006:P1006),$O$1006:$Q$1006,0)), HYPERLINK("#",""), HYPERLINK(CONCATENATE("#metadata!", ADDRESS(INDEX($J$2:$J$1001,MATCH(ROWS($H$2:H694),$H$2:$H$1001,0),0), INDEX($O$1004:$Q$1004,1,MATCH(COLUMNS($O$1006:P1006),$O$1006:$Q$1006,0)))),"Fix")))</f>
        <v xml:space="preserve"> </v>
      </c>
      <c r="D694" s="3" t="str">
        <f ca="1">IF(OR(INDEX($I$2:$I$1001,MATCH(ROWS($H$2:H694),$H$2:$H$1001,0),1)&gt;=100000,INDEX($O$1005:$Q$1005,1,MATCH(COLUMNS($O$1006:Q1006),$O$1006:$Q$1006,0))&gt;=100000), " ",IF(INDEX($O$2:$Q$1001,MATCH(ROWS($H$2:H694),$H$2:$H$1001,0),MATCH(COLUMNS($O$1006:Q1006),$O$1006:$Q$1006,0)), HYPERLINK("#",""), HYPERLINK(CONCATENATE("#metadata!", ADDRESS(INDEX($J$2:$J$1001,MATCH(ROWS($H$2:H694),$H$2:$H$1001,0),0), INDEX($O$1004:$Q$1004,1,MATCH(COLUMNS($O$1006:Q1006),$O$1006:$Q$1006,0)))),"Fix")))</f>
        <v xml:space="preserve"> </v>
      </c>
      <c r="H694">
        <v>693</v>
      </c>
      <c r="I694">
        <v>100694</v>
      </c>
      <c r="J694">
        <v>694</v>
      </c>
      <c r="K694" t="b">
        <f t="shared" si="10"/>
        <v>1</v>
      </c>
      <c r="L694" t="b">
        <f>COUNTBLANK(metadata!B694:D694)=COLUMNS(metadata!B694:D694)</f>
        <v>1</v>
      </c>
      <c r="M694" t="str">
        <v/>
      </c>
      <c r="O694" t="b">
        <f ca="1"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P694" t="b">
        <f>AND(IF(metadata!C694="",FALSE,TRUE),EXACT(metadata!C694,"mouse gut metagenome"))</f>
        <v>0</v>
      </c>
      <c r="Q694" t="b">
        <f>AND(IF(metadata!D694="",FALSE,TRUE),EXACT(metadata!D694,"410661"))</f>
        <v>0</v>
      </c>
    </row>
    <row r="695" spans="1:17" x14ac:dyDescent="0.2">
      <c r="A695" s="4" t="str">
        <f ca="1">IF(B695=" "," ",HYPERLINK(CONCATENATE("#metadata!",ADDRESS(INDEX($J$2:$J$1001,MATCH(ROWS($H$2:H695),$H$2:$H$1001,0),0),1)),INDEX($M$2:$M$1001,MATCH(ROWS($H$2:H695),$H$2:$H$1001,0),0)))</f>
        <v xml:space="preserve"> </v>
      </c>
      <c r="B695" s="3" t="str">
        <f ca="1">IF(OR(INDEX($I$2:$I$1001,MATCH(ROWS($H$2:H695),$H$2:$H$1001,0),1)&gt;=100000,INDEX($O$1005:$Q$1005,1,MATCH(COLUMNS($O$1006:O1006),$O$1006:$Q$1006,0))&gt;=100000), " ",IF(INDEX($O$2:$Q$1001,MATCH(ROWS($H$2:H695),$H$2:$H$1001,0),MATCH(COLUMNS($O$1006:O1006),$O$1006:$Q$1006,0)), HYPERLINK("#",""), HYPERLINK(CONCATENATE("#metadata!", ADDRESS(INDEX($J$2:$J$1001,MATCH(ROWS($H$2:H695),$H$2:$H$1001,0),0), INDEX($O$1004:$Q$1004,1,MATCH(COLUMNS($O$1006:O1006),$O$1006:$Q$1006,0)))),"Fix")))</f>
        <v xml:space="preserve"> </v>
      </c>
      <c r="C695" s="3" t="str">
        <f ca="1">IF(OR(INDEX($I$2:$I$1001,MATCH(ROWS($H$2:H695),$H$2:$H$1001,0),1)&gt;=100000,INDEX($O$1005:$Q$1005,1,MATCH(COLUMNS($O$1006:P1006),$O$1006:$Q$1006,0))&gt;=100000), " ",IF(INDEX($O$2:$Q$1001,MATCH(ROWS($H$2:H695),$H$2:$H$1001,0),MATCH(COLUMNS($O$1006:P1006),$O$1006:$Q$1006,0)), HYPERLINK("#",""), HYPERLINK(CONCATENATE("#metadata!", ADDRESS(INDEX($J$2:$J$1001,MATCH(ROWS($H$2:H695),$H$2:$H$1001,0),0), INDEX($O$1004:$Q$1004,1,MATCH(COLUMNS($O$1006:P1006),$O$1006:$Q$1006,0)))),"Fix")))</f>
        <v xml:space="preserve"> </v>
      </c>
      <c r="D695" s="3" t="str">
        <f ca="1">IF(OR(INDEX($I$2:$I$1001,MATCH(ROWS($H$2:H695),$H$2:$H$1001,0),1)&gt;=100000,INDEX($O$1005:$Q$1005,1,MATCH(COLUMNS($O$1006:Q1006),$O$1006:$Q$1006,0))&gt;=100000), " ",IF(INDEX($O$2:$Q$1001,MATCH(ROWS($H$2:H695),$H$2:$H$1001,0),MATCH(COLUMNS($O$1006:Q1006),$O$1006:$Q$1006,0)), HYPERLINK("#",""), HYPERLINK(CONCATENATE("#metadata!", ADDRESS(INDEX($J$2:$J$1001,MATCH(ROWS($H$2:H695),$H$2:$H$1001,0),0), INDEX($O$1004:$Q$1004,1,MATCH(COLUMNS($O$1006:Q1006),$O$1006:$Q$1006,0)))),"Fix")))</f>
        <v xml:space="preserve"> </v>
      </c>
      <c r="H695">
        <v>694</v>
      </c>
      <c r="I695">
        <v>100695</v>
      </c>
      <c r="J695">
        <v>695</v>
      </c>
      <c r="K695" t="b">
        <f t="shared" si="10"/>
        <v>1</v>
      </c>
      <c r="L695" t="b">
        <f>COUNTBLANK(metadata!B695:D695)=COLUMNS(metadata!B695:D695)</f>
        <v>1</v>
      </c>
      <c r="M695" t="str">
        <v/>
      </c>
      <c r="O695" t="b">
        <f ca="1"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P695" t="b">
        <f>AND(IF(metadata!C695="",FALSE,TRUE),EXACT(metadata!C695,"mouse gut metagenome"))</f>
        <v>0</v>
      </c>
      <c r="Q695" t="b">
        <f>AND(IF(metadata!D695="",FALSE,TRUE),EXACT(metadata!D695,"410661"))</f>
        <v>0</v>
      </c>
    </row>
    <row r="696" spans="1:17" x14ac:dyDescent="0.2">
      <c r="A696" s="4" t="str">
        <f ca="1">IF(B696=" "," ",HYPERLINK(CONCATENATE("#metadata!",ADDRESS(INDEX($J$2:$J$1001,MATCH(ROWS($H$2:H696),$H$2:$H$1001,0),0),1)),INDEX($M$2:$M$1001,MATCH(ROWS($H$2:H696),$H$2:$H$1001,0),0)))</f>
        <v xml:space="preserve"> </v>
      </c>
      <c r="B696" s="3" t="str">
        <f ca="1">IF(OR(INDEX($I$2:$I$1001,MATCH(ROWS($H$2:H696),$H$2:$H$1001,0),1)&gt;=100000,INDEX($O$1005:$Q$1005,1,MATCH(COLUMNS($O$1006:O1006),$O$1006:$Q$1006,0))&gt;=100000), " ",IF(INDEX($O$2:$Q$1001,MATCH(ROWS($H$2:H696),$H$2:$H$1001,0),MATCH(COLUMNS($O$1006:O1006),$O$1006:$Q$1006,0)), HYPERLINK("#",""), HYPERLINK(CONCATENATE("#metadata!", ADDRESS(INDEX($J$2:$J$1001,MATCH(ROWS($H$2:H696),$H$2:$H$1001,0),0), INDEX($O$1004:$Q$1004,1,MATCH(COLUMNS($O$1006:O1006),$O$1006:$Q$1006,0)))),"Fix")))</f>
        <v xml:space="preserve"> </v>
      </c>
      <c r="C696" s="3" t="str">
        <f ca="1">IF(OR(INDEX($I$2:$I$1001,MATCH(ROWS($H$2:H696),$H$2:$H$1001,0),1)&gt;=100000,INDEX($O$1005:$Q$1005,1,MATCH(COLUMNS($O$1006:P1006),$O$1006:$Q$1006,0))&gt;=100000), " ",IF(INDEX($O$2:$Q$1001,MATCH(ROWS($H$2:H696),$H$2:$H$1001,0),MATCH(COLUMNS($O$1006:P1006),$O$1006:$Q$1006,0)), HYPERLINK("#",""), HYPERLINK(CONCATENATE("#metadata!", ADDRESS(INDEX($J$2:$J$1001,MATCH(ROWS($H$2:H696),$H$2:$H$1001,0),0), INDEX($O$1004:$Q$1004,1,MATCH(COLUMNS($O$1006:P1006),$O$1006:$Q$1006,0)))),"Fix")))</f>
        <v xml:space="preserve"> </v>
      </c>
      <c r="D696" s="3" t="str">
        <f ca="1">IF(OR(INDEX($I$2:$I$1001,MATCH(ROWS($H$2:H696),$H$2:$H$1001,0),1)&gt;=100000,INDEX($O$1005:$Q$1005,1,MATCH(COLUMNS($O$1006:Q1006),$O$1006:$Q$1006,0))&gt;=100000), " ",IF(INDEX($O$2:$Q$1001,MATCH(ROWS($H$2:H696),$H$2:$H$1001,0),MATCH(COLUMNS($O$1006:Q1006),$O$1006:$Q$1006,0)), HYPERLINK("#",""), HYPERLINK(CONCATENATE("#metadata!", ADDRESS(INDEX($J$2:$J$1001,MATCH(ROWS($H$2:H696),$H$2:$H$1001,0),0), INDEX($O$1004:$Q$1004,1,MATCH(COLUMNS($O$1006:Q1006),$O$1006:$Q$1006,0)))),"Fix")))</f>
        <v xml:space="preserve"> </v>
      </c>
      <c r="H696">
        <v>695</v>
      </c>
      <c r="I696">
        <v>100696</v>
      </c>
      <c r="J696">
        <v>696</v>
      </c>
      <c r="K696" t="b">
        <f t="shared" si="10"/>
        <v>1</v>
      </c>
      <c r="L696" t="b">
        <f>COUNTBLANK(metadata!B696:D696)=COLUMNS(metadata!B696:D696)</f>
        <v>1</v>
      </c>
      <c r="M696" t="str">
        <v/>
      </c>
      <c r="O696" t="b">
        <f ca="1"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P696" t="b">
        <f>AND(IF(metadata!C696="",FALSE,TRUE),EXACT(metadata!C696,"mouse gut metagenome"))</f>
        <v>0</v>
      </c>
      <c r="Q696" t="b">
        <f>AND(IF(metadata!D696="",FALSE,TRUE),EXACT(metadata!D696,"410661"))</f>
        <v>0</v>
      </c>
    </row>
    <row r="697" spans="1:17" x14ac:dyDescent="0.2">
      <c r="A697" s="4" t="str">
        <f ca="1">IF(B697=" "," ",HYPERLINK(CONCATENATE("#metadata!",ADDRESS(INDEX($J$2:$J$1001,MATCH(ROWS($H$2:H697),$H$2:$H$1001,0),0),1)),INDEX($M$2:$M$1001,MATCH(ROWS($H$2:H697),$H$2:$H$1001,0),0)))</f>
        <v xml:space="preserve"> </v>
      </c>
      <c r="B697" s="3" t="str">
        <f ca="1">IF(OR(INDEX($I$2:$I$1001,MATCH(ROWS($H$2:H697),$H$2:$H$1001,0),1)&gt;=100000,INDEX($O$1005:$Q$1005,1,MATCH(COLUMNS($O$1006:O1006),$O$1006:$Q$1006,0))&gt;=100000), " ",IF(INDEX($O$2:$Q$1001,MATCH(ROWS($H$2:H697),$H$2:$H$1001,0),MATCH(COLUMNS($O$1006:O1006),$O$1006:$Q$1006,0)), HYPERLINK("#",""), HYPERLINK(CONCATENATE("#metadata!", ADDRESS(INDEX($J$2:$J$1001,MATCH(ROWS($H$2:H697),$H$2:$H$1001,0),0), INDEX($O$1004:$Q$1004,1,MATCH(COLUMNS($O$1006:O1006),$O$1006:$Q$1006,0)))),"Fix")))</f>
        <v xml:space="preserve"> </v>
      </c>
      <c r="C697" s="3" t="str">
        <f ca="1">IF(OR(INDEX($I$2:$I$1001,MATCH(ROWS($H$2:H697),$H$2:$H$1001,0),1)&gt;=100000,INDEX($O$1005:$Q$1005,1,MATCH(COLUMNS($O$1006:P1006),$O$1006:$Q$1006,0))&gt;=100000), " ",IF(INDEX($O$2:$Q$1001,MATCH(ROWS($H$2:H697),$H$2:$H$1001,0),MATCH(COLUMNS($O$1006:P1006),$O$1006:$Q$1006,0)), HYPERLINK("#",""), HYPERLINK(CONCATENATE("#metadata!", ADDRESS(INDEX($J$2:$J$1001,MATCH(ROWS($H$2:H697),$H$2:$H$1001,0),0), INDEX($O$1004:$Q$1004,1,MATCH(COLUMNS($O$1006:P1006),$O$1006:$Q$1006,0)))),"Fix")))</f>
        <v xml:space="preserve"> </v>
      </c>
      <c r="D697" s="3" t="str">
        <f ca="1">IF(OR(INDEX($I$2:$I$1001,MATCH(ROWS($H$2:H697),$H$2:$H$1001,0),1)&gt;=100000,INDEX($O$1005:$Q$1005,1,MATCH(COLUMNS($O$1006:Q1006),$O$1006:$Q$1006,0))&gt;=100000), " ",IF(INDEX($O$2:$Q$1001,MATCH(ROWS($H$2:H697),$H$2:$H$1001,0),MATCH(COLUMNS($O$1006:Q1006),$O$1006:$Q$1006,0)), HYPERLINK("#",""), HYPERLINK(CONCATENATE("#metadata!", ADDRESS(INDEX($J$2:$J$1001,MATCH(ROWS($H$2:H697),$H$2:$H$1001,0),0), INDEX($O$1004:$Q$1004,1,MATCH(COLUMNS($O$1006:Q1006),$O$1006:$Q$1006,0)))),"Fix")))</f>
        <v xml:space="preserve"> </v>
      </c>
      <c r="H697">
        <v>696</v>
      </c>
      <c r="I697">
        <v>100697</v>
      </c>
      <c r="J697">
        <v>697</v>
      </c>
      <c r="K697" t="b">
        <f t="shared" si="10"/>
        <v>1</v>
      </c>
      <c r="L697" t="b">
        <f>COUNTBLANK(metadata!B697:D697)=COLUMNS(metadata!B697:D697)</f>
        <v>1</v>
      </c>
      <c r="M697" t="str">
        <v/>
      </c>
      <c r="O697" t="b">
        <f ca="1"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P697" t="b">
        <f>AND(IF(metadata!C697="",FALSE,TRUE),EXACT(metadata!C697,"mouse gut metagenome"))</f>
        <v>0</v>
      </c>
      <c r="Q697" t="b">
        <f>AND(IF(metadata!D697="",FALSE,TRUE),EXACT(metadata!D697,"410661"))</f>
        <v>0</v>
      </c>
    </row>
    <row r="698" spans="1:17" x14ac:dyDescent="0.2">
      <c r="A698" s="4" t="str">
        <f ca="1">IF(B698=" "," ",HYPERLINK(CONCATENATE("#metadata!",ADDRESS(INDEX($J$2:$J$1001,MATCH(ROWS($H$2:H698),$H$2:$H$1001,0),0),1)),INDEX($M$2:$M$1001,MATCH(ROWS($H$2:H698),$H$2:$H$1001,0),0)))</f>
        <v xml:space="preserve"> </v>
      </c>
      <c r="B698" s="3" t="str">
        <f ca="1">IF(OR(INDEX($I$2:$I$1001,MATCH(ROWS($H$2:H698),$H$2:$H$1001,0),1)&gt;=100000,INDEX($O$1005:$Q$1005,1,MATCH(COLUMNS($O$1006:O1006),$O$1006:$Q$1006,0))&gt;=100000), " ",IF(INDEX($O$2:$Q$1001,MATCH(ROWS($H$2:H698),$H$2:$H$1001,0),MATCH(COLUMNS($O$1006:O1006),$O$1006:$Q$1006,0)), HYPERLINK("#",""), HYPERLINK(CONCATENATE("#metadata!", ADDRESS(INDEX($J$2:$J$1001,MATCH(ROWS($H$2:H698),$H$2:$H$1001,0),0), INDEX($O$1004:$Q$1004,1,MATCH(COLUMNS($O$1006:O1006),$O$1006:$Q$1006,0)))),"Fix")))</f>
        <v xml:space="preserve"> </v>
      </c>
      <c r="C698" s="3" t="str">
        <f ca="1">IF(OR(INDEX($I$2:$I$1001,MATCH(ROWS($H$2:H698),$H$2:$H$1001,0),1)&gt;=100000,INDEX($O$1005:$Q$1005,1,MATCH(COLUMNS($O$1006:P1006),$O$1006:$Q$1006,0))&gt;=100000), " ",IF(INDEX($O$2:$Q$1001,MATCH(ROWS($H$2:H698),$H$2:$H$1001,0),MATCH(COLUMNS($O$1006:P1006),$O$1006:$Q$1006,0)), HYPERLINK("#",""), HYPERLINK(CONCATENATE("#metadata!", ADDRESS(INDEX($J$2:$J$1001,MATCH(ROWS($H$2:H698),$H$2:$H$1001,0),0), INDEX($O$1004:$Q$1004,1,MATCH(COLUMNS($O$1006:P1006),$O$1006:$Q$1006,0)))),"Fix")))</f>
        <v xml:space="preserve"> </v>
      </c>
      <c r="D698" s="3" t="str">
        <f ca="1">IF(OR(INDEX($I$2:$I$1001,MATCH(ROWS($H$2:H698),$H$2:$H$1001,0),1)&gt;=100000,INDEX($O$1005:$Q$1005,1,MATCH(COLUMNS($O$1006:Q1006),$O$1006:$Q$1006,0))&gt;=100000), " ",IF(INDEX($O$2:$Q$1001,MATCH(ROWS($H$2:H698),$H$2:$H$1001,0),MATCH(COLUMNS($O$1006:Q1006),$O$1006:$Q$1006,0)), HYPERLINK("#",""), HYPERLINK(CONCATENATE("#metadata!", ADDRESS(INDEX($J$2:$J$1001,MATCH(ROWS($H$2:H698),$H$2:$H$1001,0),0), INDEX($O$1004:$Q$1004,1,MATCH(COLUMNS($O$1006:Q1006),$O$1006:$Q$1006,0)))),"Fix")))</f>
        <v xml:space="preserve"> </v>
      </c>
      <c r="H698">
        <v>697</v>
      </c>
      <c r="I698">
        <v>100698</v>
      </c>
      <c r="J698">
        <v>698</v>
      </c>
      <c r="K698" t="b">
        <f t="shared" si="10"/>
        <v>1</v>
      </c>
      <c r="L698" t="b">
        <f>COUNTBLANK(metadata!B698:D698)=COLUMNS(metadata!B698:D698)</f>
        <v>1</v>
      </c>
      <c r="M698" t="str">
        <v/>
      </c>
      <c r="O698" t="b">
        <f ca="1"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P698" t="b">
        <f>AND(IF(metadata!C698="",FALSE,TRUE),EXACT(metadata!C698,"mouse gut metagenome"))</f>
        <v>0</v>
      </c>
      <c r="Q698" t="b">
        <f>AND(IF(metadata!D698="",FALSE,TRUE),EXACT(metadata!D698,"410661"))</f>
        <v>0</v>
      </c>
    </row>
    <row r="699" spans="1:17" x14ac:dyDescent="0.2">
      <c r="A699" s="4" t="str">
        <f ca="1">IF(B699=" "," ",HYPERLINK(CONCATENATE("#metadata!",ADDRESS(INDEX($J$2:$J$1001,MATCH(ROWS($H$2:H699),$H$2:$H$1001,0),0),1)),INDEX($M$2:$M$1001,MATCH(ROWS($H$2:H699),$H$2:$H$1001,0),0)))</f>
        <v xml:space="preserve"> </v>
      </c>
      <c r="B699" s="3" t="str">
        <f ca="1">IF(OR(INDEX($I$2:$I$1001,MATCH(ROWS($H$2:H699),$H$2:$H$1001,0),1)&gt;=100000,INDEX($O$1005:$Q$1005,1,MATCH(COLUMNS($O$1006:O1006),$O$1006:$Q$1006,0))&gt;=100000), " ",IF(INDEX($O$2:$Q$1001,MATCH(ROWS($H$2:H699),$H$2:$H$1001,0),MATCH(COLUMNS($O$1006:O1006),$O$1006:$Q$1006,0)), HYPERLINK("#",""), HYPERLINK(CONCATENATE("#metadata!", ADDRESS(INDEX($J$2:$J$1001,MATCH(ROWS($H$2:H699),$H$2:$H$1001,0),0), INDEX($O$1004:$Q$1004,1,MATCH(COLUMNS($O$1006:O1006),$O$1006:$Q$1006,0)))),"Fix")))</f>
        <v xml:space="preserve"> </v>
      </c>
      <c r="C699" s="3" t="str">
        <f ca="1">IF(OR(INDEX($I$2:$I$1001,MATCH(ROWS($H$2:H699),$H$2:$H$1001,0),1)&gt;=100000,INDEX($O$1005:$Q$1005,1,MATCH(COLUMNS($O$1006:P1006),$O$1006:$Q$1006,0))&gt;=100000), " ",IF(INDEX($O$2:$Q$1001,MATCH(ROWS($H$2:H699),$H$2:$H$1001,0),MATCH(COLUMNS($O$1006:P1006),$O$1006:$Q$1006,0)), HYPERLINK("#",""), HYPERLINK(CONCATENATE("#metadata!", ADDRESS(INDEX($J$2:$J$1001,MATCH(ROWS($H$2:H699),$H$2:$H$1001,0),0), INDEX($O$1004:$Q$1004,1,MATCH(COLUMNS($O$1006:P1006),$O$1006:$Q$1006,0)))),"Fix")))</f>
        <v xml:space="preserve"> </v>
      </c>
      <c r="D699" s="3" t="str">
        <f ca="1">IF(OR(INDEX($I$2:$I$1001,MATCH(ROWS($H$2:H699),$H$2:$H$1001,0),1)&gt;=100000,INDEX($O$1005:$Q$1005,1,MATCH(COLUMNS($O$1006:Q1006),$O$1006:$Q$1006,0))&gt;=100000), " ",IF(INDEX($O$2:$Q$1001,MATCH(ROWS($H$2:H699),$H$2:$H$1001,0),MATCH(COLUMNS($O$1006:Q1006),$O$1006:$Q$1006,0)), HYPERLINK("#",""), HYPERLINK(CONCATENATE("#metadata!", ADDRESS(INDEX($J$2:$J$1001,MATCH(ROWS($H$2:H699),$H$2:$H$1001,0),0), INDEX($O$1004:$Q$1004,1,MATCH(COLUMNS($O$1006:Q1006),$O$1006:$Q$1006,0)))),"Fix")))</f>
        <v xml:space="preserve"> </v>
      </c>
      <c r="H699">
        <v>698</v>
      </c>
      <c r="I699">
        <v>100699</v>
      </c>
      <c r="J699">
        <v>699</v>
      </c>
      <c r="K699" t="b">
        <f t="shared" si="10"/>
        <v>1</v>
      </c>
      <c r="L699" t="b">
        <f>COUNTBLANK(metadata!B699:D699)=COLUMNS(metadata!B699:D699)</f>
        <v>1</v>
      </c>
      <c r="M699" t="str">
        <v/>
      </c>
      <c r="O699" t="b">
        <f ca="1"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P699" t="b">
        <f>AND(IF(metadata!C699="",FALSE,TRUE),EXACT(metadata!C699,"mouse gut metagenome"))</f>
        <v>0</v>
      </c>
      <c r="Q699" t="b">
        <f>AND(IF(metadata!D699="",FALSE,TRUE),EXACT(metadata!D699,"410661"))</f>
        <v>0</v>
      </c>
    </row>
    <row r="700" spans="1:17" x14ac:dyDescent="0.2">
      <c r="A700" s="4" t="str">
        <f ca="1">IF(B700=" "," ",HYPERLINK(CONCATENATE("#metadata!",ADDRESS(INDEX($J$2:$J$1001,MATCH(ROWS($H$2:H700),$H$2:$H$1001,0),0),1)),INDEX($M$2:$M$1001,MATCH(ROWS($H$2:H700),$H$2:$H$1001,0),0)))</f>
        <v xml:space="preserve"> </v>
      </c>
      <c r="B700" s="3" t="str">
        <f ca="1">IF(OR(INDEX($I$2:$I$1001,MATCH(ROWS($H$2:H700),$H$2:$H$1001,0),1)&gt;=100000,INDEX($O$1005:$Q$1005,1,MATCH(COLUMNS($O$1006:O1006),$O$1006:$Q$1006,0))&gt;=100000), " ",IF(INDEX($O$2:$Q$1001,MATCH(ROWS($H$2:H700),$H$2:$H$1001,0),MATCH(COLUMNS($O$1006:O1006),$O$1006:$Q$1006,0)), HYPERLINK("#",""), HYPERLINK(CONCATENATE("#metadata!", ADDRESS(INDEX($J$2:$J$1001,MATCH(ROWS($H$2:H700),$H$2:$H$1001,0),0), INDEX($O$1004:$Q$1004,1,MATCH(COLUMNS($O$1006:O1006),$O$1006:$Q$1006,0)))),"Fix")))</f>
        <v xml:space="preserve"> </v>
      </c>
      <c r="C700" s="3" t="str">
        <f ca="1">IF(OR(INDEX($I$2:$I$1001,MATCH(ROWS($H$2:H700),$H$2:$H$1001,0),1)&gt;=100000,INDEX($O$1005:$Q$1005,1,MATCH(COLUMNS($O$1006:P1006),$O$1006:$Q$1006,0))&gt;=100000), " ",IF(INDEX($O$2:$Q$1001,MATCH(ROWS($H$2:H700),$H$2:$H$1001,0),MATCH(COLUMNS($O$1006:P1006),$O$1006:$Q$1006,0)), HYPERLINK("#",""), HYPERLINK(CONCATENATE("#metadata!", ADDRESS(INDEX($J$2:$J$1001,MATCH(ROWS($H$2:H700),$H$2:$H$1001,0),0), INDEX($O$1004:$Q$1004,1,MATCH(COLUMNS($O$1006:P1006),$O$1006:$Q$1006,0)))),"Fix")))</f>
        <v xml:space="preserve"> </v>
      </c>
      <c r="D700" s="3" t="str">
        <f ca="1">IF(OR(INDEX($I$2:$I$1001,MATCH(ROWS($H$2:H700),$H$2:$H$1001,0),1)&gt;=100000,INDEX($O$1005:$Q$1005,1,MATCH(COLUMNS($O$1006:Q1006),$O$1006:$Q$1006,0))&gt;=100000), " ",IF(INDEX($O$2:$Q$1001,MATCH(ROWS($H$2:H700),$H$2:$H$1001,0),MATCH(COLUMNS($O$1006:Q1006),$O$1006:$Q$1006,0)), HYPERLINK("#",""), HYPERLINK(CONCATENATE("#metadata!", ADDRESS(INDEX($J$2:$J$1001,MATCH(ROWS($H$2:H700),$H$2:$H$1001,0),0), INDEX($O$1004:$Q$1004,1,MATCH(COLUMNS($O$1006:Q1006),$O$1006:$Q$1006,0)))),"Fix")))</f>
        <v xml:space="preserve"> </v>
      </c>
      <c r="H700">
        <v>699</v>
      </c>
      <c r="I700">
        <v>100700</v>
      </c>
      <c r="J700">
        <v>700</v>
      </c>
      <c r="K700" t="b">
        <f t="shared" si="10"/>
        <v>1</v>
      </c>
      <c r="L700" t="b">
        <f>COUNTBLANK(metadata!B700:D700)=COLUMNS(metadata!B700:D700)</f>
        <v>1</v>
      </c>
      <c r="M700" t="str">
        <v/>
      </c>
      <c r="O700" t="b">
        <f ca="1"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P700" t="b">
        <f>AND(IF(metadata!C700="",FALSE,TRUE),EXACT(metadata!C700,"mouse gut metagenome"))</f>
        <v>0</v>
      </c>
      <c r="Q700" t="b">
        <f>AND(IF(metadata!D700="",FALSE,TRUE),EXACT(metadata!D700,"410661"))</f>
        <v>0</v>
      </c>
    </row>
    <row r="701" spans="1:17" x14ac:dyDescent="0.2">
      <c r="A701" s="4" t="str">
        <f ca="1">IF(B701=" "," ",HYPERLINK(CONCATENATE("#metadata!",ADDRESS(INDEX($J$2:$J$1001,MATCH(ROWS($H$2:H701),$H$2:$H$1001,0),0),1)),INDEX($M$2:$M$1001,MATCH(ROWS($H$2:H701),$H$2:$H$1001,0),0)))</f>
        <v xml:space="preserve"> </v>
      </c>
      <c r="B701" s="3" t="str">
        <f ca="1">IF(OR(INDEX($I$2:$I$1001,MATCH(ROWS($H$2:H701),$H$2:$H$1001,0),1)&gt;=100000,INDEX($O$1005:$Q$1005,1,MATCH(COLUMNS($O$1006:O1006),$O$1006:$Q$1006,0))&gt;=100000), " ",IF(INDEX($O$2:$Q$1001,MATCH(ROWS($H$2:H701),$H$2:$H$1001,0),MATCH(COLUMNS($O$1006:O1006),$O$1006:$Q$1006,0)), HYPERLINK("#",""), HYPERLINK(CONCATENATE("#metadata!", ADDRESS(INDEX($J$2:$J$1001,MATCH(ROWS($H$2:H701),$H$2:$H$1001,0),0), INDEX($O$1004:$Q$1004,1,MATCH(COLUMNS($O$1006:O1006),$O$1006:$Q$1006,0)))),"Fix")))</f>
        <v xml:space="preserve"> </v>
      </c>
      <c r="C701" s="3" t="str">
        <f ca="1">IF(OR(INDEX($I$2:$I$1001,MATCH(ROWS($H$2:H701),$H$2:$H$1001,0),1)&gt;=100000,INDEX($O$1005:$Q$1005,1,MATCH(COLUMNS($O$1006:P1006),$O$1006:$Q$1006,0))&gt;=100000), " ",IF(INDEX($O$2:$Q$1001,MATCH(ROWS($H$2:H701),$H$2:$H$1001,0),MATCH(COLUMNS($O$1006:P1006),$O$1006:$Q$1006,0)), HYPERLINK("#",""), HYPERLINK(CONCATENATE("#metadata!", ADDRESS(INDEX($J$2:$J$1001,MATCH(ROWS($H$2:H701),$H$2:$H$1001,0),0), INDEX($O$1004:$Q$1004,1,MATCH(COLUMNS($O$1006:P1006),$O$1006:$Q$1006,0)))),"Fix")))</f>
        <v xml:space="preserve"> </v>
      </c>
      <c r="D701" s="3" t="str">
        <f ca="1">IF(OR(INDEX($I$2:$I$1001,MATCH(ROWS($H$2:H701),$H$2:$H$1001,0),1)&gt;=100000,INDEX($O$1005:$Q$1005,1,MATCH(COLUMNS($O$1006:Q1006),$O$1006:$Q$1006,0))&gt;=100000), " ",IF(INDEX($O$2:$Q$1001,MATCH(ROWS($H$2:H701),$H$2:$H$1001,0),MATCH(COLUMNS($O$1006:Q1006),$O$1006:$Q$1006,0)), HYPERLINK("#",""), HYPERLINK(CONCATENATE("#metadata!", ADDRESS(INDEX($J$2:$J$1001,MATCH(ROWS($H$2:H701),$H$2:$H$1001,0),0), INDEX($O$1004:$Q$1004,1,MATCH(COLUMNS($O$1006:Q1006),$O$1006:$Q$1006,0)))),"Fix")))</f>
        <v xml:space="preserve"> </v>
      </c>
      <c r="H701">
        <v>700</v>
      </c>
      <c r="I701">
        <v>100701</v>
      </c>
      <c r="J701">
        <v>701</v>
      </c>
      <c r="K701" t="b">
        <f t="shared" si="10"/>
        <v>1</v>
      </c>
      <c r="L701" t="b">
        <f>COUNTBLANK(metadata!B701:D701)=COLUMNS(metadata!B701:D701)</f>
        <v>1</v>
      </c>
      <c r="M701" t="str">
        <v/>
      </c>
      <c r="O701" t="b">
        <f ca="1"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P701" t="b">
        <f>AND(IF(metadata!C701="",FALSE,TRUE),EXACT(metadata!C701,"mouse gut metagenome"))</f>
        <v>0</v>
      </c>
      <c r="Q701" t="b">
        <f>AND(IF(metadata!D701="",FALSE,TRUE),EXACT(metadata!D701,"410661"))</f>
        <v>0</v>
      </c>
    </row>
    <row r="702" spans="1:17" x14ac:dyDescent="0.2">
      <c r="A702" s="4" t="str">
        <f ca="1">IF(B702=" "," ",HYPERLINK(CONCATENATE("#metadata!",ADDRESS(INDEX($J$2:$J$1001,MATCH(ROWS($H$2:H702),$H$2:$H$1001,0),0),1)),INDEX($M$2:$M$1001,MATCH(ROWS($H$2:H702),$H$2:$H$1001,0),0)))</f>
        <v xml:space="preserve"> </v>
      </c>
      <c r="B702" s="3" t="str">
        <f ca="1">IF(OR(INDEX($I$2:$I$1001,MATCH(ROWS($H$2:H702),$H$2:$H$1001,0),1)&gt;=100000,INDEX($O$1005:$Q$1005,1,MATCH(COLUMNS($O$1006:O1006),$O$1006:$Q$1006,0))&gt;=100000), " ",IF(INDEX($O$2:$Q$1001,MATCH(ROWS($H$2:H702),$H$2:$H$1001,0),MATCH(COLUMNS($O$1006:O1006),$O$1006:$Q$1006,0)), HYPERLINK("#",""), HYPERLINK(CONCATENATE("#metadata!", ADDRESS(INDEX($J$2:$J$1001,MATCH(ROWS($H$2:H702),$H$2:$H$1001,0),0), INDEX($O$1004:$Q$1004,1,MATCH(COLUMNS($O$1006:O1006),$O$1006:$Q$1006,0)))),"Fix")))</f>
        <v xml:space="preserve"> </v>
      </c>
      <c r="C702" s="3" t="str">
        <f ca="1">IF(OR(INDEX($I$2:$I$1001,MATCH(ROWS($H$2:H702),$H$2:$H$1001,0),1)&gt;=100000,INDEX($O$1005:$Q$1005,1,MATCH(COLUMNS($O$1006:P1006),$O$1006:$Q$1006,0))&gt;=100000), " ",IF(INDEX($O$2:$Q$1001,MATCH(ROWS($H$2:H702),$H$2:$H$1001,0),MATCH(COLUMNS($O$1006:P1006),$O$1006:$Q$1006,0)), HYPERLINK("#",""), HYPERLINK(CONCATENATE("#metadata!", ADDRESS(INDEX($J$2:$J$1001,MATCH(ROWS($H$2:H702),$H$2:$H$1001,0),0), INDEX($O$1004:$Q$1004,1,MATCH(COLUMNS($O$1006:P1006),$O$1006:$Q$1006,0)))),"Fix")))</f>
        <v xml:space="preserve"> </v>
      </c>
      <c r="D702" s="3" t="str">
        <f ca="1">IF(OR(INDEX($I$2:$I$1001,MATCH(ROWS($H$2:H702),$H$2:$H$1001,0),1)&gt;=100000,INDEX($O$1005:$Q$1005,1,MATCH(COLUMNS($O$1006:Q1006),$O$1006:$Q$1006,0))&gt;=100000), " ",IF(INDEX($O$2:$Q$1001,MATCH(ROWS($H$2:H702),$H$2:$H$1001,0),MATCH(COLUMNS($O$1006:Q1006),$O$1006:$Q$1006,0)), HYPERLINK("#",""), HYPERLINK(CONCATENATE("#metadata!", ADDRESS(INDEX($J$2:$J$1001,MATCH(ROWS($H$2:H702),$H$2:$H$1001,0),0), INDEX($O$1004:$Q$1004,1,MATCH(COLUMNS($O$1006:Q1006),$O$1006:$Q$1006,0)))),"Fix")))</f>
        <v xml:space="preserve"> </v>
      </c>
      <c r="H702">
        <v>701</v>
      </c>
      <c r="I702">
        <v>100702</v>
      </c>
      <c r="J702">
        <v>702</v>
      </c>
      <c r="K702" t="b">
        <f t="shared" si="10"/>
        <v>1</v>
      </c>
      <c r="L702" t="b">
        <f>COUNTBLANK(metadata!B702:D702)=COLUMNS(metadata!B702:D702)</f>
        <v>1</v>
      </c>
      <c r="M702" t="str">
        <v/>
      </c>
      <c r="O702" t="b">
        <f ca="1"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P702" t="b">
        <f>AND(IF(metadata!C702="",FALSE,TRUE),EXACT(metadata!C702,"mouse gut metagenome"))</f>
        <v>0</v>
      </c>
      <c r="Q702" t="b">
        <f>AND(IF(metadata!D702="",FALSE,TRUE),EXACT(metadata!D702,"410661"))</f>
        <v>0</v>
      </c>
    </row>
    <row r="703" spans="1:17" x14ac:dyDescent="0.2">
      <c r="A703" s="4" t="str">
        <f ca="1">IF(B703=" "," ",HYPERLINK(CONCATENATE("#metadata!",ADDRESS(INDEX($J$2:$J$1001,MATCH(ROWS($H$2:H703),$H$2:$H$1001,0),0),1)),INDEX($M$2:$M$1001,MATCH(ROWS($H$2:H703),$H$2:$H$1001,0),0)))</f>
        <v xml:space="preserve"> </v>
      </c>
      <c r="B703" s="3" t="str">
        <f ca="1">IF(OR(INDEX($I$2:$I$1001,MATCH(ROWS($H$2:H703),$H$2:$H$1001,0),1)&gt;=100000,INDEX($O$1005:$Q$1005,1,MATCH(COLUMNS($O$1006:O1006),$O$1006:$Q$1006,0))&gt;=100000), " ",IF(INDEX($O$2:$Q$1001,MATCH(ROWS($H$2:H703),$H$2:$H$1001,0),MATCH(COLUMNS($O$1006:O1006),$O$1006:$Q$1006,0)), HYPERLINK("#",""), HYPERLINK(CONCATENATE("#metadata!", ADDRESS(INDEX($J$2:$J$1001,MATCH(ROWS($H$2:H703),$H$2:$H$1001,0),0), INDEX($O$1004:$Q$1004,1,MATCH(COLUMNS($O$1006:O1006),$O$1006:$Q$1006,0)))),"Fix")))</f>
        <v xml:space="preserve"> </v>
      </c>
      <c r="C703" s="3" t="str">
        <f ca="1">IF(OR(INDEX($I$2:$I$1001,MATCH(ROWS($H$2:H703),$H$2:$H$1001,0),1)&gt;=100000,INDEX($O$1005:$Q$1005,1,MATCH(COLUMNS($O$1006:P1006),$O$1006:$Q$1006,0))&gt;=100000), " ",IF(INDEX($O$2:$Q$1001,MATCH(ROWS($H$2:H703),$H$2:$H$1001,0),MATCH(COLUMNS($O$1006:P1006),$O$1006:$Q$1006,0)), HYPERLINK("#",""), HYPERLINK(CONCATENATE("#metadata!", ADDRESS(INDEX($J$2:$J$1001,MATCH(ROWS($H$2:H703),$H$2:$H$1001,0),0), INDEX($O$1004:$Q$1004,1,MATCH(COLUMNS($O$1006:P1006),$O$1006:$Q$1006,0)))),"Fix")))</f>
        <v xml:space="preserve"> </v>
      </c>
      <c r="D703" s="3" t="str">
        <f ca="1">IF(OR(INDEX($I$2:$I$1001,MATCH(ROWS($H$2:H703),$H$2:$H$1001,0),1)&gt;=100000,INDEX($O$1005:$Q$1005,1,MATCH(COLUMNS($O$1006:Q1006),$O$1006:$Q$1006,0))&gt;=100000), " ",IF(INDEX($O$2:$Q$1001,MATCH(ROWS($H$2:H703),$H$2:$H$1001,0),MATCH(COLUMNS($O$1006:Q1006),$O$1006:$Q$1006,0)), HYPERLINK("#",""), HYPERLINK(CONCATENATE("#metadata!", ADDRESS(INDEX($J$2:$J$1001,MATCH(ROWS($H$2:H703),$H$2:$H$1001,0),0), INDEX($O$1004:$Q$1004,1,MATCH(COLUMNS($O$1006:Q1006),$O$1006:$Q$1006,0)))),"Fix")))</f>
        <v xml:space="preserve"> </v>
      </c>
      <c r="H703">
        <v>702</v>
      </c>
      <c r="I703">
        <v>100703</v>
      </c>
      <c r="J703">
        <v>703</v>
      </c>
      <c r="K703" t="b">
        <f t="shared" si="10"/>
        <v>1</v>
      </c>
      <c r="L703" t="b">
        <f>COUNTBLANK(metadata!B703:D703)=COLUMNS(metadata!B703:D703)</f>
        <v>1</v>
      </c>
      <c r="M703" t="str">
        <v/>
      </c>
      <c r="O703" t="b">
        <f ca="1"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P703" t="b">
        <f>AND(IF(metadata!C703="",FALSE,TRUE),EXACT(metadata!C703,"mouse gut metagenome"))</f>
        <v>0</v>
      </c>
      <c r="Q703" t="b">
        <f>AND(IF(metadata!D703="",FALSE,TRUE),EXACT(metadata!D703,"410661"))</f>
        <v>0</v>
      </c>
    </row>
    <row r="704" spans="1:17" x14ac:dyDescent="0.2">
      <c r="A704" s="4" t="str">
        <f ca="1">IF(B704=" "," ",HYPERLINK(CONCATENATE("#metadata!",ADDRESS(INDEX($J$2:$J$1001,MATCH(ROWS($H$2:H704),$H$2:$H$1001,0),0),1)),INDEX($M$2:$M$1001,MATCH(ROWS($H$2:H704),$H$2:$H$1001,0),0)))</f>
        <v xml:space="preserve"> </v>
      </c>
      <c r="B704" s="3" t="str">
        <f ca="1">IF(OR(INDEX($I$2:$I$1001,MATCH(ROWS($H$2:H704),$H$2:$H$1001,0),1)&gt;=100000,INDEX($O$1005:$Q$1005,1,MATCH(COLUMNS($O$1006:O1006),$O$1006:$Q$1006,0))&gt;=100000), " ",IF(INDEX($O$2:$Q$1001,MATCH(ROWS($H$2:H704),$H$2:$H$1001,0),MATCH(COLUMNS($O$1006:O1006),$O$1006:$Q$1006,0)), HYPERLINK("#",""), HYPERLINK(CONCATENATE("#metadata!", ADDRESS(INDEX($J$2:$J$1001,MATCH(ROWS($H$2:H704),$H$2:$H$1001,0),0), INDEX($O$1004:$Q$1004,1,MATCH(COLUMNS($O$1006:O1006),$O$1006:$Q$1006,0)))),"Fix")))</f>
        <v xml:space="preserve"> </v>
      </c>
      <c r="C704" s="3" t="str">
        <f ca="1">IF(OR(INDEX($I$2:$I$1001,MATCH(ROWS($H$2:H704),$H$2:$H$1001,0),1)&gt;=100000,INDEX($O$1005:$Q$1005,1,MATCH(COLUMNS($O$1006:P1006),$O$1006:$Q$1006,0))&gt;=100000), " ",IF(INDEX($O$2:$Q$1001,MATCH(ROWS($H$2:H704),$H$2:$H$1001,0),MATCH(COLUMNS($O$1006:P1006),$O$1006:$Q$1006,0)), HYPERLINK("#",""), HYPERLINK(CONCATENATE("#metadata!", ADDRESS(INDEX($J$2:$J$1001,MATCH(ROWS($H$2:H704),$H$2:$H$1001,0),0), INDEX($O$1004:$Q$1004,1,MATCH(COLUMNS($O$1006:P1006),$O$1006:$Q$1006,0)))),"Fix")))</f>
        <v xml:space="preserve"> </v>
      </c>
      <c r="D704" s="3" t="str">
        <f ca="1">IF(OR(INDEX($I$2:$I$1001,MATCH(ROWS($H$2:H704),$H$2:$H$1001,0),1)&gt;=100000,INDEX($O$1005:$Q$1005,1,MATCH(COLUMNS($O$1006:Q1006),$O$1006:$Q$1006,0))&gt;=100000), " ",IF(INDEX($O$2:$Q$1001,MATCH(ROWS($H$2:H704),$H$2:$H$1001,0),MATCH(COLUMNS($O$1006:Q1006),$O$1006:$Q$1006,0)), HYPERLINK("#",""), HYPERLINK(CONCATENATE("#metadata!", ADDRESS(INDEX($J$2:$J$1001,MATCH(ROWS($H$2:H704),$H$2:$H$1001,0),0), INDEX($O$1004:$Q$1004,1,MATCH(COLUMNS($O$1006:Q1006),$O$1006:$Q$1006,0)))),"Fix")))</f>
        <v xml:space="preserve"> </v>
      </c>
      <c r="H704">
        <v>703</v>
      </c>
      <c r="I704">
        <v>100704</v>
      </c>
      <c r="J704">
        <v>704</v>
      </c>
      <c r="K704" t="b">
        <f t="shared" si="10"/>
        <v>1</v>
      </c>
      <c r="L704" t="b">
        <f>COUNTBLANK(metadata!B704:D704)=COLUMNS(metadata!B704:D704)</f>
        <v>1</v>
      </c>
      <c r="M704" t="str">
        <v/>
      </c>
      <c r="O704" t="b">
        <f ca="1"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P704" t="b">
        <f>AND(IF(metadata!C704="",FALSE,TRUE),EXACT(metadata!C704,"mouse gut metagenome"))</f>
        <v>0</v>
      </c>
      <c r="Q704" t="b">
        <f>AND(IF(metadata!D704="",FALSE,TRUE),EXACT(metadata!D704,"410661"))</f>
        <v>0</v>
      </c>
    </row>
    <row r="705" spans="1:17" x14ac:dyDescent="0.2">
      <c r="A705" s="4" t="str">
        <f ca="1">IF(B705=" "," ",HYPERLINK(CONCATENATE("#metadata!",ADDRESS(INDEX($J$2:$J$1001,MATCH(ROWS($H$2:H705),$H$2:$H$1001,0),0),1)),INDEX($M$2:$M$1001,MATCH(ROWS($H$2:H705),$H$2:$H$1001,0),0)))</f>
        <v xml:space="preserve"> </v>
      </c>
      <c r="B705" s="3" t="str">
        <f ca="1">IF(OR(INDEX($I$2:$I$1001,MATCH(ROWS($H$2:H705),$H$2:$H$1001,0),1)&gt;=100000,INDEX($O$1005:$Q$1005,1,MATCH(COLUMNS($O$1006:O1006),$O$1006:$Q$1006,0))&gt;=100000), " ",IF(INDEX($O$2:$Q$1001,MATCH(ROWS($H$2:H705),$H$2:$H$1001,0),MATCH(COLUMNS($O$1006:O1006),$O$1006:$Q$1006,0)), HYPERLINK("#",""), HYPERLINK(CONCATENATE("#metadata!", ADDRESS(INDEX($J$2:$J$1001,MATCH(ROWS($H$2:H705),$H$2:$H$1001,0),0), INDEX($O$1004:$Q$1004,1,MATCH(COLUMNS($O$1006:O1006),$O$1006:$Q$1006,0)))),"Fix")))</f>
        <v xml:space="preserve"> </v>
      </c>
      <c r="C705" s="3" t="str">
        <f ca="1">IF(OR(INDEX($I$2:$I$1001,MATCH(ROWS($H$2:H705),$H$2:$H$1001,0),1)&gt;=100000,INDEX($O$1005:$Q$1005,1,MATCH(COLUMNS($O$1006:P1006),$O$1006:$Q$1006,0))&gt;=100000), " ",IF(INDEX($O$2:$Q$1001,MATCH(ROWS($H$2:H705),$H$2:$H$1001,0),MATCH(COLUMNS($O$1006:P1006),$O$1006:$Q$1006,0)), HYPERLINK("#",""), HYPERLINK(CONCATENATE("#metadata!", ADDRESS(INDEX($J$2:$J$1001,MATCH(ROWS($H$2:H705),$H$2:$H$1001,0),0), INDEX($O$1004:$Q$1004,1,MATCH(COLUMNS($O$1006:P1006),$O$1006:$Q$1006,0)))),"Fix")))</f>
        <v xml:space="preserve"> </v>
      </c>
      <c r="D705" s="3" t="str">
        <f ca="1">IF(OR(INDEX($I$2:$I$1001,MATCH(ROWS($H$2:H705),$H$2:$H$1001,0),1)&gt;=100000,INDEX($O$1005:$Q$1005,1,MATCH(COLUMNS($O$1006:Q1006),$O$1006:$Q$1006,0))&gt;=100000), " ",IF(INDEX($O$2:$Q$1001,MATCH(ROWS($H$2:H705),$H$2:$H$1001,0),MATCH(COLUMNS($O$1006:Q1006),$O$1006:$Q$1006,0)), HYPERLINK("#",""), HYPERLINK(CONCATENATE("#metadata!", ADDRESS(INDEX($J$2:$J$1001,MATCH(ROWS($H$2:H705),$H$2:$H$1001,0),0), INDEX($O$1004:$Q$1004,1,MATCH(COLUMNS($O$1006:Q1006),$O$1006:$Q$1006,0)))),"Fix")))</f>
        <v xml:space="preserve"> </v>
      </c>
      <c r="H705">
        <v>704</v>
      </c>
      <c r="I705">
        <v>100705</v>
      </c>
      <c r="J705">
        <v>705</v>
      </c>
      <c r="K705" t="b">
        <f t="shared" si="10"/>
        <v>1</v>
      </c>
      <c r="L705" t="b">
        <f>COUNTBLANK(metadata!B705:D705)=COLUMNS(metadata!B705:D705)</f>
        <v>1</v>
      </c>
      <c r="M705" t="str">
        <v/>
      </c>
      <c r="O705" t="b">
        <f ca="1"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P705" t="b">
        <f>AND(IF(metadata!C705="",FALSE,TRUE),EXACT(metadata!C705,"mouse gut metagenome"))</f>
        <v>0</v>
      </c>
      <c r="Q705" t="b">
        <f>AND(IF(metadata!D705="",FALSE,TRUE),EXACT(metadata!D705,"410661"))</f>
        <v>0</v>
      </c>
    </row>
    <row r="706" spans="1:17" x14ac:dyDescent="0.2">
      <c r="A706" s="4" t="str">
        <f ca="1">IF(B706=" "," ",HYPERLINK(CONCATENATE("#metadata!",ADDRESS(INDEX($J$2:$J$1001,MATCH(ROWS($H$2:H706),$H$2:$H$1001,0),0),1)),INDEX($M$2:$M$1001,MATCH(ROWS($H$2:H706),$H$2:$H$1001,0),0)))</f>
        <v xml:space="preserve"> </v>
      </c>
      <c r="B706" s="3" t="str">
        <f ca="1">IF(OR(INDEX($I$2:$I$1001,MATCH(ROWS($H$2:H706),$H$2:$H$1001,0),1)&gt;=100000,INDEX($O$1005:$Q$1005,1,MATCH(COLUMNS($O$1006:O1006),$O$1006:$Q$1006,0))&gt;=100000), " ",IF(INDEX($O$2:$Q$1001,MATCH(ROWS($H$2:H706),$H$2:$H$1001,0),MATCH(COLUMNS($O$1006:O1006),$O$1006:$Q$1006,0)), HYPERLINK("#",""), HYPERLINK(CONCATENATE("#metadata!", ADDRESS(INDEX($J$2:$J$1001,MATCH(ROWS($H$2:H706),$H$2:$H$1001,0),0), INDEX($O$1004:$Q$1004,1,MATCH(COLUMNS($O$1006:O1006),$O$1006:$Q$1006,0)))),"Fix")))</f>
        <v xml:space="preserve"> </v>
      </c>
      <c r="C706" s="3" t="str">
        <f ca="1">IF(OR(INDEX($I$2:$I$1001,MATCH(ROWS($H$2:H706),$H$2:$H$1001,0),1)&gt;=100000,INDEX($O$1005:$Q$1005,1,MATCH(COLUMNS($O$1006:P1006),$O$1006:$Q$1006,0))&gt;=100000), " ",IF(INDEX($O$2:$Q$1001,MATCH(ROWS($H$2:H706),$H$2:$H$1001,0),MATCH(COLUMNS($O$1006:P1006),$O$1006:$Q$1006,0)), HYPERLINK("#",""), HYPERLINK(CONCATENATE("#metadata!", ADDRESS(INDEX($J$2:$J$1001,MATCH(ROWS($H$2:H706),$H$2:$H$1001,0),0), INDEX($O$1004:$Q$1004,1,MATCH(COLUMNS($O$1006:P1006),$O$1006:$Q$1006,0)))),"Fix")))</f>
        <v xml:space="preserve"> </v>
      </c>
      <c r="D706" s="3" t="str">
        <f ca="1">IF(OR(INDEX($I$2:$I$1001,MATCH(ROWS($H$2:H706),$H$2:$H$1001,0),1)&gt;=100000,INDEX($O$1005:$Q$1005,1,MATCH(COLUMNS($O$1006:Q1006),$O$1006:$Q$1006,0))&gt;=100000), " ",IF(INDEX($O$2:$Q$1001,MATCH(ROWS($H$2:H706),$H$2:$H$1001,0),MATCH(COLUMNS($O$1006:Q1006),$O$1006:$Q$1006,0)), HYPERLINK("#",""), HYPERLINK(CONCATENATE("#metadata!", ADDRESS(INDEX($J$2:$J$1001,MATCH(ROWS($H$2:H706),$H$2:$H$1001,0),0), INDEX($O$1004:$Q$1004,1,MATCH(COLUMNS($O$1006:Q1006),$O$1006:$Q$1006,0)))),"Fix")))</f>
        <v xml:space="preserve"> </v>
      </c>
      <c r="H706">
        <v>705</v>
      </c>
      <c r="I706">
        <v>100706</v>
      </c>
      <c r="J706">
        <v>706</v>
      </c>
      <c r="K706" t="b">
        <f t="shared" ref="K706:K769" si="11">IF(L706,TRUE,AND(O706:Q706))</f>
        <v>1</v>
      </c>
      <c r="L706" t="b">
        <f>COUNTBLANK(metadata!B706:D706)=COLUMNS(metadata!B706:D706)</f>
        <v>1</v>
      </c>
      <c r="M706" t="str">
        <v/>
      </c>
      <c r="O706" t="b">
        <f ca="1"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P706" t="b">
        <f>AND(IF(metadata!C706="",FALSE,TRUE),EXACT(metadata!C706,"mouse gut metagenome"))</f>
        <v>0</v>
      </c>
      <c r="Q706" t="b">
        <f>AND(IF(metadata!D706="",FALSE,TRUE),EXACT(metadata!D706,"410661"))</f>
        <v>0</v>
      </c>
    </row>
    <row r="707" spans="1:17" x14ac:dyDescent="0.2">
      <c r="A707" s="4" t="str">
        <f ca="1">IF(B707=" "," ",HYPERLINK(CONCATENATE("#metadata!",ADDRESS(INDEX($J$2:$J$1001,MATCH(ROWS($H$2:H707),$H$2:$H$1001,0),0),1)),INDEX($M$2:$M$1001,MATCH(ROWS($H$2:H707),$H$2:$H$1001,0),0)))</f>
        <v xml:space="preserve"> </v>
      </c>
      <c r="B707" s="3" t="str">
        <f ca="1">IF(OR(INDEX($I$2:$I$1001,MATCH(ROWS($H$2:H707),$H$2:$H$1001,0),1)&gt;=100000,INDEX($O$1005:$Q$1005,1,MATCH(COLUMNS($O$1006:O1006),$O$1006:$Q$1006,0))&gt;=100000), " ",IF(INDEX($O$2:$Q$1001,MATCH(ROWS($H$2:H707),$H$2:$H$1001,0),MATCH(COLUMNS($O$1006:O1006),$O$1006:$Q$1006,0)), HYPERLINK("#",""), HYPERLINK(CONCATENATE("#metadata!", ADDRESS(INDEX($J$2:$J$1001,MATCH(ROWS($H$2:H707),$H$2:$H$1001,0),0), INDEX($O$1004:$Q$1004,1,MATCH(COLUMNS($O$1006:O1006),$O$1006:$Q$1006,0)))),"Fix")))</f>
        <v xml:space="preserve"> </v>
      </c>
      <c r="C707" s="3" t="str">
        <f ca="1">IF(OR(INDEX($I$2:$I$1001,MATCH(ROWS($H$2:H707),$H$2:$H$1001,0),1)&gt;=100000,INDEX($O$1005:$Q$1005,1,MATCH(COLUMNS($O$1006:P1006),$O$1006:$Q$1006,0))&gt;=100000), " ",IF(INDEX($O$2:$Q$1001,MATCH(ROWS($H$2:H707),$H$2:$H$1001,0),MATCH(COLUMNS($O$1006:P1006),$O$1006:$Q$1006,0)), HYPERLINK("#",""), HYPERLINK(CONCATENATE("#metadata!", ADDRESS(INDEX($J$2:$J$1001,MATCH(ROWS($H$2:H707),$H$2:$H$1001,0),0), INDEX($O$1004:$Q$1004,1,MATCH(COLUMNS($O$1006:P1006),$O$1006:$Q$1006,0)))),"Fix")))</f>
        <v xml:space="preserve"> </v>
      </c>
      <c r="D707" s="3" t="str">
        <f ca="1">IF(OR(INDEX($I$2:$I$1001,MATCH(ROWS($H$2:H707),$H$2:$H$1001,0),1)&gt;=100000,INDEX($O$1005:$Q$1005,1,MATCH(COLUMNS($O$1006:Q1006),$O$1006:$Q$1006,0))&gt;=100000), " ",IF(INDEX($O$2:$Q$1001,MATCH(ROWS($H$2:H707),$H$2:$H$1001,0),MATCH(COLUMNS($O$1006:Q1006),$O$1006:$Q$1006,0)), HYPERLINK("#",""), HYPERLINK(CONCATENATE("#metadata!", ADDRESS(INDEX($J$2:$J$1001,MATCH(ROWS($H$2:H707),$H$2:$H$1001,0),0), INDEX($O$1004:$Q$1004,1,MATCH(COLUMNS($O$1006:Q1006),$O$1006:$Q$1006,0)))),"Fix")))</f>
        <v xml:space="preserve"> </v>
      </c>
      <c r="H707">
        <v>706</v>
      </c>
      <c r="I707">
        <v>100707</v>
      </c>
      <c r="J707">
        <v>707</v>
      </c>
      <c r="K707" t="b">
        <f t="shared" si="11"/>
        <v>1</v>
      </c>
      <c r="L707" t="b">
        <f>COUNTBLANK(metadata!B707:D707)=COLUMNS(metadata!B707:D707)</f>
        <v>1</v>
      </c>
      <c r="M707" t="str">
        <v/>
      </c>
      <c r="O707" t="b">
        <f ca="1"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P707" t="b">
        <f>AND(IF(metadata!C707="",FALSE,TRUE),EXACT(metadata!C707,"mouse gut metagenome"))</f>
        <v>0</v>
      </c>
      <c r="Q707" t="b">
        <f>AND(IF(metadata!D707="",FALSE,TRUE),EXACT(metadata!D707,"410661"))</f>
        <v>0</v>
      </c>
    </row>
    <row r="708" spans="1:17" x14ac:dyDescent="0.2">
      <c r="A708" s="4" t="str">
        <f ca="1">IF(B708=" "," ",HYPERLINK(CONCATENATE("#metadata!",ADDRESS(INDEX($J$2:$J$1001,MATCH(ROWS($H$2:H708),$H$2:$H$1001,0),0),1)),INDEX($M$2:$M$1001,MATCH(ROWS($H$2:H708),$H$2:$H$1001,0),0)))</f>
        <v xml:space="preserve"> </v>
      </c>
      <c r="B708" s="3" t="str">
        <f ca="1">IF(OR(INDEX($I$2:$I$1001,MATCH(ROWS($H$2:H708),$H$2:$H$1001,0),1)&gt;=100000,INDEX($O$1005:$Q$1005,1,MATCH(COLUMNS($O$1006:O1006),$O$1006:$Q$1006,0))&gt;=100000), " ",IF(INDEX($O$2:$Q$1001,MATCH(ROWS($H$2:H708),$H$2:$H$1001,0),MATCH(COLUMNS($O$1006:O1006),$O$1006:$Q$1006,0)), HYPERLINK("#",""), HYPERLINK(CONCATENATE("#metadata!", ADDRESS(INDEX($J$2:$J$1001,MATCH(ROWS($H$2:H708),$H$2:$H$1001,0),0), INDEX($O$1004:$Q$1004,1,MATCH(COLUMNS($O$1006:O1006),$O$1006:$Q$1006,0)))),"Fix")))</f>
        <v xml:space="preserve"> </v>
      </c>
      <c r="C708" s="3" t="str">
        <f ca="1">IF(OR(INDEX($I$2:$I$1001,MATCH(ROWS($H$2:H708),$H$2:$H$1001,0),1)&gt;=100000,INDEX($O$1005:$Q$1005,1,MATCH(COLUMNS($O$1006:P1006),$O$1006:$Q$1006,0))&gt;=100000), " ",IF(INDEX($O$2:$Q$1001,MATCH(ROWS($H$2:H708),$H$2:$H$1001,0),MATCH(COLUMNS($O$1006:P1006),$O$1006:$Q$1006,0)), HYPERLINK("#",""), HYPERLINK(CONCATENATE("#metadata!", ADDRESS(INDEX($J$2:$J$1001,MATCH(ROWS($H$2:H708),$H$2:$H$1001,0),0), INDEX($O$1004:$Q$1004,1,MATCH(COLUMNS($O$1006:P1006),$O$1006:$Q$1006,0)))),"Fix")))</f>
        <v xml:space="preserve"> </v>
      </c>
      <c r="D708" s="3" t="str">
        <f ca="1">IF(OR(INDEX($I$2:$I$1001,MATCH(ROWS($H$2:H708),$H$2:$H$1001,0),1)&gt;=100000,INDEX($O$1005:$Q$1005,1,MATCH(COLUMNS($O$1006:Q1006),$O$1006:$Q$1006,0))&gt;=100000), " ",IF(INDEX($O$2:$Q$1001,MATCH(ROWS($H$2:H708),$H$2:$H$1001,0),MATCH(COLUMNS($O$1006:Q1006),$O$1006:$Q$1006,0)), HYPERLINK("#",""), HYPERLINK(CONCATENATE("#metadata!", ADDRESS(INDEX($J$2:$J$1001,MATCH(ROWS($H$2:H708),$H$2:$H$1001,0),0), INDEX($O$1004:$Q$1004,1,MATCH(COLUMNS($O$1006:Q1006),$O$1006:$Q$1006,0)))),"Fix")))</f>
        <v xml:space="preserve"> </v>
      </c>
      <c r="H708">
        <v>707</v>
      </c>
      <c r="I708">
        <v>100708</v>
      </c>
      <c r="J708">
        <v>708</v>
      </c>
      <c r="K708" t="b">
        <f t="shared" si="11"/>
        <v>1</v>
      </c>
      <c r="L708" t="b">
        <f>COUNTBLANK(metadata!B708:D708)=COLUMNS(metadata!B708:D708)</f>
        <v>1</v>
      </c>
      <c r="M708" t="str">
        <v/>
      </c>
      <c r="O708" t="b">
        <f ca="1"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P708" t="b">
        <f>AND(IF(metadata!C708="",FALSE,TRUE),EXACT(metadata!C708,"mouse gut metagenome"))</f>
        <v>0</v>
      </c>
      <c r="Q708" t="b">
        <f>AND(IF(metadata!D708="",FALSE,TRUE),EXACT(metadata!D708,"410661"))</f>
        <v>0</v>
      </c>
    </row>
    <row r="709" spans="1:17" x14ac:dyDescent="0.2">
      <c r="A709" s="4" t="str">
        <f ca="1">IF(B709=" "," ",HYPERLINK(CONCATENATE("#metadata!",ADDRESS(INDEX($J$2:$J$1001,MATCH(ROWS($H$2:H709),$H$2:$H$1001,0),0),1)),INDEX($M$2:$M$1001,MATCH(ROWS($H$2:H709),$H$2:$H$1001,0),0)))</f>
        <v xml:space="preserve"> </v>
      </c>
      <c r="B709" s="3" t="str">
        <f ca="1">IF(OR(INDEX($I$2:$I$1001,MATCH(ROWS($H$2:H709),$H$2:$H$1001,0),1)&gt;=100000,INDEX($O$1005:$Q$1005,1,MATCH(COLUMNS($O$1006:O1006),$O$1006:$Q$1006,0))&gt;=100000), " ",IF(INDEX($O$2:$Q$1001,MATCH(ROWS($H$2:H709),$H$2:$H$1001,0),MATCH(COLUMNS($O$1006:O1006),$O$1006:$Q$1006,0)), HYPERLINK("#",""), HYPERLINK(CONCATENATE("#metadata!", ADDRESS(INDEX($J$2:$J$1001,MATCH(ROWS($H$2:H709),$H$2:$H$1001,0),0), INDEX($O$1004:$Q$1004,1,MATCH(COLUMNS($O$1006:O1006),$O$1006:$Q$1006,0)))),"Fix")))</f>
        <v xml:space="preserve"> </v>
      </c>
      <c r="C709" s="3" t="str">
        <f ca="1">IF(OR(INDEX($I$2:$I$1001,MATCH(ROWS($H$2:H709),$H$2:$H$1001,0),1)&gt;=100000,INDEX($O$1005:$Q$1005,1,MATCH(COLUMNS($O$1006:P1006),$O$1006:$Q$1006,0))&gt;=100000), " ",IF(INDEX($O$2:$Q$1001,MATCH(ROWS($H$2:H709),$H$2:$H$1001,0),MATCH(COLUMNS($O$1006:P1006),$O$1006:$Q$1006,0)), HYPERLINK("#",""), HYPERLINK(CONCATENATE("#metadata!", ADDRESS(INDEX($J$2:$J$1001,MATCH(ROWS($H$2:H709),$H$2:$H$1001,0),0), INDEX($O$1004:$Q$1004,1,MATCH(COLUMNS($O$1006:P1006),$O$1006:$Q$1006,0)))),"Fix")))</f>
        <v xml:space="preserve"> </v>
      </c>
      <c r="D709" s="3" t="str">
        <f ca="1">IF(OR(INDEX($I$2:$I$1001,MATCH(ROWS($H$2:H709),$H$2:$H$1001,0),1)&gt;=100000,INDEX($O$1005:$Q$1005,1,MATCH(COLUMNS($O$1006:Q1006),$O$1006:$Q$1006,0))&gt;=100000), " ",IF(INDEX($O$2:$Q$1001,MATCH(ROWS($H$2:H709),$H$2:$H$1001,0),MATCH(COLUMNS($O$1006:Q1006),$O$1006:$Q$1006,0)), HYPERLINK("#",""), HYPERLINK(CONCATENATE("#metadata!", ADDRESS(INDEX($J$2:$J$1001,MATCH(ROWS($H$2:H709),$H$2:$H$1001,0),0), INDEX($O$1004:$Q$1004,1,MATCH(COLUMNS($O$1006:Q1006),$O$1006:$Q$1006,0)))),"Fix")))</f>
        <v xml:space="preserve"> </v>
      </c>
      <c r="H709">
        <v>708</v>
      </c>
      <c r="I709">
        <v>100709</v>
      </c>
      <c r="J709">
        <v>709</v>
      </c>
      <c r="K709" t="b">
        <f t="shared" si="11"/>
        <v>1</v>
      </c>
      <c r="L709" t="b">
        <f>COUNTBLANK(metadata!B709:D709)=COLUMNS(metadata!B709:D709)</f>
        <v>1</v>
      </c>
      <c r="M709" t="str">
        <v/>
      </c>
      <c r="O709" t="b">
        <f ca="1"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P709" t="b">
        <f>AND(IF(metadata!C709="",FALSE,TRUE),EXACT(metadata!C709,"mouse gut metagenome"))</f>
        <v>0</v>
      </c>
      <c r="Q709" t="b">
        <f>AND(IF(metadata!D709="",FALSE,TRUE),EXACT(metadata!D709,"410661"))</f>
        <v>0</v>
      </c>
    </row>
    <row r="710" spans="1:17" x14ac:dyDescent="0.2">
      <c r="A710" s="4" t="str">
        <f ca="1">IF(B710=" "," ",HYPERLINK(CONCATENATE("#metadata!",ADDRESS(INDEX($J$2:$J$1001,MATCH(ROWS($H$2:H710),$H$2:$H$1001,0),0),1)),INDEX($M$2:$M$1001,MATCH(ROWS($H$2:H710),$H$2:$H$1001,0),0)))</f>
        <v xml:space="preserve"> </v>
      </c>
      <c r="B710" s="3" t="str">
        <f ca="1">IF(OR(INDEX($I$2:$I$1001,MATCH(ROWS($H$2:H710),$H$2:$H$1001,0),1)&gt;=100000,INDEX($O$1005:$Q$1005,1,MATCH(COLUMNS($O$1006:O1006),$O$1006:$Q$1006,0))&gt;=100000), " ",IF(INDEX($O$2:$Q$1001,MATCH(ROWS($H$2:H710),$H$2:$H$1001,0),MATCH(COLUMNS($O$1006:O1006),$O$1006:$Q$1006,0)), HYPERLINK("#",""), HYPERLINK(CONCATENATE("#metadata!", ADDRESS(INDEX($J$2:$J$1001,MATCH(ROWS($H$2:H710),$H$2:$H$1001,0),0), INDEX($O$1004:$Q$1004,1,MATCH(COLUMNS($O$1006:O1006),$O$1006:$Q$1006,0)))),"Fix")))</f>
        <v xml:space="preserve"> </v>
      </c>
      <c r="C710" s="3" t="str">
        <f ca="1">IF(OR(INDEX($I$2:$I$1001,MATCH(ROWS($H$2:H710),$H$2:$H$1001,0),1)&gt;=100000,INDEX($O$1005:$Q$1005,1,MATCH(COLUMNS($O$1006:P1006),$O$1006:$Q$1006,0))&gt;=100000), " ",IF(INDEX($O$2:$Q$1001,MATCH(ROWS($H$2:H710),$H$2:$H$1001,0),MATCH(COLUMNS($O$1006:P1006),$O$1006:$Q$1006,0)), HYPERLINK("#",""), HYPERLINK(CONCATENATE("#metadata!", ADDRESS(INDEX($J$2:$J$1001,MATCH(ROWS($H$2:H710),$H$2:$H$1001,0),0), INDEX($O$1004:$Q$1004,1,MATCH(COLUMNS($O$1006:P1006),$O$1006:$Q$1006,0)))),"Fix")))</f>
        <v xml:space="preserve"> </v>
      </c>
      <c r="D710" s="3" t="str">
        <f ca="1">IF(OR(INDEX($I$2:$I$1001,MATCH(ROWS($H$2:H710),$H$2:$H$1001,0),1)&gt;=100000,INDEX($O$1005:$Q$1005,1,MATCH(COLUMNS($O$1006:Q1006),$O$1006:$Q$1006,0))&gt;=100000), " ",IF(INDEX($O$2:$Q$1001,MATCH(ROWS($H$2:H710),$H$2:$H$1001,0),MATCH(COLUMNS($O$1006:Q1006),$O$1006:$Q$1006,0)), HYPERLINK("#",""), HYPERLINK(CONCATENATE("#metadata!", ADDRESS(INDEX($J$2:$J$1001,MATCH(ROWS($H$2:H710),$H$2:$H$1001,0),0), INDEX($O$1004:$Q$1004,1,MATCH(COLUMNS($O$1006:Q1006),$O$1006:$Q$1006,0)))),"Fix")))</f>
        <v xml:space="preserve"> </v>
      </c>
      <c r="H710">
        <v>709</v>
      </c>
      <c r="I710">
        <v>100710</v>
      </c>
      <c r="J710">
        <v>710</v>
      </c>
      <c r="K710" t="b">
        <f t="shared" si="11"/>
        <v>1</v>
      </c>
      <c r="L710" t="b">
        <f>COUNTBLANK(metadata!B710:D710)=COLUMNS(metadata!B710:D710)</f>
        <v>1</v>
      </c>
      <c r="M710" t="str">
        <v/>
      </c>
      <c r="O710" t="b">
        <f ca="1"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P710" t="b">
        <f>AND(IF(metadata!C710="",FALSE,TRUE),EXACT(metadata!C710,"mouse gut metagenome"))</f>
        <v>0</v>
      </c>
      <c r="Q710" t="b">
        <f>AND(IF(metadata!D710="",FALSE,TRUE),EXACT(metadata!D710,"410661"))</f>
        <v>0</v>
      </c>
    </row>
    <row r="711" spans="1:17" x14ac:dyDescent="0.2">
      <c r="A711" s="4" t="str">
        <f ca="1">IF(B711=" "," ",HYPERLINK(CONCATENATE("#metadata!",ADDRESS(INDEX($J$2:$J$1001,MATCH(ROWS($H$2:H711),$H$2:$H$1001,0),0),1)),INDEX($M$2:$M$1001,MATCH(ROWS($H$2:H711),$H$2:$H$1001,0),0)))</f>
        <v xml:space="preserve"> </v>
      </c>
      <c r="B711" s="3" t="str">
        <f ca="1">IF(OR(INDEX($I$2:$I$1001,MATCH(ROWS($H$2:H711),$H$2:$H$1001,0),1)&gt;=100000,INDEX($O$1005:$Q$1005,1,MATCH(COLUMNS($O$1006:O1006),$O$1006:$Q$1006,0))&gt;=100000), " ",IF(INDEX($O$2:$Q$1001,MATCH(ROWS($H$2:H711),$H$2:$H$1001,0),MATCH(COLUMNS($O$1006:O1006),$O$1006:$Q$1006,0)), HYPERLINK("#",""), HYPERLINK(CONCATENATE("#metadata!", ADDRESS(INDEX($J$2:$J$1001,MATCH(ROWS($H$2:H711),$H$2:$H$1001,0),0), INDEX($O$1004:$Q$1004,1,MATCH(COLUMNS($O$1006:O1006),$O$1006:$Q$1006,0)))),"Fix")))</f>
        <v xml:space="preserve"> </v>
      </c>
      <c r="C711" s="3" t="str">
        <f ca="1">IF(OR(INDEX($I$2:$I$1001,MATCH(ROWS($H$2:H711),$H$2:$H$1001,0),1)&gt;=100000,INDEX($O$1005:$Q$1005,1,MATCH(COLUMNS($O$1006:P1006),$O$1006:$Q$1006,0))&gt;=100000), " ",IF(INDEX($O$2:$Q$1001,MATCH(ROWS($H$2:H711),$H$2:$H$1001,0),MATCH(COLUMNS($O$1006:P1006),$O$1006:$Q$1006,0)), HYPERLINK("#",""), HYPERLINK(CONCATENATE("#metadata!", ADDRESS(INDEX($J$2:$J$1001,MATCH(ROWS($H$2:H711),$H$2:$H$1001,0),0), INDEX($O$1004:$Q$1004,1,MATCH(COLUMNS($O$1006:P1006),$O$1006:$Q$1006,0)))),"Fix")))</f>
        <v xml:space="preserve"> </v>
      </c>
      <c r="D711" s="3" t="str">
        <f ca="1">IF(OR(INDEX($I$2:$I$1001,MATCH(ROWS($H$2:H711),$H$2:$H$1001,0),1)&gt;=100000,INDEX($O$1005:$Q$1005,1,MATCH(COLUMNS($O$1006:Q1006),$O$1006:$Q$1006,0))&gt;=100000), " ",IF(INDEX($O$2:$Q$1001,MATCH(ROWS($H$2:H711),$H$2:$H$1001,0),MATCH(COLUMNS($O$1006:Q1006),$O$1006:$Q$1006,0)), HYPERLINK("#",""), HYPERLINK(CONCATENATE("#metadata!", ADDRESS(INDEX($J$2:$J$1001,MATCH(ROWS($H$2:H711),$H$2:$H$1001,0),0), INDEX($O$1004:$Q$1004,1,MATCH(COLUMNS($O$1006:Q1006),$O$1006:$Q$1006,0)))),"Fix")))</f>
        <v xml:space="preserve"> </v>
      </c>
      <c r="H711">
        <v>710</v>
      </c>
      <c r="I711">
        <v>100711</v>
      </c>
      <c r="J711">
        <v>711</v>
      </c>
      <c r="K711" t="b">
        <f t="shared" si="11"/>
        <v>1</v>
      </c>
      <c r="L711" t="b">
        <f>COUNTBLANK(metadata!B711:D711)=COLUMNS(metadata!B711:D711)</f>
        <v>1</v>
      </c>
      <c r="M711" t="str">
        <v/>
      </c>
      <c r="O711" t="b">
        <f ca="1"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P711" t="b">
        <f>AND(IF(metadata!C711="",FALSE,TRUE),EXACT(metadata!C711,"mouse gut metagenome"))</f>
        <v>0</v>
      </c>
      <c r="Q711" t="b">
        <f>AND(IF(metadata!D711="",FALSE,TRUE),EXACT(metadata!D711,"410661"))</f>
        <v>0</v>
      </c>
    </row>
    <row r="712" spans="1:17" x14ac:dyDescent="0.2">
      <c r="A712" s="4" t="str">
        <f ca="1">IF(B712=" "," ",HYPERLINK(CONCATENATE("#metadata!",ADDRESS(INDEX($J$2:$J$1001,MATCH(ROWS($H$2:H712),$H$2:$H$1001,0),0),1)),INDEX($M$2:$M$1001,MATCH(ROWS($H$2:H712),$H$2:$H$1001,0),0)))</f>
        <v xml:space="preserve"> </v>
      </c>
      <c r="B712" s="3" t="str">
        <f ca="1">IF(OR(INDEX($I$2:$I$1001,MATCH(ROWS($H$2:H712),$H$2:$H$1001,0),1)&gt;=100000,INDEX($O$1005:$Q$1005,1,MATCH(COLUMNS($O$1006:O1006),$O$1006:$Q$1006,0))&gt;=100000), " ",IF(INDEX($O$2:$Q$1001,MATCH(ROWS($H$2:H712),$H$2:$H$1001,0),MATCH(COLUMNS($O$1006:O1006),$O$1006:$Q$1006,0)), HYPERLINK("#",""), HYPERLINK(CONCATENATE("#metadata!", ADDRESS(INDEX($J$2:$J$1001,MATCH(ROWS($H$2:H712),$H$2:$H$1001,0),0), INDEX($O$1004:$Q$1004,1,MATCH(COLUMNS($O$1006:O1006),$O$1006:$Q$1006,0)))),"Fix")))</f>
        <v xml:space="preserve"> </v>
      </c>
      <c r="C712" s="3" t="str">
        <f ca="1">IF(OR(INDEX($I$2:$I$1001,MATCH(ROWS($H$2:H712),$H$2:$H$1001,0),1)&gt;=100000,INDEX($O$1005:$Q$1005,1,MATCH(COLUMNS($O$1006:P1006),$O$1006:$Q$1006,0))&gt;=100000), " ",IF(INDEX($O$2:$Q$1001,MATCH(ROWS($H$2:H712),$H$2:$H$1001,0),MATCH(COLUMNS($O$1006:P1006),$O$1006:$Q$1006,0)), HYPERLINK("#",""), HYPERLINK(CONCATENATE("#metadata!", ADDRESS(INDEX($J$2:$J$1001,MATCH(ROWS($H$2:H712),$H$2:$H$1001,0),0), INDEX($O$1004:$Q$1004,1,MATCH(COLUMNS($O$1006:P1006),$O$1006:$Q$1006,0)))),"Fix")))</f>
        <v xml:space="preserve"> </v>
      </c>
      <c r="D712" s="3" t="str">
        <f ca="1">IF(OR(INDEX($I$2:$I$1001,MATCH(ROWS($H$2:H712),$H$2:$H$1001,0),1)&gt;=100000,INDEX($O$1005:$Q$1005,1,MATCH(COLUMNS($O$1006:Q1006),$O$1006:$Q$1006,0))&gt;=100000), " ",IF(INDEX($O$2:$Q$1001,MATCH(ROWS($H$2:H712),$H$2:$H$1001,0),MATCH(COLUMNS($O$1006:Q1006),$O$1006:$Q$1006,0)), HYPERLINK("#",""), HYPERLINK(CONCATENATE("#metadata!", ADDRESS(INDEX($J$2:$J$1001,MATCH(ROWS($H$2:H712),$H$2:$H$1001,0),0), INDEX($O$1004:$Q$1004,1,MATCH(COLUMNS($O$1006:Q1006),$O$1006:$Q$1006,0)))),"Fix")))</f>
        <v xml:space="preserve"> </v>
      </c>
      <c r="H712">
        <v>711</v>
      </c>
      <c r="I712">
        <v>100712</v>
      </c>
      <c r="J712">
        <v>712</v>
      </c>
      <c r="K712" t="b">
        <f t="shared" si="11"/>
        <v>1</v>
      </c>
      <c r="L712" t="b">
        <f>COUNTBLANK(metadata!B712:D712)=COLUMNS(metadata!B712:D712)</f>
        <v>1</v>
      </c>
      <c r="M712" t="str">
        <v/>
      </c>
      <c r="O712" t="b">
        <f ca="1"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P712" t="b">
        <f>AND(IF(metadata!C712="",FALSE,TRUE),EXACT(metadata!C712,"mouse gut metagenome"))</f>
        <v>0</v>
      </c>
      <c r="Q712" t="b">
        <f>AND(IF(metadata!D712="",FALSE,TRUE),EXACT(metadata!D712,"410661"))</f>
        <v>0</v>
      </c>
    </row>
    <row r="713" spans="1:17" x14ac:dyDescent="0.2">
      <c r="A713" s="4" t="str">
        <f ca="1">IF(B713=" "," ",HYPERLINK(CONCATENATE("#metadata!",ADDRESS(INDEX($J$2:$J$1001,MATCH(ROWS($H$2:H713),$H$2:$H$1001,0),0),1)),INDEX($M$2:$M$1001,MATCH(ROWS($H$2:H713),$H$2:$H$1001,0),0)))</f>
        <v xml:space="preserve"> </v>
      </c>
      <c r="B713" s="3" t="str">
        <f ca="1">IF(OR(INDEX($I$2:$I$1001,MATCH(ROWS($H$2:H713),$H$2:$H$1001,0),1)&gt;=100000,INDEX($O$1005:$Q$1005,1,MATCH(COLUMNS($O$1006:O1006),$O$1006:$Q$1006,0))&gt;=100000), " ",IF(INDEX($O$2:$Q$1001,MATCH(ROWS($H$2:H713),$H$2:$H$1001,0),MATCH(COLUMNS($O$1006:O1006),$O$1006:$Q$1006,0)), HYPERLINK("#",""), HYPERLINK(CONCATENATE("#metadata!", ADDRESS(INDEX($J$2:$J$1001,MATCH(ROWS($H$2:H713),$H$2:$H$1001,0),0), INDEX($O$1004:$Q$1004,1,MATCH(COLUMNS($O$1006:O1006),$O$1006:$Q$1006,0)))),"Fix")))</f>
        <v xml:space="preserve"> </v>
      </c>
      <c r="C713" s="3" t="str">
        <f ca="1">IF(OR(INDEX($I$2:$I$1001,MATCH(ROWS($H$2:H713),$H$2:$H$1001,0),1)&gt;=100000,INDEX($O$1005:$Q$1005,1,MATCH(COLUMNS($O$1006:P1006),$O$1006:$Q$1006,0))&gt;=100000), " ",IF(INDEX($O$2:$Q$1001,MATCH(ROWS($H$2:H713),$H$2:$H$1001,0),MATCH(COLUMNS($O$1006:P1006),$O$1006:$Q$1006,0)), HYPERLINK("#",""), HYPERLINK(CONCATENATE("#metadata!", ADDRESS(INDEX($J$2:$J$1001,MATCH(ROWS($H$2:H713),$H$2:$H$1001,0),0), INDEX($O$1004:$Q$1004,1,MATCH(COLUMNS($O$1006:P1006),$O$1006:$Q$1006,0)))),"Fix")))</f>
        <v xml:space="preserve"> </v>
      </c>
      <c r="D713" s="3" t="str">
        <f ca="1">IF(OR(INDEX($I$2:$I$1001,MATCH(ROWS($H$2:H713),$H$2:$H$1001,0),1)&gt;=100000,INDEX($O$1005:$Q$1005,1,MATCH(COLUMNS($O$1006:Q1006),$O$1006:$Q$1006,0))&gt;=100000), " ",IF(INDEX($O$2:$Q$1001,MATCH(ROWS($H$2:H713),$H$2:$H$1001,0),MATCH(COLUMNS($O$1006:Q1006),$O$1006:$Q$1006,0)), HYPERLINK("#",""), HYPERLINK(CONCATENATE("#metadata!", ADDRESS(INDEX($J$2:$J$1001,MATCH(ROWS($H$2:H713),$H$2:$H$1001,0),0), INDEX($O$1004:$Q$1004,1,MATCH(COLUMNS($O$1006:Q1006),$O$1006:$Q$1006,0)))),"Fix")))</f>
        <v xml:space="preserve"> </v>
      </c>
      <c r="H713">
        <v>712</v>
      </c>
      <c r="I713">
        <v>100713</v>
      </c>
      <c r="J713">
        <v>713</v>
      </c>
      <c r="K713" t="b">
        <f t="shared" si="11"/>
        <v>1</v>
      </c>
      <c r="L713" t="b">
        <f>COUNTBLANK(metadata!B713:D713)=COLUMNS(metadata!B713:D713)</f>
        <v>1</v>
      </c>
      <c r="M713" t="str">
        <v/>
      </c>
      <c r="O713" t="b">
        <f ca="1"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P713" t="b">
        <f>AND(IF(metadata!C713="",FALSE,TRUE),EXACT(metadata!C713,"mouse gut metagenome"))</f>
        <v>0</v>
      </c>
      <c r="Q713" t="b">
        <f>AND(IF(metadata!D713="",FALSE,TRUE),EXACT(metadata!D713,"410661"))</f>
        <v>0</v>
      </c>
    </row>
    <row r="714" spans="1:17" x14ac:dyDescent="0.2">
      <c r="A714" s="4" t="str">
        <f ca="1">IF(B714=" "," ",HYPERLINK(CONCATENATE("#metadata!",ADDRESS(INDEX($J$2:$J$1001,MATCH(ROWS($H$2:H714),$H$2:$H$1001,0),0),1)),INDEX($M$2:$M$1001,MATCH(ROWS($H$2:H714),$H$2:$H$1001,0),0)))</f>
        <v xml:space="preserve"> </v>
      </c>
      <c r="B714" s="3" t="str">
        <f ca="1">IF(OR(INDEX($I$2:$I$1001,MATCH(ROWS($H$2:H714),$H$2:$H$1001,0),1)&gt;=100000,INDEX($O$1005:$Q$1005,1,MATCH(COLUMNS($O$1006:O1006),$O$1006:$Q$1006,0))&gt;=100000), " ",IF(INDEX($O$2:$Q$1001,MATCH(ROWS($H$2:H714),$H$2:$H$1001,0),MATCH(COLUMNS($O$1006:O1006),$O$1006:$Q$1006,0)), HYPERLINK("#",""), HYPERLINK(CONCATENATE("#metadata!", ADDRESS(INDEX($J$2:$J$1001,MATCH(ROWS($H$2:H714),$H$2:$H$1001,0),0), INDEX($O$1004:$Q$1004,1,MATCH(COLUMNS($O$1006:O1006),$O$1006:$Q$1006,0)))),"Fix")))</f>
        <v xml:space="preserve"> </v>
      </c>
      <c r="C714" s="3" t="str">
        <f ca="1">IF(OR(INDEX($I$2:$I$1001,MATCH(ROWS($H$2:H714),$H$2:$H$1001,0),1)&gt;=100000,INDEX($O$1005:$Q$1005,1,MATCH(COLUMNS($O$1006:P1006),$O$1006:$Q$1006,0))&gt;=100000), " ",IF(INDEX($O$2:$Q$1001,MATCH(ROWS($H$2:H714),$H$2:$H$1001,0),MATCH(COLUMNS($O$1006:P1006),$O$1006:$Q$1006,0)), HYPERLINK("#",""), HYPERLINK(CONCATENATE("#metadata!", ADDRESS(INDEX($J$2:$J$1001,MATCH(ROWS($H$2:H714),$H$2:$H$1001,0),0), INDEX($O$1004:$Q$1004,1,MATCH(COLUMNS($O$1006:P1006),$O$1006:$Q$1006,0)))),"Fix")))</f>
        <v xml:space="preserve"> </v>
      </c>
      <c r="D714" s="3" t="str">
        <f ca="1">IF(OR(INDEX($I$2:$I$1001,MATCH(ROWS($H$2:H714),$H$2:$H$1001,0),1)&gt;=100000,INDEX($O$1005:$Q$1005,1,MATCH(COLUMNS($O$1006:Q1006),$O$1006:$Q$1006,0))&gt;=100000), " ",IF(INDEX($O$2:$Q$1001,MATCH(ROWS($H$2:H714),$H$2:$H$1001,0),MATCH(COLUMNS($O$1006:Q1006),$O$1006:$Q$1006,0)), HYPERLINK("#",""), HYPERLINK(CONCATENATE("#metadata!", ADDRESS(INDEX($J$2:$J$1001,MATCH(ROWS($H$2:H714),$H$2:$H$1001,0),0), INDEX($O$1004:$Q$1004,1,MATCH(COLUMNS($O$1006:Q1006),$O$1006:$Q$1006,0)))),"Fix")))</f>
        <v xml:space="preserve"> </v>
      </c>
      <c r="H714">
        <v>713</v>
      </c>
      <c r="I714">
        <v>100714</v>
      </c>
      <c r="J714">
        <v>714</v>
      </c>
      <c r="K714" t="b">
        <f t="shared" si="11"/>
        <v>1</v>
      </c>
      <c r="L714" t="b">
        <f>COUNTBLANK(metadata!B714:D714)=COLUMNS(metadata!B714:D714)</f>
        <v>1</v>
      </c>
      <c r="M714" t="str">
        <v/>
      </c>
      <c r="O714" t="b">
        <f ca="1"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P714" t="b">
        <f>AND(IF(metadata!C714="",FALSE,TRUE),EXACT(metadata!C714,"mouse gut metagenome"))</f>
        <v>0</v>
      </c>
      <c r="Q714" t="b">
        <f>AND(IF(metadata!D714="",FALSE,TRUE),EXACT(metadata!D714,"410661"))</f>
        <v>0</v>
      </c>
    </row>
    <row r="715" spans="1:17" x14ac:dyDescent="0.2">
      <c r="A715" s="4" t="str">
        <f ca="1">IF(B715=" "," ",HYPERLINK(CONCATENATE("#metadata!",ADDRESS(INDEX($J$2:$J$1001,MATCH(ROWS($H$2:H715),$H$2:$H$1001,0),0),1)),INDEX($M$2:$M$1001,MATCH(ROWS($H$2:H715),$H$2:$H$1001,0),0)))</f>
        <v xml:space="preserve"> </v>
      </c>
      <c r="B715" s="3" t="str">
        <f ca="1">IF(OR(INDEX($I$2:$I$1001,MATCH(ROWS($H$2:H715),$H$2:$H$1001,0),1)&gt;=100000,INDEX($O$1005:$Q$1005,1,MATCH(COLUMNS($O$1006:O1006),$O$1006:$Q$1006,0))&gt;=100000), " ",IF(INDEX($O$2:$Q$1001,MATCH(ROWS($H$2:H715),$H$2:$H$1001,0),MATCH(COLUMNS($O$1006:O1006),$O$1006:$Q$1006,0)), HYPERLINK("#",""), HYPERLINK(CONCATENATE("#metadata!", ADDRESS(INDEX($J$2:$J$1001,MATCH(ROWS($H$2:H715),$H$2:$H$1001,0),0), INDEX($O$1004:$Q$1004,1,MATCH(COLUMNS($O$1006:O1006),$O$1006:$Q$1006,0)))),"Fix")))</f>
        <v xml:space="preserve"> </v>
      </c>
      <c r="C715" s="3" t="str">
        <f ca="1">IF(OR(INDEX($I$2:$I$1001,MATCH(ROWS($H$2:H715),$H$2:$H$1001,0),1)&gt;=100000,INDEX($O$1005:$Q$1005,1,MATCH(COLUMNS($O$1006:P1006),$O$1006:$Q$1006,0))&gt;=100000), " ",IF(INDEX($O$2:$Q$1001,MATCH(ROWS($H$2:H715),$H$2:$H$1001,0),MATCH(COLUMNS($O$1006:P1006),$O$1006:$Q$1006,0)), HYPERLINK("#",""), HYPERLINK(CONCATENATE("#metadata!", ADDRESS(INDEX($J$2:$J$1001,MATCH(ROWS($H$2:H715),$H$2:$H$1001,0),0), INDEX($O$1004:$Q$1004,1,MATCH(COLUMNS($O$1006:P1006),$O$1006:$Q$1006,0)))),"Fix")))</f>
        <v xml:space="preserve"> </v>
      </c>
      <c r="D715" s="3" t="str">
        <f ca="1">IF(OR(INDEX($I$2:$I$1001,MATCH(ROWS($H$2:H715),$H$2:$H$1001,0),1)&gt;=100000,INDEX($O$1005:$Q$1005,1,MATCH(COLUMNS($O$1006:Q1006),$O$1006:$Q$1006,0))&gt;=100000), " ",IF(INDEX($O$2:$Q$1001,MATCH(ROWS($H$2:H715),$H$2:$H$1001,0),MATCH(COLUMNS($O$1006:Q1006),$O$1006:$Q$1006,0)), HYPERLINK("#",""), HYPERLINK(CONCATENATE("#metadata!", ADDRESS(INDEX($J$2:$J$1001,MATCH(ROWS($H$2:H715),$H$2:$H$1001,0),0), INDEX($O$1004:$Q$1004,1,MATCH(COLUMNS($O$1006:Q1006),$O$1006:$Q$1006,0)))),"Fix")))</f>
        <v xml:space="preserve"> </v>
      </c>
      <c r="H715">
        <v>714</v>
      </c>
      <c r="I715">
        <v>100715</v>
      </c>
      <c r="J715">
        <v>715</v>
      </c>
      <c r="K715" t="b">
        <f t="shared" si="11"/>
        <v>1</v>
      </c>
      <c r="L715" t="b">
        <f>COUNTBLANK(metadata!B715:D715)=COLUMNS(metadata!B715:D715)</f>
        <v>1</v>
      </c>
      <c r="M715" t="str">
        <v/>
      </c>
      <c r="O715" t="b">
        <f ca="1"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P715" t="b">
        <f>AND(IF(metadata!C715="",FALSE,TRUE),EXACT(metadata!C715,"mouse gut metagenome"))</f>
        <v>0</v>
      </c>
      <c r="Q715" t="b">
        <f>AND(IF(metadata!D715="",FALSE,TRUE),EXACT(metadata!D715,"410661"))</f>
        <v>0</v>
      </c>
    </row>
    <row r="716" spans="1:17" x14ac:dyDescent="0.2">
      <c r="A716" s="4" t="str">
        <f ca="1">IF(B716=" "," ",HYPERLINK(CONCATENATE("#metadata!",ADDRESS(INDEX($J$2:$J$1001,MATCH(ROWS($H$2:H716),$H$2:$H$1001,0),0),1)),INDEX($M$2:$M$1001,MATCH(ROWS($H$2:H716),$H$2:$H$1001,0),0)))</f>
        <v xml:space="preserve"> </v>
      </c>
      <c r="B716" s="3" t="str">
        <f ca="1">IF(OR(INDEX($I$2:$I$1001,MATCH(ROWS($H$2:H716),$H$2:$H$1001,0),1)&gt;=100000,INDEX($O$1005:$Q$1005,1,MATCH(COLUMNS($O$1006:O1006),$O$1006:$Q$1006,0))&gt;=100000), " ",IF(INDEX($O$2:$Q$1001,MATCH(ROWS($H$2:H716),$H$2:$H$1001,0),MATCH(COLUMNS($O$1006:O1006),$O$1006:$Q$1006,0)), HYPERLINK("#",""), HYPERLINK(CONCATENATE("#metadata!", ADDRESS(INDEX($J$2:$J$1001,MATCH(ROWS($H$2:H716),$H$2:$H$1001,0),0), INDEX($O$1004:$Q$1004,1,MATCH(COLUMNS($O$1006:O1006),$O$1006:$Q$1006,0)))),"Fix")))</f>
        <v xml:space="preserve"> </v>
      </c>
      <c r="C716" s="3" t="str">
        <f ca="1">IF(OR(INDEX($I$2:$I$1001,MATCH(ROWS($H$2:H716),$H$2:$H$1001,0),1)&gt;=100000,INDEX($O$1005:$Q$1005,1,MATCH(COLUMNS($O$1006:P1006),$O$1006:$Q$1006,0))&gt;=100000), " ",IF(INDEX($O$2:$Q$1001,MATCH(ROWS($H$2:H716),$H$2:$H$1001,0),MATCH(COLUMNS($O$1006:P1006),$O$1006:$Q$1006,0)), HYPERLINK("#",""), HYPERLINK(CONCATENATE("#metadata!", ADDRESS(INDEX($J$2:$J$1001,MATCH(ROWS($H$2:H716),$H$2:$H$1001,0),0), INDEX($O$1004:$Q$1004,1,MATCH(COLUMNS($O$1006:P1006),$O$1006:$Q$1006,0)))),"Fix")))</f>
        <v xml:space="preserve"> </v>
      </c>
      <c r="D716" s="3" t="str">
        <f ca="1">IF(OR(INDEX($I$2:$I$1001,MATCH(ROWS($H$2:H716),$H$2:$H$1001,0),1)&gt;=100000,INDEX($O$1005:$Q$1005,1,MATCH(COLUMNS($O$1006:Q1006),$O$1006:$Q$1006,0))&gt;=100000), " ",IF(INDEX($O$2:$Q$1001,MATCH(ROWS($H$2:H716),$H$2:$H$1001,0),MATCH(COLUMNS($O$1006:Q1006),$O$1006:$Q$1006,0)), HYPERLINK("#",""), HYPERLINK(CONCATENATE("#metadata!", ADDRESS(INDEX($J$2:$J$1001,MATCH(ROWS($H$2:H716),$H$2:$H$1001,0),0), INDEX($O$1004:$Q$1004,1,MATCH(COLUMNS($O$1006:Q1006),$O$1006:$Q$1006,0)))),"Fix")))</f>
        <v xml:space="preserve"> </v>
      </c>
      <c r="H716">
        <v>715</v>
      </c>
      <c r="I716">
        <v>100716</v>
      </c>
      <c r="J716">
        <v>716</v>
      </c>
      <c r="K716" t="b">
        <f t="shared" si="11"/>
        <v>1</v>
      </c>
      <c r="L716" t="b">
        <f>COUNTBLANK(metadata!B716:D716)=COLUMNS(metadata!B716:D716)</f>
        <v>1</v>
      </c>
      <c r="M716" t="str">
        <v/>
      </c>
      <c r="O716" t="b">
        <f ca="1"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P716" t="b">
        <f>AND(IF(metadata!C716="",FALSE,TRUE),EXACT(metadata!C716,"mouse gut metagenome"))</f>
        <v>0</v>
      </c>
      <c r="Q716" t="b">
        <f>AND(IF(metadata!D716="",FALSE,TRUE),EXACT(metadata!D716,"410661"))</f>
        <v>0</v>
      </c>
    </row>
    <row r="717" spans="1:17" x14ac:dyDescent="0.2">
      <c r="A717" s="4" t="str">
        <f ca="1">IF(B717=" "," ",HYPERLINK(CONCATENATE("#metadata!",ADDRESS(INDEX($J$2:$J$1001,MATCH(ROWS($H$2:H717),$H$2:$H$1001,0),0),1)),INDEX($M$2:$M$1001,MATCH(ROWS($H$2:H717),$H$2:$H$1001,0),0)))</f>
        <v xml:space="preserve"> </v>
      </c>
      <c r="B717" s="3" t="str">
        <f ca="1">IF(OR(INDEX($I$2:$I$1001,MATCH(ROWS($H$2:H717),$H$2:$H$1001,0),1)&gt;=100000,INDEX($O$1005:$Q$1005,1,MATCH(COLUMNS($O$1006:O1006),$O$1006:$Q$1006,0))&gt;=100000), " ",IF(INDEX($O$2:$Q$1001,MATCH(ROWS($H$2:H717),$H$2:$H$1001,0),MATCH(COLUMNS($O$1006:O1006),$O$1006:$Q$1006,0)), HYPERLINK("#",""), HYPERLINK(CONCATENATE("#metadata!", ADDRESS(INDEX($J$2:$J$1001,MATCH(ROWS($H$2:H717),$H$2:$H$1001,0),0), INDEX($O$1004:$Q$1004,1,MATCH(COLUMNS($O$1006:O1006),$O$1006:$Q$1006,0)))),"Fix")))</f>
        <v xml:space="preserve"> </v>
      </c>
      <c r="C717" s="3" t="str">
        <f ca="1">IF(OR(INDEX($I$2:$I$1001,MATCH(ROWS($H$2:H717),$H$2:$H$1001,0),1)&gt;=100000,INDEX($O$1005:$Q$1005,1,MATCH(COLUMNS($O$1006:P1006),$O$1006:$Q$1006,0))&gt;=100000), " ",IF(INDEX($O$2:$Q$1001,MATCH(ROWS($H$2:H717),$H$2:$H$1001,0),MATCH(COLUMNS($O$1006:P1006),$O$1006:$Q$1006,0)), HYPERLINK("#",""), HYPERLINK(CONCATENATE("#metadata!", ADDRESS(INDEX($J$2:$J$1001,MATCH(ROWS($H$2:H717),$H$2:$H$1001,0),0), INDEX($O$1004:$Q$1004,1,MATCH(COLUMNS($O$1006:P1006),$O$1006:$Q$1006,0)))),"Fix")))</f>
        <v xml:space="preserve"> </v>
      </c>
      <c r="D717" s="3" t="str">
        <f ca="1">IF(OR(INDEX($I$2:$I$1001,MATCH(ROWS($H$2:H717),$H$2:$H$1001,0),1)&gt;=100000,INDEX($O$1005:$Q$1005,1,MATCH(COLUMNS($O$1006:Q1006),$O$1006:$Q$1006,0))&gt;=100000), " ",IF(INDEX($O$2:$Q$1001,MATCH(ROWS($H$2:H717),$H$2:$H$1001,0),MATCH(COLUMNS($O$1006:Q1006),$O$1006:$Q$1006,0)), HYPERLINK("#",""), HYPERLINK(CONCATENATE("#metadata!", ADDRESS(INDEX($J$2:$J$1001,MATCH(ROWS($H$2:H717),$H$2:$H$1001,0),0), INDEX($O$1004:$Q$1004,1,MATCH(COLUMNS($O$1006:Q1006),$O$1006:$Q$1006,0)))),"Fix")))</f>
        <v xml:space="preserve"> </v>
      </c>
      <c r="H717">
        <v>716</v>
      </c>
      <c r="I717">
        <v>100717</v>
      </c>
      <c r="J717">
        <v>717</v>
      </c>
      <c r="K717" t="b">
        <f t="shared" si="11"/>
        <v>1</v>
      </c>
      <c r="L717" t="b">
        <f>COUNTBLANK(metadata!B717:D717)=COLUMNS(metadata!B717:D717)</f>
        <v>1</v>
      </c>
      <c r="M717" t="str">
        <v/>
      </c>
      <c r="O717" t="b">
        <f ca="1"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P717" t="b">
        <f>AND(IF(metadata!C717="",FALSE,TRUE),EXACT(metadata!C717,"mouse gut metagenome"))</f>
        <v>0</v>
      </c>
      <c r="Q717" t="b">
        <f>AND(IF(metadata!D717="",FALSE,TRUE),EXACT(metadata!D717,"410661"))</f>
        <v>0</v>
      </c>
    </row>
    <row r="718" spans="1:17" x14ac:dyDescent="0.2">
      <c r="A718" s="4" t="str">
        <f ca="1">IF(B718=" "," ",HYPERLINK(CONCATENATE("#metadata!",ADDRESS(INDEX($J$2:$J$1001,MATCH(ROWS($H$2:H718),$H$2:$H$1001,0),0),1)),INDEX($M$2:$M$1001,MATCH(ROWS($H$2:H718),$H$2:$H$1001,0),0)))</f>
        <v xml:space="preserve"> </v>
      </c>
      <c r="B718" s="3" t="str">
        <f ca="1">IF(OR(INDEX($I$2:$I$1001,MATCH(ROWS($H$2:H718),$H$2:$H$1001,0),1)&gt;=100000,INDEX($O$1005:$Q$1005,1,MATCH(COLUMNS($O$1006:O1006),$O$1006:$Q$1006,0))&gt;=100000), " ",IF(INDEX($O$2:$Q$1001,MATCH(ROWS($H$2:H718),$H$2:$H$1001,0),MATCH(COLUMNS($O$1006:O1006),$O$1006:$Q$1006,0)), HYPERLINK("#",""), HYPERLINK(CONCATENATE("#metadata!", ADDRESS(INDEX($J$2:$J$1001,MATCH(ROWS($H$2:H718),$H$2:$H$1001,0),0), INDEX($O$1004:$Q$1004,1,MATCH(COLUMNS($O$1006:O1006),$O$1006:$Q$1006,0)))),"Fix")))</f>
        <v xml:space="preserve"> </v>
      </c>
      <c r="C718" s="3" t="str">
        <f ca="1">IF(OR(INDEX($I$2:$I$1001,MATCH(ROWS($H$2:H718),$H$2:$H$1001,0),1)&gt;=100000,INDEX($O$1005:$Q$1005,1,MATCH(COLUMNS($O$1006:P1006),$O$1006:$Q$1006,0))&gt;=100000), " ",IF(INDEX($O$2:$Q$1001,MATCH(ROWS($H$2:H718),$H$2:$H$1001,0),MATCH(COLUMNS($O$1006:P1006),$O$1006:$Q$1006,0)), HYPERLINK("#",""), HYPERLINK(CONCATENATE("#metadata!", ADDRESS(INDEX($J$2:$J$1001,MATCH(ROWS($H$2:H718),$H$2:$H$1001,0),0), INDEX($O$1004:$Q$1004,1,MATCH(COLUMNS($O$1006:P1006),$O$1006:$Q$1006,0)))),"Fix")))</f>
        <v xml:space="preserve"> </v>
      </c>
      <c r="D718" s="3" t="str">
        <f ca="1">IF(OR(INDEX($I$2:$I$1001,MATCH(ROWS($H$2:H718),$H$2:$H$1001,0),1)&gt;=100000,INDEX($O$1005:$Q$1005,1,MATCH(COLUMNS($O$1006:Q1006),$O$1006:$Q$1006,0))&gt;=100000), " ",IF(INDEX($O$2:$Q$1001,MATCH(ROWS($H$2:H718),$H$2:$H$1001,0),MATCH(COLUMNS($O$1006:Q1006),$O$1006:$Q$1006,0)), HYPERLINK("#",""), HYPERLINK(CONCATENATE("#metadata!", ADDRESS(INDEX($J$2:$J$1001,MATCH(ROWS($H$2:H718),$H$2:$H$1001,0),0), INDEX($O$1004:$Q$1004,1,MATCH(COLUMNS($O$1006:Q1006),$O$1006:$Q$1006,0)))),"Fix")))</f>
        <v xml:space="preserve"> </v>
      </c>
      <c r="H718">
        <v>717</v>
      </c>
      <c r="I718">
        <v>100718</v>
      </c>
      <c r="J718">
        <v>718</v>
      </c>
      <c r="K718" t="b">
        <f t="shared" si="11"/>
        <v>1</v>
      </c>
      <c r="L718" t="b">
        <f>COUNTBLANK(metadata!B718:D718)=COLUMNS(metadata!B718:D718)</f>
        <v>1</v>
      </c>
      <c r="M718" t="str">
        <v/>
      </c>
      <c r="O718" t="b">
        <f ca="1"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P718" t="b">
        <f>AND(IF(metadata!C718="",FALSE,TRUE),EXACT(metadata!C718,"mouse gut metagenome"))</f>
        <v>0</v>
      </c>
      <c r="Q718" t="b">
        <f>AND(IF(metadata!D718="",FALSE,TRUE),EXACT(metadata!D718,"410661"))</f>
        <v>0</v>
      </c>
    </row>
    <row r="719" spans="1:17" x14ac:dyDescent="0.2">
      <c r="A719" s="4" t="str">
        <f ca="1">IF(B719=" "," ",HYPERLINK(CONCATENATE("#metadata!",ADDRESS(INDEX($J$2:$J$1001,MATCH(ROWS($H$2:H719),$H$2:$H$1001,0),0),1)),INDEX($M$2:$M$1001,MATCH(ROWS($H$2:H719),$H$2:$H$1001,0),0)))</f>
        <v xml:space="preserve"> </v>
      </c>
      <c r="B719" s="3" t="str">
        <f ca="1">IF(OR(INDEX($I$2:$I$1001,MATCH(ROWS($H$2:H719),$H$2:$H$1001,0),1)&gt;=100000,INDEX($O$1005:$Q$1005,1,MATCH(COLUMNS($O$1006:O1006),$O$1006:$Q$1006,0))&gt;=100000), " ",IF(INDEX($O$2:$Q$1001,MATCH(ROWS($H$2:H719),$H$2:$H$1001,0),MATCH(COLUMNS($O$1006:O1006),$O$1006:$Q$1006,0)), HYPERLINK("#",""), HYPERLINK(CONCATENATE("#metadata!", ADDRESS(INDEX($J$2:$J$1001,MATCH(ROWS($H$2:H719),$H$2:$H$1001,0),0), INDEX($O$1004:$Q$1004,1,MATCH(COLUMNS($O$1006:O1006),$O$1006:$Q$1006,0)))),"Fix")))</f>
        <v xml:space="preserve"> </v>
      </c>
      <c r="C719" s="3" t="str">
        <f ca="1">IF(OR(INDEX($I$2:$I$1001,MATCH(ROWS($H$2:H719),$H$2:$H$1001,0),1)&gt;=100000,INDEX($O$1005:$Q$1005,1,MATCH(COLUMNS($O$1006:P1006),$O$1006:$Q$1006,0))&gt;=100000), " ",IF(INDEX($O$2:$Q$1001,MATCH(ROWS($H$2:H719),$H$2:$H$1001,0),MATCH(COLUMNS($O$1006:P1006),$O$1006:$Q$1006,0)), HYPERLINK("#",""), HYPERLINK(CONCATENATE("#metadata!", ADDRESS(INDEX($J$2:$J$1001,MATCH(ROWS($H$2:H719),$H$2:$H$1001,0),0), INDEX($O$1004:$Q$1004,1,MATCH(COLUMNS($O$1006:P1006),$O$1006:$Q$1006,0)))),"Fix")))</f>
        <v xml:space="preserve"> </v>
      </c>
      <c r="D719" s="3" t="str">
        <f ca="1">IF(OR(INDEX($I$2:$I$1001,MATCH(ROWS($H$2:H719),$H$2:$H$1001,0),1)&gt;=100000,INDEX($O$1005:$Q$1005,1,MATCH(COLUMNS($O$1006:Q1006),$O$1006:$Q$1006,0))&gt;=100000), " ",IF(INDEX($O$2:$Q$1001,MATCH(ROWS($H$2:H719),$H$2:$H$1001,0),MATCH(COLUMNS($O$1006:Q1006),$O$1006:$Q$1006,0)), HYPERLINK("#",""), HYPERLINK(CONCATENATE("#metadata!", ADDRESS(INDEX($J$2:$J$1001,MATCH(ROWS($H$2:H719),$H$2:$H$1001,0),0), INDEX($O$1004:$Q$1004,1,MATCH(COLUMNS($O$1006:Q1006),$O$1006:$Q$1006,0)))),"Fix")))</f>
        <v xml:space="preserve"> </v>
      </c>
      <c r="H719">
        <v>718</v>
      </c>
      <c r="I719">
        <v>100719</v>
      </c>
      <c r="J719">
        <v>719</v>
      </c>
      <c r="K719" t="b">
        <f t="shared" si="11"/>
        <v>1</v>
      </c>
      <c r="L719" t="b">
        <f>COUNTBLANK(metadata!B719:D719)=COLUMNS(metadata!B719:D719)</f>
        <v>1</v>
      </c>
      <c r="M719" t="str">
        <v/>
      </c>
      <c r="O719" t="b">
        <f ca="1"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P719" t="b">
        <f>AND(IF(metadata!C719="",FALSE,TRUE),EXACT(metadata!C719,"mouse gut metagenome"))</f>
        <v>0</v>
      </c>
      <c r="Q719" t="b">
        <f>AND(IF(metadata!D719="",FALSE,TRUE),EXACT(metadata!D719,"410661"))</f>
        <v>0</v>
      </c>
    </row>
    <row r="720" spans="1:17" x14ac:dyDescent="0.2">
      <c r="A720" s="4" t="str">
        <f ca="1">IF(B720=" "," ",HYPERLINK(CONCATENATE("#metadata!",ADDRESS(INDEX($J$2:$J$1001,MATCH(ROWS($H$2:H720),$H$2:$H$1001,0),0),1)),INDEX($M$2:$M$1001,MATCH(ROWS($H$2:H720),$H$2:$H$1001,0),0)))</f>
        <v xml:space="preserve"> </v>
      </c>
      <c r="B720" s="3" t="str">
        <f ca="1">IF(OR(INDEX($I$2:$I$1001,MATCH(ROWS($H$2:H720),$H$2:$H$1001,0),1)&gt;=100000,INDEX($O$1005:$Q$1005,1,MATCH(COLUMNS($O$1006:O1006),$O$1006:$Q$1006,0))&gt;=100000), " ",IF(INDEX($O$2:$Q$1001,MATCH(ROWS($H$2:H720),$H$2:$H$1001,0),MATCH(COLUMNS($O$1006:O1006),$O$1006:$Q$1006,0)), HYPERLINK("#",""), HYPERLINK(CONCATENATE("#metadata!", ADDRESS(INDEX($J$2:$J$1001,MATCH(ROWS($H$2:H720),$H$2:$H$1001,0),0), INDEX($O$1004:$Q$1004,1,MATCH(COLUMNS($O$1006:O1006),$O$1006:$Q$1006,0)))),"Fix")))</f>
        <v xml:space="preserve"> </v>
      </c>
      <c r="C720" s="3" t="str">
        <f ca="1">IF(OR(INDEX($I$2:$I$1001,MATCH(ROWS($H$2:H720),$H$2:$H$1001,0),1)&gt;=100000,INDEX($O$1005:$Q$1005,1,MATCH(COLUMNS($O$1006:P1006),$O$1006:$Q$1006,0))&gt;=100000), " ",IF(INDEX($O$2:$Q$1001,MATCH(ROWS($H$2:H720),$H$2:$H$1001,0),MATCH(COLUMNS($O$1006:P1006),$O$1006:$Q$1006,0)), HYPERLINK("#",""), HYPERLINK(CONCATENATE("#metadata!", ADDRESS(INDEX($J$2:$J$1001,MATCH(ROWS($H$2:H720),$H$2:$H$1001,0),0), INDEX($O$1004:$Q$1004,1,MATCH(COLUMNS($O$1006:P1006),$O$1006:$Q$1006,0)))),"Fix")))</f>
        <v xml:space="preserve"> </v>
      </c>
      <c r="D720" s="3" t="str">
        <f ca="1">IF(OR(INDEX($I$2:$I$1001,MATCH(ROWS($H$2:H720),$H$2:$H$1001,0),1)&gt;=100000,INDEX($O$1005:$Q$1005,1,MATCH(COLUMNS($O$1006:Q1006),$O$1006:$Q$1006,0))&gt;=100000), " ",IF(INDEX($O$2:$Q$1001,MATCH(ROWS($H$2:H720),$H$2:$H$1001,0),MATCH(COLUMNS($O$1006:Q1006),$O$1006:$Q$1006,0)), HYPERLINK("#",""), HYPERLINK(CONCATENATE("#metadata!", ADDRESS(INDEX($J$2:$J$1001,MATCH(ROWS($H$2:H720),$H$2:$H$1001,0),0), INDEX($O$1004:$Q$1004,1,MATCH(COLUMNS($O$1006:Q1006),$O$1006:$Q$1006,0)))),"Fix")))</f>
        <v xml:space="preserve"> </v>
      </c>
      <c r="H720">
        <v>719</v>
      </c>
      <c r="I720">
        <v>100720</v>
      </c>
      <c r="J720">
        <v>720</v>
      </c>
      <c r="K720" t="b">
        <f t="shared" si="11"/>
        <v>1</v>
      </c>
      <c r="L720" t="b">
        <f>COUNTBLANK(metadata!B720:D720)=COLUMNS(metadata!B720:D720)</f>
        <v>1</v>
      </c>
      <c r="M720" t="str">
        <v/>
      </c>
      <c r="O720" t="b">
        <f ca="1"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P720" t="b">
        <f>AND(IF(metadata!C720="",FALSE,TRUE),EXACT(metadata!C720,"mouse gut metagenome"))</f>
        <v>0</v>
      </c>
      <c r="Q720" t="b">
        <f>AND(IF(metadata!D720="",FALSE,TRUE),EXACT(metadata!D720,"410661"))</f>
        <v>0</v>
      </c>
    </row>
    <row r="721" spans="1:17" x14ac:dyDescent="0.2">
      <c r="A721" s="4" t="str">
        <f ca="1">IF(B721=" "," ",HYPERLINK(CONCATENATE("#metadata!",ADDRESS(INDEX($J$2:$J$1001,MATCH(ROWS($H$2:H721),$H$2:$H$1001,0),0),1)),INDEX($M$2:$M$1001,MATCH(ROWS($H$2:H721),$H$2:$H$1001,0),0)))</f>
        <v xml:space="preserve"> </v>
      </c>
      <c r="B721" s="3" t="str">
        <f ca="1">IF(OR(INDEX($I$2:$I$1001,MATCH(ROWS($H$2:H721),$H$2:$H$1001,0),1)&gt;=100000,INDEX($O$1005:$Q$1005,1,MATCH(COLUMNS($O$1006:O1006),$O$1006:$Q$1006,0))&gt;=100000), " ",IF(INDEX($O$2:$Q$1001,MATCH(ROWS($H$2:H721),$H$2:$H$1001,0),MATCH(COLUMNS($O$1006:O1006),$O$1006:$Q$1006,0)), HYPERLINK("#",""), HYPERLINK(CONCATENATE("#metadata!", ADDRESS(INDEX($J$2:$J$1001,MATCH(ROWS($H$2:H721),$H$2:$H$1001,0),0), INDEX($O$1004:$Q$1004,1,MATCH(COLUMNS($O$1006:O1006),$O$1006:$Q$1006,0)))),"Fix")))</f>
        <v xml:space="preserve"> </v>
      </c>
      <c r="C721" s="3" t="str">
        <f ca="1">IF(OR(INDEX($I$2:$I$1001,MATCH(ROWS($H$2:H721),$H$2:$H$1001,0),1)&gt;=100000,INDEX($O$1005:$Q$1005,1,MATCH(COLUMNS($O$1006:P1006),$O$1006:$Q$1006,0))&gt;=100000), " ",IF(INDEX($O$2:$Q$1001,MATCH(ROWS($H$2:H721),$H$2:$H$1001,0),MATCH(COLUMNS($O$1006:P1006),$O$1006:$Q$1006,0)), HYPERLINK("#",""), HYPERLINK(CONCATENATE("#metadata!", ADDRESS(INDEX($J$2:$J$1001,MATCH(ROWS($H$2:H721),$H$2:$H$1001,0),0), INDEX($O$1004:$Q$1004,1,MATCH(COLUMNS($O$1006:P1006),$O$1006:$Q$1006,0)))),"Fix")))</f>
        <v xml:space="preserve"> </v>
      </c>
      <c r="D721" s="3" t="str">
        <f ca="1">IF(OR(INDEX($I$2:$I$1001,MATCH(ROWS($H$2:H721),$H$2:$H$1001,0),1)&gt;=100000,INDEX($O$1005:$Q$1005,1,MATCH(COLUMNS($O$1006:Q1006),$O$1006:$Q$1006,0))&gt;=100000), " ",IF(INDEX($O$2:$Q$1001,MATCH(ROWS($H$2:H721),$H$2:$H$1001,0),MATCH(COLUMNS($O$1006:Q1006),$O$1006:$Q$1006,0)), HYPERLINK("#",""), HYPERLINK(CONCATENATE("#metadata!", ADDRESS(INDEX($J$2:$J$1001,MATCH(ROWS($H$2:H721),$H$2:$H$1001,0),0), INDEX($O$1004:$Q$1004,1,MATCH(COLUMNS($O$1006:Q1006),$O$1006:$Q$1006,0)))),"Fix")))</f>
        <v xml:space="preserve"> </v>
      </c>
      <c r="H721">
        <v>720</v>
      </c>
      <c r="I721">
        <v>100721</v>
      </c>
      <c r="J721">
        <v>721</v>
      </c>
      <c r="K721" t="b">
        <f t="shared" si="11"/>
        <v>1</v>
      </c>
      <c r="L721" t="b">
        <f>COUNTBLANK(metadata!B721:D721)=COLUMNS(metadata!B721:D721)</f>
        <v>1</v>
      </c>
      <c r="M721" t="str">
        <v/>
      </c>
      <c r="O721" t="b">
        <f ca="1"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P721" t="b">
        <f>AND(IF(metadata!C721="",FALSE,TRUE),EXACT(metadata!C721,"mouse gut metagenome"))</f>
        <v>0</v>
      </c>
      <c r="Q721" t="b">
        <f>AND(IF(metadata!D721="",FALSE,TRUE),EXACT(metadata!D721,"410661"))</f>
        <v>0</v>
      </c>
    </row>
    <row r="722" spans="1:17" x14ac:dyDescent="0.2">
      <c r="A722" s="4" t="str">
        <f ca="1">IF(B722=" "," ",HYPERLINK(CONCATENATE("#metadata!",ADDRESS(INDEX($J$2:$J$1001,MATCH(ROWS($H$2:H722),$H$2:$H$1001,0),0),1)),INDEX($M$2:$M$1001,MATCH(ROWS($H$2:H722),$H$2:$H$1001,0),0)))</f>
        <v xml:space="preserve"> </v>
      </c>
      <c r="B722" s="3" t="str">
        <f ca="1">IF(OR(INDEX($I$2:$I$1001,MATCH(ROWS($H$2:H722),$H$2:$H$1001,0),1)&gt;=100000,INDEX($O$1005:$Q$1005,1,MATCH(COLUMNS($O$1006:O1006),$O$1006:$Q$1006,0))&gt;=100000), " ",IF(INDEX($O$2:$Q$1001,MATCH(ROWS($H$2:H722),$H$2:$H$1001,0),MATCH(COLUMNS($O$1006:O1006),$O$1006:$Q$1006,0)), HYPERLINK("#",""), HYPERLINK(CONCATENATE("#metadata!", ADDRESS(INDEX($J$2:$J$1001,MATCH(ROWS($H$2:H722),$H$2:$H$1001,0),0), INDEX($O$1004:$Q$1004,1,MATCH(COLUMNS($O$1006:O1006),$O$1006:$Q$1006,0)))),"Fix")))</f>
        <v xml:space="preserve"> </v>
      </c>
      <c r="C722" s="3" t="str">
        <f ca="1">IF(OR(INDEX($I$2:$I$1001,MATCH(ROWS($H$2:H722),$H$2:$H$1001,0),1)&gt;=100000,INDEX($O$1005:$Q$1005,1,MATCH(COLUMNS($O$1006:P1006),$O$1006:$Q$1006,0))&gt;=100000), " ",IF(INDEX($O$2:$Q$1001,MATCH(ROWS($H$2:H722),$H$2:$H$1001,0),MATCH(COLUMNS($O$1006:P1006),$O$1006:$Q$1006,0)), HYPERLINK("#",""), HYPERLINK(CONCATENATE("#metadata!", ADDRESS(INDEX($J$2:$J$1001,MATCH(ROWS($H$2:H722),$H$2:$H$1001,0),0), INDEX($O$1004:$Q$1004,1,MATCH(COLUMNS($O$1006:P1006),$O$1006:$Q$1006,0)))),"Fix")))</f>
        <v xml:space="preserve"> </v>
      </c>
      <c r="D722" s="3" t="str">
        <f ca="1">IF(OR(INDEX($I$2:$I$1001,MATCH(ROWS($H$2:H722),$H$2:$H$1001,0),1)&gt;=100000,INDEX($O$1005:$Q$1005,1,MATCH(COLUMNS($O$1006:Q1006),$O$1006:$Q$1006,0))&gt;=100000), " ",IF(INDEX($O$2:$Q$1001,MATCH(ROWS($H$2:H722),$H$2:$H$1001,0),MATCH(COLUMNS($O$1006:Q1006),$O$1006:$Q$1006,0)), HYPERLINK("#",""), HYPERLINK(CONCATENATE("#metadata!", ADDRESS(INDEX($J$2:$J$1001,MATCH(ROWS($H$2:H722),$H$2:$H$1001,0),0), INDEX($O$1004:$Q$1004,1,MATCH(COLUMNS($O$1006:Q1006),$O$1006:$Q$1006,0)))),"Fix")))</f>
        <v xml:space="preserve"> </v>
      </c>
      <c r="H722">
        <v>721</v>
      </c>
      <c r="I722">
        <v>100722</v>
      </c>
      <c r="J722">
        <v>722</v>
      </c>
      <c r="K722" t="b">
        <f t="shared" si="11"/>
        <v>1</v>
      </c>
      <c r="L722" t="b">
        <f>COUNTBLANK(metadata!B722:D722)=COLUMNS(metadata!B722:D722)</f>
        <v>1</v>
      </c>
      <c r="M722" t="str">
        <v/>
      </c>
      <c r="O722" t="b">
        <f ca="1"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P722" t="b">
        <f>AND(IF(metadata!C722="",FALSE,TRUE),EXACT(metadata!C722,"mouse gut metagenome"))</f>
        <v>0</v>
      </c>
      <c r="Q722" t="b">
        <f>AND(IF(metadata!D722="",FALSE,TRUE),EXACT(metadata!D722,"410661"))</f>
        <v>0</v>
      </c>
    </row>
    <row r="723" spans="1:17" x14ac:dyDescent="0.2">
      <c r="A723" s="4" t="str">
        <f ca="1">IF(B723=" "," ",HYPERLINK(CONCATENATE("#metadata!",ADDRESS(INDEX($J$2:$J$1001,MATCH(ROWS($H$2:H723),$H$2:$H$1001,0),0),1)),INDEX($M$2:$M$1001,MATCH(ROWS($H$2:H723),$H$2:$H$1001,0),0)))</f>
        <v xml:space="preserve"> </v>
      </c>
      <c r="B723" s="3" t="str">
        <f ca="1">IF(OR(INDEX($I$2:$I$1001,MATCH(ROWS($H$2:H723),$H$2:$H$1001,0),1)&gt;=100000,INDEX($O$1005:$Q$1005,1,MATCH(COLUMNS($O$1006:O1006),$O$1006:$Q$1006,0))&gt;=100000), " ",IF(INDEX($O$2:$Q$1001,MATCH(ROWS($H$2:H723),$H$2:$H$1001,0),MATCH(COLUMNS($O$1006:O1006),$O$1006:$Q$1006,0)), HYPERLINK("#",""), HYPERLINK(CONCATENATE("#metadata!", ADDRESS(INDEX($J$2:$J$1001,MATCH(ROWS($H$2:H723),$H$2:$H$1001,0),0), INDEX($O$1004:$Q$1004,1,MATCH(COLUMNS($O$1006:O1006),$O$1006:$Q$1006,0)))),"Fix")))</f>
        <v xml:space="preserve"> </v>
      </c>
      <c r="C723" s="3" t="str">
        <f ca="1">IF(OR(INDEX($I$2:$I$1001,MATCH(ROWS($H$2:H723),$H$2:$H$1001,0),1)&gt;=100000,INDEX($O$1005:$Q$1005,1,MATCH(COLUMNS($O$1006:P1006),$O$1006:$Q$1006,0))&gt;=100000), " ",IF(INDEX($O$2:$Q$1001,MATCH(ROWS($H$2:H723),$H$2:$H$1001,0),MATCH(COLUMNS($O$1006:P1006),$O$1006:$Q$1006,0)), HYPERLINK("#",""), HYPERLINK(CONCATENATE("#metadata!", ADDRESS(INDEX($J$2:$J$1001,MATCH(ROWS($H$2:H723),$H$2:$H$1001,0),0), INDEX($O$1004:$Q$1004,1,MATCH(COLUMNS($O$1006:P1006),$O$1006:$Q$1006,0)))),"Fix")))</f>
        <v xml:space="preserve"> </v>
      </c>
      <c r="D723" s="3" t="str">
        <f ca="1">IF(OR(INDEX($I$2:$I$1001,MATCH(ROWS($H$2:H723),$H$2:$H$1001,0),1)&gt;=100000,INDEX($O$1005:$Q$1005,1,MATCH(COLUMNS($O$1006:Q1006),$O$1006:$Q$1006,0))&gt;=100000), " ",IF(INDEX($O$2:$Q$1001,MATCH(ROWS($H$2:H723),$H$2:$H$1001,0),MATCH(COLUMNS($O$1006:Q1006),$O$1006:$Q$1006,0)), HYPERLINK("#",""), HYPERLINK(CONCATENATE("#metadata!", ADDRESS(INDEX($J$2:$J$1001,MATCH(ROWS($H$2:H723),$H$2:$H$1001,0),0), INDEX($O$1004:$Q$1004,1,MATCH(COLUMNS($O$1006:Q1006),$O$1006:$Q$1006,0)))),"Fix")))</f>
        <v xml:space="preserve"> </v>
      </c>
      <c r="H723">
        <v>722</v>
      </c>
      <c r="I723">
        <v>100723</v>
      </c>
      <c r="J723">
        <v>723</v>
      </c>
      <c r="K723" t="b">
        <f t="shared" si="11"/>
        <v>1</v>
      </c>
      <c r="L723" t="b">
        <f>COUNTBLANK(metadata!B723:D723)=COLUMNS(metadata!B723:D723)</f>
        <v>1</v>
      </c>
      <c r="M723" t="str">
        <v/>
      </c>
      <c r="O723" t="b">
        <f ca="1"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P723" t="b">
        <f>AND(IF(metadata!C723="",FALSE,TRUE),EXACT(metadata!C723,"mouse gut metagenome"))</f>
        <v>0</v>
      </c>
      <c r="Q723" t="b">
        <f>AND(IF(metadata!D723="",FALSE,TRUE),EXACT(metadata!D723,"410661"))</f>
        <v>0</v>
      </c>
    </row>
    <row r="724" spans="1:17" x14ac:dyDescent="0.2">
      <c r="A724" s="4" t="str">
        <f ca="1">IF(B724=" "," ",HYPERLINK(CONCATENATE("#metadata!",ADDRESS(INDEX($J$2:$J$1001,MATCH(ROWS($H$2:H724),$H$2:$H$1001,0),0),1)),INDEX($M$2:$M$1001,MATCH(ROWS($H$2:H724),$H$2:$H$1001,0),0)))</f>
        <v xml:space="preserve"> </v>
      </c>
      <c r="B724" s="3" t="str">
        <f ca="1">IF(OR(INDEX($I$2:$I$1001,MATCH(ROWS($H$2:H724),$H$2:$H$1001,0),1)&gt;=100000,INDEX($O$1005:$Q$1005,1,MATCH(COLUMNS($O$1006:O1006),$O$1006:$Q$1006,0))&gt;=100000), " ",IF(INDEX($O$2:$Q$1001,MATCH(ROWS($H$2:H724),$H$2:$H$1001,0),MATCH(COLUMNS($O$1006:O1006),$O$1006:$Q$1006,0)), HYPERLINK("#",""), HYPERLINK(CONCATENATE("#metadata!", ADDRESS(INDEX($J$2:$J$1001,MATCH(ROWS($H$2:H724),$H$2:$H$1001,0),0), INDEX($O$1004:$Q$1004,1,MATCH(COLUMNS($O$1006:O1006),$O$1006:$Q$1006,0)))),"Fix")))</f>
        <v xml:space="preserve"> </v>
      </c>
      <c r="C724" s="3" t="str">
        <f ca="1">IF(OR(INDEX($I$2:$I$1001,MATCH(ROWS($H$2:H724),$H$2:$H$1001,0),1)&gt;=100000,INDEX($O$1005:$Q$1005,1,MATCH(COLUMNS($O$1006:P1006),$O$1006:$Q$1006,0))&gt;=100000), " ",IF(INDEX($O$2:$Q$1001,MATCH(ROWS($H$2:H724),$H$2:$H$1001,0),MATCH(COLUMNS($O$1006:P1006),$O$1006:$Q$1006,0)), HYPERLINK("#",""), HYPERLINK(CONCATENATE("#metadata!", ADDRESS(INDEX($J$2:$J$1001,MATCH(ROWS($H$2:H724),$H$2:$H$1001,0),0), INDEX($O$1004:$Q$1004,1,MATCH(COLUMNS($O$1006:P1006),$O$1006:$Q$1006,0)))),"Fix")))</f>
        <v xml:space="preserve"> </v>
      </c>
      <c r="D724" s="3" t="str">
        <f ca="1">IF(OR(INDEX($I$2:$I$1001,MATCH(ROWS($H$2:H724),$H$2:$H$1001,0),1)&gt;=100000,INDEX($O$1005:$Q$1005,1,MATCH(COLUMNS($O$1006:Q1006),$O$1006:$Q$1006,0))&gt;=100000), " ",IF(INDEX($O$2:$Q$1001,MATCH(ROWS($H$2:H724),$H$2:$H$1001,0),MATCH(COLUMNS($O$1006:Q1006),$O$1006:$Q$1006,0)), HYPERLINK("#",""), HYPERLINK(CONCATENATE("#metadata!", ADDRESS(INDEX($J$2:$J$1001,MATCH(ROWS($H$2:H724),$H$2:$H$1001,0),0), INDEX($O$1004:$Q$1004,1,MATCH(COLUMNS($O$1006:Q1006),$O$1006:$Q$1006,0)))),"Fix")))</f>
        <v xml:space="preserve"> </v>
      </c>
      <c r="H724">
        <v>723</v>
      </c>
      <c r="I724">
        <v>100724</v>
      </c>
      <c r="J724">
        <v>724</v>
      </c>
      <c r="K724" t="b">
        <f t="shared" si="11"/>
        <v>1</v>
      </c>
      <c r="L724" t="b">
        <f>COUNTBLANK(metadata!B724:D724)=COLUMNS(metadata!B724:D724)</f>
        <v>1</v>
      </c>
      <c r="M724" t="str">
        <v/>
      </c>
      <c r="O724" t="b">
        <f ca="1"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P724" t="b">
        <f>AND(IF(metadata!C724="",FALSE,TRUE),EXACT(metadata!C724,"mouse gut metagenome"))</f>
        <v>0</v>
      </c>
      <c r="Q724" t="b">
        <f>AND(IF(metadata!D724="",FALSE,TRUE),EXACT(metadata!D724,"410661"))</f>
        <v>0</v>
      </c>
    </row>
    <row r="725" spans="1:17" x14ac:dyDescent="0.2">
      <c r="A725" s="4" t="str">
        <f ca="1">IF(B725=" "," ",HYPERLINK(CONCATENATE("#metadata!",ADDRESS(INDEX($J$2:$J$1001,MATCH(ROWS($H$2:H725),$H$2:$H$1001,0),0),1)),INDEX($M$2:$M$1001,MATCH(ROWS($H$2:H725),$H$2:$H$1001,0),0)))</f>
        <v xml:space="preserve"> </v>
      </c>
      <c r="B725" s="3" t="str">
        <f ca="1">IF(OR(INDEX($I$2:$I$1001,MATCH(ROWS($H$2:H725),$H$2:$H$1001,0),1)&gt;=100000,INDEX($O$1005:$Q$1005,1,MATCH(COLUMNS($O$1006:O1006),$O$1006:$Q$1006,0))&gt;=100000), " ",IF(INDEX($O$2:$Q$1001,MATCH(ROWS($H$2:H725),$H$2:$H$1001,0),MATCH(COLUMNS($O$1006:O1006),$O$1006:$Q$1006,0)), HYPERLINK("#",""), HYPERLINK(CONCATENATE("#metadata!", ADDRESS(INDEX($J$2:$J$1001,MATCH(ROWS($H$2:H725),$H$2:$H$1001,0),0), INDEX($O$1004:$Q$1004,1,MATCH(COLUMNS($O$1006:O1006),$O$1006:$Q$1006,0)))),"Fix")))</f>
        <v xml:space="preserve"> </v>
      </c>
      <c r="C725" s="3" t="str">
        <f ca="1">IF(OR(INDEX($I$2:$I$1001,MATCH(ROWS($H$2:H725),$H$2:$H$1001,0),1)&gt;=100000,INDEX($O$1005:$Q$1005,1,MATCH(COLUMNS($O$1006:P1006),$O$1006:$Q$1006,0))&gt;=100000), " ",IF(INDEX($O$2:$Q$1001,MATCH(ROWS($H$2:H725),$H$2:$H$1001,0),MATCH(COLUMNS($O$1006:P1006),$O$1006:$Q$1006,0)), HYPERLINK("#",""), HYPERLINK(CONCATENATE("#metadata!", ADDRESS(INDEX($J$2:$J$1001,MATCH(ROWS($H$2:H725),$H$2:$H$1001,0),0), INDEX($O$1004:$Q$1004,1,MATCH(COLUMNS($O$1006:P1006),$O$1006:$Q$1006,0)))),"Fix")))</f>
        <v xml:space="preserve"> </v>
      </c>
      <c r="D725" s="3" t="str">
        <f ca="1">IF(OR(INDEX($I$2:$I$1001,MATCH(ROWS($H$2:H725),$H$2:$H$1001,0),1)&gt;=100000,INDEX($O$1005:$Q$1005,1,MATCH(COLUMNS($O$1006:Q1006),$O$1006:$Q$1006,0))&gt;=100000), " ",IF(INDEX($O$2:$Q$1001,MATCH(ROWS($H$2:H725),$H$2:$H$1001,0),MATCH(COLUMNS($O$1006:Q1006),$O$1006:$Q$1006,0)), HYPERLINK("#",""), HYPERLINK(CONCATENATE("#metadata!", ADDRESS(INDEX($J$2:$J$1001,MATCH(ROWS($H$2:H725),$H$2:$H$1001,0),0), INDEX($O$1004:$Q$1004,1,MATCH(COLUMNS($O$1006:Q1006),$O$1006:$Q$1006,0)))),"Fix")))</f>
        <v xml:space="preserve"> </v>
      </c>
      <c r="H725">
        <v>724</v>
      </c>
      <c r="I725">
        <v>100725</v>
      </c>
      <c r="J725">
        <v>725</v>
      </c>
      <c r="K725" t="b">
        <f t="shared" si="11"/>
        <v>1</v>
      </c>
      <c r="L725" t="b">
        <f>COUNTBLANK(metadata!B725:D725)=COLUMNS(metadata!B725:D725)</f>
        <v>1</v>
      </c>
      <c r="M725" t="str">
        <v/>
      </c>
      <c r="O725" t="b">
        <f ca="1"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P725" t="b">
        <f>AND(IF(metadata!C725="",FALSE,TRUE),EXACT(metadata!C725,"mouse gut metagenome"))</f>
        <v>0</v>
      </c>
      <c r="Q725" t="b">
        <f>AND(IF(metadata!D725="",FALSE,TRUE),EXACT(metadata!D725,"410661"))</f>
        <v>0</v>
      </c>
    </row>
    <row r="726" spans="1:17" x14ac:dyDescent="0.2">
      <c r="A726" s="4" t="str">
        <f ca="1">IF(B726=" "," ",HYPERLINK(CONCATENATE("#metadata!",ADDRESS(INDEX($J$2:$J$1001,MATCH(ROWS($H$2:H726),$H$2:$H$1001,0),0),1)),INDEX($M$2:$M$1001,MATCH(ROWS($H$2:H726),$H$2:$H$1001,0),0)))</f>
        <v xml:space="preserve"> </v>
      </c>
      <c r="B726" s="3" t="str">
        <f ca="1">IF(OR(INDEX($I$2:$I$1001,MATCH(ROWS($H$2:H726),$H$2:$H$1001,0),1)&gt;=100000,INDEX($O$1005:$Q$1005,1,MATCH(COLUMNS($O$1006:O1006),$O$1006:$Q$1006,0))&gt;=100000), " ",IF(INDEX($O$2:$Q$1001,MATCH(ROWS($H$2:H726),$H$2:$H$1001,0),MATCH(COLUMNS($O$1006:O1006),$O$1006:$Q$1006,0)), HYPERLINK("#",""), HYPERLINK(CONCATENATE("#metadata!", ADDRESS(INDEX($J$2:$J$1001,MATCH(ROWS($H$2:H726),$H$2:$H$1001,0),0), INDEX($O$1004:$Q$1004,1,MATCH(COLUMNS($O$1006:O1006),$O$1006:$Q$1006,0)))),"Fix")))</f>
        <v xml:space="preserve"> </v>
      </c>
      <c r="C726" s="3" t="str">
        <f ca="1">IF(OR(INDEX($I$2:$I$1001,MATCH(ROWS($H$2:H726),$H$2:$H$1001,0),1)&gt;=100000,INDEX($O$1005:$Q$1005,1,MATCH(COLUMNS($O$1006:P1006),$O$1006:$Q$1006,0))&gt;=100000), " ",IF(INDEX($O$2:$Q$1001,MATCH(ROWS($H$2:H726),$H$2:$H$1001,0),MATCH(COLUMNS($O$1006:P1006),$O$1006:$Q$1006,0)), HYPERLINK("#",""), HYPERLINK(CONCATENATE("#metadata!", ADDRESS(INDEX($J$2:$J$1001,MATCH(ROWS($H$2:H726),$H$2:$H$1001,0),0), INDEX($O$1004:$Q$1004,1,MATCH(COLUMNS($O$1006:P1006),$O$1006:$Q$1006,0)))),"Fix")))</f>
        <v xml:space="preserve"> </v>
      </c>
      <c r="D726" s="3" t="str">
        <f ca="1">IF(OR(INDEX($I$2:$I$1001,MATCH(ROWS($H$2:H726),$H$2:$H$1001,0),1)&gt;=100000,INDEX($O$1005:$Q$1005,1,MATCH(COLUMNS($O$1006:Q1006),$O$1006:$Q$1006,0))&gt;=100000), " ",IF(INDEX($O$2:$Q$1001,MATCH(ROWS($H$2:H726),$H$2:$H$1001,0),MATCH(COLUMNS($O$1006:Q1006),$O$1006:$Q$1006,0)), HYPERLINK("#",""), HYPERLINK(CONCATENATE("#metadata!", ADDRESS(INDEX($J$2:$J$1001,MATCH(ROWS($H$2:H726),$H$2:$H$1001,0),0), INDEX($O$1004:$Q$1004,1,MATCH(COLUMNS($O$1006:Q1006),$O$1006:$Q$1006,0)))),"Fix")))</f>
        <v xml:space="preserve"> </v>
      </c>
      <c r="H726">
        <v>725</v>
      </c>
      <c r="I726">
        <v>100726</v>
      </c>
      <c r="J726">
        <v>726</v>
      </c>
      <c r="K726" t="b">
        <f t="shared" si="11"/>
        <v>1</v>
      </c>
      <c r="L726" t="b">
        <f>COUNTBLANK(metadata!B726:D726)=COLUMNS(metadata!B726:D726)</f>
        <v>1</v>
      </c>
      <c r="M726" t="str">
        <v/>
      </c>
      <c r="O726" t="b">
        <f ca="1"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P726" t="b">
        <f>AND(IF(metadata!C726="",FALSE,TRUE),EXACT(metadata!C726,"mouse gut metagenome"))</f>
        <v>0</v>
      </c>
      <c r="Q726" t="b">
        <f>AND(IF(metadata!D726="",FALSE,TRUE),EXACT(metadata!D726,"410661"))</f>
        <v>0</v>
      </c>
    </row>
    <row r="727" spans="1:17" x14ac:dyDescent="0.2">
      <c r="A727" s="4" t="str">
        <f ca="1">IF(B727=" "," ",HYPERLINK(CONCATENATE("#metadata!",ADDRESS(INDEX($J$2:$J$1001,MATCH(ROWS($H$2:H727),$H$2:$H$1001,0),0),1)),INDEX($M$2:$M$1001,MATCH(ROWS($H$2:H727),$H$2:$H$1001,0),0)))</f>
        <v xml:space="preserve"> </v>
      </c>
      <c r="B727" s="3" t="str">
        <f ca="1">IF(OR(INDEX($I$2:$I$1001,MATCH(ROWS($H$2:H727),$H$2:$H$1001,0),1)&gt;=100000,INDEX($O$1005:$Q$1005,1,MATCH(COLUMNS($O$1006:O1006),$O$1006:$Q$1006,0))&gt;=100000), " ",IF(INDEX($O$2:$Q$1001,MATCH(ROWS($H$2:H727),$H$2:$H$1001,0),MATCH(COLUMNS($O$1006:O1006),$O$1006:$Q$1006,0)), HYPERLINK("#",""), HYPERLINK(CONCATENATE("#metadata!", ADDRESS(INDEX($J$2:$J$1001,MATCH(ROWS($H$2:H727),$H$2:$H$1001,0),0), INDEX($O$1004:$Q$1004,1,MATCH(COLUMNS($O$1006:O1006),$O$1006:$Q$1006,0)))),"Fix")))</f>
        <v xml:space="preserve"> </v>
      </c>
      <c r="C727" s="3" t="str">
        <f ca="1">IF(OR(INDEX($I$2:$I$1001,MATCH(ROWS($H$2:H727),$H$2:$H$1001,0),1)&gt;=100000,INDEX($O$1005:$Q$1005,1,MATCH(COLUMNS($O$1006:P1006),$O$1006:$Q$1006,0))&gt;=100000), " ",IF(INDEX($O$2:$Q$1001,MATCH(ROWS($H$2:H727),$H$2:$H$1001,0),MATCH(COLUMNS($O$1006:P1006),$O$1006:$Q$1006,0)), HYPERLINK("#",""), HYPERLINK(CONCATENATE("#metadata!", ADDRESS(INDEX($J$2:$J$1001,MATCH(ROWS($H$2:H727),$H$2:$H$1001,0),0), INDEX($O$1004:$Q$1004,1,MATCH(COLUMNS($O$1006:P1006),$O$1006:$Q$1006,0)))),"Fix")))</f>
        <v xml:space="preserve"> </v>
      </c>
      <c r="D727" s="3" t="str">
        <f ca="1">IF(OR(INDEX($I$2:$I$1001,MATCH(ROWS($H$2:H727),$H$2:$H$1001,0),1)&gt;=100000,INDEX($O$1005:$Q$1005,1,MATCH(COLUMNS($O$1006:Q1006),$O$1006:$Q$1006,0))&gt;=100000), " ",IF(INDEX($O$2:$Q$1001,MATCH(ROWS($H$2:H727),$H$2:$H$1001,0),MATCH(COLUMNS($O$1006:Q1006),$O$1006:$Q$1006,0)), HYPERLINK("#",""), HYPERLINK(CONCATENATE("#metadata!", ADDRESS(INDEX($J$2:$J$1001,MATCH(ROWS($H$2:H727),$H$2:$H$1001,0),0), INDEX($O$1004:$Q$1004,1,MATCH(COLUMNS($O$1006:Q1006),$O$1006:$Q$1006,0)))),"Fix")))</f>
        <v xml:space="preserve"> </v>
      </c>
      <c r="H727">
        <v>726</v>
      </c>
      <c r="I727">
        <v>100727</v>
      </c>
      <c r="J727">
        <v>727</v>
      </c>
      <c r="K727" t="b">
        <f t="shared" si="11"/>
        <v>1</v>
      </c>
      <c r="L727" t="b">
        <f>COUNTBLANK(metadata!B727:D727)=COLUMNS(metadata!B727:D727)</f>
        <v>1</v>
      </c>
      <c r="M727" t="str">
        <v/>
      </c>
      <c r="O727" t="b">
        <f ca="1"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P727" t="b">
        <f>AND(IF(metadata!C727="",FALSE,TRUE),EXACT(metadata!C727,"mouse gut metagenome"))</f>
        <v>0</v>
      </c>
      <c r="Q727" t="b">
        <f>AND(IF(metadata!D727="",FALSE,TRUE),EXACT(metadata!D727,"410661"))</f>
        <v>0</v>
      </c>
    </row>
    <row r="728" spans="1:17" x14ac:dyDescent="0.2">
      <c r="A728" s="4" t="str">
        <f ca="1">IF(B728=" "," ",HYPERLINK(CONCATENATE("#metadata!",ADDRESS(INDEX($J$2:$J$1001,MATCH(ROWS($H$2:H728),$H$2:$H$1001,0),0),1)),INDEX($M$2:$M$1001,MATCH(ROWS($H$2:H728),$H$2:$H$1001,0),0)))</f>
        <v xml:space="preserve"> </v>
      </c>
      <c r="B728" s="3" t="str">
        <f ca="1">IF(OR(INDEX($I$2:$I$1001,MATCH(ROWS($H$2:H728),$H$2:$H$1001,0),1)&gt;=100000,INDEX($O$1005:$Q$1005,1,MATCH(COLUMNS($O$1006:O1006),$O$1006:$Q$1006,0))&gt;=100000), " ",IF(INDEX($O$2:$Q$1001,MATCH(ROWS($H$2:H728),$H$2:$H$1001,0),MATCH(COLUMNS($O$1006:O1006),$O$1006:$Q$1006,0)), HYPERLINK("#",""), HYPERLINK(CONCATENATE("#metadata!", ADDRESS(INDEX($J$2:$J$1001,MATCH(ROWS($H$2:H728),$H$2:$H$1001,0),0), INDEX($O$1004:$Q$1004,1,MATCH(COLUMNS($O$1006:O1006),$O$1006:$Q$1006,0)))),"Fix")))</f>
        <v xml:space="preserve"> </v>
      </c>
      <c r="C728" s="3" t="str">
        <f ca="1">IF(OR(INDEX($I$2:$I$1001,MATCH(ROWS($H$2:H728),$H$2:$H$1001,0),1)&gt;=100000,INDEX($O$1005:$Q$1005,1,MATCH(COLUMNS($O$1006:P1006),$O$1006:$Q$1006,0))&gt;=100000), " ",IF(INDEX($O$2:$Q$1001,MATCH(ROWS($H$2:H728),$H$2:$H$1001,0),MATCH(COLUMNS($O$1006:P1006),$O$1006:$Q$1006,0)), HYPERLINK("#",""), HYPERLINK(CONCATENATE("#metadata!", ADDRESS(INDEX($J$2:$J$1001,MATCH(ROWS($H$2:H728),$H$2:$H$1001,0),0), INDEX($O$1004:$Q$1004,1,MATCH(COLUMNS($O$1006:P1006),$O$1006:$Q$1006,0)))),"Fix")))</f>
        <v xml:space="preserve"> </v>
      </c>
      <c r="D728" s="3" t="str">
        <f ca="1">IF(OR(INDEX($I$2:$I$1001,MATCH(ROWS($H$2:H728),$H$2:$H$1001,0),1)&gt;=100000,INDEX($O$1005:$Q$1005,1,MATCH(COLUMNS($O$1006:Q1006),$O$1006:$Q$1006,0))&gt;=100000), " ",IF(INDEX($O$2:$Q$1001,MATCH(ROWS($H$2:H728),$H$2:$H$1001,0),MATCH(COLUMNS($O$1006:Q1006),$O$1006:$Q$1006,0)), HYPERLINK("#",""), HYPERLINK(CONCATENATE("#metadata!", ADDRESS(INDEX($J$2:$J$1001,MATCH(ROWS($H$2:H728),$H$2:$H$1001,0),0), INDEX($O$1004:$Q$1004,1,MATCH(COLUMNS($O$1006:Q1006),$O$1006:$Q$1006,0)))),"Fix")))</f>
        <v xml:space="preserve"> </v>
      </c>
      <c r="H728">
        <v>727</v>
      </c>
      <c r="I728">
        <v>100728</v>
      </c>
      <c r="J728">
        <v>728</v>
      </c>
      <c r="K728" t="b">
        <f t="shared" si="11"/>
        <v>1</v>
      </c>
      <c r="L728" t="b">
        <f>COUNTBLANK(metadata!B728:D728)=COLUMNS(metadata!B728:D728)</f>
        <v>1</v>
      </c>
      <c r="M728" t="str">
        <v/>
      </c>
      <c r="O728" t="b">
        <f ca="1"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P728" t="b">
        <f>AND(IF(metadata!C728="",FALSE,TRUE),EXACT(metadata!C728,"mouse gut metagenome"))</f>
        <v>0</v>
      </c>
      <c r="Q728" t="b">
        <f>AND(IF(metadata!D728="",FALSE,TRUE),EXACT(metadata!D728,"410661"))</f>
        <v>0</v>
      </c>
    </row>
    <row r="729" spans="1:17" x14ac:dyDescent="0.2">
      <c r="A729" s="4" t="str">
        <f ca="1">IF(B729=" "," ",HYPERLINK(CONCATENATE("#metadata!",ADDRESS(INDEX($J$2:$J$1001,MATCH(ROWS($H$2:H729),$H$2:$H$1001,0),0),1)),INDEX($M$2:$M$1001,MATCH(ROWS($H$2:H729),$H$2:$H$1001,0),0)))</f>
        <v xml:space="preserve"> </v>
      </c>
      <c r="B729" s="3" t="str">
        <f ca="1">IF(OR(INDEX($I$2:$I$1001,MATCH(ROWS($H$2:H729),$H$2:$H$1001,0),1)&gt;=100000,INDEX($O$1005:$Q$1005,1,MATCH(COLUMNS($O$1006:O1006),$O$1006:$Q$1006,0))&gt;=100000), " ",IF(INDEX($O$2:$Q$1001,MATCH(ROWS($H$2:H729),$H$2:$H$1001,0),MATCH(COLUMNS($O$1006:O1006),$O$1006:$Q$1006,0)), HYPERLINK("#",""), HYPERLINK(CONCATENATE("#metadata!", ADDRESS(INDEX($J$2:$J$1001,MATCH(ROWS($H$2:H729),$H$2:$H$1001,0),0), INDEX($O$1004:$Q$1004,1,MATCH(COLUMNS($O$1006:O1006),$O$1006:$Q$1006,0)))),"Fix")))</f>
        <v xml:space="preserve"> </v>
      </c>
      <c r="C729" s="3" t="str">
        <f ca="1">IF(OR(INDEX($I$2:$I$1001,MATCH(ROWS($H$2:H729),$H$2:$H$1001,0),1)&gt;=100000,INDEX($O$1005:$Q$1005,1,MATCH(COLUMNS($O$1006:P1006),$O$1006:$Q$1006,0))&gt;=100000), " ",IF(INDEX($O$2:$Q$1001,MATCH(ROWS($H$2:H729),$H$2:$H$1001,0),MATCH(COLUMNS($O$1006:P1006),$O$1006:$Q$1006,0)), HYPERLINK("#",""), HYPERLINK(CONCATENATE("#metadata!", ADDRESS(INDEX($J$2:$J$1001,MATCH(ROWS($H$2:H729),$H$2:$H$1001,0),0), INDEX($O$1004:$Q$1004,1,MATCH(COLUMNS($O$1006:P1006),$O$1006:$Q$1006,0)))),"Fix")))</f>
        <v xml:space="preserve"> </v>
      </c>
      <c r="D729" s="3" t="str">
        <f ca="1">IF(OR(INDEX($I$2:$I$1001,MATCH(ROWS($H$2:H729),$H$2:$H$1001,0),1)&gt;=100000,INDEX($O$1005:$Q$1005,1,MATCH(COLUMNS($O$1006:Q1006),$O$1006:$Q$1006,0))&gt;=100000), " ",IF(INDEX($O$2:$Q$1001,MATCH(ROWS($H$2:H729),$H$2:$H$1001,0),MATCH(COLUMNS($O$1006:Q1006),$O$1006:$Q$1006,0)), HYPERLINK("#",""), HYPERLINK(CONCATENATE("#metadata!", ADDRESS(INDEX($J$2:$J$1001,MATCH(ROWS($H$2:H729),$H$2:$H$1001,0),0), INDEX($O$1004:$Q$1004,1,MATCH(COLUMNS($O$1006:Q1006),$O$1006:$Q$1006,0)))),"Fix")))</f>
        <v xml:space="preserve"> </v>
      </c>
      <c r="H729">
        <v>728</v>
      </c>
      <c r="I729">
        <v>100729</v>
      </c>
      <c r="J729">
        <v>729</v>
      </c>
      <c r="K729" t="b">
        <f t="shared" si="11"/>
        <v>1</v>
      </c>
      <c r="L729" t="b">
        <f>COUNTBLANK(metadata!B729:D729)=COLUMNS(metadata!B729:D729)</f>
        <v>1</v>
      </c>
      <c r="M729" t="str">
        <v/>
      </c>
      <c r="O729" t="b">
        <f ca="1"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P729" t="b">
        <f>AND(IF(metadata!C729="",FALSE,TRUE),EXACT(metadata!C729,"mouse gut metagenome"))</f>
        <v>0</v>
      </c>
      <c r="Q729" t="b">
        <f>AND(IF(metadata!D729="",FALSE,TRUE),EXACT(metadata!D729,"410661"))</f>
        <v>0</v>
      </c>
    </row>
    <row r="730" spans="1:17" x14ac:dyDescent="0.2">
      <c r="A730" s="4" t="str">
        <f ca="1">IF(B730=" "," ",HYPERLINK(CONCATENATE("#metadata!",ADDRESS(INDEX($J$2:$J$1001,MATCH(ROWS($H$2:H730),$H$2:$H$1001,0),0),1)),INDEX($M$2:$M$1001,MATCH(ROWS($H$2:H730),$H$2:$H$1001,0),0)))</f>
        <v xml:space="preserve"> </v>
      </c>
      <c r="B730" s="3" t="str">
        <f ca="1">IF(OR(INDEX($I$2:$I$1001,MATCH(ROWS($H$2:H730),$H$2:$H$1001,0),1)&gt;=100000,INDEX($O$1005:$Q$1005,1,MATCH(COLUMNS($O$1006:O1006),$O$1006:$Q$1006,0))&gt;=100000), " ",IF(INDEX($O$2:$Q$1001,MATCH(ROWS($H$2:H730),$H$2:$H$1001,0),MATCH(COLUMNS($O$1006:O1006),$O$1006:$Q$1006,0)), HYPERLINK("#",""), HYPERLINK(CONCATENATE("#metadata!", ADDRESS(INDEX($J$2:$J$1001,MATCH(ROWS($H$2:H730),$H$2:$H$1001,0),0), INDEX($O$1004:$Q$1004,1,MATCH(COLUMNS($O$1006:O1006),$O$1006:$Q$1006,0)))),"Fix")))</f>
        <v xml:space="preserve"> </v>
      </c>
      <c r="C730" s="3" t="str">
        <f ca="1">IF(OR(INDEX($I$2:$I$1001,MATCH(ROWS($H$2:H730),$H$2:$H$1001,0),1)&gt;=100000,INDEX($O$1005:$Q$1005,1,MATCH(COLUMNS($O$1006:P1006),$O$1006:$Q$1006,0))&gt;=100000), " ",IF(INDEX($O$2:$Q$1001,MATCH(ROWS($H$2:H730),$H$2:$H$1001,0),MATCH(COLUMNS($O$1006:P1006),$O$1006:$Q$1006,0)), HYPERLINK("#",""), HYPERLINK(CONCATENATE("#metadata!", ADDRESS(INDEX($J$2:$J$1001,MATCH(ROWS($H$2:H730),$H$2:$H$1001,0),0), INDEX($O$1004:$Q$1004,1,MATCH(COLUMNS($O$1006:P1006),$O$1006:$Q$1006,0)))),"Fix")))</f>
        <v xml:space="preserve"> </v>
      </c>
      <c r="D730" s="3" t="str">
        <f ca="1">IF(OR(INDEX($I$2:$I$1001,MATCH(ROWS($H$2:H730),$H$2:$H$1001,0),1)&gt;=100000,INDEX($O$1005:$Q$1005,1,MATCH(COLUMNS($O$1006:Q1006),$O$1006:$Q$1006,0))&gt;=100000), " ",IF(INDEX($O$2:$Q$1001,MATCH(ROWS($H$2:H730),$H$2:$H$1001,0),MATCH(COLUMNS($O$1006:Q1006),$O$1006:$Q$1006,0)), HYPERLINK("#",""), HYPERLINK(CONCATENATE("#metadata!", ADDRESS(INDEX($J$2:$J$1001,MATCH(ROWS($H$2:H730),$H$2:$H$1001,0),0), INDEX($O$1004:$Q$1004,1,MATCH(COLUMNS($O$1006:Q1006),$O$1006:$Q$1006,0)))),"Fix")))</f>
        <v xml:space="preserve"> </v>
      </c>
      <c r="H730">
        <v>729</v>
      </c>
      <c r="I730">
        <v>100730</v>
      </c>
      <c r="J730">
        <v>730</v>
      </c>
      <c r="K730" t="b">
        <f t="shared" si="11"/>
        <v>1</v>
      </c>
      <c r="L730" t="b">
        <f>COUNTBLANK(metadata!B730:D730)=COLUMNS(metadata!B730:D730)</f>
        <v>1</v>
      </c>
      <c r="M730" t="str">
        <v/>
      </c>
      <c r="O730" t="b">
        <f ca="1"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P730" t="b">
        <f>AND(IF(metadata!C730="",FALSE,TRUE),EXACT(metadata!C730,"mouse gut metagenome"))</f>
        <v>0</v>
      </c>
      <c r="Q730" t="b">
        <f>AND(IF(metadata!D730="",FALSE,TRUE),EXACT(metadata!D730,"410661"))</f>
        <v>0</v>
      </c>
    </row>
    <row r="731" spans="1:17" x14ac:dyDescent="0.2">
      <c r="A731" s="4" t="str">
        <f ca="1">IF(B731=" "," ",HYPERLINK(CONCATENATE("#metadata!",ADDRESS(INDEX($J$2:$J$1001,MATCH(ROWS($H$2:H731),$H$2:$H$1001,0),0),1)),INDEX($M$2:$M$1001,MATCH(ROWS($H$2:H731),$H$2:$H$1001,0),0)))</f>
        <v xml:space="preserve"> </v>
      </c>
      <c r="B731" s="3" t="str">
        <f ca="1">IF(OR(INDEX($I$2:$I$1001,MATCH(ROWS($H$2:H731),$H$2:$H$1001,0),1)&gt;=100000,INDEX($O$1005:$Q$1005,1,MATCH(COLUMNS($O$1006:O1006),$O$1006:$Q$1006,0))&gt;=100000), " ",IF(INDEX($O$2:$Q$1001,MATCH(ROWS($H$2:H731),$H$2:$H$1001,0),MATCH(COLUMNS($O$1006:O1006),$O$1006:$Q$1006,0)), HYPERLINK("#",""), HYPERLINK(CONCATENATE("#metadata!", ADDRESS(INDEX($J$2:$J$1001,MATCH(ROWS($H$2:H731),$H$2:$H$1001,0),0), INDEX($O$1004:$Q$1004,1,MATCH(COLUMNS($O$1006:O1006),$O$1006:$Q$1006,0)))),"Fix")))</f>
        <v xml:space="preserve"> </v>
      </c>
      <c r="C731" s="3" t="str">
        <f ca="1">IF(OR(INDEX($I$2:$I$1001,MATCH(ROWS($H$2:H731),$H$2:$H$1001,0),1)&gt;=100000,INDEX($O$1005:$Q$1005,1,MATCH(COLUMNS($O$1006:P1006),$O$1006:$Q$1006,0))&gt;=100000), " ",IF(INDEX($O$2:$Q$1001,MATCH(ROWS($H$2:H731),$H$2:$H$1001,0),MATCH(COLUMNS($O$1006:P1006),$O$1006:$Q$1006,0)), HYPERLINK("#",""), HYPERLINK(CONCATENATE("#metadata!", ADDRESS(INDEX($J$2:$J$1001,MATCH(ROWS($H$2:H731),$H$2:$H$1001,0),0), INDEX($O$1004:$Q$1004,1,MATCH(COLUMNS($O$1006:P1006),$O$1006:$Q$1006,0)))),"Fix")))</f>
        <v xml:space="preserve"> </v>
      </c>
      <c r="D731" s="3" t="str">
        <f ca="1">IF(OR(INDEX($I$2:$I$1001,MATCH(ROWS($H$2:H731),$H$2:$H$1001,0),1)&gt;=100000,INDEX($O$1005:$Q$1005,1,MATCH(COLUMNS($O$1006:Q1006),$O$1006:$Q$1006,0))&gt;=100000), " ",IF(INDEX($O$2:$Q$1001,MATCH(ROWS($H$2:H731),$H$2:$H$1001,0),MATCH(COLUMNS($O$1006:Q1006),$O$1006:$Q$1006,0)), HYPERLINK("#",""), HYPERLINK(CONCATENATE("#metadata!", ADDRESS(INDEX($J$2:$J$1001,MATCH(ROWS($H$2:H731),$H$2:$H$1001,0),0), INDEX($O$1004:$Q$1004,1,MATCH(COLUMNS($O$1006:Q1006),$O$1006:$Q$1006,0)))),"Fix")))</f>
        <v xml:space="preserve"> </v>
      </c>
      <c r="H731">
        <v>730</v>
      </c>
      <c r="I731">
        <v>100731</v>
      </c>
      <c r="J731">
        <v>731</v>
      </c>
      <c r="K731" t="b">
        <f t="shared" si="11"/>
        <v>1</v>
      </c>
      <c r="L731" t="b">
        <f>COUNTBLANK(metadata!B731:D731)=COLUMNS(metadata!B731:D731)</f>
        <v>1</v>
      </c>
      <c r="M731" t="str">
        <v/>
      </c>
      <c r="O731" t="b">
        <f ca="1"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P731" t="b">
        <f>AND(IF(metadata!C731="",FALSE,TRUE),EXACT(metadata!C731,"mouse gut metagenome"))</f>
        <v>0</v>
      </c>
      <c r="Q731" t="b">
        <f>AND(IF(metadata!D731="",FALSE,TRUE),EXACT(metadata!D731,"410661"))</f>
        <v>0</v>
      </c>
    </row>
    <row r="732" spans="1:17" x14ac:dyDescent="0.2">
      <c r="A732" s="4" t="str">
        <f ca="1">IF(B732=" "," ",HYPERLINK(CONCATENATE("#metadata!",ADDRESS(INDEX($J$2:$J$1001,MATCH(ROWS($H$2:H732),$H$2:$H$1001,0),0),1)),INDEX($M$2:$M$1001,MATCH(ROWS($H$2:H732),$H$2:$H$1001,0),0)))</f>
        <v xml:space="preserve"> </v>
      </c>
      <c r="B732" s="3" t="str">
        <f ca="1">IF(OR(INDEX($I$2:$I$1001,MATCH(ROWS($H$2:H732),$H$2:$H$1001,0),1)&gt;=100000,INDEX($O$1005:$Q$1005,1,MATCH(COLUMNS($O$1006:O1006),$O$1006:$Q$1006,0))&gt;=100000), " ",IF(INDEX($O$2:$Q$1001,MATCH(ROWS($H$2:H732),$H$2:$H$1001,0),MATCH(COLUMNS($O$1006:O1006),$O$1006:$Q$1006,0)), HYPERLINK("#",""), HYPERLINK(CONCATENATE("#metadata!", ADDRESS(INDEX($J$2:$J$1001,MATCH(ROWS($H$2:H732),$H$2:$H$1001,0),0), INDEX($O$1004:$Q$1004,1,MATCH(COLUMNS($O$1006:O1006),$O$1006:$Q$1006,0)))),"Fix")))</f>
        <v xml:space="preserve"> </v>
      </c>
      <c r="C732" s="3" t="str">
        <f ca="1">IF(OR(INDEX($I$2:$I$1001,MATCH(ROWS($H$2:H732),$H$2:$H$1001,0),1)&gt;=100000,INDEX($O$1005:$Q$1005,1,MATCH(COLUMNS($O$1006:P1006),$O$1006:$Q$1006,0))&gt;=100000), " ",IF(INDEX($O$2:$Q$1001,MATCH(ROWS($H$2:H732),$H$2:$H$1001,0),MATCH(COLUMNS($O$1006:P1006),$O$1006:$Q$1006,0)), HYPERLINK("#",""), HYPERLINK(CONCATENATE("#metadata!", ADDRESS(INDEX($J$2:$J$1001,MATCH(ROWS($H$2:H732),$H$2:$H$1001,0),0), INDEX($O$1004:$Q$1004,1,MATCH(COLUMNS($O$1006:P1006),$O$1006:$Q$1006,0)))),"Fix")))</f>
        <v xml:space="preserve"> </v>
      </c>
      <c r="D732" s="3" t="str">
        <f ca="1">IF(OR(INDEX($I$2:$I$1001,MATCH(ROWS($H$2:H732),$H$2:$H$1001,0),1)&gt;=100000,INDEX($O$1005:$Q$1005,1,MATCH(COLUMNS($O$1006:Q1006),$O$1006:$Q$1006,0))&gt;=100000), " ",IF(INDEX($O$2:$Q$1001,MATCH(ROWS($H$2:H732),$H$2:$H$1001,0),MATCH(COLUMNS($O$1006:Q1006),$O$1006:$Q$1006,0)), HYPERLINK("#",""), HYPERLINK(CONCATENATE("#metadata!", ADDRESS(INDEX($J$2:$J$1001,MATCH(ROWS($H$2:H732),$H$2:$H$1001,0),0), INDEX($O$1004:$Q$1004,1,MATCH(COLUMNS($O$1006:Q1006),$O$1006:$Q$1006,0)))),"Fix")))</f>
        <v xml:space="preserve"> </v>
      </c>
      <c r="H732">
        <v>731</v>
      </c>
      <c r="I732">
        <v>100732</v>
      </c>
      <c r="J732">
        <v>732</v>
      </c>
      <c r="K732" t="b">
        <f t="shared" si="11"/>
        <v>1</v>
      </c>
      <c r="L732" t="b">
        <f>COUNTBLANK(metadata!B732:D732)=COLUMNS(metadata!B732:D732)</f>
        <v>1</v>
      </c>
      <c r="M732" t="str">
        <v/>
      </c>
      <c r="O732" t="b">
        <f ca="1"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P732" t="b">
        <f>AND(IF(metadata!C732="",FALSE,TRUE),EXACT(metadata!C732,"mouse gut metagenome"))</f>
        <v>0</v>
      </c>
      <c r="Q732" t="b">
        <f>AND(IF(metadata!D732="",FALSE,TRUE),EXACT(metadata!D732,"410661"))</f>
        <v>0</v>
      </c>
    </row>
    <row r="733" spans="1:17" x14ac:dyDescent="0.2">
      <c r="A733" s="4" t="str">
        <f ca="1">IF(B733=" "," ",HYPERLINK(CONCATENATE("#metadata!",ADDRESS(INDEX($J$2:$J$1001,MATCH(ROWS($H$2:H733),$H$2:$H$1001,0),0),1)),INDEX($M$2:$M$1001,MATCH(ROWS($H$2:H733),$H$2:$H$1001,0),0)))</f>
        <v xml:space="preserve"> </v>
      </c>
      <c r="B733" s="3" t="str">
        <f ca="1">IF(OR(INDEX($I$2:$I$1001,MATCH(ROWS($H$2:H733),$H$2:$H$1001,0),1)&gt;=100000,INDEX($O$1005:$Q$1005,1,MATCH(COLUMNS($O$1006:O1006),$O$1006:$Q$1006,0))&gt;=100000), " ",IF(INDEX($O$2:$Q$1001,MATCH(ROWS($H$2:H733),$H$2:$H$1001,0),MATCH(COLUMNS($O$1006:O1006),$O$1006:$Q$1006,0)), HYPERLINK("#",""), HYPERLINK(CONCATENATE("#metadata!", ADDRESS(INDEX($J$2:$J$1001,MATCH(ROWS($H$2:H733),$H$2:$H$1001,0),0), INDEX($O$1004:$Q$1004,1,MATCH(COLUMNS($O$1006:O1006),$O$1006:$Q$1006,0)))),"Fix")))</f>
        <v xml:space="preserve"> </v>
      </c>
      <c r="C733" s="3" t="str">
        <f ca="1">IF(OR(INDEX($I$2:$I$1001,MATCH(ROWS($H$2:H733),$H$2:$H$1001,0),1)&gt;=100000,INDEX($O$1005:$Q$1005,1,MATCH(COLUMNS($O$1006:P1006),$O$1006:$Q$1006,0))&gt;=100000), " ",IF(INDEX($O$2:$Q$1001,MATCH(ROWS($H$2:H733),$H$2:$H$1001,0),MATCH(COLUMNS($O$1006:P1006),$O$1006:$Q$1006,0)), HYPERLINK("#",""), HYPERLINK(CONCATENATE("#metadata!", ADDRESS(INDEX($J$2:$J$1001,MATCH(ROWS($H$2:H733),$H$2:$H$1001,0),0), INDEX($O$1004:$Q$1004,1,MATCH(COLUMNS($O$1006:P1006),$O$1006:$Q$1006,0)))),"Fix")))</f>
        <v xml:space="preserve"> </v>
      </c>
      <c r="D733" s="3" t="str">
        <f ca="1">IF(OR(INDEX($I$2:$I$1001,MATCH(ROWS($H$2:H733),$H$2:$H$1001,0),1)&gt;=100000,INDEX($O$1005:$Q$1005,1,MATCH(COLUMNS($O$1006:Q1006),$O$1006:$Q$1006,0))&gt;=100000), " ",IF(INDEX($O$2:$Q$1001,MATCH(ROWS($H$2:H733),$H$2:$H$1001,0),MATCH(COLUMNS($O$1006:Q1006),$O$1006:$Q$1006,0)), HYPERLINK("#",""), HYPERLINK(CONCATENATE("#metadata!", ADDRESS(INDEX($J$2:$J$1001,MATCH(ROWS($H$2:H733),$H$2:$H$1001,0),0), INDEX($O$1004:$Q$1004,1,MATCH(COLUMNS($O$1006:Q1006),$O$1006:$Q$1006,0)))),"Fix")))</f>
        <v xml:space="preserve"> </v>
      </c>
      <c r="H733">
        <v>732</v>
      </c>
      <c r="I733">
        <v>100733</v>
      </c>
      <c r="J733">
        <v>733</v>
      </c>
      <c r="K733" t="b">
        <f t="shared" si="11"/>
        <v>1</v>
      </c>
      <c r="L733" t="b">
        <f>COUNTBLANK(metadata!B733:D733)=COLUMNS(metadata!B733:D733)</f>
        <v>1</v>
      </c>
      <c r="M733" t="str">
        <v/>
      </c>
      <c r="O733" t="b">
        <f ca="1"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P733" t="b">
        <f>AND(IF(metadata!C733="",FALSE,TRUE),EXACT(metadata!C733,"mouse gut metagenome"))</f>
        <v>0</v>
      </c>
      <c r="Q733" t="b">
        <f>AND(IF(metadata!D733="",FALSE,TRUE),EXACT(metadata!D733,"410661"))</f>
        <v>0</v>
      </c>
    </row>
    <row r="734" spans="1:17" x14ac:dyDescent="0.2">
      <c r="A734" s="4" t="str">
        <f ca="1">IF(B734=" "," ",HYPERLINK(CONCATENATE("#metadata!",ADDRESS(INDEX($J$2:$J$1001,MATCH(ROWS($H$2:H734),$H$2:$H$1001,0),0),1)),INDEX($M$2:$M$1001,MATCH(ROWS($H$2:H734),$H$2:$H$1001,0),0)))</f>
        <v xml:space="preserve"> </v>
      </c>
      <c r="B734" s="3" t="str">
        <f ca="1">IF(OR(INDEX($I$2:$I$1001,MATCH(ROWS($H$2:H734),$H$2:$H$1001,0),1)&gt;=100000,INDEX($O$1005:$Q$1005,1,MATCH(COLUMNS($O$1006:O1006),$O$1006:$Q$1006,0))&gt;=100000), " ",IF(INDEX($O$2:$Q$1001,MATCH(ROWS($H$2:H734),$H$2:$H$1001,0),MATCH(COLUMNS($O$1006:O1006),$O$1006:$Q$1006,0)), HYPERLINK("#",""), HYPERLINK(CONCATENATE("#metadata!", ADDRESS(INDEX($J$2:$J$1001,MATCH(ROWS($H$2:H734),$H$2:$H$1001,0),0), INDEX($O$1004:$Q$1004,1,MATCH(COLUMNS($O$1006:O1006),$O$1006:$Q$1006,0)))),"Fix")))</f>
        <v xml:space="preserve"> </v>
      </c>
      <c r="C734" s="3" t="str">
        <f ca="1">IF(OR(INDEX($I$2:$I$1001,MATCH(ROWS($H$2:H734),$H$2:$H$1001,0),1)&gt;=100000,INDEX($O$1005:$Q$1005,1,MATCH(COLUMNS($O$1006:P1006),$O$1006:$Q$1006,0))&gt;=100000), " ",IF(INDEX($O$2:$Q$1001,MATCH(ROWS($H$2:H734),$H$2:$H$1001,0),MATCH(COLUMNS($O$1006:P1006),$O$1006:$Q$1006,0)), HYPERLINK("#",""), HYPERLINK(CONCATENATE("#metadata!", ADDRESS(INDEX($J$2:$J$1001,MATCH(ROWS($H$2:H734),$H$2:$H$1001,0),0), INDEX($O$1004:$Q$1004,1,MATCH(COLUMNS($O$1006:P1006),$O$1006:$Q$1006,0)))),"Fix")))</f>
        <v xml:space="preserve"> </v>
      </c>
      <c r="D734" s="3" t="str">
        <f ca="1">IF(OR(INDEX($I$2:$I$1001,MATCH(ROWS($H$2:H734),$H$2:$H$1001,0),1)&gt;=100000,INDEX($O$1005:$Q$1005,1,MATCH(COLUMNS($O$1006:Q1006),$O$1006:$Q$1006,0))&gt;=100000), " ",IF(INDEX($O$2:$Q$1001,MATCH(ROWS($H$2:H734),$H$2:$H$1001,0),MATCH(COLUMNS($O$1006:Q1006),$O$1006:$Q$1006,0)), HYPERLINK("#",""), HYPERLINK(CONCATENATE("#metadata!", ADDRESS(INDEX($J$2:$J$1001,MATCH(ROWS($H$2:H734),$H$2:$H$1001,0),0), INDEX($O$1004:$Q$1004,1,MATCH(COLUMNS($O$1006:Q1006),$O$1006:$Q$1006,0)))),"Fix")))</f>
        <v xml:space="preserve"> </v>
      </c>
      <c r="H734">
        <v>733</v>
      </c>
      <c r="I734">
        <v>100734</v>
      </c>
      <c r="J734">
        <v>734</v>
      </c>
      <c r="K734" t="b">
        <f t="shared" si="11"/>
        <v>1</v>
      </c>
      <c r="L734" t="b">
        <f>COUNTBLANK(metadata!B734:D734)=COLUMNS(metadata!B734:D734)</f>
        <v>1</v>
      </c>
      <c r="M734" t="str">
        <v/>
      </c>
      <c r="O734" t="b">
        <f ca="1"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P734" t="b">
        <f>AND(IF(metadata!C734="",FALSE,TRUE),EXACT(metadata!C734,"mouse gut metagenome"))</f>
        <v>0</v>
      </c>
      <c r="Q734" t="b">
        <f>AND(IF(metadata!D734="",FALSE,TRUE),EXACT(metadata!D734,"410661"))</f>
        <v>0</v>
      </c>
    </row>
    <row r="735" spans="1:17" x14ac:dyDescent="0.2">
      <c r="A735" s="4" t="str">
        <f ca="1">IF(B735=" "," ",HYPERLINK(CONCATENATE("#metadata!",ADDRESS(INDEX($J$2:$J$1001,MATCH(ROWS($H$2:H735),$H$2:$H$1001,0),0),1)),INDEX($M$2:$M$1001,MATCH(ROWS($H$2:H735),$H$2:$H$1001,0),0)))</f>
        <v xml:space="preserve"> </v>
      </c>
      <c r="B735" s="3" t="str">
        <f ca="1">IF(OR(INDEX($I$2:$I$1001,MATCH(ROWS($H$2:H735),$H$2:$H$1001,0),1)&gt;=100000,INDEX($O$1005:$Q$1005,1,MATCH(COLUMNS($O$1006:O1006),$O$1006:$Q$1006,0))&gt;=100000), " ",IF(INDEX($O$2:$Q$1001,MATCH(ROWS($H$2:H735),$H$2:$H$1001,0),MATCH(COLUMNS($O$1006:O1006),$O$1006:$Q$1006,0)), HYPERLINK("#",""), HYPERLINK(CONCATENATE("#metadata!", ADDRESS(INDEX($J$2:$J$1001,MATCH(ROWS($H$2:H735),$H$2:$H$1001,0),0), INDEX($O$1004:$Q$1004,1,MATCH(COLUMNS($O$1006:O1006),$O$1006:$Q$1006,0)))),"Fix")))</f>
        <v xml:space="preserve"> </v>
      </c>
      <c r="C735" s="3" t="str">
        <f ca="1">IF(OR(INDEX($I$2:$I$1001,MATCH(ROWS($H$2:H735),$H$2:$H$1001,0),1)&gt;=100000,INDEX($O$1005:$Q$1005,1,MATCH(COLUMNS($O$1006:P1006),$O$1006:$Q$1006,0))&gt;=100000), " ",IF(INDEX($O$2:$Q$1001,MATCH(ROWS($H$2:H735),$H$2:$H$1001,0),MATCH(COLUMNS($O$1006:P1006),$O$1006:$Q$1006,0)), HYPERLINK("#",""), HYPERLINK(CONCATENATE("#metadata!", ADDRESS(INDEX($J$2:$J$1001,MATCH(ROWS($H$2:H735),$H$2:$H$1001,0),0), INDEX($O$1004:$Q$1004,1,MATCH(COLUMNS($O$1006:P1006),$O$1006:$Q$1006,0)))),"Fix")))</f>
        <v xml:space="preserve"> </v>
      </c>
      <c r="D735" s="3" t="str">
        <f ca="1">IF(OR(INDEX($I$2:$I$1001,MATCH(ROWS($H$2:H735),$H$2:$H$1001,0),1)&gt;=100000,INDEX($O$1005:$Q$1005,1,MATCH(COLUMNS($O$1006:Q1006),$O$1006:$Q$1006,0))&gt;=100000), " ",IF(INDEX($O$2:$Q$1001,MATCH(ROWS($H$2:H735),$H$2:$H$1001,0),MATCH(COLUMNS($O$1006:Q1006),$O$1006:$Q$1006,0)), HYPERLINK("#",""), HYPERLINK(CONCATENATE("#metadata!", ADDRESS(INDEX($J$2:$J$1001,MATCH(ROWS($H$2:H735),$H$2:$H$1001,0),0), INDEX($O$1004:$Q$1004,1,MATCH(COLUMNS($O$1006:Q1006),$O$1006:$Q$1006,0)))),"Fix")))</f>
        <v xml:space="preserve"> </v>
      </c>
      <c r="H735">
        <v>734</v>
      </c>
      <c r="I735">
        <v>100735</v>
      </c>
      <c r="J735">
        <v>735</v>
      </c>
      <c r="K735" t="b">
        <f t="shared" si="11"/>
        <v>1</v>
      </c>
      <c r="L735" t="b">
        <f>COUNTBLANK(metadata!B735:D735)=COLUMNS(metadata!B735:D735)</f>
        <v>1</v>
      </c>
      <c r="M735" t="str">
        <v/>
      </c>
      <c r="O735" t="b">
        <f ca="1"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P735" t="b">
        <f>AND(IF(metadata!C735="",FALSE,TRUE),EXACT(metadata!C735,"mouse gut metagenome"))</f>
        <v>0</v>
      </c>
      <c r="Q735" t="b">
        <f>AND(IF(metadata!D735="",FALSE,TRUE),EXACT(metadata!D735,"410661"))</f>
        <v>0</v>
      </c>
    </row>
    <row r="736" spans="1:17" x14ac:dyDescent="0.2">
      <c r="A736" s="4" t="str">
        <f ca="1">IF(B736=" "," ",HYPERLINK(CONCATENATE("#metadata!",ADDRESS(INDEX($J$2:$J$1001,MATCH(ROWS($H$2:H736),$H$2:$H$1001,0),0),1)),INDEX($M$2:$M$1001,MATCH(ROWS($H$2:H736),$H$2:$H$1001,0),0)))</f>
        <v xml:space="preserve"> </v>
      </c>
      <c r="B736" s="3" t="str">
        <f ca="1">IF(OR(INDEX($I$2:$I$1001,MATCH(ROWS($H$2:H736),$H$2:$H$1001,0),1)&gt;=100000,INDEX($O$1005:$Q$1005,1,MATCH(COLUMNS($O$1006:O1006),$O$1006:$Q$1006,0))&gt;=100000), " ",IF(INDEX($O$2:$Q$1001,MATCH(ROWS($H$2:H736),$H$2:$H$1001,0),MATCH(COLUMNS($O$1006:O1006),$O$1006:$Q$1006,0)), HYPERLINK("#",""), HYPERLINK(CONCATENATE("#metadata!", ADDRESS(INDEX($J$2:$J$1001,MATCH(ROWS($H$2:H736),$H$2:$H$1001,0),0), INDEX($O$1004:$Q$1004,1,MATCH(COLUMNS($O$1006:O1006),$O$1006:$Q$1006,0)))),"Fix")))</f>
        <v xml:space="preserve"> </v>
      </c>
      <c r="C736" s="3" t="str">
        <f ca="1">IF(OR(INDEX($I$2:$I$1001,MATCH(ROWS($H$2:H736),$H$2:$H$1001,0),1)&gt;=100000,INDEX($O$1005:$Q$1005,1,MATCH(COLUMNS($O$1006:P1006),$O$1006:$Q$1006,0))&gt;=100000), " ",IF(INDEX($O$2:$Q$1001,MATCH(ROWS($H$2:H736),$H$2:$H$1001,0),MATCH(COLUMNS($O$1006:P1006),$O$1006:$Q$1006,0)), HYPERLINK("#",""), HYPERLINK(CONCATENATE("#metadata!", ADDRESS(INDEX($J$2:$J$1001,MATCH(ROWS($H$2:H736),$H$2:$H$1001,0),0), INDEX($O$1004:$Q$1004,1,MATCH(COLUMNS($O$1006:P1006),$O$1006:$Q$1006,0)))),"Fix")))</f>
        <v xml:space="preserve"> </v>
      </c>
      <c r="D736" s="3" t="str">
        <f ca="1">IF(OR(INDEX($I$2:$I$1001,MATCH(ROWS($H$2:H736),$H$2:$H$1001,0),1)&gt;=100000,INDEX($O$1005:$Q$1005,1,MATCH(COLUMNS($O$1006:Q1006),$O$1006:$Q$1006,0))&gt;=100000), " ",IF(INDEX($O$2:$Q$1001,MATCH(ROWS($H$2:H736),$H$2:$H$1001,0),MATCH(COLUMNS($O$1006:Q1006),$O$1006:$Q$1006,0)), HYPERLINK("#",""), HYPERLINK(CONCATENATE("#metadata!", ADDRESS(INDEX($J$2:$J$1001,MATCH(ROWS($H$2:H736),$H$2:$H$1001,0),0), INDEX($O$1004:$Q$1004,1,MATCH(COLUMNS($O$1006:Q1006),$O$1006:$Q$1006,0)))),"Fix")))</f>
        <v xml:space="preserve"> </v>
      </c>
      <c r="H736">
        <v>735</v>
      </c>
      <c r="I736">
        <v>100736</v>
      </c>
      <c r="J736">
        <v>736</v>
      </c>
      <c r="K736" t="b">
        <f t="shared" si="11"/>
        <v>1</v>
      </c>
      <c r="L736" t="b">
        <f>COUNTBLANK(metadata!B736:D736)=COLUMNS(metadata!B736:D736)</f>
        <v>1</v>
      </c>
      <c r="M736" t="str">
        <v/>
      </c>
      <c r="O736" t="b">
        <f ca="1"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P736" t="b">
        <f>AND(IF(metadata!C736="",FALSE,TRUE),EXACT(metadata!C736,"mouse gut metagenome"))</f>
        <v>0</v>
      </c>
      <c r="Q736" t="b">
        <f>AND(IF(metadata!D736="",FALSE,TRUE),EXACT(metadata!D736,"410661"))</f>
        <v>0</v>
      </c>
    </row>
    <row r="737" spans="1:17" x14ac:dyDescent="0.2">
      <c r="A737" s="4" t="str">
        <f ca="1">IF(B737=" "," ",HYPERLINK(CONCATENATE("#metadata!",ADDRESS(INDEX($J$2:$J$1001,MATCH(ROWS($H$2:H737),$H$2:$H$1001,0),0),1)),INDEX($M$2:$M$1001,MATCH(ROWS($H$2:H737),$H$2:$H$1001,0),0)))</f>
        <v xml:space="preserve"> </v>
      </c>
      <c r="B737" s="3" t="str">
        <f ca="1">IF(OR(INDEX($I$2:$I$1001,MATCH(ROWS($H$2:H737),$H$2:$H$1001,0),1)&gt;=100000,INDEX($O$1005:$Q$1005,1,MATCH(COLUMNS($O$1006:O1006),$O$1006:$Q$1006,0))&gt;=100000), " ",IF(INDEX($O$2:$Q$1001,MATCH(ROWS($H$2:H737),$H$2:$H$1001,0),MATCH(COLUMNS($O$1006:O1006),$O$1006:$Q$1006,0)), HYPERLINK("#",""), HYPERLINK(CONCATENATE("#metadata!", ADDRESS(INDEX($J$2:$J$1001,MATCH(ROWS($H$2:H737),$H$2:$H$1001,0),0), INDEX($O$1004:$Q$1004,1,MATCH(COLUMNS($O$1006:O1006),$O$1006:$Q$1006,0)))),"Fix")))</f>
        <v xml:space="preserve"> </v>
      </c>
      <c r="C737" s="3" t="str">
        <f ca="1">IF(OR(INDEX($I$2:$I$1001,MATCH(ROWS($H$2:H737),$H$2:$H$1001,0),1)&gt;=100000,INDEX($O$1005:$Q$1005,1,MATCH(COLUMNS($O$1006:P1006),$O$1006:$Q$1006,0))&gt;=100000), " ",IF(INDEX($O$2:$Q$1001,MATCH(ROWS($H$2:H737),$H$2:$H$1001,0),MATCH(COLUMNS($O$1006:P1006),$O$1006:$Q$1006,0)), HYPERLINK("#",""), HYPERLINK(CONCATENATE("#metadata!", ADDRESS(INDEX($J$2:$J$1001,MATCH(ROWS($H$2:H737),$H$2:$H$1001,0),0), INDEX($O$1004:$Q$1004,1,MATCH(COLUMNS($O$1006:P1006),$O$1006:$Q$1006,0)))),"Fix")))</f>
        <v xml:space="preserve"> </v>
      </c>
      <c r="D737" s="3" t="str">
        <f ca="1">IF(OR(INDEX($I$2:$I$1001,MATCH(ROWS($H$2:H737),$H$2:$H$1001,0),1)&gt;=100000,INDEX($O$1005:$Q$1005,1,MATCH(COLUMNS($O$1006:Q1006),$O$1006:$Q$1006,0))&gt;=100000), " ",IF(INDEX($O$2:$Q$1001,MATCH(ROWS($H$2:H737),$H$2:$H$1001,0),MATCH(COLUMNS($O$1006:Q1006),$O$1006:$Q$1006,0)), HYPERLINK("#",""), HYPERLINK(CONCATENATE("#metadata!", ADDRESS(INDEX($J$2:$J$1001,MATCH(ROWS($H$2:H737),$H$2:$H$1001,0),0), INDEX($O$1004:$Q$1004,1,MATCH(COLUMNS($O$1006:Q1006),$O$1006:$Q$1006,0)))),"Fix")))</f>
        <v xml:space="preserve"> </v>
      </c>
      <c r="H737">
        <v>736</v>
      </c>
      <c r="I737">
        <v>100737</v>
      </c>
      <c r="J737">
        <v>737</v>
      </c>
      <c r="K737" t="b">
        <f t="shared" si="11"/>
        <v>1</v>
      </c>
      <c r="L737" t="b">
        <f>COUNTBLANK(metadata!B737:D737)=COLUMNS(metadata!B737:D737)</f>
        <v>1</v>
      </c>
      <c r="M737" t="str">
        <v/>
      </c>
      <c r="O737" t="b">
        <f ca="1"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P737" t="b">
        <f>AND(IF(metadata!C737="",FALSE,TRUE),EXACT(metadata!C737,"mouse gut metagenome"))</f>
        <v>0</v>
      </c>
      <c r="Q737" t="b">
        <f>AND(IF(metadata!D737="",FALSE,TRUE),EXACT(metadata!D737,"410661"))</f>
        <v>0</v>
      </c>
    </row>
    <row r="738" spans="1:17" x14ac:dyDescent="0.2">
      <c r="A738" s="4" t="str">
        <f ca="1">IF(B738=" "," ",HYPERLINK(CONCATENATE("#metadata!",ADDRESS(INDEX($J$2:$J$1001,MATCH(ROWS($H$2:H738),$H$2:$H$1001,0),0),1)),INDEX($M$2:$M$1001,MATCH(ROWS($H$2:H738),$H$2:$H$1001,0),0)))</f>
        <v xml:space="preserve"> </v>
      </c>
      <c r="B738" s="3" t="str">
        <f ca="1">IF(OR(INDEX($I$2:$I$1001,MATCH(ROWS($H$2:H738),$H$2:$H$1001,0),1)&gt;=100000,INDEX($O$1005:$Q$1005,1,MATCH(COLUMNS($O$1006:O1006),$O$1006:$Q$1006,0))&gt;=100000), " ",IF(INDEX($O$2:$Q$1001,MATCH(ROWS($H$2:H738),$H$2:$H$1001,0),MATCH(COLUMNS($O$1006:O1006),$O$1006:$Q$1006,0)), HYPERLINK("#",""), HYPERLINK(CONCATENATE("#metadata!", ADDRESS(INDEX($J$2:$J$1001,MATCH(ROWS($H$2:H738),$H$2:$H$1001,0),0), INDEX($O$1004:$Q$1004,1,MATCH(COLUMNS($O$1006:O1006),$O$1006:$Q$1006,0)))),"Fix")))</f>
        <v xml:space="preserve"> </v>
      </c>
      <c r="C738" s="3" t="str">
        <f ca="1">IF(OR(INDEX($I$2:$I$1001,MATCH(ROWS($H$2:H738),$H$2:$H$1001,0),1)&gt;=100000,INDEX($O$1005:$Q$1005,1,MATCH(COLUMNS($O$1006:P1006),$O$1006:$Q$1006,0))&gt;=100000), " ",IF(INDEX($O$2:$Q$1001,MATCH(ROWS($H$2:H738),$H$2:$H$1001,0),MATCH(COLUMNS($O$1006:P1006),$O$1006:$Q$1006,0)), HYPERLINK("#",""), HYPERLINK(CONCATENATE("#metadata!", ADDRESS(INDEX($J$2:$J$1001,MATCH(ROWS($H$2:H738),$H$2:$H$1001,0),0), INDEX($O$1004:$Q$1004,1,MATCH(COLUMNS($O$1006:P1006),$O$1006:$Q$1006,0)))),"Fix")))</f>
        <v xml:space="preserve"> </v>
      </c>
      <c r="D738" s="3" t="str">
        <f ca="1">IF(OR(INDEX($I$2:$I$1001,MATCH(ROWS($H$2:H738),$H$2:$H$1001,0),1)&gt;=100000,INDEX($O$1005:$Q$1005,1,MATCH(COLUMNS($O$1006:Q1006),$O$1006:$Q$1006,0))&gt;=100000), " ",IF(INDEX($O$2:$Q$1001,MATCH(ROWS($H$2:H738),$H$2:$H$1001,0),MATCH(COLUMNS($O$1006:Q1006),$O$1006:$Q$1006,0)), HYPERLINK("#",""), HYPERLINK(CONCATENATE("#metadata!", ADDRESS(INDEX($J$2:$J$1001,MATCH(ROWS($H$2:H738),$H$2:$H$1001,0),0), INDEX($O$1004:$Q$1004,1,MATCH(COLUMNS($O$1006:Q1006),$O$1006:$Q$1006,0)))),"Fix")))</f>
        <v xml:space="preserve"> </v>
      </c>
      <c r="H738">
        <v>737</v>
      </c>
      <c r="I738">
        <v>100738</v>
      </c>
      <c r="J738">
        <v>738</v>
      </c>
      <c r="K738" t="b">
        <f t="shared" si="11"/>
        <v>1</v>
      </c>
      <c r="L738" t="b">
        <f>COUNTBLANK(metadata!B738:D738)=COLUMNS(metadata!B738:D738)</f>
        <v>1</v>
      </c>
      <c r="M738" t="str">
        <v/>
      </c>
      <c r="O738" t="b">
        <f ca="1"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P738" t="b">
        <f>AND(IF(metadata!C738="",FALSE,TRUE),EXACT(metadata!C738,"mouse gut metagenome"))</f>
        <v>0</v>
      </c>
      <c r="Q738" t="b">
        <f>AND(IF(metadata!D738="",FALSE,TRUE),EXACT(metadata!D738,"410661"))</f>
        <v>0</v>
      </c>
    </row>
    <row r="739" spans="1:17" x14ac:dyDescent="0.2">
      <c r="A739" s="4" t="str">
        <f ca="1">IF(B739=" "," ",HYPERLINK(CONCATENATE("#metadata!",ADDRESS(INDEX($J$2:$J$1001,MATCH(ROWS($H$2:H739),$H$2:$H$1001,0),0),1)),INDEX($M$2:$M$1001,MATCH(ROWS($H$2:H739),$H$2:$H$1001,0),0)))</f>
        <v xml:space="preserve"> </v>
      </c>
      <c r="B739" s="3" t="str">
        <f ca="1">IF(OR(INDEX($I$2:$I$1001,MATCH(ROWS($H$2:H739),$H$2:$H$1001,0),1)&gt;=100000,INDEX($O$1005:$Q$1005,1,MATCH(COLUMNS($O$1006:O1006),$O$1006:$Q$1006,0))&gt;=100000), " ",IF(INDEX($O$2:$Q$1001,MATCH(ROWS($H$2:H739),$H$2:$H$1001,0),MATCH(COLUMNS($O$1006:O1006),$O$1006:$Q$1006,0)), HYPERLINK("#",""), HYPERLINK(CONCATENATE("#metadata!", ADDRESS(INDEX($J$2:$J$1001,MATCH(ROWS($H$2:H739),$H$2:$H$1001,0),0), INDEX($O$1004:$Q$1004,1,MATCH(COLUMNS($O$1006:O1006),$O$1006:$Q$1006,0)))),"Fix")))</f>
        <v xml:space="preserve"> </v>
      </c>
      <c r="C739" s="3" t="str">
        <f ca="1">IF(OR(INDEX($I$2:$I$1001,MATCH(ROWS($H$2:H739),$H$2:$H$1001,0),1)&gt;=100000,INDEX($O$1005:$Q$1005,1,MATCH(COLUMNS($O$1006:P1006),$O$1006:$Q$1006,0))&gt;=100000), " ",IF(INDEX($O$2:$Q$1001,MATCH(ROWS($H$2:H739),$H$2:$H$1001,0),MATCH(COLUMNS($O$1006:P1006),$O$1006:$Q$1006,0)), HYPERLINK("#",""), HYPERLINK(CONCATENATE("#metadata!", ADDRESS(INDEX($J$2:$J$1001,MATCH(ROWS($H$2:H739),$H$2:$H$1001,0),0), INDEX($O$1004:$Q$1004,1,MATCH(COLUMNS($O$1006:P1006),$O$1006:$Q$1006,0)))),"Fix")))</f>
        <v xml:space="preserve"> </v>
      </c>
      <c r="D739" s="3" t="str">
        <f ca="1">IF(OR(INDEX($I$2:$I$1001,MATCH(ROWS($H$2:H739),$H$2:$H$1001,0),1)&gt;=100000,INDEX($O$1005:$Q$1005,1,MATCH(COLUMNS($O$1006:Q1006),$O$1006:$Q$1006,0))&gt;=100000), " ",IF(INDEX($O$2:$Q$1001,MATCH(ROWS($H$2:H739),$H$2:$H$1001,0),MATCH(COLUMNS($O$1006:Q1006),$O$1006:$Q$1006,0)), HYPERLINK("#",""), HYPERLINK(CONCATENATE("#metadata!", ADDRESS(INDEX($J$2:$J$1001,MATCH(ROWS($H$2:H739),$H$2:$H$1001,0),0), INDEX($O$1004:$Q$1004,1,MATCH(COLUMNS($O$1006:Q1006),$O$1006:$Q$1006,0)))),"Fix")))</f>
        <v xml:space="preserve"> </v>
      </c>
      <c r="H739">
        <v>738</v>
      </c>
      <c r="I739">
        <v>100739</v>
      </c>
      <c r="J739">
        <v>739</v>
      </c>
      <c r="K739" t="b">
        <f t="shared" si="11"/>
        <v>1</v>
      </c>
      <c r="L739" t="b">
        <f>COUNTBLANK(metadata!B739:D739)=COLUMNS(metadata!B739:D739)</f>
        <v>1</v>
      </c>
      <c r="M739" t="str">
        <v/>
      </c>
      <c r="O739" t="b">
        <f ca="1"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P739" t="b">
        <f>AND(IF(metadata!C739="",FALSE,TRUE),EXACT(metadata!C739,"mouse gut metagenome"))</f>
        <v>0</v>
      </c>
      <c r="Q739" t="b">
        <f>AND(IF(metadata!D739="",FALSE,TRUE),EXACT(metadata!D739,"410661"))</f>
        <v>0</v>
      </c>
    </row>
    <row r="740" spans="1:17" x14ac:dyDescent="0.2">
      <c r="A740" s="4" t="str">
        <f ca="1">IF(B740=" "," ",HYPERLINK(CONCATENATE("#metadata!",ADDRESS(INDEX($J$2:$J$1001,MATCH(ROWS($H$2:H740),$H$2:$H$1001,0),0),1)),INDEX($M$2:$M$1001,MATCH(ROWS($H$2:H740),$H$2:$H$1001,0),0)))</f>
        <v xml:space="preserve"> </v>
      </c>
      <c r="B740" s="3" t="str">
        <f ca="1">IF(OR(INDEX($I$2:$I$1001,MATCH(ROWS($H$2:H740),$H$2:$H$1001,0),1)&gt;=100000,INDEX($O$1005:$Q$1005,1,MATCH(COLUMNS($O$1006:O1006),$O$1006:$Q$1006,0))&gt;=100000), " ",IF(INDEX($O$2:$Q$1001,MATCH(ROWS($H$2:H740),$H$2:$H$1001,0),MATCH(COLUMNS($O$1006:O1006),$O$1006:$Q$1006,0)), HYPERLINK("#",""), HYPERLINK(CONCATENATE("#metadata!", ADDRESS(INDEX($J$2:$J$1001,MATCH(ROWS($H$2:H740),$H$2:$H$1001,0),0), INDEX($O$1004:$Q$1004,1,MATCH(COLUMNS($O$1006:O1006),$O$1006:$Q$1006,0)))),"Fix")))</f>
        <v xml:space="preserve"> </v>
      </c>
      <c r="C740" s="3" t="str">
        <f ca="1">IF(OR(INDEX($I$2:$I$1001,MATCH(ROWS($H$2:H740),$H$2:$H$1001,0),1)&gt;=100000,INDEX($O$1005:$Q$1005,1,MATCH(COLUMNS($O$1006:P1006),$O$1006:$Q$1006,0))&gt;=100000), " ",IF(INDEX($O$2:$Q$1001,MATCH(ROWS($H$2:H740),$H$2:$H$1001,0),MATCH(COLUMNS($O$1006:P1006),$O$1006:$Q$1006,0)), HYPERLINK("#",""), HYPERLINK(CONCATENATE("#metadata!", ADDRESS(INDEX($J$2:$J$1001,MATCH(ROWS($H$2:H740),$H$2:$H$1001,0),0), INDEX($O$1004:$Q$1004,1,MATCH(COLUMNS($O$1006:P1006),$O$1006:$Q$1006,0)))),"Fix")))</f>
        <v xml:space="preserve"> </v>
      </c>
      <c r="D740" s="3" t="str">
        <f ca="1">IF(OR(INDEX($I$2:$I$1001,MATCH(ROWS($H$2:H740),$H$2:$H$1001,0),1)&gt;=100000,INDEX($O$1005:$Q$1005,1,MATCH(COLUMNS($O$1006:Q1006),$O$1006:$Q$1006,0))&gt;=100000), " ",IF(INDEX($O$2:$Q$1001,MATCH(ROWS($H$2:H740),$H$2:$H$1001,0),MATCH(COLUMNS($O$1006:Q1006),$O$1006:$Q$1006,0)), HYPERLINK("#",""), HYPERLINK(CONCATENATE("#metadata!", ADDRESS(INDEX($J$2:$J$1001,MATCH(ROWS($H$2:H740),$H$2:$H$1001,0),0), INDEX($O$1004:$Q$1004,1,MATCH(COLUMNS($O$1006:Q1006),$O$1006:$Q$1006,0)))),"Fix")))</f>
        <v xml:space="preserve"> </v>
      </c>
      <c r="H740">
        <v>739</v>
      </c>
      <c r="I740">
        <v>100740</v>
      </c>
      <c r="J740">
        <v>740</v>
      </c>
      <c r="K740" t="b">
        <f t="shared" si="11"/>
        <v>1</v>
      </c>
      <c r="L740" t="b">
        <f>COUNTBLANK(metadata!B740:D740)=COLUMNS(metadata!B740:D740)</f>
        <v>1</v>
      </c>
      <c r="M740" t="str">
        <v/>
      </c>
      <c r="O740" t="b">
        <f ca="1"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P740" t="b">
        <f>AND(IF(metadata!C740="",FALSE,TRUE),EXACT(metadata!C740,"mouse gut metagenome"))</f>
        <v>0</v>
      </c>
      <c r="Q740" t="b">
        <f>AND(IF(metadata!D740="",FALSE,TRUE),EXACT(metadata!D740,"410661"))</f>
        <v>0</v>
      </c>
    </row>
    <row r="741" spans="1:17" x14ac:dyDescent="0.2">
      <c r="A741" s="4" t="str">
        <f ca="1">IF(B741=" "," ",HYPERLINK(CONCATENATE("#metadata!",ADDRESS(INDEX($J$2:$J$1001,MATCH(ROWS($H$2:H741),$H$2:$H$1001,0),0),1)),INDEX($M$2:$M$1001,MATCH(ROWS($H$2:H741),$H$2:$H$1001,0),0)))</f>
        <v xml:space="preserve"> </v>
      </c>
      <c r="B741" s="3" t="str">
        <f ca="1">IF(OR(INDEX($I$2:$I$1001,MATCH(ROWS($H$2:H741),$H$2:$H$1001,0),1)&gt;=100000,INDEX($O$1005:$Q$1005,1,MATCH(COLUMNS($O$1006:O1006),$O$1006:$Q$1006,0))&gt;=100000), " ",IF(INDEX($O$2:$Q$1001,MATCH(ROWS($H$2:H741),$H$2:$H$1001,0),MATCH(COLUMNS($O$1006:O1006),$O$1006:$Q$1006,0)), HYPERLINK("#",""), HYPERLINK(CONCATENATE("#metadata!", ADDRESS(INDEX($J$2:$J$1001,MATCH(ROWS($H$2:H741),$H$2:$H$1001,0),0), INDEX($O$1004:$Q$1004,1,MATCH(COLUMNS($O$1006:O1006),$O$1006:$Q$1006,0)))),"Fix")))</f>
        <v xml:space="preserve"> </v>
      </c>
      <c r="C741" s="3" t="str">
        <f ca="1">IF(OR(INDEX($I$2:$I$1001,MATCH(ROWS($H$2:H741),$H$2:$H$1001,0),1)&gt;=100000,INDEX($O$1005:$Q$1005,1,MATCH(COLUMNS($O$1006:P1006),$O$1006:$Q$1006,0))&gt;=100000), " ",IF(INDEX($O$2:$Q$1001,MATCH(ROWS($H$2:H741),$H$2:$H$1001,0),MATCH(COLUMNS($O$1006:P1006),$O$1006:$Q$1006,0)), HYPERLINK("#",""), HYPERLINK(CONCATENATE("#metadata!", ADDRESS(INDEX($J$2:$J$1001,MATCH(ROWS($H$2:H741),$H$2:$H$1001,0),0), INDEX($O$1004:$Q$1004,1,MATCH(COLUMNS($O$1006:P1006),$O$1006:$Q$1006,0)))),"Fix")))</f>
        <v xml:space="preserve"> </v>
      </c>
      <c r="D741" s="3" t="str">
        <f ca="1">IF(OR(INDEX($I$2:$I$1001,MATCH(ROWS($H$2:H741),$H$2:$H$1001,0),1)&gt;=100000,INDEX($O$1005:$Q$1005,1,MATCH(COLUMNS($O$1006:Q1006),$O$1006:$Q$1006,0))&gt;=100000), " ",IF(INDEX($O$2:$Q$1001,MATCH(ROWS($H$2:H741),$H$2:$H$1001,0),MATCH(COLUMNS($O$1006:Q1006),$O$1006:$Q$1006,0)), HYPERLINK("#",""), HYPERLINK(CONCATENATE("#metadata!", ADDRESS(INDEX($J$2:$J$1001,MATCH(ROWS($H$2:H741),$H$2:$H$1001,0),0), INDEX($O$1004:$Q$1004,1,MATCH(COLUMNS($O$1006:Q1006),$O$1006:$Q$1006,0)))),"Fix")))</f>
        <v xml:space="preserve"> </v>
      </c>
      <c r="H741">
        <v>740</v>
      </c>
      <c r="I741">
        <v>100741</v>
      </c>
      <c r="J741">
        <v>741</v>
      </c>
      <c r="K741" t="b">
        <f t="shared" si="11"/>
        <v>1</v>
      </c>
      <c r="L741" t="b">
        <f>COUNTBLANK(metadata!B741:D741)=COLUMNS(metadata!B741:D741)</f>
        <v>1</v>
      </c>
      <c r="M741" t="str">
        <v/>
      </c>
      <c r="O741" t="b">
        <f ca="1"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P741" t="b">
        <f>AND(IF(metadata!C741="",FALSE,TRUE),EXACT(metadata!C741,"mouse gut metagenome"))</f>
        <v>0</v>
      </c>
      <c r="Q741" t="b">
        <f>AND(IF(metadata!D741="",FALSE,TRUE),EXACT(metadata!D741,"410661"))</f>
        <v>0</v>
      </c>
    </row>
    <row r="742" spans="1:17" x14ac:dyDescent="0.2">
      <c r="A742" s="4" t="str">
        <f ca="1">IF(B742=" "," ",HYPERLINK(CONCATENATE("#metadata!",ADDRESS(INDEX($J$2:$J$1001,MATCH(ROWS($H$2:H742),$H$2:$H$1001,0),0),1)),INDEX($M$2:$M$1001,MATCH(ROWS($H$2:H742),$H$2:$H$1001,0),0)))</f>
        <v xml:space="preserve"> </v>
      </c>
      <c r="B742" s="3" t="str">
        <f ca="1">IF(OR(INDEX($I$2:$I$1001,MATCH(ROWS($H$2:H742),$H$2:$H$1001,0),1)&gt;=100000,INDEX($O$1005:$Q$1005,1,MATCH(COLUMNS($O$1006:O1006),$O$1006:$Q$1006,0))&gt;=100000), " ",IF(INDEX($O$2:$Q$1001,MATCH(ROWS($H$2:H742),$H$2:$H$1001,0),MATCH(COLUMNS($O$1006:O1006),$O$1006:$Q$1006,0)), HYPERLINK("#",""), HYPERLINK(CONCATENATE("#metadata!", ADDRESS(INDEX($J$2:$J$1001,MATCH(ROWS($H$2:H742),$H$2:$H$1001,0),0), INDEX($O$1004:$Q$1004,1,MATCH(COLUMNS($O$1006:O1006),$O$1006:$Q$1006,0)))),"Fix")))</f>
        <v xml:space="preserve"> </v>
      </c>
      <c r="C742" s="3" t="str">
        <f ca="1">IF(OR(INDEX($I$2:$I$1001,MATCH(ROWS($H$2:H742),$H$2:$H$1001,0),1)&gt;=100000,INDEX($O$1005:$Q$1005,1,MATCH(COLUMNS($O$1006:P1006),$O$1006:$Q$1006,0))&gt;=100000), " ",IF(INDEX($O$2:$Q$1001,MATCH(ROWS($H$2:H742),$H$2:$H$1001,0),MATCH(COLUMNS($O$1006:P1006),$O$1006:$Q$1006,0)), HYPERLINK("#",""), HYPERLINK(CONCATENATE("#metadata!", ADDRESS(INDEX($J$2:$J$1001,MATCH(ROWS($H$2:H742),$H$2:$H$1001,0),0), INDEX($O$1004:$Q$1004,1,MATCH(COLUMNS($O$1006:P1006),$O$1006:$Q$1006,0)))),"Fix")))</f>
        <v xml:space="preserve"> </v>
      </c>
      <c r="D742" s="3" t="str">
        <f ca="1">IF(OR(INDEX($I$2:$I$1001,MATCH(ROWS($H$2:H742),$H$2:$H$1001,0),1)&gt;=100000,INDEX($O$1005:$Q$1005,1,MATCH(COLUMNS($O$1006:Q1006),$O$1006:$Q$1006,0))&gt;=100000), " ",IF(INDEX($O$2:$Q$1001,MATCH(ROWS($H$2:H742),$H$2:$H$1001,0),MATCH(COLUMNS($O$1006:Q1006),$O$1006:$Q$1006,0)), HYPERLINK("#",""), HYPERLINK(CONCATENATE("#metadata!", ADDRESS(INDEX($J$2:$J$1001,MATCH(ROWS($H$2:H742),$H$2:$H$1001,0),0), INDEX($O$1004:$Q$1004,1,MATCH(COLUMNS($O$1006:Q1006),$O$1006:$Q$1006,0)))),"Fix")))</f>
        <v xml:space="preserve"> </v>
      </c>
      <c r="H742">
        <v>741</v>
      </c>
      <c r="I742">
        <v>100742</v>
      </c>
      <c r="J742">
        <v>742</v>
      </c>
      <c r="K742" t="b">
        <f t="shared" si="11"/>
        <v>1</v>
      </c>
      <c r="L742" t="b">
        <f>COUNTBLANK(metadata!B742:D742)=COLUMNS(metadata!B742:D742)</f>
        <v>1</v>
      </c>
      <c r="M742" t="str">
        <v/>
      </c>
      <c r="O742" t="b">
        <f ca="1"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P742" t="b">
        <f>AND(IF(metadata!C742="",FALSE,TRUE),EXACT(metadata!C742,"mouse gut metagenome"))</f>
        <v>0</v>
      </c>
      <c r="Q742" t="b">
        <f>AND(IF(metadata!D742="",FALSE,TRUE),EXACT(metadata!D742,"410661"))</f>
        <v>0</v>
      </c>
    </row>
    <row r="743" spans="1:17" x14ac:dyDescent="0.2">
      <c r="A743" s="4" t="str">
        <f ca="1">IF(B743=" "," ",HYPERLINK(CONCATENATE("#metadata!",ADDRESS(INDEX($J$2:$J$1001,MATCH(ROWS($H$2:H743),$H$2:$H$1001,0),0),1)),INDEX($M$2:$M$1001,MATCH(ROWS($H$2:H743),$H$2:$H$1001,0),0)))</f>
        <v xml:space="preserve"> </v>
      </c>
      <c r="B743" s="3" t="str">
        <f ca="1">IF(OR(INDEX($I$2:$I$1001,MATCH(ROWS($H$2:H743),$H$2:$H$1001,0),1)&gt;=100000,INDEX($O$1005:$Q$1005,1,MATCH(COLUMNS($O$1006:O1006),$O$1006:$Q$1006,0))&gt;=100000), " ",IF(INDEX($O$2:$Q$1001,MATCH(ROWS($H$2:H743),$H$2:$H$1001,0),MATCH(COLUMNS($O$1006:O1006),$O$1006:$Q$1006,0)), HYPERLINK("#",""), HYPERLINK(CONCATENATE("#metadata!", ADDRESS(INDEX($J$2:$J$1001,MATCH(ROWS($H$2:H743),$H$2:$H$1001,0),0), INDEX($O$1004:$Q$1004,1,MATCH(COLUMNS($O$1006:O1006),$O$1006:$Q$1006,0)))),"Fix")))</f>
        <v xml:space="preserve"> </v>
      </c>
      <c r="C743" s="3" t="str">
        <f ca="1">IF(OR(INDEX($I$2:$I$1001,MATCH(ROWS($H$2:H743),$H$2:$H$1001,0),1)&gt;=100000,INDEX($O$1005:$Q$1005,1,MATCH(COLUMNS($O$1006:P1006),$O$1006:$Q$1006,0))&gt;=100000), " ",IF(INDEX($O$2:$Q$1001,MATCH(ROWS($H$2:H743),$H$2:$H$1001,0),MATCH(COLUMNS($O$1006:P1006),$O$1006:$Q$1006,0)), HYPERLINK("#",""), HYPERLINK(CONCATENATE("#metadata!", ADDRESS(INDEX($J$2:$J$1001,MATCH(ROWS($H$2:H743),$H$2:$H$1001,0),0), INDEX($O$1004:$Q$1004,1,MATCH(COLUMNS($O$1006:P1006),$O$1006:$Q$1006,0)))),"Fix")))</f>
        <v xml:space="preserve"> </v>
      </c>
      <c r="D743" s="3" t="str">
        <f ca="1">IF(OR(INDEX($I$2:$I$1001,MATCH(ROWS($H$2:H743),$H$2:$H$1001,0),1)&gt;=100000,INDEX($O$1005:$Q$1005,1,MATCH(COLUMNS($O$1006:Q1006),$O$1006:$Q$1006,0))&gt;=100000), " ",IF(INDEX($O$2:$Q$1001,MATCH(ROWS($H$2:H743),$H$2:$H$1001,0),MATCH(COLUMNS($O$1006:Q1006),$O$1006:$Q$1006,0)), HYPERLINK("#",""), HYPERLINK(CONCATENATE("#metadata!", ADDRESS(INDEX($J$2:$J$1001,MATCH(ROWS($H$2:H743),$H$2:$H$1001,0),0), INDEX($O$1004:$Q$1004,1,MATCH(COLUMNS($O$1006:Q1006),$O$1006:$Q$1006,0)))),"Fix")))</f>
        <v xml:space="preserve"> </v>
      </c>
      <c r="H743">
        <v>742</v>
      </c>
      <c r="I743">
        <v>100743</v>
      </c>
      <c r="J743">
        <v>743</v>
      </c>
      <c r="K743" t="b">
        <f t="shared" si="11"/>
        <v>1</v>
      </c>
      <c r="L743" t="b">
        <f>COUNTBLANK(metadata!B743:D743)=COLUMNS(metadata!B743:D743)</f>
        <v>1</v>
      </c>
      <c r="M743" t="str">
        <v/>
      </c>
      <c r="O743" t="b">
        <f ca="1"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P743" t="b">
        <f>AND(IF(metadata!C743="",FALSE,TRUE),EXACT(metadata!C743,"mouse gut metagenome"))</f>
        <v>0</v>
      </c>
      <c r="Q743" t="b">
        <f>AND(IF(metadata!D743="",FALSE,TRUE),EXACT(metadata!D743,"410661"))</f>
        <v>0</v>
      </c>
    </row>
    <row r="744" spans="1:17" x14ac:dyDescent="0.2">
      <c r="A744" s="4" t="str">
        <f ca="1">IF(B744=" "," ",HYPERLINK(CONCATENATE("#metadata!",ADDRESS(INDEX($J$2:$J$1001,MATCH(ROWS($H$2:H744),$H$2:$H$1001,0),0),1)),INDEX($M$2:$M$1001,MATCH(ROWS($H$2:H744),$H$2:$H$1001,0),0)))</f>
        <v xml:space="preserve"> </v>
      </c>
      <c r="B744" s="3" t="str">
        <f ca="1">IF(OR(INDEX($I$2:$I$1001,MATCH(ROWS($H$2:H744),$H$2:$H$1001,0),1)&gt;=100000,INDEX($O$1005:$Q$1005,1,MATCH(COLUMNS($O$1006:O1006),$O$1006:$Q$1006,0))&gt;=100000), " ",IF(INDEX($O$2:$Q$1001,MATCH(ROWS($H$2:H744),$H$2:$H$1001,0),MATCH(COLUMNS($O$1006:O1006),$O$1006:$Q$1006,0)), HYPERLINK("#",""), HYPERLINK(CONCATENATE("#metadata!", ADDRESS(INDEX($J$2:$J$1001,MATCH(ROWS($H$2:H744),$H$2:$H$1001,0),0), INDEX($O$1004:$Q$1004,1,MATCH(COLUMNS($O$1006:O1006),$O$1006:$Q$1006,0)))),"Fix")))</f>
        <v xml:space="preserve"> </v>
      </c>
      <c r="C744" s="3" t="str">
        <f ca="1">IF(OR(INDEX($I$2:$I$1001,MATCH(ROWS($H$2:H744),$H$2:$H$1001,0),1)&gt;=100000,INDEX($O$1005:$Q$1005,1,MATCH(COLUMNS($O$1006:P1006),$O$1006:$Q$1006,0))&gt;=100000), " ",IF(INDEX($O$2:$Q$1001,MATCH(ROWS($H$2:H744),$H$2:$H$1001,0),MATCH(COLUMNS($O$1006:P1006),$O$1006:$Q$1006,0)), HYPERLINK("#",""), HYPERLINK(CONCATENATE("#metadata!", ADDRESS(INDEX($J$2:$J$1001,MATCH(ROWS($H$2:H744),$H$2:$H$1001,0),0), INDEX($O$1004:$Q$1004,1,MATCH(COLUMNS($O$1006:P1006),$O$1006:$Q$1006,0)))),"Fix")))</f>
        <v xml:space="preserve"> </v>
      </c>
      <c r="D744" s="3" t="str">
        <f ca="1">IF(OR(INDEX($I$2:$I$1001,MATCH(ROWS($H$2:H744),$H$2:$H$1001,0),1)&gt;=100000,INDEX($O$1005:$Q$1005,1,MATCH(COLUMNS($O$1006:Q1006),$O$1006:$Q$1006,0))&gt;=100000), " ",IF(INDEX($O$2:$Q$1001,MATCH(ROWS($H$2:H744),$H$2:$H$1001,0),MATCH(COLUMNS($O$1006:Q1006),$O$1006:$Q$1006,0)), HYPERLINK("#",""), HYPERLINK(CONCATENATE("#metadata!", ADDRESS(INDEX($J$2:$J$1001,MATCH(ROWS($H$2:H744),$H$2:$H$1001,0),0), INDEX($O$1004:$Q$1004,1,MATCH(COLUMNS($O$1006:Q1006),$O$1006:$Q$1006,0)))),"Fix")))</f>
        <v xml:space="preserve"> </v>
      </c>
      <c r="H744">
        <v>743</v>
      </c>
      <c r="I744">
        <v>100744</v>
      </c>
      <c r="J744">
        <v>744</v>
      </c>
      <c r="K744" t="b">
        <f t="shared" si="11"/>
        <v>1</v>
      </c>
      <c r="L744" t="b">
        <f>COUNTBLANK(metadata!B744:D744)=COLUMNS(metadata!B744:D744)</f>
        <v>1</v>
      </c>
      <c r="M744" t="str">
        <v/>
      </c>
      <c r="O744" t="b">
        <f ca="1"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P744" t="b">
        <f>AND(IF(metadata!C744="",FALSE,TRUE),EXACT(metadata!C744,"mouse gut metagenome"))</f>
        <v>0</v>
      </c>
      <c r="Q744" t="b">
        <f>AND(IF(metadata!D744="",FALSE,TRUE),EXACT(metadata!D744,"410661"))</f>
        <v>0</v>
      </c>
    </row>
    <row r="745" spans="1:17" x14ac:dyDescent="0.2">
      <c r="A745" s="4" t="str">
        <f ca="1">IF(B745=" "," ",HYPERLINK(CONCATENATE("#metadata!",ADDRESS(INDEX($J$2:$J$1001,MATCH(ROWS($H$2:H745),$H$2:$H$1001,0),0),1)),INDEX($M$2:$M$1001,MATCH(ROWS($H$2:H745),$H$2:$H$1001,0),0)))</f>
        <v xml:space="preserve"> </v>
      </c>
      <c r="B745" s="3" t="str">
        <f ca="1">IF(OR(INDEX($I$2:$I$1001,MATCH(ROWS($H$2:H745),$H$2:$H$1001,0),1)&gt;=100000,INDEX($O$1005:$Q$1005,1,MATCH(COLUMNS($O$1006:O1006),$O$1006:$Q$1006,0))&gt;=100000), " ",IF(INDEX($O$2:$Q$1001,MATCH(ROWS($H$2:H745),$H$2:$H$1001,0),MATCH(COLUMNS($O$1006:O1006),$O$1006:$Q$1006,0)), HYPERLINK("#",""), HYPERLINK(CONCATENATE("#metadata!", ADDRESS(INDEX($J$2:$J$1001,MATCH(ROWS($H$2:H745),$H$2:$H$1001,0),0), INDEX($O$1004:$Q$1004,1,MATCH(COLUMNS($O$1006:O1006),$O$1006:$Q$1006,0)))),"Fix")))</f>
        <v xml:space="preserve"> </v>
      </c>
      <c r="C745" s="3" t="str">
        <f ca="1">IF(OR(INDEX($I$2:$I$1001,MATCH(ROWS($H$2:H745),$H$2:$H$1001,0),1)&gt;=100000,INDEX($O$1005:$Q$1005,1,MATCH(COLUMNS($O$1006:P1006),$O$1006:$Q$1006,0))&gt;=100000), " ",IF(INDEX($O$2:$Q$1001,MATCH(ROWS($H$2:H745),$H$2:$H$1001,0),MATCH(COLUMNS($O$1006:P1006),$O$1006:$Q$1006,0)), HYPERLINK("#",""), HYPERLINK(CONCATENATE("#metadata!", ADDRESS(INDEX($J$2:$J$1001,MATCH(ROWS($H$2:H745),$H$2:$H$1001,0),0), INDEX($O$1004:$Q$1004,1,MATCH(COLUMNS($O$1006:P1006),$O$1006:$Q$1006,0)))),"Fix")))</f>
        <v xml:space="preserve"> </v>
      </c>
      <c r="D745" s="3" t="str">
        <f ca="1">IF(OR(INDEX($I$2:$I$1001,MATCH(ROWS($H$2:H745),$H$2:$H$1001,0),1)&gt;=100000,INDEX($O$1005:$Q$1005,1,MATCH(COLUMNS($O$1006:Q1006),$O$1006:$Q$1006,0))&gt;=100000), " ",IF(INDEX($O$2:$Q$1001,MATCH(ROWS($H$2:H745),$H$2:$H$1001,0),MATCH(COLUMNS($O$1006:Q1006),$O$1006:$Q$1006,0)), HYPERLINK("#",""), HYPERLINK(CONCATENATE("#metadata!", ADDRESS(INDEX($J$2:$J$1001,MATCH(ROWS($H$2:H745),$H$2:$H$1001,0),0), INDEX($O$1004:$Q$1004,1,MATCH(COLUMNS($O$1006:Q1006),$O$1006:$Q$1006,0)))),"Fix")))</f>
        <v xml:space="preserve"> </v>
      </c>
      <c r="H745">
        <v>744</v>
      </c>
      <c r="I745">
        <v>100745</v>
      </c>
      <c r="J745">
        <v>745</v>
      </c>
      <c r="K745" t="b">
        <f t="shared" si="11"/>
        <v>1</v>
      </c>
      <c r="L745" t="b">
        <f>COUNTBLANK(metadata!B745:D745)=COLUMNS(metadata!B745:D745)</f>
        <v>1</v>
      </c>
      <c r="M745" t="str">
        <v/>
      </c>
      <c r="O745" t="b">
        <f ca="1"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P745" t="b">
        <f>AND(IF(metadata!C745="",FALSE,TRUE),EXACT(metadata!C745,"mouse gut metagenome"))</f>
        <v>0</v>
      </c>
      <c r="Q745" t="b">
        <f>AND(IF(metadata!D745="",FALSE,TRUE),EXACT(metadata!D745,"410661"))</f>
        <v>0</v>
      </c>
    </row>
    <row r="746" spans="1:17" x14ac:dyDescent="0.2">
      <c r="A746" s="4" t="str">
        <f ca="1">IF(B746=" "," ",HYPERLINK(CONCATENATE("#metadata!",ADDRESS(INDEX($J$2:$J$1001,MATCH(ROWS($H$2:H746),$H$2:$H$1001,0),0),1)),INDEX($M$2:$M$1001,MATCH(ROWS($H$2:H746),$H$2:$H$1001,0),0)))</f>
        <v xml:space="preserve"> </v>
      </c>
      <c r="B746" s="3" t="str">
        <f ca="1">IF(OR(INDEX($I$2:$I$1001,MATCH(ROWS($H$2:H746),$H$2:$H$1001,0),1)&gt;=100000,INDEX($O$1005:$Q$1005,1,MATCH(COLUMNS($O$1006:O1006),$O$1006:$Q$1006,0))&gt;=100000), " ",IF(INDEX($O$2:$Q$1001,MATCH(ROWS($H$2:H746),$H$2:$H$1001,0),MATCH(COLUMNS($O$1006:O1006),$O$1006:$Q$1006,0)), HYPERLINK("#",""), HYPERLINK(CONCATENATE("#metadata!", ADDRESS(INDEX($J$2:$J$1001,MATCH(ROWS($H$2:H746),$H$2:$H$1001,0),0), INDEX($O$1004:$Q$1004,1,MATCH(COLUMNS($O$1006:O1006),$O$1006:$Q$1006,0)))),"Fix")))</f>
        <v xml:space="preserve"> </v>
      </c>
      <c r="C746" s="3" t="str">
        <f ca="1">IF(OR(INDEX($I$2:$I$1001,MATCH(ROWS($H$2:H746),$H$2:$H$1001,0),1)&gt;=100000,INDEX($O$1005:$Q$1005,1,MATCH(COLUMNS($O$1006:P1006),$O$1006:$Q$1006,0))&gt;=100000), " ",IF(INDEX($O$2:$Q$1001,MATCH(ROWS($H$2:H746),$H$2:$H$1001,0),MATCH(COLUMNS($O$1006:P1006),$O$1006:$Q$1006,0)), HYPERLINK("#",""), HYPERLINK(CONCATENATE("#metadata!", ADDRESS(INDEX($J$2:$J$1001,MATCH(ROWS($H$2:H746),$H$2:$H$1001,0),0), INDEX($O$1004:$Q$1004,1,MATCH(COLUMNS($O$1006:P1006),$O$1006:$Q$1006,0)))),"Fix")))</f>
        <v xml:space="preserve"> </v>
      </c>
      <c r="D746" s="3" t="str">
        <f ca="1">IF(OR(INDEX($I$2:$I$1001,MATCH(ROWS($H$2:H746),$H$2:$H$1001,0),1)&gt;=100000,INDEX($O$1005:$Q$1005,1,MATCH(COLUMNS($O$1006:Q1006),$O$1006:$Q$1006,0))&gt;=100000), " ",IF(INDEX($O$2:$Q$1001,MATCH(ROWS($H$2:H746),$H$2:$H$1001,0),MATCH(COLUMNS($O$1006:Q1006),$O$1006:$Q$1006,0)), HYPERLINK("#",""), HYPERLINK(CONCATENATE("#metadata!", ADDRESS(INDEX($J$2:$J$1001,MATCH(ROWS($H$2:H746),$H$2:$H$1001,0),0), INDEX($O$1004:$Q$1004,1,MATCH(COLUMNS($O$1006:Q1006),$O$1006:$Q$1006,0)))),"Fix")))</f>
        <v xml:space="preserve"> </v>
      </c>
      <c r="H746">
        <v>745</v>
      </c>
      <c r="I746">
        <v>100746</v>
      </c>
      <c r="J746">
        <v>746</v>
      </c>
      <c r="K746" t="b">
        <f t="shared" si="11"/>
        <v>1</v>
      </c>
      <c r="L746" t="b">
        <f>COUNTBLANK(metadata!B746:D746)=COLUMNS(metadata!B746:D746)</f>
        <v>1</v>
      </c>
      <c r="M746" t="str">
        <v/>
      </c>
      <c r="O746" t="b">
        <f ca="1"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P746" t="b">
        <f>AND(IF(metadata!C746="",FALSE,TRUE),EXACT(metadata!C746,"mouse gut metagenome"))</f>
        <v>0</v>
      </c>
      <c r="Q746" t="b">
        <f>AND(IF(metadata!D746="",FALSE,TRUE),EXACT(metadata!D746,"410661"))</f>
        <v>0</v>
      </c>
    </row>
    <row r="747" spans="1:17" x14ac:dyDescent="0.2">
      <c r="A747" s="4" t="str">
        <f ca="1">IF(B747=" "," ",HYPERLINK(CONCATENATE("#metadata!",ADDRESS(INDEX($J$2:$J$1001,MATCH(ROWS($H$2:H747),$H$2:$H$1001,0),0),1)),INDEX($M$2:$M$1001,MATCH(ROWS($H$2:H747),$H$2:$H$1001,0),0)))</f>
        <v xml:space="preserve"> </v>
      </c>
      <c r="B747" s="3" t="str">
        <f ca="1">IF(OR(INDEX($I$2:$I$1001,MATCH(ROWS($H$2:H747),$H$2:$H$1001,0),1)&gt;=100000,INDEX($O$1005:$Q$1005,1,MATCH(COLUMNS($O$1006:O1006),$O$1006:$Q$1006,0))&gt;=100000), " ",IF(INDEX($O$2:$Q$1001,MATCH(ROWS($H$2:H747),$H$2:$H$1001,0),MATCH(COLUMNS($O$1006:O1006),$O$1006:$Q$1006,0)), HYPERLINK("#",""), HYPERLINK(CONCATENATE("#metadata!", ADDRESS(INDEX($J$2:$J$1001,MATCH(ROWS($H$2:H747),$H$2:$H$1001,0),0), INDEX($O$1004:$Q$1004,1,MATCH(COLUMNS($O$1006:O1006),$O$1006:$Q$1006,0)))),"Fix")))</f>
        <v xml:space="preserve"> </v>
      </c>
      <c r="C747" s="3" t="str">
        <f ca="1">IF(OR(INDEX($I$2:$I$1001,MATCH(ROWS($H$2:H747),$H$2:$H$1001,0),1)&gt;=100000,INDEX($O$1005:$Q$1005,1,MATCH(COLUMNS($O$1006:P1006),$O$1006:$Q$1006,0))&gt;=100000), " ",IF(INDEX($O$2:$Q$1001,MATCH(ROWS($H$2:H747),$H$2:$H$1001,0),MATCH(COLUMNS($O$1006:P1006),$O$1006:$Q$1006,0)), HYPERLINK("#",""), HYPERLINK(CONCATENATE("#metadata!", ADDRESS(INDEX($J$2:$J$1001,MATCH(ROWS($H$2:H747),$H$2:$H$1001,0),0), INDEX($O$1004:$Q$1004,1,MATCH(COLUMNS($O$1006:P1006),$O$1006:$Q$1006,0)))),"Fix")))</f>
        <v xml:space="preserve"> </v>
      </c>
      <c r="D747" s="3" t="str">
        <f ca="1">IF(OR(INDEX($I$2:$I$1001,MATCH(ROWS($H$2:H747),$H$2:$H$1001,0),1)&gt;=100000,INDEX($O$1005:$Q$1005,1,MATCH(COLUMNS($O$1006:Q1006),$O$1006:$Q$1006,0))&gt;=100000), " ",IF(INDEX($O$2:$Q$1001,MATCH(ROWS($H$2:H747),$H$2:$H$1001,0),MATCH(COLUMNS($O$1006:Q1006),$O$1006:$Q$1006,0)), HYPERLINK("#",""), HYPERLINK(CONCATENATE("#metadata!", ADDRESS(INDEX($J$2:$J$1001,MATCH(ROWS($H$2:H747),$H$2:$H$1001,0),0), INDEX($O$1004:$Q$1004,1,MATCH(COLUMNS($O$1006:Q1006),$O$1006:$Q$1006,0)))),"Fix")))</f>
        <v xml:space="preserve"> </v>
      </c>
      <c r="H747">
        <v>746</v>
      </c>
      <c r="I747">
        <v>100747</v>
      </c>
      <c r="J747">
        <v>747</v>
      </c>
      <c r="K747" t="b">
        <f t="shared" si="11"/>
        <v>1</v>
      </c>
      <c r="L747" t="b">
        <f>COUNTBLANK(metadata!B747:D747)=COLUMNS(metadata!B747:D747)</f>
        <v>1</v>
      </c>
      <c r="M747" t="str">
        <v/>
      </c>
      <c r="O747" t="b">
        <f ca="1"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P747" t="b">
        <f>AND(IF(metadata!C747="",FALSE,TRUE),EXACT(metadata!C747,"mouse gut metagenome"))</f>
        <v>0</v>
      </c>
      <c r="Q747" t="b">
        <f>AND(IF(metadata!D747="",FALSE,TRUE),EXACT(metadata!D747,"410661"))</f>
        <v>0</v>
      </c>
    </row>
    <row r="748" spans="1:17" x14ac:dyDescent="0.2">
      <c r="A748" s="4" t="str">
        <f ca="1">IF(B748=" "," ",HYPERLINK(CONCATENATE("#metadata!",ADDRESS(INDEX($J$2:$J$1001,MATCH(ROWS($H$2:H748),$H$2:$H$1001,0),0),1)),INDEX($M$2:$M$1001,MATCH(ROWS($H$2:H748),$H$2:$H$1001,0),0)))</f>
        <v xml:space="preserve"> </v>
      </c>
      <c r="B748" s="3" t="str">
        <f ca="1">IF(OR(INDEX($I$2:$I$1001,MATCH(ROWS($H$2:H748),$H$2:$H$1001,0),1)&gt;=100000,INDEX($O$1005:$Q$1005,1,MATCH(COLUMNS($O$1006:O1006),$O$1006:$Q$1006,0))&gt;=100000), " ",IF(INDEX($O$2:$Q$1001,MATCH(ROWS($H$2:H748),$H$2:$H$1001,0),MATCH(COLUMNS($O$1006:O1006),$O$1006:$Q$1006,0)), HYPERLINK("#",""), HYPERLINK(CONCATENATE("#metadata!", ADDRESS(INDEX($J$2:$J$1001,MATCH(ROWS($H$2:H748),$H$2:$H$1001,0),0), INDEX($O$1004:$Q$1004,1,MATCH(COLUMNS($O$1006:O1006),$O$1006:$Q$1006,0)))),"Fix")))</f>
        <v xml:space="preserve"> </v>
      </c>
      <c r="C748" s="3" t="str">
        <f ca="1">IF(OR(INDEX($I$2:$I$1001,MATCH(ROWS($H$2:H748),$H$2:$H$1001,0),1)&gt;=100000,INDEX($O$1005:$Q$1005,1,MATCH(COLUMNS($O$1006:P1006),$O$1006:$Q$1006,0))&gt;=100000), " ",IF(INDEX($O$2:$Q$1001,MATCH(ROWS($H$2:H748),$H$2:$H$1001,0),MATCH(COLUMNS($O$1006:P1006),$O$1006:$Q$1006,0)), HYPERLINK("#",""), HYPERLINK(CONCATENATE("#metadata!", ADDRESS(INDEX($J$2:$J$1001,MATCH(ROWS($H$2:H748),$H$2:$H$1001,0),0), INDEX($O$1004:$Q$1004,1,MATCH(COLUMNS($O$1006:P1006),$O$1006:$Q$1006,0)))),"Fix")))</f>
        <v xml:space="preserve"> </v>
      </c>
      <c r="D748" s="3" t="str">
        <f ca="1">IF(OR(INDEX($I$2:$I$1001,MATCH(ROWS($H$2:H748),$H$2:$H$1001,0),1)&gt;=100000,INDEX($O$1005:$Q$1005,1,MATCH(COLUMNS($O$1006:Q1006),$O$1006:$Q$1006,0))&gt;=100000), " ",IF(INDEX($O$2:$Q$1001,MATCH(ROWS($H$2:H748),$H$2:$H$1001,0),MATCH(COLUMNS($O$1006:Q1006),$O$1006:$Q$1006,0)), HYPERLINK("#",""), HYPERLINK(CONCATENATE("#metadata!", ADDRESS(INDEX($J$2:$J$1001,MATCH(ROWS($H$2:H748),$H$2:$H$1001,0),0), INDEX($O$1004:$Q$1004,1,MATCH(COLUMNS($O$1006:Q1006),$O$1006:$Q$1006,0)))),"Fix")))</f>
        <v xml:space="preserve"> </v>
      </c>
      <c r="H748">
        <v>747</v>
      </c>
      <c r="I748">
        <v>100748</v>
      </c>
      <c r="J748">
        <v>748</v>
      </c>
      <c r="K748" t="b">
        <f t="shared" si="11"/>
        <v>1</v>
      </c>
      <c r="L748" t="b">
        <f>COUNTBLANK(metadata!B748:D748)=COLUMNS(metadata!B748:D748)</f>
        <v>1</v>
      </c>
      <c r="M748" t="str">
        <v/>
      </c>
      <c r="O748" t="b">
        <f ca="1"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P748" t="b">
        <f>AND(IF(metadata!C748="",FALSE,TRUE),EXACT(metadata!C748,"mouse gut metagenome"))</f>
        <v>0</v>
      </c>
      <c r="Q748" t="b">
        <f>AND(IF(metadata!D748="",FALSE,TRUE),EXACT(metadata!D748,"410661"))</f>
        <v>0</v>
      </c>
    </row>
    <row r="749" spans="1:17" x14ac:dyDescent="0.2">
      <c r="A749" s="4" t="str">
        <f ca="1">IF(B749=" "," ",HYPERLINK(CONCATENATE("#metadata!",ADDRESS(INDEX($J$2:$J$1001,MATCH(ROWS($H$2:H749),$H$2:$H$1001,0),0),1)),INDEX($M$2:$M$1001,MATCH(ROWS($H$2:H749),$H$2:$H$1001,0),0)))</f>
        <v xml:space="preserve"> </v>
      </c>
      <c r="B749" s="3" t="str">
        <f ca="1">IF(OR(INDEX($I$2:$I$1001,MATCH(ROWS($H$2:H749),$H$2:$H$1001,0),1)&gt;=100000,INDEX($O$1005:$Q$1005,1,MATCH(COLUMNS($O$1006:O1006),$O$1006:$Q$1006,0))&gt;=100000), " ",IF(INDEX($O$2:$Q$1001,MATCH(ROWS($H$2:H749),$H$2:$H$1001,0),MATCH(COLUMNS($O$1006:O1006),$O$1006:$Q$1006,0)), HYPERLINK("#",""), HYPERLINK(CONCATENATE("#metadata!", ADDRESS(INDEX($J$2:$J$1001,MATCH(ROWS($H$2:H749),$H$2:$H$1001,0),0), INDEX($O$1004:$Q$1004,1,MATCH(COLUMNS($O$1006:O1006),$O$1006:$Q$1006,0)))),"Fix")))</f>
        <v xml:space="preserve"> </v>
      </c>
      <c r="C749" s="3" t="str">
        <f ca="1">IF(OR(INDEX($I$2:$I$1001,MATCH(ROWS($H$2:H749),$H$2:$H$1001,0),1)&gt;=100000,INDEX($O$1005:$Q$1005,1,MATCH(COLUMNS($O$1006:P1006),$O$1006:$Q$1006,0))&gt;=100000), " ",IF(INDEX($O$2:$Q$1001,MATCH(ROWS($H$2:H749),$H$2:$H$1001,0),MATCH(COLUMNS($O$1006:P1006),$O$1006:$Q$1006,0)), HYPERLINK("#",""), HYPERLINK(CONCATENATE("#metadata!", ADDRESS(INDEX($J$2:$J$1001,MATCH(ROWS($H$2:H749),$H$2:$H$1001,0),0), INDEX($O$1004:$Q$1004,1,MATCH(COLUMNS($O$1006:P1006),$O$1006:$Q$1006,0)))),"Fix")))</f>
        <v xml:space="preserve"> </v>
      </c>
      <c r="D749" s="3" t="str">
        <f ca="1">IF(OR(INDEX($I$2:$I$1001,MATCH(ROWS($H$2:H749),$H$2:$H$1001,0),1)&gt;=100000,INDEX($O$1005:$Q$1005,1,MATCH(COLUMNS($O$1006:Q1006),$O$1006:$Q$1006,0))&gt;=100000), " ",IF(INDEX($O$2:$Q$1001,MATCH(ROWS($H$2:H749),$H$2:$H$1001,0),MATCH(COLUMNS($O$1006:Q1006),$O$1006:$Q$1006,0)), HYPERLINK("#",""), HYPERLINK(CONCATENATE("#metadata!", ADDRESS(INDEX($J$2:$J$1001,MATCH(ROWS($H$2:H749),$H$2:$H$1001,0),0), INDEX($O$1004:$Q$1004,1,MATCH(COLUMNS($O$1006:Q1006),$O$1006:$Q$1006,0)))),"Fix")))</f>
        <v xml:space="preserve"> </v>
      </c>
      <c r="H749">
        <v>748</v>
      </c>
      <c r="I749">
        <v>100749</v>
      </c>
      <c r="J749">
        <v>749</v>
      </c>
      <c r="K749" t="b">
        <f t="shared" si="11"/>
        <v>1</v>
      </c>
      <c r="L749" t="b">
        <f>COUNTBLANK(metadata!B749:D749)=COLUMNS(metadata!B749:D749)</f>
        <v>1</v>
      </c>
      <c r="M749" t="str">
        <v/>
      </c>
      <c r="O749" t="b">
        <f ca="1"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P749" t="b">
        <f>AND(IF(metadata!C749="",FALSE,TRUE),EXACT(metadata!C749,"mouse gut metagenome"))</f>
        <v>0</v>
      </c>
      <c r="Q749" t="b">
        <f>AND(IF(metadata!D749="",FALSE,TRUE),EXACT(metadata!D749,"410661"))</f>
        <v>0</v>
      </c>
    </row>
    <row r="750" spans="1:17" x14ac:dyDescent="0.2">
      <c r="A750" s="4" t="str">
        <f ca="1">IF(B750=" "," ",HYPERLINK(CONCATENATE("#metadata!",ADDRESS(INDEX($J$2:$J$1001,MATCH(ROWS($H$2:H750),$H$2:$H$1001,0),0),1)),INDEX($M$2:$M$1001,MATCH(ROWS($H$2:H750),$H$2:$H$1001,0),0)))</f>
        <v xml:space="preserve"> </v>
      </c>
      <c r="B750" s="3" t="str">
        <f ca="1">IF(OR(INDEX($I$2:$I$1001,MATCH(ROWS($H$2:H750),$H$2:$H$1001,0),1)&gt;=100000,INDEX($O$1005:$Q$1005,1,MATCH(COLUMNS($O$1006:O1006),$O$1006:$Q$1006,0))&gt;=100000), " ",IF(INDEX($O$2:$Q$1001,MATCH(ROWS($H$2:H750),$H$2:$H$1001,0),MATCH(COLUMNS($O$1006:O1006),$O$1006:$Q$1006,0)), HYPERLINK("#",""), HYPERLINK(CONCATENATE("#metadata!", ADDRESS(INDEX($J$2:$J$1001,MATCH(ROWS($H$2:H750),$H$2:$H$1001,0),0), INDEX($O$1004:$Q$1004,1,MATCH(COLUMNS($O$1006:O1006),$O$1006:$Q$1006,0)))),"Fix")))</f>
        <v xml:space="preserve"> </v>
      </c>
      <c r="C750" s="3" t="str">
        <f ca="1">IF(OR(INDEX($I$2:$I$1001,MATCH(ROWS($H$2:H750),$H$2:$H$1001,0),1)&gt;=100000,INDEX($O$1005:$Q$1005,1,MATCH(COLUMNS($O$1006:P1006),$O$1006:$Q$1006,0))&gt;=100000), " ",IF(INDEX($O$2:$Q$1001,MATCH(ROWS($H$2:H750),$H$2:$H$1001,0),MATCH(COLUMNS($O$1006:P1006),$O$1006:$Q$1006,0)), HYPERLINK("#",""), HYPERLINK(CONCATENATE("#metadata!", ADDRESS(INDEX($J$2:$J$1001,MATCH(ROWS($H$2:H750),$H$2:$H$1001,0),0), INDEX($O$1004:$Q$1004,1,MATCH(COLUMNS($O$1006:P1006),$O$1006:$Q$1006,0)))),"Fix")))</f>
        <v xml:space="preserve"> </v>
      </c>
      <c r="D750" s="3" t="str">
        <f ca="1">IF(OR(INDEX($I$2:$I$1001,MATCH(ROWS($H$2:H750),$H$2:$H$1001,0),1)&gt;=100000,INDEX($O$1005:$Q$1005,1,MATCH(COLUMNS($O$1006:Q1006),$O$1006:$Q$1006,0))&gt;=100000), " ",IF(INDEX($O$2:$Q$1001,MATCH(ROWS($H$2:H750),$H$2:$H$1001,0),MATCH(COLUMNS($O$1006:Q1006),$O$1006:$Q$1006,0)), HYPERLINK("#",""), HYPERLINK(CONCATENATE("#metadata!", ADDRESS(INDEX($J$2:$J$1001,MATCH(ROWS($H$2:H750),$H$2:$H$1001,0),0), INDEX($O$1004:$Q$1004,1,MATCH(COLUMNS($O$1006:Q1006),$O$1006:$Q$1006,0)))),"Fix")))</f>
        <v xml:space="preserve"> </v>
      </c>
      <c r="H750">
        <v>749</v>
      </c>
      <c r="I750">
        <v>100750</v>
      </c>
      <c r="J750">
        <v>750</v>
      </c>
      <c r="K750" t="b">
        <f t="shared" si="11"/>
        <v>1</v>
      </c>
      <c r="L750" t="b">
        <f>COUNTBLANK(metadata!B750:D750)=COLUMNS(metadata!B750:D750)</f>
        <v>1</v>
      </c>
      <c r="M750" t="str">
        <v/>
      </c>
      <c r="O750" t="b">
        <f ca="1"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P750" t="b">
        <f>AND(IF(metadata!C750="",FALSE,TRUE),EXACT(metadata!C750,"mouse gut metagenome"))</f>
        <v>0</v>
      </c>
      <c r="Q750" t="b">
        <f>AND(IF(metadata!D750="",FALSE,TRUE),EXACT(metadata!D750,"410661"))</f>
        <v>0</v>
      </c>
    </row>
    <row r="751" spans="1:17" x14ac:dyDescent="0.2">
      <c r="A751" s="4" t="str">
        <f ca="1">IF(B751=" "," ",HYPERLINK(CONCATENATE("#metadata!",ADDRESS(INDEX($J$2:$J$1001,MATCH(ROWS($H$2:H751),$H$2:$H$1001,0),0),1)),INDEX($M$2:$M$1001,MATCH(ROWS($H$2:H751),$H$2:$H$1001,0),0)))</f>
        <v xml:space="preserve"> </v>
      </c>
      <c r="B751" s="3" t="str">
        <f ca="1">IF(OR(INDEX($I$2:$I$1001,MATCH(ROWS($H$2:H751),$H$2:$H$1001,0),1)&gt;=100000,INDEX($O$1005:$Q$1005,1,MATCH(COLUMNS($O$1006:O1006),$O$1006:$Q$1006,0))&gt;=100000), " ",IF(INDEX($O$2:$Q$1001,MATCH(ROWS($H$2:H751),$H$2:$H$1001,0),MATCH(COLUMNS($O$1006:O1006),$O$1006:$Q$1006,0)), HYPERLINK("#",""), HYPERLINK(CONCATENATE("#metadata!", ADDRESS(INDEX($J$2:$J$1001,MATCH(ROWS($H$2:H751),$H$2:$H$1001,0),0), INDEX($O$1004:$Q$1004,1,MATCH(COLUMNS($O$1006:O1006),$O$1006:$Q$1006,0)))),"Fix")))</f>
        <v xml:space="preserve"> </v>
      </c>
      <c r="C751" s="3" t="str">
        <f ca="1">IF(OR(INDEX($I$2:$I$1001,MATCH(ROWS($H$2:H751),$H$2:$H$1001,0),1)&gt;=100000,INDEX($O$1005:$Q$1005,1,MATCH(COLUMNS($O$1006:P1006),$O$1006:$Q$1006,0))&gt;=100000), " ",IF(INDEX($O$2:$Q$1001,MATCH(ROWS($H$2:H751),$H$2:$H$1001,0),MATCH(COLUMNS($O$1006:P1006),$O$1006:$Q$1006,0)), HYPERLINK("#",""), HYPERLINK(CONCATENATE("#metadata!", ADDRESS(INDEX($J$2:$J$1001,MATCH(ROWS($H$2:H751),$H$2:$H$1001,0),0), INDEX($O$1004:$Q$1004,1,MATCH(COLUMNS($O$1006:P1006),$O$1006:$Q$1006,0)))),"Fix")))</f>
        <v xml:space="preserve"> </v>
      </c>
      <c r="D751" s="3" t="str">
        <f ca="1">IF(OR(INDEX($I$2:$I$1001,MATCH(ROWS($H$2:H751),$H$2:$H$1001,0),1)&gt;=100000,INDEX($O$1005:$Q$1005,1,MATCH(COLUMNS($O$1006:Q1006),$O$1006:$Q$1006,0))&gt;=100000), " ",IF(INDEX($O$2:$Q$1001,MATCH(ROWS($H$2:H751),$H$2:$H$1001,0),MATCH(COLUMNS($O$1006:Q1006),$O$1006:$Q$1006,0)), HYPERLINK("#",""), HYPERLINK(CONCATENATE("#metadata!", ADDRESS(INDEX($J$2:$J$1001,MATCH(ROWS($H$2:H751),$H$2:$H$1001,0),0), INDEX($O$1004:$Q$1004,1,MATCH(COLUMNS($O$1006:Q1006),$O$1006:$Q$1006,0)))),"Fix")))</f>
        <v xml:space="preserve"> </v>
      </c>
      <c r="H751">
        <v>750</v>
      </c>
      <c r="I751">
        <v>100751</v>
      </c>
      <c r="J751">
        <v>751</v>
      </c>
      <c r="K751" t="b">
        <f t="shared" si="11"/>
        <v>1</v>
      </c>
      <c r="L751" t="b">
        <f>COUNTBLANK(metadata!B751:D751)=COLUMNS(metadata!B751:D751)</f>
        <v>1</v>
      </c>
      <c r="M751" t="str">
        <v/>
      </c>
      <c r="O751" t="b">
        <f ca="1"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P751" t="b">
        <f>AND(IF(metadata!C751="",FALSE,TRUE),EXACT(metadata!C751,"mouse gut metagenome"))</f>
        <v>0</v>
      </c>
      <c r="Q751" t="b">
        <f>AND(IF(metadata!D751="",FALSE,TRUE),EXACT(metadata!D751,"410661"))</f>
        <v>0</v>
      </c>
    </row>
    <row r="752" spans="1:17" x14ac:dyDescent="0.2">
      <c r="A752" s="4" t="str">
        <f ca="1">IF(B752=" "," ",HYPERLINK(CONCATENATE("#metadata!",ADDRESS(INDEX($J$2:$J$1001,MATCH(ROWS($H$2:H752),$H$2:$H$1001,0),0),1)),INDEX($M$2:$M$1001,MATCH(ROWS($H$2:H752),$H$2:$H$1001,0),0)))</f>
        <v xml:space="preserve"> </v>
      </c>
      <c r="B752" s="3" t="str">
        <f ca="1">IF(OR(INDEX($I$2:$I$1001,MATCH(ROWS($H$2:H752),$H$2:$H$1001,0),1)&gt;=100000,INDEX($O$1005:$Q$1005,1,MATCH(COLUMNS($O$1006:O1006),$O$1006:$Q$1006,0))&gt;=100000), " ",IF(INDEX($O$2:$Q$1001,MATCH(ROWS($H$2:H752),$H$2:$H$1001,0),MATCH(COLUMNS($O$1006:O1006),$O$1006:$Q$1006,0)), HYPERLINK("#",""), HYPERLINK(CONCATENATE("#metadata!", ADDRESS(INDEX($J$2:$J$1001,MATCH(ROWS($H$2:H752),$H$2:$H$1001,0),0), INDEX($O$1004:$Q$1004,1,MATCH(COLUMNS($O$1006:O1006),$O$1006:$Q$1006,0)))),"Fix")))</f>
        <v xml:space="preserve"> </v>
      </c>
      <c r="C752" s="3" t="str">
        <f ca="1">IF(OR(INDEX($I$2:$I$1001,MATCH(ROWS($H$2:H752),$H$2:$H$1001,0),1)&gt;=100000,INDEX($O$1005:$Q$1005,1,MATCH(COLUMNS($O$1006:P1006),$O$1006:$Q$1006,0))&gt;=100000), " ",IF(INDEX($O$2:$Q$1001,MATCH(ROWS($H$2:H752),$H$2:$H$1001,0),MATCH(COLUMNS($O$1006:P1006),$O$1006:$Q$1006,0)), HYPERLINK("#",""), HYPERLINK(CONCATENATE("#metadata!", ADDRESS(INDEX($J$2:$J$1001,MATCH(ROWS($H$2:H752),$H$2:$H$1001,0),0), INDEX($O$1004:$Q$1004,1,MATCH(COLUMNS($O$1006:P1006),$O$1006:$Q$1006,0)))),"Fix")))</f>
        <v xml:space="preserve"> </v>
      </c>
      <c r="D752" s="3" t="str">
        <f ca="1">IF(OR(INDEX($I$2:$I$1001,MATCH(ROWS($H$2:H752),$H$2:$H$1001,0),1)&gt;=100000,INDEX($O$1005:$Q$1005,1,MATCH(COLUMNS($O$1006:Q1006),$O$1006:$Q$1006,0))&gt;=100000), " ",IF(INDEX($O$2:$Q$1001,MATCH(ROWS($H$2:H752),$H$2:$H$1001,0),MATCH(COLUMNS($O$1006:Q1006),$O$1006:$Q$1006,0)), HYPERLINK("#",""), HYPERLINK(CONCATENATE("#metadata!", ADDRESS(INDEX($J$2:$J$1001,MATCH(ROWS($H$2:H752),$H$2:$H$1001,0),0), INDEX($O$1004:$Q$1004,1,MATCH(COLUMNS($O$1006:Q1006),$O$1006:$Q$1006,0)))),"Fix")))</f>
        <v xml:space="preserve"> </v>
      </c>
      <c r="H752">
        <v>751</v>
      </c>
      <c r="I752">
        <v>100752</v>
      </c>
      <c r="J752">
        <v>752</v>
      </c>
      <c r="K752" t="b">
        <f t="shared" si="11"/>
        <v>1</v>
      </c>
      <c r="L752" t="b">
        <f>COUNTBLANK(metadata!B752:D752)=COLUMNS(metadata!B752:D752)</f>
        <v>1</v>
      </c>
      <c r="M752" t="str">
        <v/>
      </c>
      <c r="O752" t="b">
        <f ca="1"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P752" t="b">
        <f>AND(IF(metadata!C752="",FALSE,TRUE),EXACT(metadata!C752,"mouse gut metagenome"))</f>
        <v>0</v>
      </c>
      <c r="Q752" t="b">
        <f>AND(IF(metadata!D752="",FALSE,TRUE),EXACT(metadata!D752,"410661"))</f>
        <v>0</v>
      </c>
    </row>
    <row r="753" spans="1:17" x14ac:dyDescent="0.2">
      <c r="A753" s="4" t="str">
        <f ca="1">IF(B753=" "," ",HYPERLINK(CONCATENATE("#metadata!",ADDRESS(INDEX($J$2:$J$1001,MATCH(ROWS($H$2:H753),$H$2:$H$1001,0),0),1)),INDEX($M$2:$M$1001,MATCH(ROWS($H$2:H753),$H$2:$H$1001,0),0)))</f>
        <v xml:space="preserve"> </v>
      </c>
      <c r="B753" s="3" t="str">
        <f ca="1">IF(OR(INDEX($I$2:$I$1001,MATCH(ROWS($H$2:H753),$H$2:$H$1001,0),1)&gt;=100000,INDEX($O$1005:$Q$1005,1,MATCH(COLUMNS($O$1006:O1006),$O$1006:$Q$1006,0))&gt;=100000), " ",IF(INDEX($O$2:$Q$1001,MATCH(ROWS($H$2:H753),$H$2:$H$1001,0),MATCH(COLUMNS($O$1006:O1006),$O$1006:$Q$1006,0)), HYPERLINK("#",""), HYPERLINK(CONCATENATE("#metadata!", ADDRESS(INDEX($J$2:$J$1001,MATCH(ROWS($H$2:H753),$H$2:$H$1001,0),0), INDEX($O$1004:$Q$1004,1,MATCH(COLUMNS($O$1006:O1006),$O$1006:$Q$1006,0)))),"Fix")))</f>
        <v xml:space="preserve"> </v>
      </c>
      <c r="C753" s="3" t="str">
        <f ca="1">IF(OR(INDEX($I$2:$I$1001,MATCH(ROWS($H$2:H753),$H$2:$H$1001,0),1)&gt;=100000,INDEX($O$1005:$Q$1005,1,MATCH(COLUMNS($O$1006:P1006),$O$1006:$Q$1006,0))&gt;=100000), " ",IF(INDEX($O$2:$Q$1001,MATCH(ROWS($H$2:H753),$H$2:$H$1001,0),MATCH(COLUMNS($O$1006:P1006),$O$1006:$Q$1006,0)), HYPERLINK("#",""), HYPERLINK(CONCATENATE("#metadata!", ADDRESS(INDEX($J$2:$J$1001,MATCH(ROWS($H$2:H753),$H$2:$H$1001,0),0), INDEX($O$1004:$Q$1004,1,MATCH(COLUMNS($O$1006:P1006),$O$1006:$Q$1006,0)))),"Fix")))</f>
        <v xml:space="preserve"> </v>
      </c>
      <c r="D753" s="3" t="str">
        <f ca="1">IF(OR(INDEX($I$2:$I$1001,MATCH(ROWS($H$2:H753),$H$2:$H$1001,0),1)&gt;=100000,INDEX($O$1005:$Q$1005,1,MATCH(COLUMNS($O$1006:Q1006),$O$1006:$Q$1006,0))&gt;=100000), " ",IF(INDEX($O$2:$Q$1001,MATCH(ROWS($H$2:H753),$H$2:$H$1001,0),MATCH(COLUMNS($O$1006:Q1006),$O$1006:$Q$1006,0)), HYPERLINK("#",""), HYPERLINK(CONCATENATE("#metadata!", ADDRESS(INDEX($J$2:$J$1001,MATCH(ROWS($H$2:H753),$H$2:$H$1001,0),0), INDEX($O$1004:$Q$1004,1,MATCH(COLUMNS($O$1006:Q1006),$O$1006:$Q$1006,0)))),"Fix")))</f>
        <v xml:space="preserve"> </v>
      </c>
      <c r="H753">
        <v>752</v>
      </c>
      <c r="I753">
        <v>100753</v>
      </c>
      <c r="J753">
        <v>753</v>
      </c>
      <c r="K753" t="b">
        <f t="shared" si="11"/>
        <v>1</v>
      </c>
      <c r="L753" t="b">
        <f>COUNTBLANK(metadata!B753:D753)=COLUMNS(metadata!B753:D753)</f>
        <v>1</v>
      </c>
      <c r="M753" t="str">
        <v/>
      </c>
      <c r="O753" t="b">
        <f ca="1"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P753" t="b">
        <f>AND(IF(metadata!C753="",FALSE,TRUE),EXACT(metadata!C753,"mouse gut metagenome"))</f>
        <v>0</v>
      </c>
      <c r="Q753" t="b">
        <f>AND(IF(metadata!D753="",FALSE,TRUE),EXACT(metadata!D753,"410661"))</f>
        <v>0</v>
      </c>
    </row>
    <row r="754" spans="1:17" x14ac:dyDescent="0.2">
      <c r="A754" s="4" t="str">
        <f ca="1">IF(B754=" "," ",HYPERLINK(CONCATENATE("#metadata!",ADDRESS(INDEX($J$2:$J$1001,MATCH(ROWS($H$2:H754),$H$2:$H$1001,0),0),1)),INDEX($M$2:$M$1001,MATCH(ROWS($H$2:H754),$H$2:$H$1001,0),0)))</f>
        <v xml:space="preserve"> </v>
      </c>
      <c r="B754" s="3" t="str">
        <f ca="1">IF(OR(INDEX($I$2:$I$1001,MATCH(ROWS($H$2:H754),$H$2:$H$1001,0),1)&gt;=100000,INDEX($O$1005:$Q$1005,1,MATCH(COLUMNS($O$1006:O1006),$O$1006:$Q$1006,0))&gt;=100000), " ",IF(INDEX($O$2:$Q$1001,MATCH(ROWS($H$2:H754),$H$2:$H$1001,0),MATCH(COLUMNS($O$1006:O1006),$O$1006:$Q$1006,0)), HYPERLINK("#",""), HYPERLINK(CONCATENATE("#metadata!", ADDRESS(INDEX($J$2:$J$1001,MATCH(ROWS($H$2:H754),$H$2:$H$1001,0),0), INDEX($O$1004:$Q$1004,1,MATCH(COLUMNS($O$1006:O1006),$O$1006:$Q$1006,0)))),"Fix")))</f>
        <v xml:space="preserve"> </v>
      </c>
      <c r="C754" s="3" t="str">
        <f ca="1">IF(OR(INDEX($I$2:$I$1001,MATCH(ROWS($H$2:H754),$H$2:$H$1001,0),1)&gt;=100000,INDEX($O$1005:$Q$1005,1,MATCH(COLUMNS($O$1006:P1006),$O$1006:$Q$1006,0))&gt;=100000), " ",IF(INDEX($O$2:$Q$1001,MATCH(ROWS($H$2:H754),$H$2:$H$1001,0),MATCH(COLUMNS($O$1006:P1006),$O$1006:$Q$1006,0)), HYPERLINK("#",""), HYPERLINK(CONCATENATE("#metadata!", ADDRESS(INDEX($J$2:$J$1001,MATCH(ROWS($H$2:H754),$H$2:$H$1001,0),0), INDEX($O$1004:$Q$1004,1,MATCH(COLUMNS($O$1006:P1006),$O$1006:$Q$1006,0)))),"Fix")))</f>
        <v xml:space="preserve"> </v>
      </c>
      <c r="D754" s="3" t="str">
        <f ca="1">IF(OR(INDEX($I$2:$I$1001,MATCH(ROWS($H$2:H754),$H$2:$H$1001,0),1)&gt;=100000,INDEX($O$1005:$Q$1005,1,MATCH(COLUMNS($O$1006:Q1006),$O$1006:$Q$1006,0))&gt;=100000), " ",IF(INDEX($O$2:$Q$1001,MATCH(ROWS($H$2:H754),$H$2:$H$1001,0),MATCH(COLUMNS($O$1006:Q1006),$O$1006:$Q$1006,0)), HYPERLINK("#",""), HYPERLINK(CONCATENATE("#metadata!", ADDRESS(INDEX($J$2:$J$1001,MATCH(ROWS($H$2:H754),$H$2:$H$1001,0),0), INDEX($O$1004:$Q$1004,1,MATCH(COLUMNS($O$1006:Q1006),$O$1006:$Q$1006,0)))),"Fix")))</f>
        <v xml:space="preserve"> </v>
      </c>
      <c r="H754">
        <v>753</v>
      </c>
      <c r="I754">
        <v>100754</v>
      </c>
      <c r="J754">
        <v>754</v>
      </c>
      <c r="K754" t="b">
        <f t="shared" si="11"/>
        <v>1</v>
      </c>
      <c r="L754" t="b">
        <f>COUNTBLANK(metadata!B754:D754)=COLUMNS(metadata!B754:D754)</f>
        <v>1</v>
      </c>
      <c r="M754" t="str">
        <v/>
      </c>
      <c r="O754" t="b">
        <f ca="1"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P754" t="b">
        <f>AND(IF(metadata!C754="",FALSE,TRUE),EXACT(metadata!C754,"mouse gut metagenome"))</f>
        <v>0</v>
      </c>
      <c r="Q754" t="b">
        <f>AND(IF(metadata!D754="",FALSE,TRUE),EXACT(metadata!D754,"410661"))</f>
        <v>0</v>
      </c>
    </row>
    <row r="755" spans="1:17" x14ac:dyDescent="0.2">
      <c r="A755" s="4" t="str">
        <f ca="1">IF(B755=" "," ",HYPERLINK(CONCATENATE("#metadata!",ADDRESS(INDEX($J$2:$J$1001,MATCH(ROWS($H$2:H755),$H$2:$H$1001,0),0),1)),INDEX($M$2:$M$1001,MATCH(ROWS($H$2:H755),$H$2:$H$1001,0),0)))</f>
        <v xml:space="preserve"> </v>
      </c>
      <c r="B755" s="3" t="str">
        <f ca="1">IF(OR(INDEX($I$2:$I$1001,MATCH(ROWS($H$2:H755),$H$2:$H$1001,0),1)&gt;=100000,INDEX($O$1005:$Q$1005,1,MATCH(COLUMNS($O$1006:O1006),$O$1006:$Q$1006,0))&gt;=100000), " ",IF(INDEX($O$2:$Q$1001,MATCH(ROWS($H$2:H755),$H$2:$H$1001,0),MATCH(COLUMNS($O$1006:O1006),$O$1006:$Q$1006,0)), HYPERLINK("#",""), HYPERLINK(CONCATENATE("#metadata!", ADDRESS(INDEX($J$2:$J$1001,MATCH(ROWS($H$2:H755),$H$2:$H$1001,0),0), INDEX($O$1004:$Q$1004,1,MATCH(COLUMNS($O$1006:O1006),$O$1006:$Q$1006,0)))),"Fix")))</f>
        <v xml:space="preserve"> </v>
      </c>
      <c r="C755" s="3" t="str">
        <f ca="1">IF(OR(INDEX($I$2:$I$1001,MATCH(ROWS($H$2:H755),$H$2:$H$1001,0),1)&gt;=100000,INDEX($O$1005:$Q$1005,1,MATCH(COLUMNS($O$1006:P1006),$O$1006:$Q$1006,0))&gt;=100000), " ",IF(INDEX($O$2:$Q$1001,MATCH(ROWS($H$2:H755),$H$2:$H$1001,0),MATCH(COLUMNS($O$1006:P1006),$O$1006:$Q$1006,0)), HYPERLINK("#",""), HYPERLINK(CONCATENATE("#metadata!", ADDRESS(INDEX($J$2:$J$1001,MATCH(ROWS($H$2:H755),$H$2:$H$1001,0),0), INDEX($O$1004:$Q$1004,1,MATCH(COLUMNS($O$1006:P1006),$O$1006:$Q$1006,0)))),"Fix")))</f>
        <v xml:space="preserve"> </v>
      </c>
      <c r="D755" s="3" t="str">
        <f ca="1">IF(OR(INDEX($I$2:$I$1001,MATCH(ROWS($H$2:H755),$H$2:$H$1001,0),1)&gt;=100000,INDEX($O$1005:$Q$1005,1,MATCH(COLUMNS($O$1006:Q1006),$O$1006:$Q$1006,0))&gt;=100000), " ",IF(INDEX($O$2:$Q$1001,MATCH(ROWS($H$2:H755),$H$2:$H$1001,0),MATCH(COLUMNS($O$1006:Q1006),$O$1006:$Q$1006,0)), HYPERLINK("#",""), HYPERLINK(CONCATENATE("#metadata!", ADDRESS(INDEX($J$2:$J$1001,MATCH(ROWS($H$2:H755),$H$2:$H$1001,0),0), INDEX($O$1004:$Q$1004,1,MATCH(COLUMNS($O$1006:Q1006),$O$1006:$Q$1006,0)))),"Fix")))</f>
        <v xml:space="preserve"> </v>
      </c>
      <c r="H755">
        <v>754</v>
      </c>
      <c r="I755">
        <v>100755</v>
      </c>
      <c r="J755">
        <v>755</v>
      </c>
      <c r="K755" t="b">
        <f t="shared" si="11"/>
        <v>1</v>
      </c>
      <c r="L755" t="b">
        <f>COUNTBLANK(metadata!B755:D755)=COLUMNS(metadata!B755:D755)</f>
        <v>1</v>
      </c>
      <c r="M755" t="str">
        <v/>
      </c>
      <c r="O755" t="b">
        <f ca="1"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P755" t="b">
        <f>AND(IF(metadata!C755="",FALSE,TRUE),EXACT(metadata!C755,"mouse gut metagenome"))</f>
        <v>0</v>
      </c>
      <c r="Q755" t="b">
        <f>AND(IF(metadata!D755="",FALSE,TRUE),EXACT(metadata!D755,"410661"))</f>
        <v>0</v>
      </c>
    </row>
    <row r="756" spans="1:17" x14ac:dyDescent="0.2">
      <c r="A756" s="4" t="str">
        <f ca="1">IF(B756=" "," ",HYPERLINK(CONCATENATE("#metadata!",ADDRESS(INDEX($J$2:$J$1001,MATCH(ROWS($H$2:H756),$H$2:$H$1001,0),0),1)),INDEX($M$2:$M$1001,MATCH(ROWS($H$2:H756),$H$2:$H$1001,0),0)))</f>
        <v xml:space="preserve"> </v>
      </c>
      <c r="B756" s="3" t="str">
        <f ca="1">IF(OR(INDEX($I$2:$I$1001,MATCH(ROWS($H$2:H756),$H$2:$H$1001,0),1)&gt;=100000,INDEX($O$1005:$Q$1005,1,MATCH(COLUMNS($O$1006:O1006),$O$1006:$Q$1006,0))&gt;=100000), " ",IF(INDEX($O$2:$Q$1001,MATCH(ROWS($H$2:H756),$H$2:$H$1001,0),MATCH(COLUMNS($O$1006:O1006),$O$1006:$Q$1006,0)), HYPERLINK("#",""), HYPERLINK(CONCATENATE("#metadata!", ADDRESS(INDEX($J$2:$J$1001,MATCH(ROWS($H$2:H756),$H$2:$H$1001,0),0), INDEX($O$1004:$Q$1004,1,MATCH(COLUMNS($O$1006:O1006),$O$1006:$Q$1006,0)))),"Fix")))</f>
        <v xml:space="preserve"> </v>
      </c>
      <c r="C756" s="3" t="str">
        <f ca="1">IF(OR(INDEX($I$2:$I$1001,MATCH(ROWS($H$2:H756),$H$2:$H$1001,0),1)&gt;=100000,INDEX($O$1005:$Q$1005,1,MATCH(COLUMNS($O$1006:P1006),$O$1006:$Q$1006,0))&gt;=100000), " ",IF(INDEX($O$2:$Q$1001,MATCH(ROWS($H$2:H756),$H$2:$H$1001,0),MATCH(COLUMNS($O$1006:P1006),$O$1006:$Q$1006,0)), HYPERLINK("#",""), HYPERLINK(CONCATENATE("#metadata!", ADDRESS(INDEX($J$2:$J$1001,MATCH(ROWS($H$2:H756),$H$2:$H$1001,0),0), INDEX($O$1004:$Q$1004,1,MATCH(COLUMNS($O$1006:P1006),$O$1006:$Q$1006,0)))),"Fix")))</f>
        <v xml:space="preserve"> </v>
      </c>
      <c r="D756" s="3" t="str">
        <f ca="1">IF(OR(INDEX($I$2:$I$1001,MATCH(ROWS($H$2:H756),$H$2:$H$1001,0),1)&gt;=100000,INDEX($O$1005:$Q$1005,1,MATCH(COLUMNS($O$1006:Q1006),$O$1006:$Q$1006,0))&gt;=100000), " ",IF(INDEX($O$2:$Q$1001,MATCH(ROWS($H$2:H756),$H$2:$H$1001,0),MATCH(COLUMNS($O$1006:Q1006),$O$1006:$Q$1006,0)), HYPERLINK("#",""), HYPERLINK(CONCATENATE("#metadata!", ADDRESS(INDEX($J$2:$J$1001,MATCH(ROWS($H$2:H756),$H$2:$H$1001,0),0), INDEX($O$1004:$Q$1004,1,MATCH(COLUMNS($O$1006:Q1006),$O$1006:$Q$1006,0)))),"Fix")))</f>
        <v xml:space="preserve"> </v>
      </c>
      <c r="H756">
        <v>755</v>
      </c>
      <c r="I756">
        <v>100756</v>
      </c>
      <c r="J756">
        <v>756</v>
      </c>
      <c r="K756" t="b">
        <f t="shared" si="11"/>
        <v>1</v>
      </c>
      <c r="L756" t="b">
        <f>COUNTBLANK(metadata!B756:D756)=COLUMNS(metadata!B756:D756)</f>
        <v>1</v>
      </c>
      <c r="M756" t="str">
        <v/>
      </c>
      <c r="O756" t="b">
        <f ca="1"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P756" t="b">
        <f>AND(IF(metadata!C756="",FALSE,TRUE),EXACT(metadata!C756,"mouse gut metagenome"))</f>
        <v>0</v>
      </c>
      <c r="Q756" t="b">
        <f>AND(IF(metadata!D756="",FALSE,TRUE),EXACT(metadata!D756,"410661"))</f>
        <v>0</v>
      </c>
    </row>
    <row r="757" spans="1:17" x14ac:dyDescent="0.2">
      <c r="A757" s="4" t="str">
        <f ca="1">IF(B757=" "," ",HYPERLINK(CONCATENATE("#metadata!",ADDRESS(INDEX($J$2:$J$1001,MATCH(ROWS($H$2:H757),$H$2:$H$1001,0),0),1)),INDEX($M$2:$M$1001,MATCH(ROWS($H$2:H757),$H$2:$H$1001,0),0)))</f>
        <v xml:space="preserve"> </v>
      </c>
      <c r="B757" s="3" t="str">
        <f ca="1">IF(OR(INDEX($I$2:$I$1001,MATCH(ROWS($H$2:H757),$H$2:$H$1001,0),1)&gt;=100000,INDEX($O$1005:$Q$1005,1,MATCH(COLUMNS($O$1006:O1006),$O$1006:$Q$1006,0))&gt;=100000), " ",IF(INDEX($O$2:$Q$1001,MATCH(ROWS($H$2:H757),$H$2:$H$1001,0),MATCH(COLUMNS($O$1006:O1006),$O$1006:$Q$1006,0)), HYPERLINK("#",""), HYPERLINK(CONCATENATE("#metadata!", ADDRESS(INDEX($J$2:$J$1001,MATCH(ROWS($H$2:H757),$H$2:$H$1001,0),0), INDEX($O$1004:$Q$1004,1,MATCH(COLUMNS($O$1006:O1006),$O$1006:$Q$1006,0)))),"Fix")))</f>
        <v xml:space="preserve"> </v>
      </c>
      <c r="C757" s="3" t="str">
        <f ca="1">IF(OR(INDEX($I$2:$I$1001,MATCH(ROWS($H$2:H757),$H$2:$H$1001,0),1)&gt;=100000,INDEX($O$1005:$Q$1005,1,MATCH(COLUMNS($O$1006:P1006),$O$1006:$Q$1006,0))&gt;=100000), " ",IF(INDEX($O$2:$Q$1001,MATCH(ROWS($H$2:H757),$H$2:$H$1001,0),MATCH(COLUMNS($O$1006:P1006),$O$1006:$Q$1006,0)), HYPERLINK("#",""), HYPERLINK(CONCATENATE("#metadata!", ADDRESS(INDEX($J$2:$J$1001,MATCH(ROWS($H$2:H757),$H$2:$H$1001,0),0), INDEX($O$1004:$Q$1004,1,MATCH(COLUMNS($O$1006:P1006),$O$1006:$Q$1006,0)))),"Fix")))</f>
        <v xml:space="preserve"> </v>
      </c>
      <c r="D757" s="3" t="str">
        <f ca="1">IF(OR(INDEX($I$2:$I$1001,MATCH(ROWS($H$2:H757),$H$2:$H$1001,0),1)&gt;=100000,INDEX($O$1005:$Q$1005,1,MATCH(COLUMNS($O$1006:Q1006),$O$1006:$Q$1006,0))&gt;=100000), " ",IF(INDEX($O$2:$Q$1001,MATCH(ROWS($H$2:H757),$H$2:$H$1001,0),MATCH(COLUMNS($O$1006:Q1006),$O$1006:$Q$1006,0)), HYPERLINK("#",""), HYPERLINK(CONCATENATE("#metadata!", ADDRESS(INDEX($J$2:$J$1001,MATCH(ROWS($H$2:H757),$H$2:$H$1001,0),0), INDEX($O$1004:$Q$1004,1,MATCH(COLUMNS($O$1006:Q1006),$O$1006:$Q$1006,0)))),"Fix")))</f>
        <v xml:space="preserve"> </v>
      </c>
      <c r="H757">
        <v>756</v>
      </c>
      <c r="I757">
        <v>100757</v>
      </c>
      <c r="J757">
        <v>757</v>
      </c>
      <c r="K757" t="b">
        <f t="shared" si="11"/>
        <v>1</v>
      </c>
      <c r="L757" t="b">
        <f>COUNTBLANK(metadata!B757:D757)=COLUMNS(metadata!B757:D757)</f>
        <v>1</v>
      </c>
      <c r="M757" t="str">
        <v/>
      </c>
      <c r="O757" t="b">
        <f ca="1"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P757" t="b">
        <f>AND(IF(metadata!C757="",FALSE,TRUE),EXACT(metadata!C757,"mouse gut metagenome"))</f>
        <v>0</v>
      </c>
      <c r="Q757" t="b">
        <f>AND(IF(metadata!D757="",FALSE,TRUE),EXACT(metadata!D757,"410661"))</f>
        <v>0</v>
      </c>
    </row>
    <row r="758" spans="1:17" x14ac:dyDescent="0.2">
      <c r="A758" s="4" t="str">
        <f ca="1">IF(B758=" "," ",HYPERLINK(CONCATENATE("#metadata!",ADDRESS(INDEX($J$2:$J$1001,MATCH(ROWS($H$2:H758),$H$2:$H$1001,0),0),1)),INDEX($M$2:$M$1001,MATCH(ROWS($H$2:H758),$H$2:$H$1001,0),0)))</f>
        <v xml:space="preserve"> </v>
      </c>
      <c r="B758" s="3" t="str">
        <f ca="1">IF(OR(INDEX($I$2:$I$1001,MATCH(ROWS($H$2:H758),$H$2:$H$1001,0),1)&gt;=100000,INDEX($O$1005:$Q$1005,1,MATCH(COLUMNS($O$1006:O1006),$O$1006:$Q$1006,0))&gt;=100000), " ",IF(INDEX($O$2:$Q$1001,MATCH(ROWS($H$2:H758),$H$2:$H$1001,0),MATCH(COLUMNS($O$1006:O1006),$O$1006:$Q$1006,0)), HYPERLINK("#",""), HYPERLINK(CONCATENATE("#metadata!", ADDRESS(INDEX($J$2:$J$1001,MATCH(ROWS($H$2:H758),$H$2:$H$1001,0),0), INDEX($O$1004:$Q$1004,1,MATCH(COLUMNS($O$1006:O1006),$O$1006:$Q$1006,0)))),"Fix")))</f>
        <v xml:space="preserve"> </v>
      </c>
      <c r="C758" s="3" t="str">
        <f ca="1">IF(OR(INDEX($I$2:$I$1001,MATCH(ROWS($H$2:H758),$H$2:$H$1001,0),1)&gt;=100000,INDEX($O$1005:$Q$1005,1,MATCH(COLUMNS($O$1006:P1006),$O$1006:$Q$1006,0))&gt;=100000), " ",IF(INDEX($O$2:$Q$1001,MATCH(ROWS($H$2:H758),$H$2:$H$1001,0),MATCH(COLUMNS($O$1006:P1006),$O$1006:$Q$1006,0)), HYPERLINK("#",""), HYPERLINK(CONCATENATE("#metadata!", ADDRESS(INDEX($J$2:$J$1001,MATCH(ROWS($H$2:H758),$H$2:$H$1001,0),0), INDEX($O$1004:$Q$1004,1,MATCH(COLUMNS($O$1006:P1006),$O$1006:$Q$1006,0)))),"Fix")))</f>
        <v xml:space="preserve"> </v>
      </c>
      <c r="D758" s="3" t="str">
        <f ca="1">IF(OR(INDEX($I$2:$I$1001,MATCH(ROWS($H$2:H758),$H$2:$H$1001,0),1)&gt;=100000,INDEX($O$1005:$Q$1005,1,MATCH(COLUMNS($O$1006:Q1006),$O$1006:$Q$1006,0))&gt;=100000), " ",IF(INDEX($O$2:$Q$1001,MATCH(ROWS($H$2:H758),$H$2:$H$1001,0),MATCH(COLUMNS($O$1006:Q1006),$O$1006:$Q$1006,0)), HYPERLINK("#",""), HYPERLINK(CONCATENATE("#metadata!", ADDRESS(INDEX($J$2:$J$1001,MATCH(ROWS($H$2:H758),$H$2:$H$1001,0),0), INDEX($O$1004:$Q$1004,1,MATCH(COLUMNS($O$1006:Q1006),$O$1006:$Q$1006,0)))),"Fix")))</f>
        <v xml:space="preserve"> </v>
      </c>
      <c r="H758">
        <v>757</v>
      </c>
      <c r="I758">
        <v>100758</v>
      </c>
      <c r="J758">
        <v>758</v>
      </c>
      <c r="K758" t="b">
        <f t="shared" si="11"/>
        <v>1</v>
      </c>
      <c r="L758" t="b">
        <f>COUNTBLANK(metadata!B758:D758)=COLUMNS(metadata!B758:D758)</f>
        <v>1</v>
      </c>
      <c r="M758" t="str">
        <v/>
      </c>
      <c r="O758" t="b">
        <f ca="1"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P758" t="b">
        <f>AND(IF(metadata!C758="",FALSE,TRUE),EXACT(metadata!C758,"mouse gut metagenome"))</f>
        <v>0</v>
      </c>
      <c r="Q758" t="b">
        <f>AND(IF(metadata!D758="",FALSE,TRUE),EXACT(metadata!D758,"410661"))</f>
        <v>0</v>
      </c>
    </row>
    <row r="759" spans="1:17" x14ac:dyDescent="0.2">
      <c r="A759" s="4" t="str">
        <f ca="1">IF(B759=" "," ",HYPERLINK(CONCATENATE("#metadata!",ADDRESS(INDEX($J$2:$J$1001,MATCH(ROWS($H$2:H759),$H$2:$H$1001,0),0),1)),INDEX($M$2:$M$1001,MATCH(ROWS($H$2:H759),$H$2:$H$1001,0),0)))</f>
        <v xml:space="preserve"> </v>
      </c>
      <c r="B759" s="3" t="str">
        <f ca="1">IF(OR(INDEX($I$2:$I$1001,MATCH(ROWS($H$2:H759),$H$2:$H$1001,0),1)&gt;=100000,INDEX($O$1005:$Q$1005,1,MATCH(COLUMNS($O$1006:O1006),$O$1006:$Q$1006,0))&gt;=100000), " ",IF(INDEX($O$2:$Q$1001,MATCH(ROWS($H$2:H759),$H$2:$H$1001,0),MATCH(COLUMNS($O$1006:O1006),$O$1006:$Q$1006,0)), HYPERLINK("#",""), HYPERLINK(CONCATENATE("#metadata!", ADDRESS(INDEX($J$2:$J$1001,MATCH(ROWS($H$2:H759),$H$2:$H$1001,0),0), INDEX($O$1004:$Q$1004,1,MATCH(COLUMNS($O$1006:O1006),$O$1006:$Q$1006,0)))),"Fix")))</f>
        <v xml:space="preserve"> </v>
      </c>
      <c r="C759" s="3" t="str">
        <f ca="1">IF(OR(INDEX($I$2:$I$1001,MATCH(ROWS($H$2:H759),$H$2:$H$1001,0),1)&gt;=100000,INDEX($O$1005:$Q$1005,1,MATCH(COLUMNS($O$1006:P1006),$O$1006:$Q$1006,0))&gt;=100000), " ",IF(INDEX($O$2:$Q$1001,MATCH(ROWS($H$2:H759),$H$2:$H$1001,0),MATCH(COLUMNS($O$1006:P1006),$O$1006:$Q$1006,0)), HYPERLINK("#",""), HYPERLINK(CONCATENATE("#metadata!", ADDRESS(INDEX($J$2:$J$1001,MATCH(ROWS($H$2:H759),$H$2:$H$1001,0),0), INDEX($O$1004:$Q$1004,1,MATCH(COLUMNS($O$1006:P1006),$O$1006:$Q$1006,0)))),"Fix")))</f>
        <v xml:space="preserve"> </v>
      </c>
      <c r="D759" s="3" t="str">
        <f ca="1">IF(OR(INDEX($I$2:$I$1001,MATCH(ROWS($H$2:H759),$H$2:$H$1001,0),1)&gt;=100000,INDEX($O$1005:$Q$1005,1,MATCH(COLUMNS($O$1006:Q1006),$O$1006:$Q$1006,0))&gt;=100000), " ",IF(INDEX($O$2:$Q$1001,MATCH(ROWS($H$2:H759),$H$2:$H$1001,0),MATCH(COLUMNS($O$1006:Q1006),$O$1006:$Q$1006,0)), HYPERLINK("#",""), HYPERLINK(CONCATENATE("#metadata!", ADDRESS(INDEX($J$2:$J$1001,MATCH(ROWS($H$2:H759),$H$2:$H$1001,0),0), INDEX($O$1004:$Q$1004,1,MATCH(COLUMNS($O$1006:Q1006),$O$1006:$Q$1006,0)))),"Fix")))</f>
        <v xml:space="preserve"> </v>
      </c>
      <c r="H759">
        <v>758</v>
      </c>
      <c r="I759">
        <v>100759</v>
      </c>
      <c r="J759">
        <v>759</v>
      </c>
      <c r="K759" t="b">
        <f t="shared" si="11"/>
        <v>1</v>
      </c>
      <c r="L759" t="b">
        <f>COUNTBLANK(metadata!B759:D759)=COLUMNS(metadata!B759:D759)</f>
        <v>1</v>
      </c>
      <c r="M759" t="str">
        <v/>
      </c>
      <c r="O759" t="b">
        <f ca="1"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P759" t="b">
        <f>AND(IF(metadata!C759="",FALSE,TRUE),EXACT(metadata!C759,"mouse gut metagenome"))</f>
        <v>0</v>
      </c>
      <c r="Q759" t="b">
        <f>AND(IF(metadata!D759="",FALSE,TRUE),EXACT(metadata!D759,"410661"))</f>
        <v>0</v>
      </c>
    </row>
    <row r="760" spans="1:17" x14ac:dyDescent="0.2">
      <c r="A760" s="4" t="str">
        <f ca="1">IF(B760=" "," ",HYPERLINK(CONCATENATE("#metadata!",ADDRESS(INDEX($J$2:$J$1001,MATCH(ROWS($H$2:H760),$H$2:$H$1001,0),0),1)),INDEX($M$2:$M$1001,MATCH(ROWS($H$2:H760),$H$2:$H$1001,0),0)))</f>
        <v xml:space="preserve"> </v>
      </c>
      <c r="B760" s="3" t="str">
        <f ca="1">IF(OR(INDEX($I$2:$I$1001,MATCH(ROWS($H$2:H760),$H$2:$H$1001,0),1)&gt;=100000,INDEX($O$1005:$Q$1005,1,MATCH(COLUMNS($O$1006:O1006),$O$1006:$Q$1006,0))&gt;=100000), " ",IF(INDEX($O$2:$Q$1001,MATCH(ROWS($H$2:H760),$H$2:$H$1001,0),MATCH(COLUMNS($O$1006:O1006),$O$1006:$Q$1006,0)), HYPERLINK("#",""), HYPERLINK(CONCATENATE("#metadata!", ADDRESS(INDEX($J$2:$J$1001,MATCH(ROWS($H$2:H760),$H$2:$H$1001,0),0), INDEX($O$1004:$Q$1004,1,MATCH(COLUMNS($O$1006:O1006),$O$1006:$Q$1006,0)))),"Fix")))</f>
        <v xml:space="preserve"> </v>
      </c>
      <c r="C760" s="3" t="str">
        <f ca="1">IF(OR(INDEX($I$2:$I$1001,MATCH(ROWS($H$2:H760),$H$2:$H$1001,0),1)&gt;=100000,INDEX($O$1005:$Q$1005,1,MATCH(COLUMNS($O$1006:P1006),$O$1006:$Q$1006,0))&gt;=100000), " ",IF(INDEX($O$2:$Q$1001,MATCH(ROWS($H$2:H760),$H$2:$H$1001,0),MATCH(COLUMNS($O$1006:P1006),$O$1006:$Q$1006,0)), HYPERLINK("#",""), HYPERLINK(CONCATENATE("#metadata!", ADDRESS(INDEX($J$2:$J$1001,MATCH(ROWS($H$2:H760),$H$2:$H$1001,0),0), INDEX($O$1004:$Q$1004,1,MATCH(COLUMNS($O$1006:P1006),$O$1006:$Q$1006,0)))),"Fix")))</f>
        <v xml:space="preserve"> </v>
      </c>
      <c r="D760" s="3" t="str">
        <f ca="1">IF(OR(INDEX($I$2:$I$1001,MATCH(ROWS($H$2:H760),$H$2:$H$1001,0),1)&gt;=100000,INDEX($O$1005:$Q$1005,1,MATCH(COLUMNS($O$1006:Q1006),$O$1006:$Q$1006,0))&gt;=100000), " ",IF(INDEX($O$2:$Q$1001,MATCH(ROWS($H$2:H760),$H$2:$H$1001,0),MATCH(COLUMNS($O$1006:Q1006),$O$1006:$Q$1006,0)), HYPERLINK("#",""), HYPERLINK(CONCATENATE("#metadata!", ADDRESS(INDEX($J$2:$J$1001,MATCH(ROWS($H$2:H760),$H$2:$H$1001,0),0), INDEX($O$1004:$Q$1004,1,MATCH(COLUMNS($O$1006:Q1006),$O$1006:$Q$1006,0)))),"Fix")))</f>
        <v xml:space="preserve"> </v>
      </c>
      <c r="H760">
        <v>759</v>
      </c>
      <c r="I760">
        <v>100760</v>
      </c>
      <c r="J760">
        <v>760</v>
      </c>
      <c r="K760" t="b">
        <f t="shared" si="11"/>
        <v>1</v>
      </c>
      <c r="L760" t="b">
        <f>COUNTBLANK(metadata!B760:D760)=COLUMNS(metadata!B760:D760)</f>
        <v>1</v>
      </c>
      <c r="M760" t="str">
        <v/>
      </c>
      <c r="O760" t="b">
        <f ca="1"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P760" t="b">
        <f>AND(IF(metadata!C760="",FALSE,TRUE),EXACT(metadata!C760,"mouse gut metagenome"))</f>
        <v>0</v>
      </c>
      <c r="Q760" t="b">
        <f>AND(IF(metadata!D760="",FALSE,TRUE),EXACT(metadata!D760,"410661"))</f>
        <v>0</v>
      </c>
    </row>
    <row r="761" spans="1:17" x14ac:dyDescent="0.2">
      <c r="A761" s="4" t="str">
        <f ca="1">IF(B761=" "," ",HYPERLINK(CONCATENATE("#metadata!",ADDRESS(INDEX($J$2:$J$1001,MATCH(ROWS($H$2:H761),$H$2:$H$1001,0),0),1)),INDEX($M$2:$M$1001,MATCH(ROWS($H$2:H761),$H$2:$H$1001,0),0)))</f>
        <v xml:space="preserve"> </v>
      </c>
      <c r="B761" s="3" t="str">
        <f ca="1">IF(OR(INDEX($I$2:$I$1001,MATCH(ROWS($H$2:H761),$H$2:$H$1001,0),1)&gt;=100000,INDEX($O$1005:$Q$1005,1,MATCH(COLUMNS($O$1006:O1006),$O$1006:$Q$1006,0))&gt;=100000), " ",IF(INDEX($O$2:$Q$1001,MATCH(ROWS($H$2:H761),$H$2:$H$1001,0),MATCH(COLUMNS($O$1006:O1006),$O$1006:$Q$1006,0)), HYPERLINK("#",""), HYPERLINK(CONCATENATE("#metadata!", ADDRESS(INDEX($J$2:$J$1001,MATCH(ROWS($H$2:H761),$H$2:$H$1001,0),0), INDEX($O$1004:$Q$1004,1,MATCH(COLUMNS($O$1006:O1006),$O$1006:$Q$1006,0)))),"Fix")))</f>
        <v xml:space="preserve"> </v>
      </c>
      <c r="C761" s="3" t="str">
        <f ca="1">IF(OR(INDEX($I$2:$I$1001,MATCH(ROWS($H$2:H761),$H$2:$H$1001,0),1)&gt;=100000,INDEX($O$1005:$Q$1005,1,MATCH(COLUMNS($O$1006:P1006),$O$1006:$Q$1006,0))&gt;=100000), " ",IF(INDEX($O$2:$Q$1001,MATCH(ROWS($H$2:H761),$H$2:$H$1001,0),MATCH(COLUMNS($O$1006:P1006),$O$1006:$Q$1006,0)), HYPERLINK("#",""), HYPERLINK(CONCATENATE("#metadata!", ADDRESS(INDEX($J$2:$J$1001,MATCH(ROWS($H$2:H761),$H$2:$H$1001,0),0), INDEX($O$1004:$Q$1004,1,MATCH(COLUMNS($O$1006:P1006),$O$1006:$Q$1006,0)))),"Fix")))</f>
        <v xml:space="preserve"> </v>
      </c>
      <c r="D761" s="3" t="str">
        <f ca="1">IF(OR(INDEX($I$2:$I$1001,MATCH(ROWS($H$2:H761),$H$2:$H$1001,0),1)&gt;=100000,INDEX($O$1005:$Q$1005,1,MATCH(COLUMNS($O$1006:Q1006),$O$1006:$Q$1006,0))&gt;=100000), " ",IF(INDEX($O$2:$Q$1001,MATCH(ROWS($H$2:H761),$H$2:$H$1001,0),MATCH(COLUMNS($O$1006:Q1006),$O$1006:$Q$1006,0)), HYPERLINK("#",""), HYPERLINK(CONCATENATE("#metadata!", ADDRESS(INDEX($J$2:$J$1001,MATCH(ROWS($H$2:H761),$H$2:$H$1001,0),0), INDEX($O$1004:$Q$1004,1,MATCH(COLUMNS($O$1006:Q1006),$O$1006:$Q$1006,0)))),"Fix")))</f>
        <v xml:space="preserve"> </v>
      </c>
      <c r="H761">
        <v>760</v>
      </c>
      <c r="I761">
        <v>100761</v>
      </c>
      <c r="J761">
        <v>761</v>
      </c>
      <c r="K761" t="b">
        <f t="shared" si="11"/>
        <v>1</v>
      </c>
      <c r="L761" t="b">
        <f>COUNTBLANK(metadata!B761:D761)=COLUMNS(metadata!B761:D761)</f>
        <v>1</v>
      </c>
      <c r="M761" t="str">
        <v/>
      </c>
      <c r="O761" t="b">
        <f ca="1"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P761" t="b">
        <f>AND(IF(metadata!C761="",FALSE,TRUE),EXACT(metadata!C761,"mouse gut metagenome"))</f>
        <v>0</v>
      </c>
      <c r="Q761" t="b">
        <f>AND(IF(metadata!D761="",FALSE,TRUE),EXACT(metadata!D761,"410661"))</f>
        <v>0</v>
      </c>
    </row>
    <row r="762" spans="1:17" x14ac:dyDescent="0.2">
      <c r="A762" s="4" t="str">
        <f ca="1">IF(B762=" "," ",HYPERLINK(CONCATENATE("#metadata!",ADDRESS(INDEX($J$2:$J$1001,MATCH(ROWS($H$2:H762),$H$2:$H$1001,0),0),1)),INDEX($M$2:$M$1001,MATCH(ROWS($H$2:H762),$H$2:$H$1001,0),0)))</f>
        <v xml:space="preserve"> </v>
      </c>
      <c r="B762" s="3" t="str">
        <f ca="1">IF(OR(INDEX($I$2:$I$1001,MATCH(ROWS($H$2:H762),$H$2:$H$1001,0),1)&gt;=100000,INDEX($O$1005:$Q$1005,1,MATCH(COLUMNS($O$1006:O1006),$O$1006:$Q$1006,0))&gt;=100000), " ",IF(INDEX($O$2:$Q$1001,MATCH(ROWS($H$2:H762),$H$2:$H$1001,0),MATCH(COLUMNS($O$1006:O1006),$O$1006:$Q$1006,0)), HYPERLINK("#",""), HYPERLINK(CONCATENATE("#metadata!", ADDRESS(INDEX($J$2:$J$1001,MATCH(ROWS($H$2:H762),$H$2:$H$1001,0),0), INDEX($O$1004:$Q$1004,1,MATCH(COLUMNS($O$1006:O1006),$O$1006:$Q$1006,0)))),"Fix")))</f>
        <v xml:space="preserve"> </v>
      </c>
      <c r="C762" s="3" t="str">
        <f ca="1">IF(OR(INDEX($I$2:$I$1001,MATCH(ROWS($H$2:H762),$H$2:$H$1001,0),1)&gt;=100000,INDEX($O$1005:$Q$1005,1,MATCH(COLUMNS($O$1006:P1006),$O$1006:$Q$1006,0))&gt;=100000), " ",IF(INDEX($O$2:$Q$1001,MATCH(ROWS($H$2:H762),$H$2:$H$1001,0),MATCH(COLUMNS($O$1006:P1006),$O$1006:$Q$1006,0)), HYPERLINK("#",""), HYPERLINK(CONCATENATE("#metadata!", ADDRESS(INDEX($J$2:$J$1001,MATCH(ROWS($H$2:H762),$H$2:$H$1001,0),0), INDEX($O$1004:$Q$1004,1,MATCH(COLUMNS($O$1006:P1006),$O$1006:$Q$1006,0)))),"Fix")))</f>
        <v xml:space="preserve"> </v>
      </c>
      <c r="D762" s="3" t="str">
        <f ca="1">IF(OR(INDEX($I$2:$I$1001,MATCH(ROWS($H$2:H762),$H$2:$H$1001,0),1)&gt;=100000,INDEX($O$1005:$Q$1005,1,MATCH(COLUMNS($O$1006:Q1006),$O$1006:$Q$1006,0))&gt;=100000), " ",IF(INDEX($O$2:$Q$1001,MATCH(ROWS($H$2:H762),$H$2:$H$1001,0),MATCH(COLUMNS($O$1006:Q1006),$O$1006:$Q$1006,0)), HYPERLINK("#",""), HYPERLINK(CONCATENATE("#metadata!", ADDRESS(INDEX($J$2:$J$1001,MATCH(ROWS($H$2:H762),$H$2:$H$1001,0),0), INDEX($O$1004:$Q$1004,1,MATCH(COLUMNS($O$1006:Q1006),$O$1006:$Q$1006,0)))),"Fix")))</f>
        <v xml:space="preserve"> </v>
      </c>
      <c r="H762">
        <v>761</v>
      </c>
      <c r="I762">
        <v>100762</v>
      </c>
      <c r="J762">
        <v>762</v>
      </c>
      <c r="K762" t="b">
        <f t="shared" si="11"/>
        <v>1</v>
      </c>
      <c r="L762" t="b">
        <f>COUNTBLANK(metadata!B762:D762)=COLUMNS(metadata!B762:D762)</f>
        <v>1</v>
      </c>
      <c r="M762" t="str">
        <v/>
      </c>
      <c r="O762" t="b">
        <f ca="1"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P762" t="b">
        <f>AND(IF(metadata!C762="",FALSE,TRUE),EXACT(metadata!C762,"mouse gut metagenome"))</f>
        <v>0</v>
      </c>
      <c r="Q762" t="b">
        <f>AND(IF(metadata!D762="",FALSE,TRUE),EXACT(metadata!D762,"410661"))</f>
        <v>0</v>
      </c>
    </row>
    <row r="763" spans="1:17" x14ac:dyDescent="0.2">
      <c r="A763" s="4" t="str">
        <f ca="1">IF(B763=" "," ",HYPERLINK(CONCATENATE("#metadata!",ADDRESS(INDEX($J$2:$J$1001,MATCH(ROWS($H$2:H763),$H$2:$H$1001,0),0),1)),INDEX($M$2:$M$1001,MATCH(ROWS($H$2:H763),$H$2:$H$1001,0),0)))</f>
        <v xml:space="preserve"> </v>
      </c>
      <c r="B763" s="3" t="str">
        <f ca="1">IF(OR(INDEX($I$2:$I$1001,MATCH(ROWS($H$2:H763),$H$2:$H$1001,0),1)&gt;=100000,INDEX($O$1005:$Q$1005,1,MATCH(COLUMNS($O$1006:O1006),$O$1006:$Q$1006,0))&gt;=100000), " ",IF(INDEX($O$2:$Q$1001,MATCH(ROWS($H$2:H763),$H$2:$H$1001,0),MATCH(COLUMNS($O$1006:O1006),$O$1006:$Q$1006,0)), HYPERLINK("#",""), HYPERLINK(CONCATENATE("#metadata!", ADDRESS(INDEX($J$2:$J$1001,MATCH(ROWS($H$2:H763),$H$2:$H$1001,0),0), INDEX($O$1004:$Q$1004,1,MATCH(COLUMNS($O$1006:O1006),$O$1006:$Q$1006,0)))),"Fix")))</f>
        <v xml:space="preserve"> </v>
      </c>
      <c r="C763" s="3" t="str">
        <f ca="1">IF(OR(INDEX($I$2:$I$1001,MATCH(ROWS($H$2:H763),$H$2:$H$1001,0),1)&gt;=100000,INDEX($O$1005:$Q$1005,1,MATCH(COLUMNS($O$1006:P1006),$O$1006:$Q$1006,0))&gt;=100000), " ",IF(INDEX($O$2:$Q$1001,MATCH(ROWS($H$2:H763),$H$2:$H$1001,0),MATCH(COLUMNS($O$1006:P1006),$O$1006:$Q$1006,0)), HYPERLINK("#",""), HYPERLINK(CONCATENATE("#metadata!", ADDRESS(INDEX($J$2:$J$1001,MATCH(ROWS($H$2:H763),$H$2:$H$1001,0),0), INDEX($O$1004:$Q$1004,1,MATCH(COLUMNS($O$1006:P1006),$O$1006:$Q$1006,0)))),"Fix")))</f>
        <v xml:space="preserve"> </v>
      </c>
      <c r="D763" s="3" t="str">
        <f ca="1">IF(OR(INDEX($I$2:$I$1001,MATCH(ROWS($H$2:H763),$H$2:$H$1001,0),1)&gt;=100000,INDEX($O$1005:$Q$1005,1,MATCH(COLUMNS($O$1006:Q1006),$O$1006:$Q$1006,0))&gt;=100000), " ",IF(INDEX($O$2:$Q$1001,MATCH(ROWS($H$2:H763),$H$2:$H$1001,0),MATCH(COLUMNS($O$1006:Q1006),$O$1006:$Q$1006,0)), HYPERLINK("#",""), HYPERLINK(CONCATENATE("#metadata!", ADDRESS(INDEX($J$2:$J$1001,MATCH(ROWS($H$2:H763),$H$2:$H$1001,0),0), INDEX($O$1004:$Q$1004,1,MATCH(COLUMNS($O$1006:Q1006),$O$1006:$Q$1006,0)))),"Fix")))</f>
        <v xml:space="preserve"> </v>
      </c>
      <c r="H763">
        <v>762</v>
      </c>
      <c r="I763">
        <v>100763</v>
      </c>
      <c r="J763">
        <v>763</v>
      </c>
      <c r="K763" t="b">
        <f t="shared" si="11"/>
        <v>1</v>
      </c>
      <c r="L763" t="b">
        <f>COUNTBLANK(metadata!B763:D763)=COLUMNS(metadata!B763:D763)</f>
        <v>1</v>
      </c>
      <c r="M763" t="str">
        <v/>
      </c>
      <c r="O763" t="b">
        <f ca="1"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P763" t="b">
        <f>AND(IF(metadata!C763="",FALSE,TRUE),EXACT(metadata!C763,"mouse gut metagenome"))</f>
        <v>0</v>
      </c>
      <c r="Q763" t="b">
        <f>AND(IF(metadata!D763="",FALSE,TRUE),EXACT(metadata!D763,"410661"))</f>
        <v>0</v>
      </c>
    </row>
    <row r="764" spans="1:17" x14ac:dyDescent="0.2">
      <c r="A764" s="4" t="str">
        <f ca="1">IF(B764=" "," ",HYPERLINK(CONCATENATE("#metadata!",ADDRESS(INDEX($J$2:$J$1001,MATCH(ROWS($H$2:H764),$H$2:$H$1001,0),0),1)),INDEX($M$2:$M$1001,MATCH(ROWS($H$2:H764),$H$2:$H$1001,0),0)))</f>
        <v xml:space="preserve"> </v>
      </c>
      <c r="B764" s="3" t="str">
        <f ca="1">IF(OR(INDEX($I$2:$I$1001,MATCH(ROWS($H$2:H764),$H$2:$H$1001,0),1)&gt;=100000,INDEX($O$1005:$Q$1005,1,MATCH(COLUMNS($O$1006:O1006),$O$1006:$Q$1006,0))&gt;=100000), " ",IF(INDEX($O$2:$Q$1001,MATCH(ROWS($H$2:H764),$H$2:$H$1001,0),MATCH(COLUMNS($O$1006:O1006),$O$1006:$Q$1006,0)), HYPERLINK("#",""), HYPERLINK(CONCATENATE("#metadata!", ADDRESS(INDEX($J$2:$J$1001,MATCH(ROWS($H$2:H764),$H$2:$H$1001,0),0), INDEX($O$1004:$Q$1004,1,MATCH(COLUMNS($O$1006:O1006),$O$1006:$Q$1006,0)))),"Fix")))</f>
        <v xml:space="preserve"> </v>
      </c>
      <c r="C764" s="3" t="str">
        <f ca="1">IF(OR(INDEX($I$2:$I$1001,MATCH(ROWS($H$2:H764),$H$2:$H$1001,0),1)&gt;=100000,INDEX($O$1005:$Q$1005,1,MATCH(COLUMNS($O$1006:P1006),$O$1006:$Q$1006,0))&gt;=100000), " ",IF(INDEX($O$2:$Q$1001,MATCH(ROWS($H$2:H764),$H$2:$H$1001,0),MATCH(COLUMNS($O$1006:P1006),$O$1006:$Q$1006,0)), HYPERLINK("#",""), HYPERLINK(CONCATENATE("#metadata!", ADDRESS(INDEX($J$2:$J$1001,MATCH(ROWS($H$2:H764),$H$2:$H$1001,0),0), INDEX($O$1004:$Q$1004,1,MATCH(COLUMNS($O$1006:P1006),$O$1006:$Q$1006,0)))),"Fix")))</f>
        <v xml:space="preserve"> </v>
      </c>
      <c r="D764" s="3" t="str">
        <f ca="1">IF(OR(INDEX($I$2:$I$1001,MATCH(ROWS($H$2:H764),$H$2:$H$1001,0),1)&gt;=100000,INDEX($O$1005:$Q$1005,1,MATCH(COLUMNS($O$1006:Q1006),$O$1006:$Q$1006,0))&gt;=100000), " ",IF(INDEX($O$2:$Q$1001,MATCH(ROWS($H$2:H764),$H$2:$H$1001,0),MATCH(COLUMNS($O$1006:Q1006),$O$1006:$Q$1006,0)), HYPERLINK("#",""), HYPERLINK(CONCATENATE("#metadata!", ADDRESS(INDEX($J$2:$J$1001,MATCH(ROWS($H$2:H764),$H$2:$H$1001,0),0), INDEX($O$1004:$Q$1004,1,MATCH(COLUMNS($O$1006:Q1006),$O$1006:$Q$1006,0)))),"Fix")))</f>
        <v xml:space="preserve"> </v>
      </c>
      <c r="H764">
        <v>763</v>
      </c>
      <c r="I764">
        <v>100764</v>
      </c>
      <c r="J764">
        <v>764</v>
      </c>
      <c r="K764" t="b">
        <f t="shared" si="11"/>
        <v>1</v>
      </c>
      <c r="L764" t="b">
        <f>COUNTBLANK(metadata!B764:D764)=COLUMNS(metadata!B764:D764)</f>
        <v>1</v>
      </c>
      <c r="M764" t="str">
        <v/>
      </c>
      <c r="O764" t="b">
        <f ca="1"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P764" t="b">
        <f>AND(IF(metadata!C764="",FALSE,TRUE),EXACT(metadata!C764,"mouse gut metagenome"))</f>
        <v>0</v>
      </c>
      <c r="Q764" t="b">
        <f>AND(IF(metadata!D764="",FALSE,TRUE),EXACT(metadata!D764,"410661"))</f>
        <v>0</v>
      </c>
    </row>
    <row r="765" spans="1:17" x14ac:dyDescent="0.2">
      <c r="A765" s="4" t="str">
        <f ca="1">IF(B765=" "," ",HYPERLINK(CONCATENATE("#metadata!",ADDRESS(INDEX($J$2:$J$1001,MATCH(ROWS($H$2:H765),$H$2:$H$1001,0),0),1)),INDEX($M$2:$M$1001,MATCH(ROWS($H$2:H765),$H$2:$H$1001,0),0)))</f>
        <v xml:space="preserve"> </v>
      </c>
      <c r="B765" s="3" t="str">
        <f ca="1">IF(OR(INDEX($I$2:$I$1001,MATCH(ROWS($H$2:H765),$H$2:$H$1001,0),1)&gt;=100000,INDEX($O$1005:$Q$1005,1,MATCH(COLUMNS($O$1006:O1006),$O$1006:$Q$1006,0))&gt;=100000), " ",IF(INDEX($O$2:$Q$1001,MATCH(ROWS($H$2:H765),$H$2:$H$1001,0),MATCH(COLUMNS($O$1006:O1006),$O$1006:$Q$1006,0)), HYPERLINK("#",""), HYPERLINK(CONCATENATE("#metadata!", ADDRESS(INDEX($J$2:$J$1001,MATCH(ROWS($H$2:H765),$H$2:$H$1001,0),0), INDEX($O$1004:$Q$1004,1,MATCH(COLUMNS($O$1006:O1006),$O$1006:$Q$1006,0)))),"Fix")))</f>
        <v xml:space="preserve"> </v>
      </c>
      <c r="C765" s="3" t="str">
        <f ca="1">IF(OR(INDEX($I$2:$I$1001,MATCH(ROWS($H$2:H765),$H$2:$H$1001,0),1)&gt;=100000,INDEX($O$1005:$Q$1005,1,MATCH(COLUMNS($O$1006:P1006),$O$1006:$Q$1006,0))&gt;=100000), " ",IF(INDEX($O$2:$Q$1001,MATCH(ROWS($H$2:H765),$H$2:$H$1001,0),MATCH(COLUMNS($O$1006:P1006),$O$1006:$Q$1006,0)), HYPERLINK("#",""), HYPERLINK(CONCATENATE("#metadata!", ADDRESS(INDEX($J$2:$J$1001,MATCH(ROWS($H$2:H765),$H$2:$H$1001,0),0), INDEX($O$1004:$Q$1004,1,MATCH(COLUMNS($O$1006:P1006),$O$1006:$Q$1006,0)))),"Fix")))</f>
        <v xml:space="preserve"> </v>
      </c>
      <c r="D765" s="3" t="str">
        <f ca="1">IF(OR(INDEX($I$2:$I$1001,MATCH(ROWS($H$2:H765),$H$2:$H$1001,0),1)&gt;=100000,INDEX($O$1005:$Q$1005,1,MATCH(COLUMNS($O$1006:Q1006),$O$1006:$Q$1006,0))&gt;=100000), " ",IF(INDEX($O$2:$Q$1001,MATCH(ROWS($H$2:H765),$H$2:$H$1001,0),MATCH(COLUMNS($O$1006:Q1006),$O$1006:$Q$1006,0)), HYPERLINK("#",""), HYPERLINK(CONCATENATE("#metadata!", ADDRESS(INDEX($J$2:$J$1001,MATCH(ROWS($H$2:H765),$H$2:$H$1001,0),0), INDEX($O$1004:$Q$1004,1,MATCH(COLUMNS($O$1006:Q1006),$O$1006:$Q$1006,0)))),"Fix")))</f>
        <v xml:space="preserve"> </v>
      </c>
      <c r="H765">
        <v>764</v>
      </c>
      <c r="I765">
        <v>100765</v>
      </c>
      <c r="J765">
        <v>765</v>
      </c>
      <c r="K765" t="b">
        <f t="shared" si="11"/>
        <v>1</v>
      </c>
      <c r="L765" t="b">
        <f>COUNTBLANK(metadata!B765:D765)=COLUMNS(metadata!B765:D765)</f>
        <v>1</v>
      </c>
      <c r="M765" t="str">
        <v/>
      </c>
      <c r="O765" t="b">
        <f ca="1"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P765" t="b">
        <f>AND(IF(metadata!C765="",FALSE,TRUE),EXACT(metadata!C765,"mouse gut metagenome"))</f>
        <v>0</v>
      </c>
      <c r="Q765" t="b">
        <f>AND(IF(metadata!D765="",FALSE,TRUE),EXACT(metadata!D765,"410661"))</f>
        <v>0</v>
      </c>
    </row>
    <row r="766" spans="1:17" x14ac:dyDescent="0.2">
      <c r="A766" s="4" t="str">
        <f ca="1">IF(B766=" "," ",HYPERLINK(CONCATENATE("#metadata!",ADDRESS(INDEX($J$2:$J$1001,MATCH(ROWS($H$2:H766),$H$2:$H$1001,0),0),1)),INDEX($M$2:$M$1001,MATCH(ROWS($H$2:H766),$H$2:$H$1001,0),0)))</f>
        <v xml:space="preserve"> </v>
      </c>
      <c r="B766" s="3" t="str">
        <f ca="1">IF(OR(INDEX($I$2:$I$1001,MATCH(ROWS($H$2:H766),$H$2:$H$1001,0),1)&gt;=100000,INDEX($O$1005:$Q$1005,1,MATCH(COLUMNS($O$1006:O1006),$O$1006:$Q$1006,0))&gt;=100000), " ",IF(INDEX($O$2:$Q$1001,MATCH(ROWS($H$2:H766),$H$2:$H$1001,0),MATCH(COLUMNS($O$1006:O1006),$O$1006:$Q$1006,0)), HYPERLINK("#",""), HYPERLINK(CONCATENATE("#metadata!", ADDRESS(INDEX($J$2:$J$1001,MATCH(ROWS($H$2:H766),$H$2:$H$1001,0),0), INDEX($O$1004:$Q$1004,1,MATCH(COLUMNS($O$1006:O1006),$O$1006:$Q$1006,0)))),"Fix")))</f>
        <v xml:space="preserve"> </v>
      </c>
      <c r="C766" s="3" t="str">
        <f ca="1">IF(OR(INDEX($I$2:$I$1001,MATCH(ROWS($H$2:H766),$H$2:$H$1001,0),1)&gt;=100000,INDEX($O$1005:$Q$1005,1,MATCH(COLUMNS($O$1006:P1006),$O$1006:$Q$1006,0))&gt;=100000), " ",IF(INDEX($O$2:$Q$1001,MATCH(ROWS($H$2:H766),$H$2:$H$1001,0),MATCH(COLUMNS($O$1006:P1006),$O$1006:$Q$1006,0)), HYPERLINK("#",""), HYPERLINK(CONCATENATE("#metadata!", ADDRESS(INDEX($J$2:$J$1001,MATCH(ROWS($H$2:H766),$H$2:$H$1001,0),0), INDEX($O$1004:$Q$1004,1,MATCH(COLUMNS($O$1006:P1006),$O$1006:$Q$1006,0)))),"Fix")))</f>
        <v xml:space="preserve"> </v>
      </c>
      <c r="D766" s="3" t="str">
        <f ca="1">IF(OR(INDEX($I$2:$I$1001,MATCH(ROWS($H$2:H766),$H$2:$H$1001,0),1)&gt;=100000,INDEX($O$1005:$Q$1005,1,MATCH(COLUMNS($O$1006:Q1006),$O$1006:$Q$1006,0))&gt;=100000), " ",IF(INDEX($O$2:$Q$1001,MATCH(ROWS($H$2:H766),$H$2:$H$1001,0),MATCH(COLUMNS($O$1006:Q1006),$O$1006:$Q$1006,0)), HYPERLINK("#",""), HYPERLINK(CONCATENATE("#metadata!", ADDRESS(INDEX($J$2:$J$1001,MATCH(ROWS($H$2:H766),$H$2:$H$1001,0),0), INDEX($O$1004:$Q$1004,1,MATCH(COLUMNS($O$1006:Q1006),$O$1006:$Q$1006,0)))),"Fix")))</f>
        <v xml:space="preserve"> </v>
      </c>
      <c r="H766">
        <v>765</v>
      </c>
      <c r="I766">
        <v>100766</v>
      </c>
      <c r="J766">
        <v>766</v>
      </c>
      <c r="K766" t="b">
        <f t="shared" si="11"/>
        <v>1</v>
      </c>
      <c r="L766" t="b">
        <f>COUNTBLANK(metadata!B766:D766)=COLUMNS(metadata!B766:D766)</f>
        <v>1</v>
      </c>
      <c r="M766" t="str">
        <v/>
      </c>
      <c r="O766" t="b">
        <f ca="1"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P766" t="b">
        <f>AND(IF(metadata!C766="",FALSE,TRUE),EXACT(metadata!C766,"mouse gut metagenome"))</f>
        <v>0</v>
      </c>
      <c r="Q766" t="b">
        <f>AND(IF(metadata!D766="",FALSE,TRUE),EXACT(metadata!D766,"410661"))</f>
        <v>0</v>
      </c>
    </row>
    <row r="767" spans="1:17" x14ac:dyDescent="0.2">
      <c r="A767" s="4" t="str">
        <f ca="1">IF(B767=" "," ",HYPERLINK(CONCATENATE("#metadata!",ADDRESS(INDEX($J$2:$J$1001,MATCH(ROWS($H$2:H767),$H$2:$H$1001,0),0),1)),INDEX($M$2:$M$1001,MATCH(ROWS($H$2:H767),$H$2:$H$1001,0),0)))</f>
        <v xml:space="preserve"> </v>
      </c>
      <c r="B767" s="3" t="str">
        <f ca="1">IF(OR(INDEX($I$2:$I$1001,MATCH(ROWS($H$2:H767),$H$2:$H$1001,0),1)&gt;=100000,INDEX($O$1005:$Q$1005,1,MATCH(COLUMNS($O$1006:O1006),$O$1006:$Q$1006,0))&gt;=100000), " ",IF(INDEX($O$2:$Q$1001,MATCH(ROWS($H$2:H767),$H$2:$H$1001,0),MATCH(COLUMNS($O$1006:O1006),$O$1006:$Q$1006,0)), HYPERLINK("#",""), HYPERLINK(CONCATENATE("#metadata!", ADDRESS(INDEX($J$2:$J$1001,MATCH(ROWS($H$2:H767),$H$2:$H$1001,0),0), INDEX($O$1004:$Q$1004,1,MATCH(COLUMNS($O$1006:O1006),$O$1006:$Q$1006,0)))),"Fix")))</f>
        <v xml:space="preserve"> </v>
      </c>
      <c r="C767" s="3" t="str">
        <f ca="1">IF(OR(INDEX($I$2:$I$1001,MATCH(ROWS($H$2:H767),$H$2:$H$1001,0),1)&gt;=100000,INDEX($O$1005:$Q$1005,1,MATCH(COLUMNS($O$1006:P1006),$O$1006:$Q$1006,0))&gt;=100000), " ",IF(INDEX($O$2:$Q$1001,MATCH(ROWS($H$2:H767),$H$2:$H$1001,0),MATCH(COLUMNS($O$1006:P1006),$O$1006:$Q$1006,0)), HYPERLINK("#",""), HYPERLINK(CONCATENATE("#metadata!", ADDRESS(INDEX($J$2:$J$1001,MATCH(ROWS($H$2:H767),$H$2:$H$1001,0),0), INDEX($O$1004:$Q$1004,1,MATCH(COLUMNS($O$1006:P1006),$O$1006:$Q$1006,0)))),"Fix")))</f>
        <v xml:space="preserve"> </v>
      </c>
      <c r="D767" s="3" t="str">
        <f ca="1">IF(OR(INDEX($I$2:$I$1001,MATCH(ROWS($H$2:H767),$H$2:$H$1001,0),1)&gt;=100000,INDEX($O$1005:$Q$1005,1,MATCH(COLUMNS($O$1006:Q1006),$O$1006:$Q$1006,0))&gt;=100000), " ",IF(INDEX($O$2:$Q$1001,MATCH(ROWS($H$2:H767),$H$2:$H$1001,0),MATCH(COLUMNS($O$1006:Q1006),$O$1006:$Q$1006,0)), HYPERLINK("#",""), HYPERLINK(CONCATENATE("#metadata!", ADDRESS(INDEX($J$2:$J$1001,MATCH(ROWS($H$2:H767),$H$2:$H$1001,0),0), INDEX($O$1004:$Q$1004,1,MATCH(COLUMNS($O$1006:Q1006),$O$1006:$Q$1006,0)))),"Fix")))</f>
        <v xml:space="preserve"> </v>
      </c>
      <c r="H767">
        <v>766</v>
      </c>
      <c r="I767">
        <v>100767</v>
      </c>
      <c r="J767">
        <v>767</v>
      </c>
      <c r="K767" t="b">
        <f t="shared" si="11"/>
        <v>1</v>
      </c>
      <c r="L767" t="b">
        <f>COUNTBLANK(metadata!B767:D767)=COLUMNS(metadata!B767:D767)</f>
        <v>1</v>
      </c>
      <c r="M767" t="str">
        <v/>
      </c>
      <c r="O767" t="b">
        <f ca="1"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P767" t="b">
        <f>AND(IF(metadata!C767="",FALSE,TRUE),EXACT(metadata!C767,"mouse gut metagenome"))</f>
        <v>0</v>
      </c>
      <c r="Q767" t="b">
        <f>AND(IF(metadata!D767="",FALSE,TRUE),EXACT(metadata!D767,"410661"))</f>
        <v>0</v>
      </c>
    </row>
    <row r="768" spans="1:17" x14ac:dyDescent="0.2">
      <c r="A768" s="4" t="str">
        <f ca="1">IF(B768=" "," ",HYPERLINK(CONCATENATE("#metadata!",ADDRESS(INDEX($J$2:$J$1001,MATCH(ROWS($H$2:H768),$H$2:$H$1001,0),0),1)),INDEX($M$2:$M$1001,MATCH(ROWS($H$2:H768),$H$2:$H$1001,0),0)))</f>
        <v xml:space="preserve"> </v>
      </c>
      <c r="B768" s="3" t="str">
        <f ca="1">IF(OR(INDEX($I$2:$I$1001,MATCH(ROWS($H$2:H768),$H$2:$H$1001,0),1)&gt;=100000,INDEX($O$1005:$Q$1005,1,MATCH(COLUMNS($O$1006:O1006),$O$1006:$Q$1006,0))&gt;=100000), " ",IF(INDEX($O$2:$Q$1001,MATCH(ROWS($H$2:H768),$H$2:$H$1001,0),MATCH(COLUMNS($O$1006:O1006),$O$1006:$Q$1006,0)), HYPERLINK("#",""), HYPERLINK(CONCATENATE("#metadata!", ADDRESS(INDEX($J$2:$J$1001,MATCH(ROWS($H$2:H768),$H$2:$H$1001,0),0), INDEX($O$1004:$Q$1004,1,MATCH(COLUMNS($O$1006:O1006),$O$1006:$Q$1006,0)))),"Fix")))</f>
        <v xml:space="preserve"> </v>
      </c>
      <c r="C768" s="3" t="str">
        <f ca="1">IF(OR(INDEX($I$2:$I$1001,MATCH(ROWS($H$2:H768),$H$2:$H$1001,0),1)&gt;=100000,INDEX($O$1005:$Q$1005,1,MATCH(COLUMNS($O$1006:P1006),$O$1006:$Q$1006,0))&gt;=100000), " ",IF(INDEX($O$2:$Q$1001,MATCH(ROWS($H$2:H768),$H$2:$H$1001,0),MATCH(COLUMNS($O$1006:P1006),$O$1006:$Q$1006,0)), HYPERLINK("#",""), HYPERLINK(CONCATENATE("#metadata!", ADDRESS(INDEX($J$2:$J$1001,MATCH(ROWS($H$2:H768),$H$2:$H$1001,0),0), INDEX($O$1004:$Q$1004,1,MATCH(COLUMNS($O$1006:P1006),$O$1006:$Q$1006,0)))),"Fix")))</f>
        <v xml:space="preserve"> </v>
      </c>
      <c r="D768" s="3" t="str">
        <f ca="1">IF(OR(INDEX($I$2:$I$1001,MATCH(ROWS($H$2:H768),$H$2:$H$1001,0),1)&gt;=100000,INDEX($O$1005:$Q$1005,1,MATCH(COLUMNS($O$1006:Q1006),$O$1006:$Q$1006,0))&gt;=100000), " ",IF(INDEX($O$2:$Q$1001,MATCH(ROWS($H$2:H768),$H$2:$H$1001,0),MATCH(COLUMNS($O$1006:Q1006),$O$1006:$Q$1006,0)), HYPERLINK("#",""), HYPERLINK(CONCATENATE("#metadata!", ADDRESS(INDEX($J$2:$J$1001,MATCH(ROWS($H$2:H768),$H$2:$H$1001,0),0), INDEX($O$1004:$Q$1004,1,MATCH(COLUMNS($O$1006:Q1006),$O$1006:$Q$1006,0)))),"Fix")))</f>
        <v xml:space="preserve"> </v>
      </c>
      <c r="H768">
        <v>767</v>
      </c>
      <c r="I768">
        <v>100768</v>
      </c>
      <c r="J768">
        <v>768</v>
      </c>
      <c r="K768" t="b">
        <f t="shared" si="11"/>
        <v>1</v>
      </c>
      <c r="L768" t="b">
        <f>COUNTBLANK(metadata!B768:D768)=COLUMNS(metadata!B768:D768)</f>
        <v>1</v>
      </c>
      <c r="M768" t="str">
        <v/>
      </c>
      <c r="O768" t="b">
        <f ca="1"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P768" t="b">
        <f>AND(IF(metadata!C768="",FALSE,TRUE),EXACT(metadata!C768,"mouse gut metagenome"))</f>
        <v>0</v>
      </c>
      <c r="Q768" t="b">
        <f>AND(IF(metadata!D768="",FALSE,TRUE),EXACT(metadata!D768,"410661"))</f>
        <v>0</v>
      </c>
    </row>
    <row r="769" spans="1:17" x14ac:dyDescent="0.2">
      <c r="A769" s="4" t="str">
        <f ca="1">IF(B769=" "," ",HYPERLINK(CONCATENATE("#metadata!",ADDRESS(INDEX($J$2:$J$1001,MATCH(ROWS($H$2:H769),$H$2:$H$1001,0),0),1)),INDEX($M$2:$M$1001,MATCH(ROWS($H$2:H769),$H$2:$H$1001,0),0)))</f>
        <v xml:space="preserve"> </v>
      </c>
      <c r="B769" s="3" t="str">
        <f ca="1">IF(OR(INDEX($I$2:$I$1001,MATCH(ROWS($H$2:H769),$H$2:$H$1001,0),1)&gt;=100000,INDEX($O$1005:$Q$1005,1,MATCH(COLUMNS($O$1006:O1006),$O$1006:$Q$1006,0))&gt;=100000), " ",IF(INDEX($O$2:$Q$1001,MATCH(ROWS($H$2:H769),$H$2:$H$1001,0),MATCH(COLUMNS($O$1006:O1006),$O$1006:$Q$1006,0)), HYPERLINK("#",""), HYPERLINK(CONCATENATE("#metadata!", ADDRESS(INDEX($J$2:$J$1001,MATCH(ROWS($H$2:H769),$H$2:$H$1001,0),0), INDEX($O$1004:$Q$1004,1,MATCH(COLUMNS($O$1006:O1006),$O$1006:$Q$1006,0)))),"Fix")))</f>
        <v xml:space="preserve"> </v>
      </c>
      <c r="C769" s="3" t="str">
        <f ca="1">IF(OR(INDEX($I$2:$I$1001,MATCH(ROWS($H$2:H769),$H$2:$H$1001,0),1)&gt;=100000,INDEX($O$1005:$Q$1005,1,MATCH(COLUMNS($O$1006:P1006),$O$1006:$Q$1006,0))&gt;=100000), " ",IF(INDEX($O$2:$Q$1001,MATCH(ROWS($H$2:H769),$H$2:$H$1001,0),MATCH(COLUMNS($O$1006:P1006),$O$1006:$Q$1006,0)), HYPERLINK("#",""), HYPERLINK(CONCATENATE("#metadata!", ADDRESS(INDEX($J$2:$J$1001,MATCH(ROWS($H$2:H769),$H$2:$H$1001,0),0), INDEX($O$1004:$Q$1004,1,MATCH(COLUMNS($O$1006:P1006),$O$1006:$Q$1006,0)))),"Fix")))</f>
        <v xml:space="preserve"> </v>
      </c>
      <c r="D769" s="3" t="str">
        <f ca="1">IF(OR(INDEX($I$2:$I$1001,MATCH(ROWS($H$2:H769),$H$2:$H$1001,0),1)&gt;=100000,INDEX($O$1005:$Q$1005,1,MATCH(COLUMNS($O$1006:Q1006),$O$1006:$Q$1006,0))&gt;=100000), " ",IF(INDEX($O$2:$Q$1001,MATCH(ROWS($H$2:H769),$H$2:$H$1001,0),MATCH(COLUMNS($O$1006:Q1006),$O$1006:$Q$1006,0)), HYPERLINK("#",""), HYPERLINK(CONCATENATE("#metadata!", ADDRESS(INDEX($J$2:$J$1001,MATCH(ROWS($H$2:H769),$H$2:$H$1001,0),0), INDEX($O$1004:$Q$1004,1,MATCH(COLUMNS($O$1006:Q1006),$O$1006:$Q$1006,0)))),"Fix")))</f>
        <v xml:space="preserve"> </v>
      </c>
      <c r="H769">
        <v>768</v>
      </c>
      <c r="I769">
        <v>100769</v>
      </c>
      <c r="J769">
        <v>769</v>
      </c>
      <c r="K769" t="b">
        <f t="shared" si="11"/>
        <v>1</v>
      </c>
      <c r="L769" t="b">
        <f>COUNTBLANK(metadata!B769:D769)=COLUMNS(metadata!B769:D769)</f>
        <v>1</v>
      </c>
      <c r="M769" t="str">
        <v/>
      </c>
      <c r="O769" t="b">
        <f ca="1"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P769" t="b">
        <f>AND(IF(metadata!C769="",FALSE,TRUE),EXACT(metadata!C769,"mouse gut metagenome"))</f>
        <v>0</v>
      </c>
      <c r="Q769" t="b">
        <f>AND(IF(metadata!D769="",FALSE,TRUE),EXACT(metadata!D769,"410661"))</f>
        <v>0</v>
      </c>
    </row>
    <row r="770" spans="1:17" x14ac:dyDescent="0.2">
      <c r="A770" s="4" t="str">
        <f ca="1">IF(B770=" "," ",HYPERLINK(CONCATENATE("#metadata!",ADDRESS(INDEX($J$2:$J$1001,MATCH(ROWS($H$2:H770),$H$2:$H$1001,0),0),1)),INDEX($M$2:$M$1001,MATCH(ROWS($H$2:H770),$H$2:$H$1001,0),0)))</f>
        <v xml:space="preserve"> </v>
      </c>
      <c r="B770" s="3" t="str">
        <f ca="1">IF(OR(INDEX($I$2:$I$1001,MATCH(ROWS($H$2:H770),$H$2:$H$1001,0),1)&gt;=100000,INDEX($O$1005:$Q$1005,1,MATCH(COLUMNS($O$1006:O1006),$O$1006:$Q$1006,0))&gt;=100000), " ",IF(INDEX($O$2:$Q$1001,MATCH(ROWS($H$2:H770),$H$2:$H$1001,0),MATCH(COLUMNS($O$1006:O1006),$O$1006:$Q$1006,0)), HYPERLINK("#",""), HYPERLINK(CONCATENATE("#metadata!", ADDRESS(INDEX($J$2:$J$1001,MATCH(ROWS($H$2:H770),$H$2:$H$1001,0),0), INDEX($O$1004:$Q$1004,1,MATCH(COLUMNS($O$1006:O1006),$O$1006:$Q$1006,0)))),"Fix")))</f>
        <v xml:space="preserve"> </v>
      </c>
      <c r="C770" s="3" t="str">
        <f ca="1">IF(OR(INDEX($I$2:$I$1001,MATCH(ROWS($H$2:H770),$H$2:$H$1001,0),1)&gt;=100000,INDEX($O$1005:$Q$1005,1,MATCH(COLUMNS($O$1006:P1006),$O$1006:$Q$1006,0))&gt;=100000), " ",IF(INDEX($O$2:$Q$1001,MATCH(ROWS($H$2:H770),$H$2:$H$1001,0),MATCH(COLUMNS($O$1006:P1006),$O$1006:$Q$1006,0)), HYPERLINK("#",""), HYPERLINK(CONCATENATE("#metadata!", ADDRESS(INDEX($J$2:$J$1001,MATCH(ROWS($H$2:H770),$H$2:$H$1001,0),0), INDEX($O$1004:$Q$1004,1,MATCH(COLUMNS($O$1006:P1006),$O$1006:$Q$1006,0)))),"Fix")))</f>
        <v xml:space="preserve"> </v>
      </c>
      <c r="D770" s="3" t="str">
        <f ca="1">IF(OR(INDEX($I$2:$I$1001,MATCH(ROWS($H$2:H770),$H$2:$H$1001,0),1)&gt;=100000,INDEX($O$1005:$Q$1005,1,MATCH(COLUMNS($O$1006:Q1006),$O$1006:$Q$1006,0))&gt;=100000), " ",IF(INDEX($O$2:$Q$1001,MATCH(ROWS($H$2:H770),$H$2:$H$1001,0),MATCH(COLUMNS($O$1006:Q1006),$O$1006:$Q$1006,0)), HYPERLINK("#",""), HYPERLINK(CONCATENATE("#metadata!", ADDRESS(INDEX($J$2:$J$1001,MATCH(ROWS($H$2:H770),$H$2:$H$1001,0),0), INDEX($O$1004:$Q$1004,1,MATCH(COLUMNS($O$1006:Q1006),$O$1006:$Q$1006,0)))),"Fix")))</f>
        <v xml:space="preserve"> </v>
      </c>
      <c r="H770">
        <v>769</v>
      </c>
      <c r="I770">
        <v>100770</v>
      </c>
      <c r="J770">
        <v>770</v>
      </c>
      <c r="K770" t="b">
        <f t="shared" ref="K770:K833" si="12">IF(L770,TRUE,AND(O770:Q770))</f>
        <v>1</v>
      </c>
      <c r="L770" t="b">
        <f>COUNTBLANK(metadata!B770:D770)=COLUMNS(metadata!B770:D770)</f>
        <v>1</v>
      </c>
      <c r="M770" t="str">
        <v/>
      </c>
      <c r="O770" t="b">
        <f ca="1"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P770" t="b">
        <f>AND(IF(metadata!C770="",FALSE,TRUE),EXACT(metadata!C770,"mouse gut metagenome"))</f>
        <v>0</v>
      </c>
      <c r="Q770" t="b">
        <f>AND(IF(metadata!D770="",FALSE,TRUE),EXACT(metadata!D770,"410661"))</f>
        <v>0</v>
      </c>
    </row>
    <row r="771" spans="1:17" x14ac:dyDescent="0.2">
      <c r="A771" s="4" t="str">
        <f ca="1">IF(B771=" "," ",HYPERLINK(CONCATENATE("#metadata!",ADDRESS(INDEX($J$2:$J$1001,MATCH(ROWS($H$2:H771),$H$2:$H$1001,0),0),1)),INDEX($M$2:$M$1001,MATCH(ROWS($H$2:H771),$H$2:$H$1001,0),0)))</f>
        <v xml:space="preserve"> </v>
      </c>
      <c r="B771" s="3" t="str">
        <f ca="1">IF(OR(INDEX($I$2:$I$1001,MATCH(ROWS($H$2:H771),$H$2:$H$1001,0),1)&gt;=100000,INDEX($O$1005:$Q$1005,1,MATCH(COLUMNS($O$1006:O1006),$O$1006:$Q$1006,0))&gt;=100000), " ",IF(INDEX($O$2:$Q$1001,MATCH(ROWS($H$2:H771),$H$2:$H$1001,0),MATCH(COLUMNS($O$1006:O1006),$O$1006:$Q$1006,0)), HYPERLINK("#",""), HYPERLINK(CONCATENATE("#metadata!", ADDRESS(INDEX($J$2:$J$1001,MATCH(ROWS($H$2:H771),$H$2:$H$1001,0),0), INDEX($O$1004:$Q$1004,1,MATCH(COLUMNS($O$1006:O1006),$O$1006:$Q$1006,0)))),"Fix")))</f>
        <v xml:space="preserve"> </v>
      </c>
      <c r="C771" s="3" t="str">
        <f ca="1">IF(OR(INDEX($I$2:$I$1001,MATCH(ROWS($H$2:H771),$H$2:$H$1001,0),1)&gt;=100000,INDEX($O$1005:$Q$1005,1,MATCH(COLUMNS($O$1006:P1006),$O$1006:$Q$1006,0))&gt;=100000), " ",IF(INDEX($O$2:$Q$1001,MATCH(ROWS($H$2:H771),$H$2:$H$1001,0),MATCH(COLUMNS($O$1006:P1006),$O$1006:$Q$1006,0)), HYPERLINK("#",""), HYPERLINK(CONCATENATE("#metadata!", ADDRESS(INDEX($J$2:$J$1001,MATCH(ROWS($H$2:H771),$H$2:$H$1001,0),0), INDEX($O$1004:$Q$1004,1,MATCH(COLUMNS($O$1006:P1006),$O$1006:$Q$1006,0)))),"Fix")))</f>
        <v xml:space="preserve"> </v>
      </c>
      <c r="D771" s="3" t="str">
        <f ca="1">IF(OR(INDEX($I$2:$I$1001,MATCH(ROWS($H$2:H771),$H$2:$H$1001,0),1)&gt;=100000,INDEX($O$1005:$Q$1005,1,MATCH(COLUMNS($O$1006:Q1006),$O$1006:$Q$1006,0))&gt;=100000), " ",IF(INDEX($O$2:$Q$1001,MATCH(ROWS($H$2:H771),$H$2:$H$1001,0),MATCH(COLUMNS($O$1006:Q1006),$O$1006:$Q$1006,0)), HYPERLINK("#",""), HYPERLINK(CONCATENATE("#metadata!", ADDRESS(INDEX($J$2:$J$1001,MATCH(ROWS($H$2:H771),$H$2:$H$1001,0),0), INDEX($O$1004:$Q$1004,1,MATCH(COLUMNS($O$1006:Q1006),$O$1006:$Q$1006,0)))),"Fix")))</f>
        <v xml:space="preserve"> </v>
      </c>
      <c r="H771">
        <v>770</v>
      </c>
      <c r="I771">
        <v>100771</v>
      </c>
      <c r="J771">
        <v>771</v>
      </c>
      <c r="K771" t="b">
        <f t="shared" si="12"/>
        <v>1</v>
      </c>
      <c r="L771" t="b">
        <f>COUNTBLANK(metadata!B771:D771)=COLUMNS(metadata!B771:D771)</f>
        <v>1</v>
      </c>
      <c r="M771" t="str">
        <v/>
      </c>
      <c r="O771" t="b">
        <f ca="1"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P771" t="b">
        <f>AND(IF(metadata!C771="",FALSE,TRUE),EXACT(metadata!C771,"mouse gut metagenome"))</f>
        <v>0</v>
      </c>
      <c r="Q771" t="b">
        <f>AND(IF(metadata!D771="",FALSE,TRUE),EXACT(metadata!D771,"410661"))</f>
        <v>0</v>
      </c>
    </row>
    <row r="772" spans="1:17" x14ac:dyDescent="0.2">
      <c r="A772" s="4" t="str">
        <f ca="1">IF(B772=" "," ",HYPERLINK(CONCATENATE("#metadata!",ADDRESS(INDEX($J$2:$J$1001,MATCH(ROWS($H$2:H772),$H$2:$H$1001,0),0),1)),INDEX($M$2:$M$1001,MATCH(ROWS($H$2:H772),$H$2:$H$1001,0),0)))</f>
        <v xml:space="preserve"> </v>
      </c>
      <c r="B772" s="3" t="str">
        <f ca="1">IF(OR(INDEX($I$2:$I$1001,MATCH(ROWS($H$2:H772),$H$2:$H$1001,0),1)&gt;=100000,INDEX($O$1005:$Q$1005,1,MATCH(COLUMNS($O$1006:O1006),$O$1006:$Q$1006,0))&gt;=100000), " ",IF(INDEX($O$2:$Q$1001,MATCH(ROWS($H$2:H772),$H$2:$H$1001,0),MATCH(COLUMNS($O$1006:O1006),$O$1006:$Q$1006,0)), HYPERLINK("#",""), HYPERLINK(CONCATENATE("#metadata!", ADDRESS(INDEX($J$2:$J$1001,MATCH(ROWS($H$2:H772),$H$2:$H$1001,0),0), INDEX($O$1004:$Q$1004,1,MATCH(COLUMNS($O$1006:O1006),$O$1006:$Q$1006,0)))),"Fix")))</f>
        <v xml:space="preserve"> </v>
      </c>
      <c r="C772" s="3" t="str">
        <f ca="1">IF(OR(INDEX($I$2:$I$1001,MATCH(ROWS($H$2:H772),$H$2:$H$1001,0),1)&gt;=100000,INDEX($O$1005:$Q$1005,1,MATCH(COLUMNS($O$1006:P1006),$O$1006:$Q$1006,0))&gt;=100000), " ",IF(INDEX($O$2:$Q$1001,MATCH(ROWS($H$2:H772),$H$2:$H$1001,0),MATCH(COLUMNS($O$1006:P1006),$O$1006:$Q$1006,0)), HYPERLINK("#",""), HYPERLINK(CONCATENATE("#metadata!", ADDRESS(INDEX($J$2:$J$1001,MATCH(ROWS($H$2:H772),$H$2:$H$1001,0),0), INDEX($O$1004:$Q$1004,1,MATCH(COLUMNS($O$1006:P1006),$O$1006:$Q$1006,0)))),"Fix")))</f>
        <v xml:space="preserve"> </v>
      </c>
      <c r="D772" s="3" t="str">
        <f ca="1">IF(OR(INDEX($I$2:$I$1001,MATCH(ROWS($H$2:H772),$H$2:$H$1001,0),1)&gt;=100000,INDEX($O$1005:$Q$1005,1,MATCH(COLUMNS($O$1006:Q1006),$O$1006:$Q$1006,0))&gt;=100000), " ",IF(INDEX($O$2:$Q$1001,MATCH(ROWS($H$2:H772),$H$2:$H$1001,0),MATCH(COLUMNS($O$1006:Q1006),$O$1006:$Q$1006,0)), HYPERLINK("#",""), HYPERLINK(CONCATENATE("#metadata!", ADDRESS(INDEX($J$2:$J$1001,MATCH(ROWS($H$2:H772),$H$2:$H$1001,0),0), INDEX($O$1004:$Q$1004,1,MATCH(COLUMNS($O$1006:Q1006),$O$1006:$Q$1006,0)))),"Fix")))</f>
        <v xml:space="preserve"> </v>
      </c>
      <c r="H772">
        <v>771</v>
      </c>
      <c r="I772">
        <v>100772</v>
      </c>
      <c r="J772">
        <v>772</v>
      </c>
      <c r="K772" t="b">
        <f t="shared" si="12"/>
        <v>1</v>
      </c>
      <c r="L772" t="b">
        <f>COUNTBLANK(metadata!B772:D772)=COLUMNS(metadata!B772:D772)</f>
        <v>1</v>
      </c>
      <c r="M772" t="str">
        <v/>
      </c>
      <c r="O772" t="b">
        <f ca="1"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P772" t="b">
        <f>AND(IF(metadata!C772="",FALSE,TRUE),EXACT(metadata!C772,"mouse gut metagenome"))</f>
        <v>0</v>
      </c>
      <c r="Q772" t="b">
        <f>AND(IF(metadata!D772="",FALSE,TRUE),EXACT(metadata!D772,"410661"))</f>
        <v>0</v>
      </c>
    </row>
    <row r="773" spans="1:17" x14ac:dyDescent="0.2">
      <c r="A773" s="4" t="str">
        <f ca="1">IF(B773=" "," ",HYPERLINK(CONCATENATE("#metadata!",ADDRESS(INDEX($J$2:$J$1001,MATCH(ROWS($H$2:H773),$H$2:$H$1001,0),0),1)),INDEX($M$2:$M$1001,MATCH(ROWS($H$2:H773),$H$2:$H$1001,0),0)))</f>
        <v xml:space="preserve"> </v>
      </c>
      <c r="B773" s="3" t="str">
        <f ca="1">IF(OR(INDEX($I$2:$I$1001,MATCH(ROWS($H$2:H773),$H$2:$H$1001,0),1)&gt;=100000,INDEX($O$1005:$Q$1005,1,MATCH(COLUMNS($O$1006:O1006),$O$1006:$Q$1006,0))&gt;=100000), " ",IF(INDEX($O$2:$Q$1001,MATCH(ROWS($H$2:H773),$H$2:$H$1001,0),MATCH(COLUMNS($O$1006:O1006),$O$1006:$Q$1006,0)), HYPERLINK("#",""), HYPERLINK(CONCATENATE("#metadata!", ADDRESS(INDEX($J$2:$J$1001,MATCH(ROWS($H$2:H773),$H$2:$H$1001,0),0), INDEX($O$1004:$Q$1004,1,MATCH(COLUMNS($O$1006:O1006),$O$1006:$Q$1006,0)))),"Fix")))</f>
        <v xml:space="preserve"> </v>
      </c>
      <c r="C773" s="3" t="str">
        <f ca="1">IF(OR(INDEX($I$2:$I$1001,MATCH(ROWS($H$2:H773),$H$2:$H$1001,0),1)&gt;=100000,INDEX($O$1005:$Q$1005,1,MATCH(COLUMNS($O$1006:P1006),$O$1006:$Q$1006,0))&gt;=100000), " ",IF(INDEX($O$2:$Q$1001,MATCH(ROWS($H$2:H773),$H$2:$H$1001,0),MATCH(COLUMNS($O$1006:P1006),$O$1006:$Q$1006,0)), HYPERLINK("#",""), HYPERLINK(CONCATENATE("#metadata!", ADDRESS(INDEX($J$2:$J$1001,MATCH(ROWS($H$2:H773),$H$2:$H$1001,0),0), INDEX($O$1004:$Q$1004,1,MATCH(COLUMNS($O$1006:P1006),$O$1006:$Q$1006,0)))),"Fix")))</f>
        <v xml:space="preserve"> </v>
      </c>
      <c r="D773" s="3" t="str">
        <f ca="1">IF(OR(INDEX($I$2:$I$1001,MATCH(ROWS($H$2:H773),$H$2:$H$1001,0),1)&gt;=100000,INDEX($O$1005:$Q$1005,1,MATCH(COLUMNS($O$1006:Q1006),$O$1006:$Q$1006,0))&gt;=100000), " ",IF(INDEX($O$2:$Q$1001,MATCH(ROWS($H$2:H773),$H$2:$H$1001,0),MATCH(COLUMNS($O$1006:Q1006),$O$1006:$Q$1006,0)), HYPERLINK("#",""), HYPERLINK(CONCATENATE("#metadata!", ADDRESS(INDEX($J$2:$J$1001,MATCH(ROWS($H$2:H773),$H$2:$H$1001,0),0), INDEX($O$1004:$Q$1004,1,MATCH(COLUMNS($O$1006:Q1006),$O$1006:$Q$1006,0)))),"Fix")))</f>
        <v xml:space="preserve"> </v>
      </c>
      <c r="H773">
        <v>772</v>
      </c>
      <c r="I773">
        <v>100773</v>
      </c>
      <c r="J773">
        <v>773</v>
      </c>
      <c r="K773" t="b">
        <f t="shared" si="12"/>
        <v>1</v>
      </c>
      <c r="L773" t="b">
        <f>COUNTBLANK(metadata!B773:D773)=COLUMNS(metadata!B773:D773)</f>
        <v>1</v>
      </c>
      <c r="M773" t="str">
        <v/>
      </c>
      <c r="O773" t="b">
        <f ca="1"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P773" t="b">
        <f>AND(IF(metadata!C773="",FALSE,TRUE),EXACT(metadata!C773,"mouse gut metagenome"))</f>
        <v>0</v>
      </c>
      <c r="Q773" t="b">
        <f>AND(IF(metadata!D773="",FALSE,TRUE),EXACT(metadata!D773,"410661"))</f>
        <v>0</v>
      </c>
    </row>
    <row r="774" spans="1:17" x14ac:dyDescent="0.2">
      <c r="A774" s="4" t="str">
        <f ca="1">IF(B774=" "," ",HYPERLINK(CONCATENATE("#metadata!",ADDRESS(INDEX($J$2:$J$1001,MATCH(ROWS($H$2:H774),$H$2:$H$1001,0),0),1)),INDEX($M$2:$M$1001,MATCH(ROWS($H$2:H774),$H$2:$H$1001,0),0)))</f>
        <v xml:space="preserve"> </v>
      </c>
      <c r="B774" s="3" t="str">
        <f ca="1">IF(OR(INDEX($I$2:$I$1001,MATCH(ROWS($H$2:H774),$H$2:$H$1001,0),1)&gt;=100000,INDEX($O$1005:$Q$1005,1,MATCH(COLUMNS($O$1006:O1006),$O$1006:$Q$1006,0))&gt;=100000), " ",IF(INDEX($O$2:$Q$1001,MATCH(ROWS($H$2:H774),$H$2:$H$1001,0),MATCH(COLUMNS($O$1006:O1006),$O$1006:$Q$1006,0)), HYPERLINK("#",""), HYPERLINK(CONCATENATE("#metadata!", ADDRESS(INDEX($J$2:$J$1001,MATCH(ROWS($H$2:H774),$H$2:$H$1001,0),0), INDEX($O$1004:$Q$1004,1,MATCH(COLUMNS($O$1006:O1006),$O$1006:$Q$1006,0)))),"Fix")))</f>
        <v xml:space="preserve"> </v>
      </c>
      <c r="C774" s="3" t="str">
        <f ca="1">IF(OR(INDEX($I$2:$I$1001,MATCH(ROWS($H$2:H774),$H$2:$H$1001,0),1)&gt;=100000,INDEX($O$1005:$Q$1005,1,MATCH(COLUMNS($O$1006:P1006),$O$1006:$Q$1006,0))&gt;=100000), " ",IF(INDEX($O$2:$Q$1001,MATCH(ROWS($H$2:H774),$H$2:$H$1001,0),MATCH(COLUMNS($O$1006:P1006),$O$1006:$Q$1006,0)), HYPERLINK("#",""), HYPERLINK(CONCATENATE("#metadata!", ADDRESS(INDEX($J$2:$J$1001,MATCH(ROWS($H$2:H774),$H$2:$H$1001,0),0), INDEX($O$1004:$Q$1004,1,MATCH(COLUMNS($O$1006:P1006),$O$1006:$Q$1006,0)))),"Fix")))</f>
        <v xml:space="preserve"> </v>
      </c>
      <c r="D774" s="3" t="str">
        <f ca="1">IF(OR(INDEX($I$2:$I$1001,MATCH(ROWS($H$2:H774),$H$2:$H$1001,0),1)&gt;=100000,INDEX($O$1005:$Q$1005,1,MATCH(COLUMNS($O$1006:Q1006),$O$1006:$Q$1006,0))&gt;=100000), " ",IF(INDEX($O$2:$Q$1001,MATCH(ROWS($H$2:H774),$H$2:$H$1001,0),MATCH(COLUMNS($O$1006:Q1006),$O$1006:$Q$1006,0)), HYPERLINK("#",""), HYPERLINK(CONCATENATE("#metadata!", ADDRESS(INDEX($J$2:$J$1001,MATCH(ROWS($H$2:H774),$H$2:$H$1001,0),0), INDEX($O$1004:$Q$1004,1,MATCH(COLUMNS($O$1006:Q1006),$O$1006:$Q$1006,0)))),"Fix")))</f>
        <v xml:space="preserve"> </v>
      </c>
      <c r="H774">
        <v>773</v>
      </c>
      <c r="I774">
        <v>100774</v>
      </c>
      <c r="J774">
        <v>774</v>
      </c>
      <c r="K774" t="b">
        <f t="shared" si="12"/>
        <v>1</v>
      </c>
      <c r="L774" t="b">
        <f>COUNTBLANK(metadata!B774:D774)=COLUMNS(metadata!B774:D774)</f>
        <v>1</v>
      </c>
      <c r="M774" t="str">
        <v/>
      </c>
      <c r="O774" t="b">
        <f ca="1"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P774" t="b">
        <f>AND(IF(metadata!C774="",FALSE,TRUE),EXACT(metadata!C774,"mouse gut metagenome"))</f>
        <v>0</v>
      </c>
      <c r="Q774" t="b">
        <f>AND(IF(metadata!D774="",FALSE,TRUE),EXACT(metadata!D774,"410661"))</f>
        <v>0</v>
      </c>
    </row>
    <row r="775" spans="1:17" x14ac:dyDescent="0.2">
      <c r="A775" s="4" t="str">
        <f ca="1">IF(B775=" "," ",HYPERLINK(CONCATENATE("#metadata!",ADDRESS(INDEX($J$2:$J$1001,MATCH(ROWS($H$2:H775),$H$2:$H$1001,0),0),1)),INDEX($M$2:$M$1001,MATCH(ROWS($H$2:H775),$H$2:$H$1001,0),0)))</f>
        <v xml:space="preserve"> </v>
      </c>
      <c r="B775" s="3" t="str">
        <f ca="1">IF(OR(INDEX($I$2:$I$1001,MATCH(ROWS($H$2:H775),$H$2:$H$1001,0),1)&gt;=100000,INDEX($O$1005:$Q$1005,1,MATCH(COLUMNS($O$1006:O1006),$O$1006:$Q$1006,0))&gt;=100000), " ",IF(INDEX($O$2:$Q$1001,MATCH(ROWS($H$2:H775),$H$2:$H$1001,0),MATCH(COLUMNS($O$1006:O1006),$O$1006:$Q$1006,0)), HYPERLINK("#",""), HYPERLINK(CONCATENATE("#metadata!", ADDRESS(INDEX($J$2:$J$1001,MATCH(ROWS($H$2:H775),$H$2:$H$1001,0),0), INDEX($O$1004:$Q$1004,1,MATCH(COLUMNS($O$1006:O1006),$O$1006:$Q$1006,0)))),"Fix")))</f>
        <v xml:space="preserve"> </v>
      </c>
      <c r="C775" s="3" t="str">
        <f ca="1">IF(OR(INDEX($I$2:$I$1001,MATCH(ROWS($H$2:H775),$H$2:$H$1001,0),1)&gt;=100000,INDEX($O$1005:$Q$1005,1,MATCH(COLUMNS($O$1006:P1006),$O$1006:$Q$1006,0))&gt;=100000), " ",IF(INDEX($O$2:$Q$1001,MATCH(ROWS($H$2:H775),$H$2:$H$1001,0),MATCH(COLUMNS($O$1006:P1006),$O$1006:$Q$1006,0)), HYPERLINK("#",""), HYPERLINK(CONCATENATE("#metadata!", ADDRESS(INDEX($J$2:$J$1001,MATCH(ROWS($H$2:H775),$H$2:$H$1001,0),0), INDEX($O$1004:$Q$1004,1,MATCH(COLUMNS($O$1006:P1006),$O$1006:$Q$1006,0)))),"Fix")))</f>
        <v xml:space="preserve"> </v>
      </c>
      <c r="D775" s="3" t="str">
        <f ca="1">IF(OR(INDEX($I$2:$I$1001,MATCH(ROWS($H$2:H775),$H$2:$H$1001,0),1)&gt;=100000,INDEX($O$1005:$Q$1005,1,MATCH(COLUMNS($O$1006:Q1006),$O$1006:$Q$1006,0))&gt;=100000), " ",IF(INDEX($O$2:$Q$1001,MATCH(ROWS($H$2:H775),$H$2:$H$1001,0),MATCH(COLUMNS($O$1006:Q1006),$O$1006:$Q$1006,0)), HYPERLINK("#",""), HYPERLINK(CONCATENATE("#metadata!", ADDRESS(INDEX($J$2:$J$1001,MATCH(ROWS($H$2:H775),$H$2:$H$1001,0),0), INDEX($O$1004:$Q$1004,1,MATCH(COLUMNS($O$1006:Q1006),$O$1006:$Q$1006,0)))),"Fix")))</f>
        <v xml:space="preserve"> </v>
      </c>
      <c r="H775">
        <v>774</v>
      </c>
      <c r="I775">
        <v>100775</v>
      </c>
      <c r="J775">
        <v>775</v>
      </c>
      <c r="K775" t="b">
        <f t="shared" si="12"/>
        <v>1</v>
      </c>
      <c r="L775" t="b">
        <f>COUNTBLANK(metadata!B775:D775)=COLUMNS(metadata!B775:D775)</f>
        <v>1</v>
      </c>
      <c r="M775" t="str">
        <v/>
      </c>
      <c r="O775" t="b">
        <f ca="1"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P775" t="b">
        <f>AND(IF(metadata!C775="",FALSE,TRUE),EXACT(metadata!C775,"mouse gut metagenome"))</f>
        <v>0</v>
      </c>
      <c r="Q775" t="b">
        <f>AND(IF(metadata!D775="",FALSE,TRUE),EXACT(metadata!D775,"410661"))</f>
        <v>0</v>
      </c>
    </row>
    <row r="776" spans="1:17" x14ac:dyDescent="0.2">
      <c r="A776" s="4" t="str">
        <f ca="1">IF(B776=" "," ",HYPERLINK(CONCATENATE("#metadata!",ADDRESS(INDEX($J$2:$J$1001,MATCH(ROWS($H$2:H776),$H$2:$H$1001,0),0),1)),INDEX($M$2:$M$1001,MATCH(ROWS($H$2:H776),$H$2:$H$1001,0),0)))</f>
        <v xml:space="preserve"> </v>
      </c>
      <c r="B776" s="3" t="str">
        <f ca="1">IF(OR(INDEX($I$2:$I$1001,MATCH(ROWS($H$2:H776),$H$2:$H$1001,0),1)&gt;=100000,INDEX($O$1005:$Q$1005,1,MATCH(COLUMNS($O$1006:O1006),$O$1006:$Q$1006,0))&gt;=100000), " ",IF(INDEX($O$2:$Q$1001,MATCH(ROWS($H$2:H776),$H$2:$H$1001,0),MATCH(COLUMNS($O$1006:O1006),$O$1006:$Q$1006,0)), HYPERLINK("#",""), HYPERLINK(CONCATENATE("#metadata!", ADDRESS(INDEX($J$2:$J$1001,MATCH(ROWS($H$2:H776),$H$2:$H$1001,0),0), INDEX($O$1004:$Q$1004,1,MATCH(COLUMNS($O$1006:O1006),$O$1006:$Q$1006,0)))),"Fix")))</f>
        <v xml:space="preserve"> </v>
      </c>
      <c r="C776" s="3" t="str">
        <f ca="1">IF(OR(INDEX($I$2:$I$1001,MATCH(ROWS($H$2:H776),$H$2:$H$1001,0),1)&gt;=100000,INDEX($O$1005:$Q$1005,1,MATCH(COLUMNS($O$1006:P1006),$O$1006:$Q$1006,0))&gt;=100000), " ",IF(INDEX($O$2:$Q$1001,MATCH(ROWS($H$2:H776),$H$2:$H$1001,0),MATCH(COLUMNS($O$1006:P1006),$O$1006:$Q$1006,0)), HYPERLINK("#",""), HYPERLINK(CONCATENATE("#metadata!", ADDRESS(INDEX($J$2:$J$1001,MATCH(ROWS($H$2:H776),$H$2:$H$1001,0),0), INDEX($O$1004:$Q$1004,1,MATCH(COLUMNS($O$1006:P1006),$O$1006:$Q$1006,0)))),"Fix")))</f>
        <v xml:space="preserve"> </v>
      </c>
      <c r="D776" s="3" t="str">
        <f ca="1">IF(OR(INDEX($I$2:$I$1001,MATCH(ROWS($H$2:H776),$H$2:$H$1001,0),1)&gt;=100000,INDEX($O$1005:$Q$1005,1,MATCH(COLUMNS($O$1006:Q1006),$O$1006:$Q$1006,0))&gt;=100000), " ",IF(INDEX($O$2:$Q$1001,MATCH(ROWS($H$2:H776),$H$2:$H$1001,0),MATCH(COLUMNS($O$1006:Q1006),$O$1006:$Q$1006,0)), HYPERLINK("#",""), HYPERLINK(CONCATENATE("#metadata!", ADDRESS(INDEX($J$2:$J$1001,MATCH(ROWS($H$2:H776),$H$2:$H$1001,0),0), INDEX($O$1004:$Q$1004,1,MATCH(COLUMNS($O$1006:Q1006),$O$1006:$Q$1006,0)))),"Fix")))</f>
        <v xml:space="preserve"> </v>
      </c>
      <c r="H776">
        <v>775</v>
      </c>
      <c r="I776">
        <v>100776</v>
      </c>
      <c r="J776">
        <v>776</v>
      </c>
      <c r="K776" t="b">
        <f t="shared" si="12"/>
        <v>1</v>
      </c>
      <c r="L776" t="b">
        <f>COUNTBLANK(metadata!B776:D776)=COLUMNS(metadata!B776:D776)</f>
        <v>1</v>
      </c>
      <c r="M776" t="str">
        <v/>
      </c>
      <c r="O776" t="b">
        <f ca="1"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P776" t="b">
        <f>AND(IF(metadata!C776="",FALSE,TRUE),EXACT(metadata!C776,"mouse gut metagenome"))</f>
        <v>0</v>
      </c>
      <c r="Q776" t="b">
        <f>AND(IF(metadata!D776="",FALSE,TRUE),EXACT(metadata!D776,"410661"))</f>
        <v>0</v>
      </c>
    </row>
    <row r="777" spans="1:17" x14ac:dyDescent="0.2">
      <c r="A777" s="4" t="str">
        <f ca="1">IF(B777=" "," ",HYPERLINK(CONCATENATE("#metadata!",ADDRESS(INDEX($J$2:$J$1001,MATCH(ROWS($H$2:H777),$H$2:$H$1001,0),0),1)),INDEX($M$2:$M$1001,MATCH(ROWS($H$2:H777),$H$2:$H$1001,0),0)))</f>
        <v xml:space="preserve"> </v>
      </c>
      <c r="B777" s="3" t="str">
        <f ca="1">IF(OR(INDEX($I$2:$I$1001,MATCH(ROWS($H$2:H777),$H$2:$H$1001,0),1)&gt;=100000,INDEX($O$1005:$Q$1005,1,MATCH(COLUMNS($O$1006:O1006),$O$1006:$Q$1006,0))&gt;=100000), " ",IF(INDEX($O$2:$Q$1001,MATCH(ROWS($H$2:H777),$H$2:$H$1001,0),MATCH(COLUMNS($O$1006:O1006),$O$1006:$Q$1006,0)), HYPERLINK("#",""), HYPERLINK(CONCATENATE("#metadata!", ADDRESS(INDEX($J$2:$J$1001,MATCH(ROWS($H$2:H777),$H$2:$H$1001,0),0), INDEX($O$1004:$Q$1004,1,MATCH(COLUMNS($O$1006:O1006),$O$1006:$Q$1006,0)))),"Fix")))</f>
        <v xml:space="preserve"> </v>
      </c>
      <c r="C777" s="3" t="str">
        <f ca="1">IF(OR(INDEX($I$2:$I$1001,MATCH(ROWS($H$2:H777),$H$2:$H$1001,0),1)&gt;=100000,INDEX($O$1005:$Q$1005,1,MATCH(COLUMNS($O$1006:P1006),$O$1006:$Q$1006,0))&gt;=100000), " ",IF(INDEX($O$2:$Q$1001,MATCH(ROWS($H$2:H777),$H$2:$H$1001,0),MATCH(COLUMNS($O$1006:P1006),$O$1006:$Q$1006,0)), HYPERLINK("#",""), HYPERLINK(CONCATENATE("#metadata!", ADDRESS(INDEX($J$2:$J$1001,MATCH(ROWS($H$2:H777),$H$2:$H$1001,0),0), INDEX($O$1004:$Q$1004,1,MATCH(COLUMNS($O$1006:P1006),$O$1006:$Q$1006,0)))),"Fix")))</f>
        <v xml:space="preserve"> </v>
      </c>
      <c r="D777" s="3" t="str">
        <f ca="1">IF(OR(INDEX($I$2:$I$1001,MATCH(ROWS($H$2:H777),$H$2:$H$1001,0),1)&gt;=100000,INDEX($O$1005:$Q$1005,1,MATCH(COLUMNS($O$1006:Q1006),$O$1006:$Q$1006,0))&gt;=100000), " ",IF(INDEX($O$2:$Q$1001,MATCH(ROWS($H$2:H777),$H$2:$H$1001,0),MATCH(COLUMNS($O$1006:Q1006),$O$1006:$Q$1006,0)), HYPERLINK("#",""), HYPERLINK(CONCATENATE("#metadata!", ADDRESS(INDEX($J$2:$J$1001,MATCH(ROWS($H$2:H777),$H$2:$H$1001,0),0), INDEX($O$1004:$Q$1004,1,MATCH(COLUMNS($O$1006:Q1006),$O$1006:$Q$1006,0)))),"Fix")))</f>
        <v xml:space="preserve"> </v>
      </c>
      <c r="H777">
        <v>776</v>
      </c>
      <c r="I777">
        <v>100777</v>
      </c>
      <c r="J777">
        <v>777</v>
      </c>
      <c r="K777" t="b">
        <f t="shared" si="12"/>
        <v>1</v>
      </c>
      <c r="L777" t="b">
        <f>COUNTBLANK(metadata!B777:D777)=COLUMNS(metadata!B777:D777)</f>
        <v>1</v>
      </c>
      <c r="M777" t="str">
        <v/>
      </c>
      <c r="O777" t="b">
        <f ca="1"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P777" t="b">
        <f>AND(IF(metadata!C777="",FALSE,TRUE),EXACT(metadata!C777,"mouse gut metagenome"))</f>
        <v>0</v>
      </c>
      <c r="Q777" t="b">
        <f>AND(IF(metadata!D777="",FALSE,TRUE),EXACT(metadata!D777,"410661"))</f>
        <v>0</v>
      </c>
    </row>
    <row r="778" spans="1:17" x14ac:dyDescent="0.2">
      <c r="A778" s="4" t="str">
        <f ca="1">IF(B778=" "," ",HYPERLINK(CONCATENATE("#metadata!",ADDRESS(INDEX($J$2:$J$1001,MATCH(ROWS($H$2:H778),$H$2:$H$1001,0),0),1)),INDEX($M$2:$M$1001,MATCH(ROWS($H$2:H778),$H$2:$H$1001,0),0)))</f>
        <v xml:space="preserve"> </v>
      </c>
      <c r="B778" s="3" t="str">
        <f ca="1">IF(OR(INDEX($I$2:$I$1001,MATCH(ROWS($H$2:H778),$H$2:$H$1001,0),1)&gt;=100000,INDEX($O$1005:$Q$1005,1,MATCH(COLUMNS($O$1006:O1006),$O$1006:$Q$1006,0))&gt;=100000), " ",IF(INDEX($O$2:$Q$1001,MATCH(ROWS($H$2:H778),$H$2:$H$1001,0),MATCH(COLUMNS($O$1006:O1006),$O$1006:$Q$1006,0)), HYPERLINK("#",""), HYPERLINK(CONCATENATE("#metadata!", ADDRESS(INDEX($J$2:$J$1001,MATCH(ROWS($H$2:H778),$H$2:$H$1001,0),0), INDEX($O$1004:$Q$1004,1,MATCH(COLUMNS($O$1006:O1006),$O$1006:$Q$1006,0)))),"Fix")))</f>
        <v xml:space="preserve"> </v>
      </c>
      <c r="C778" s="3" t="str">
        <f ca="1">IF(OR(INDEX($I$2:$I$1001,MATCH(ROWS($H$2:H778),$H$2:$H$1001,0),1)&gt;=100000,INDEX($O$1005:$Q$1005,1,MATCH(COLUMNS($O$1006:P1006),$O$1006:$Q$1006,0))&gt;=100000), " ",IF(INDEX($O$2:$Q$1001,MATCH(ROWS($H$2:H778),$H$2:$H$1001,0),MATCH(COLUMNS($O$1006:P1006),$O$1006:$Q$1006,0)), HYPERLINK("#",""), HYPERLINK(CONCATENATE("#metadata!", ADDRESS(INDEX($J$2:$J$1001,MATCH(ROWS($H$2:H778),$H$2:$H$1001,0),0), INDEX($O$1004:$Q$1004,1,MATCH(COLUMNS($O$1006:P1006),$O$1006:$Q$1006,0)))),"Fix")))</f>
        <v xml:space="preserve"> </v>
      </c>
      <c r="D778" s="3" t="str">
        <f ca="1">IF(OR(INDEX($I$2:$I$1001,MATCH(ROWS($H$2:H778),$H$2:$H$1001,0),1)&gt;=100000,INDEX($O$1005:$Q$1005,1,MATCH(COLUMNS($O$1006:Q1006),$O$1006:$Q$1006,0))&gt;=100000), " ",IF(INDEX($O$2:$Q$1001,MATCH(ROWS($H$2:H778),$H$2:$H$1001,0),MATCH(COLUMNS($O$1006:Q1006),$O$1006:$Q$1006,0)), HYPERLINK("#",""), HYPERLINK(CONCATENATE("#metadata!", ADDRESS(INDEX($J$2:$J$1001,MATCH(ROWS($H$2:H778),$H$2:$H$1001,0),0), INDEX($O$1004:$Q$1004,1,MATCH(COLUMNS($O$1006:Q1006),$O$1006:$Q$1006,0)))),"Fix")))</f>
        <v xml:space="preserve"> </v>
      </c>
      <c r="H778">
        <v>777</v>
      </c>
      <c r="I778">
        <v>100778</v>
      </c>
      <c r="J778">
        <v>778</v>
      </c>
      <c r="K778" t="b">
        <f t="shared" si="12"/>
        <v>1</v>
      </c>
      <c r="L778" t="b">
        <f>COUNTBLANK(metadata!B778:D778)=COLUMNS(metadata!B778:D778)</f>
        <v>1</v>
      </c>
      <c r="M778" t="str">
        <v/>
      </c>
      <c r="O778" t="b">
        <f ca="1"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P778" t="b">
        <f>AND(IF(metadata!C778="",FALSE,TRUE),EXACT(metadata!C778,"mouse gut metagenome"))</f>
        <v>0</v>
      </c>
      <c r="Q778" t="b">
        <f>AND(IF(metadata!D778="",FALSE,TRUE),EXACT(metadata!D778,"410661"))</f>
        <v>0</v>
      </c>
    </row>
    <row r="779" spans="1:17" x14ac:dyDescent="0.2">
      <c r="A779" s="4" t="str">
        <f ca="1">IF(B779=" "," ",HYPERLINK(CONCATENATE("#metadata!",ADDRESS(INDEX($J$2:$J$1001,MATCH(ROWS($H$2:H779),$H$2:$H$1001,0),0),1)),INDEX($M$2:$M$1001,MATCH(ROWS($H$2:H779),$H$2:$H$1001,0),0)))</f>
        <v xml:space="preserve"> </v>
      </c>
      <c r="B779" s="3" t="str">
        <f ca="1">IF(OR(INDEX($I$2:$I$1001,MATCH(ROWS($H$2:H779),$H$2:$H$1001,0),1)&gt;=100000,INDEX($O$1005:$Q$1005,1,MATCH(COLUMNS($O$1006:O1006),$O$1006:$Q$1006,0))&gt;=100000), " ",IF(INDEX($O$2:$Q$1001,MATCH(ROWS($H$2:H779),$H$2:$H$1001,0),MATCH(COLUMNS($O$1006:O1006),$O$1006:$Q$1006,0)), HYPERLINK("#",""), HYPERLINK(CONCATENATE("#metadata!", ADDRESS(INDEX($J$2:$J$1001,MATCH(ROWS($H$2:H779),$H$2:$H$1001,0),0), INDEX($O$1004:$Q$1004,1,MATCH(COLUMNS($O$1006:O1006),$O$1006:$Q$1006,0)))),"Fix")))</f>
        <v xml:space="preserve"> </v>
      </c>
      <c r="C779" s="3" t="str">
        <f ca="1">IF(OR(INDEX($I$2:$I$1001,MATCH(ROWS($H$2:H779),$H$2:$H$1001,0),1)&gt;=100000,INDEX($O$1005:$Q$1005,1,MATCH(COLUMNS($O$1006:P1006),$O$1006:$Q$1006,0))&gt;=100000), " ",IF(INDEX($O$2:$Q$1001,MATCH(ROWS($H$2:H779),$H$2:$H$1001,0),MATCH(COLUMNS($O$1006:P1006),$O$1006:$Q$1006,0)), HYPERLINK("#",""), HYPERLINK(CONCATENATE("#metadata!", ADDRESS(INDEX($J$2:$J$1001,MATCH(ROWS($H$2:H779),$H$2:$H$1001,0),0), INDEX($O$1004:$Q$1004,1,MATCH(COLUMNS($O$1006:P1006),$O$1006:$Q$1006,0)))),"Fix")))</f>
        <v xml:space="preserve"> </v>
      </c>
      <c r="D779" s="3" t="str">
        <f ca="1">IF(OR(INDEX($I$2:$I$1001,MATCH(ROWS($H$2:H779),$H$2:$H$1001,0),1)&gt;=100000,INDEX($O$1005:$Q$1005,1,MATCH(COLUMNS($O$1006:Q1006),$O$1006:$Q$1006,0))&gt;=100000), " ",IF(INDEX($O$2:$Q$1001,MATCH(ROWS($H$2:H779),$H$2:$H$1001,0),MATCH(COLUMNS($O$1006:Q1006),$O$1006:$Q$1006,0)), HYPERLINK("#",""), HYPERLINK(CONCATENATE("#metadata!", ADDRESS(INDEX($J$2:$J$1001,MATCH(ROWS($H$2:H779),$H$2:$H$1001,0),0), INDEX($O$1004:$Q$1004,1,MATCH(COLUMNS($O$1006:Q1006),$O$1006:$Q$1006,0)))),"Fix")))</f>
        <v xml:space="preserve"> </v>
      </c>
      <c r="H779">
        <v>778</v>
      </c>
      <c r="I779">
        <v>100779</v>
      </c>
      <c r="J779">
        <v>779</v>
      </c>
      <c r="K779" t="b">
        <f t="shared" si="12"/>
        <v>1</v>
      </c>
      <c r="L779" t="b">
        <f>COUNTBLANK(metadata!B779:D779)=COLUMNS(metadata!B779:D779)</f>
        <v>1</v>
      </c>
      <c r="M779" t="str">
        <v/>
      </c>
      <c r="O779" t="b">
        <f ca="1"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P779" t="b">
        <f>AND(IF(metadata!C779="",FALSE,TRUE),EXACT(metadata!C779,"mouse gut metagenome"))</f>
        <v>0</v>
      </c>
      <c r="Q779" t="b">
        <f>AND(IF(metadata!D779="",FALSE,TRUE),EXACT(metadata!D779,"410661"))</f>
        <v>0</v>
      </c>
    </row>
    <row r="780" spans="1:17" x14ac:dyDescent="0.2">
      <c r="A780" s="4" t="str">
        <f ca="1">IF(B780=" "," ",HYPERLINK(CONCATENATE("#metadata!",ADDRESS(INDEX($J$2:$J$1001,MATCH(ROWS($H$2:H780),$H$2:$H$1001,0),0),1)),INDEX($M$2:$M$1001,MATCH(ROWS($H$2:H780),$H$2:$H$1001,0),0)))</f>
        <v xml:space="preserve"> </v>
      </c>
      <c r="B780" s="3" t="str">
        <f ca="1">IF(OR(INDEX($I$2:$I$1001,MATCH(ROWS($H$2:H780),$H$2:$H$1001,0),1)&gt;=100000,INDEX($O$1005:$Q$1005,1,MATCH(COLUMNS($O$1006:O1006),$O$1006:$Q$1006,0))&gt;=100000), " ",IF(INDEX($O$2:$Q$1001,MATCH(ROWS($H$2:H780),$H$2:$H$1001,0),MATCH(COLUMNS($O$1006:O1006),$O$1006:$Q$1006,0)), HYPERLINK("#",""), HYPERLINK(CONCATENATE("#metadata!", ADDRESS(INDEX($J$2:$J$1001,MATCH(ROWS($H$2:H780),$H$2:$H$1001,0),0), INDEX($O$1004:$Q$1004,1,MATCH(COLUMNS($O$1006:O1006),$O$1006:$Q$1006,0)))),"Fix")))</f>
        <v xml:space="preserve"> </v>
      </c>
      <c r="C780" s="3" t="str">
        <f ca="1">IF(OR(INDEX($I$2:$I$1001,MATCH(ROWS($H$2:H780),$H$2:$H$1001,0),1)&gt;=100000,INDEX($O$1005:$Q$1005,1,MATCH(COLUMNS($O$1006:P1006),$O$1006:$Q$1006,0))&gt;=100000), " ",IF(INDEX($O$2:$Q$1001,MATCH(ROWS($H$2:H780),$H$2:$H$1001,0),MATCH(COLUMNS($O$1006:P1006),$O$1006:$Q$1006,0)), HYPERLINK("#",""), HYPERLINK(CONCATENATE("#metadata!", ADDRESS(INDEX($J$2:$J$1001,MATCH(ROWS($H$2:H780),$H$2:$H$1001,0),0), INDEX($O$1004:$Q$1004,1,MATCH(COLUMNS($O$1006:P1006),$O$1006:$Q$1006,0)))),"Fix")))</f>
        <v xml:space="preserve"> </v>
      </c>
      <c r="D780" s="3" t="str">
        <f ca="1">IF(OR(INDEX($I$2:$I$1001,MATCH(ROWS($H$2:H780),$H$2:$H$1001,0),1)&gt;=100000,INDEX($O$1005:$Q$1005,1,MATCH(COLUMNS($O$1006:Q1006),$O$1006:$Q$1006,0))&gt;=100000), " ",IF(INDEX($O$2:$Q$1001,MATCH(ROWS($H$2:H780),$H$2:$H$1001,0),MATCH(COLUMNS($O$1006:Q1006),$O$1006:$Q$1006,0)), HYPERLINK("#",""), HYPERLINK(CONCATENATE("#metadata!", ADDRESS(INDEX($J$2:$J$1001,MATCH(ROWS($H$2:H780),$H$2:$H$1001,0),0), INDEX($O$1004:$Q$1004,1,MATCH(COLUMNS($O$1006:Q1006),$O$1006:$Q$1006,0)))),"Fix")))</f>
        <v xml:space="preserve"> </v>
      </c>
      <c r="H780">
        <v>779</v>
      </c>
      <c r="I780">
        <v>100780</v>
      </c>
      <c r="J780">
        <v>780</v>
      </c>
      <c r="K780" t="b">
        <f t="shared" si="12"/>
        <v>1</v>
      </c>
      <c r="L780" t="b">
        <f>COUNTBLANK(metadata!B780:D780)=COLUMNS(metadata!B780:D780)</f>
        <v>1</v>
      </c>
      <c r="M780" t="str">
        <v/>
      </c>
      <c r="O780" t="b">
        <f ca="1"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P780" t="b">
        <f>AND(IF(metadata!C780="",FALSE,TRUE),EXACT(metadata!C780,"mouse gut metagenome"))</f>
        <v>0</v>
      </c>
      <c r="Q780" t="b">
        <f>AND(IF(metadata!D780="",FALSE,TRUE),EXACT(metadata!D780,"410661"))</f>
        <v>0</v>
      </c>
    </row>
    <row r="781" spans="1:17" x14ac:dyDescent="0.2">
      <c r="A781" s="4" t="str">
        <f ca="1">IF(B781=" "," ",HYPERLINK(CONCATENATE("#metadata!",ADDRESS(INDEX($J$2:$J$1001,MATCH(ROWS($H$2:H781),$H$2:$H$1001,0),0),1)),INDEX($M$2:$M$1001,MATCH(ROWS($H$2:H781),$H$2:$H$1001,0),0)))</f>
        <v xml:space="preserve"> </v>
      </c>
      <c r="B781" s="3" t="str">
        <f ca="1">IF(OR(INDEX($I$2:$I$1001,MATCH(ROWS($H$2:H781),$H$2:$H$1001,0),1)&gt;=100000,INDEX($O$1005:$Q$1005,1,MATCH(COLUMNS($O$1006:O1006),$O$1006:$Q$1006,0))&gt;=100000), " ",IF(INDEX($O$2:$Q$1001,MATCH(ROWS($H$2:H781),$H$2:$H$1001,0),MATCH(COLUMNS($O$1006:O1006),$O$1006:$Q$1006,0)), HYPERLINK("#",""), HYPERLINK(CONCATENATE("#metadata!", ADDRESS(INDEX($J$2:$J$1001,MATCH(ROWS($H$2:H781),$H$2:$H$1001,0),0), INDEX($O$1004:$Q$1004,1,MATCH(COLUMNS($O$1006:O1006),$O$1006:$Q$1006,0)))),"Fix")))</f>
        <v xml:space="preserve"> </v>
      </c>
      <c r="C781" s="3" t="str">
        <f ca="1">IF(OR(INDEX($I$2:$I$1001,MATCH(ROWS($H$2:H781),$H$2:$H$1001,0),1)&gt;=100000,INDEX($O$1005:$Q$1005,1,MATCH(COLUMNS($O$1006:P1006),$O$1006:$Q$1006,0))&gt;=100000), " ",IF(INDEX($O$2:$Q$1001,MATCH(ROWS($H$2:H781),$H$2:$H$1001,0),MATCH(COLUMNS($O$1006:P1006),$O$1006:$Q$1006,0)), HYPERLINK("#",""), HYPERLINK(CONCATENATE("#metadata!", ADDRESS(INDEX($J$2:$J$1001,MATCH(ROWS($H$2:H781),$H$2:$H$1001,0),0), INDEX($O$1004:$Q$1004,1,MATCH(COLUMNS($O$1006:P1006),$O$1006:$Q$1006,0)))),"Fix")))</f>
        <v xml:space="preserve"> </v>
      </c>
      <c r="D781" s="3" t="str">
        <f ca="1">IF(OR(INDEX($I$2:$I$1001,MATCH(ROWS($H$2:H781),$H$2:$H$1001,0),1)&gt;=100000,INDEX($O$1005:$Q$1005,1,MATCH(COLUMNS($O$1006:Q1006),$O$1006:$Q$1006,0))&gt;=100000), " ",IF(INDEX($O$2:$Q$1001,MATCH(ROWS($H$2:H781),$H$2:$H$1001,0),MATCH(COLUMNS($O$1006:Q1006),$O$1006:$Q$1006,0)), HYPERLINK("#",""), HYPERLINK(CONCATENATE("#metadata!", ADDRESS(INDEX($J$2:$J$1001,MATCH(ROWS($H$2:H781),$H$2:$H$1001,0),0), INDEX($O$1004:$Q$1004,1,MATCH(COLUMNS($O$1006:Q1006),$O$1006:$Q$1006,0)))),"Fix")))</f>
        <v xml:space="preserve"> </v>
      </c>
      <c r="H781">
        <v>780</v>
      </c>
      <c r="I781">
        <v>100781</v>
      </c>
      <c r="J781">
        <v>781</v>
      </c>
      <c r="K781" t="b">
        <f t="shared" si="12"/>
        <v>1</v>
      </c>
      <c r="L781" t="b">
        <f>COUNTBLANK(metadata!B781:D781)=COLUMNS(metadata!B781:D781)</f>
        <v>1</v>
      </c>
      <c r="M781" t="str">
        <v/>
      </c>
      <c r="O781" t="b">
        <f ca="1"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P781" t="b">
        <f>AND(IF(metadata!C781="",FALSE,TRUE),EXACT(metadata!C781,"mouse gut metagenome"))</f>
        <v>0</v>
      </c>
      <c r="Q781" t="b">
        <f>AND(IF(metadata!D781="",FALSE,TRUE),EXACT(metadata!D781,"410661"))</f>
        <v>0</v>
      </c>
    </row>
    <row r="782" spans="1:17" x14ac:dyDescent="0.2">
      <c r="A782" s="4" t="str">
        <f ca="1">IF(B782=" "," ",HYPERLINK(CONCATENATE("#metadata!",ADDRESS(INDEX($J$2:$J$1001,MATCH(ROWS($H$2:H782),$H$2:$H$1001,0),0),1)),INDEX($M$2:$M$1001,MATCH(ROWS($H$2:H782),$H$2:$H$1001,0),0)))</f>
        <v xml:space="preserve"> </v>
      </c>
      <c r="B782" s="3" t="str">
        <f ca="1">IF(OR(INDEX($I$2:$I$1001,MATCH(ROWS($H$2:H782),$H$2:$H$1001,0),1)&gt;=100000,INDEX($O$1005:$Q$1005,1,MATCH(COLUMNS($O$1006:O1006),$O$1006:$Q$1006,0))&gt;=100000), " ",IF(INDEX($O$2:$Q$1001,MATCH(ROWS($H$2:H782),$H$2:$H$1001,0),MATCH(COLUMNS($O$1006:O1006),$O$1006:$Q$1006,0)), HYPERLINK("#",""), HYPERLINK(CONCATENATE("#metadata!", ADDRESS(INDEX($J$2:$J$1001,MATCH(ROWS($H$2:H782),$H$2:$H$1001,0),0), INDEX($O$1004:$Q$1004,1,MATCH(COLUMNS($O$1006:O1006),$O$1006:$Q$1006,0)))),"Fix")))</f>
        <v xml:space="preserve"> </v>
      </c>
      <c r="C782" s="3" t="str">
        <f ca="1">IF(OR(INDEX($I$2:$I$1001,MATCH(ROWS($H$2:H782),$H$2:$H$1001,0),1)&gt;=100000,INDEX($O$1005:$Q$1005,1,MATCH(COLUMNS($O$1006:P1006),$O$1006:$Q$1006,0))&gt;=100000), " ",IF(INDEX($O$2:$Q$1001,MATCH(ROWS($H$2:H782),$H$2:$H$1001,0),MATCH(COLUMNS($O$1006:P1006),$O$1006:$Q$1006,0)), HYPERLINK("#",""), HYPERLINK(CONCATENATE("#metadata!", ADDRESS(INDEX($J$2:$J$1001,MATCH(ROWS($H$2:H782),$H$2:$H$1001,0),0), INDEX($O$1004:$Q$1004,1,MATCH(COLUMNS($O$1006:P1006),$O$1006:$Q$1006,0)))),"Fix")))</f>
        <v xml:space="preserve"> </v>
      </c>
      <c r="D782" s="3" t="str">
        <f ca="1">IF(OR(INDEX($I$2:$I$1001,MATCH(ROWS($H$2:H782),$H$2:$H$1001,0),1)&gt;=100000,INDEX($O$1005:$Q$1005,1,MATCH(COLUMNS($O$1006:Q1006),$O$1006:$Q$1006,0))&gt;=100000), " ",IF(INDEX($O$2:$Q$1001,MATCH(ROWS($H$2:H782),$H$2:$H$1001,0),MATCH(COLUMNS($O$1006:Q1006),$O$1006:$Q$1006,0)), HYPERLINK("#",""), HYPERLINK(CONCATENATE("#metadata!", ADDRESS(INDEX($J$2:$J$1001,MATCH(ROWS($H$2:H782),$H$2:$H$1001,0),0), INDEX($O$1004:$Q$1004,1,MATCH(COLUMNS($O$1006:Q1006),$O$1006:$Q$1006,0)))),"Fix")))</f>
        <v xml:space="preserve"> </v>
      </c>
      <c r="H782">
        <v>781</v>
      </c>
      <c r="I782">
        <v>100782</v>
      </c>
      <c r="J782">
        <v>782</v>
      </c>
      <c r="K782" t="b">
        <f t="shared" si="12"/>
        <v>1</v>
      </c>
      <c r="L782" t="b">
        <f>COUNTBLANK(metadata!B782:D782)=COLUMNS(metadata!B782:D782)</f>
        <v>1</v>
      </c>
      <c r="M782" t="str">
        <v/>
      </c>
      <c r="O782" t="b">
        <f ca="1"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P782" t="b">
        <f>AND(IF(metadata!C782="",FALSE,TRUE),EXACT(metadata!C782,"mouse gut metagenome"))</f>
        <v>0</v>
      </c>
      <c r="Q782" t="b">
        <f>AND(IF(metadata!D782="",FALSE,TRUE),EXACT(metadata!D782,"410661"))</f>
        <v>0</v>
      </c>
    </row>
    <row r="783" spans="1:17" x14ac:dyDescent="0.2">
      <c r="A783" s="4" t="str">
        <f ca="1">IF(B783=" "," ",HYPERLINK(CONCATENATE("#metadata!",ADDRESS(INDEX($J$2:$J$1001,MATCH(ROWS($H$2:H783),$H$2:$H$1001,0),0),1)),INDEX($M$2:$M$1001,MATCH(ROWS($H$2:H783),$H$2:$H$1001,0),0)))</f>
        <v xml:space="preserve"> </v>
      </c>
      <c r="B783" s="3" t="str">
        <f ca="1">IF(OR(INDEX($I$2:$I$1001,MATCH(ROWS($H$2:H783),$H$2:$H$1001,0),1)&gt;=100000,INDEX($O$1005:$Q$1005,1,MATCH(COLUMNS($O$1006:O1006),$O$1006:$Q$1006,0))&gt;=100000), " ",IF(INDEX($O$2:$Q$1001,MATCH(ROWS($H$2:H783),$H$2:$H$1001,0),MATCH(COLUMNS($O$1006:O1006),$O$1006:$Q$1006,0)), HYPERLINK("#",""), HYPERLINK(CONCATENATE("#metadata!", ADDRESS(INDEX($J$2:$J$1001,MATCH(ROWS($H$2:H783),$H$2:$H$1001,0),0), INDEX($O$1004:$Q$1004,1,MATCH(COLUMNS($O$1006:O1006),$O$1006:$Q$1006,0)))),"Fix")))</f>
        <v xml:space="preserve"> </v>
      </c>
      <c r="C783" s="3" t="str">
        <f ca="1">IF(OR(INDEX($I$2:$I$1001,MATCH(ROWS($H$2:H783),$H$2:$H$1001,0),1)&gt;=100000,INDEX($O$1005:$Q$1005,1,MATCH(COLUMNS($O$1006:P1006),$O$1006:$Q$1006,0))&gt;=100000), " ",IF(INDEX($O$2:$Q$1001,MATCH(ROWS($H$2:H783),$H$2:$H$1001,0),MATCH(COLUMNS($O$1006:P1006),$O$1006:$Q$1006,0)), HYPERLINK("#",""), HYPERLINK(CONCATENATE("#metadata!", ADDRESS(INDEX($J$2:$J$1001,MATCH(ROWS($H$2:H783),$H$2:$H$1001,0),0), INDEX($O$1004:$Q$1004,1,MATCH(COLUMNS($O$1006:P1006),$O$1006:$Q$1006,0)))),"Fix")))</f>
        <v xml:space="preserve"> </v>
      </c>
      <c r="D783" s="3" t="str">
        <f ca="1">IF(OR(INDEX($I$2:$I$1001,MATCH(ROWS($H$2:H783),$H$2:$H$1001,0),1)&gt;=100000,INDEX($O$1005:$Q$1005,1,MATCH(COLUMNS($O$1006:Q1006),$O$1006:$Q$1006,0))&gt;=100000), " ",IF(INDEX($O$2:$Q$1001,MATCH(ROWS($H$2:H783),$H$2:$H$1001,0),MATCH(COLUMNS($O$1006:Q1006),$O$1006:$Q$1006,0)), HYPERLINK("#",""), HYPERLINK(CONCATENATE("#metadata!", ADDRESS(INDEX($J$2:$J$1001,MATCH(ROWS($H$2:H783),$H$2:$H$1001,0),0), INDEX($O$1004:$Q$1004,1,MATCH(COLUMNS($O$1006:Q1006),$O$1006:$Q$1006,0)))),"Fix")))</f>
        <v xml:space="preserve"> </v>
      </c>
      <c r="H783">
        <v>782</v>
      </c>
      <c r="I783">
        <v>100783</v>
      </c>
      <c r="J783">
        <v>783</v>
      </c>
      <c r="K783" t="b">
        <f t="shared" si="12"/>
        <v>1</v>
      </c>
      <c r="L783" t="b">
        <f>COUNTBLANK(metadata!B783:D783)=COLUMNS(metadata!B783:D783)</f>
        <v>1</v>
      </c>
      <c r="M783" t="str">
        <v/>
      </c>
      <c r="O783" t="b">
        <f ca="1"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P783" t="b">
        <f>AND(IF(metadata!C783="",FALSE,TRUE),EXACT(metadata!C783,"mouse gut metagenome"))</f>
        <v>0</v>
      </c>
      <c r="Q783" t="b">
        <f>AND(IF(metadata!D783="",FALSE,TRUE),EXACT(metadata!D783,"410661"))</f>
        <v>0</v>
      </c>
    </row>
    <row r="784" spans="1:17" x14ac:dyDescent="0.2">
      <c r="A784" s="4" t="str">
        <f ca="1">IF(B784=" "," ",HYPERLINK(CONCATENATE("#metadata!",ADDRESS(INDEX($J$2:$J$1001,MATCH(ROWS($H$2:H784),$H$2:$H$1001,0),0),1)),INDEX($M$2:$M$1001,MATCH(ROWS($H$2:H784),$H$2:$H$1001,0),0)))</f>
        <v xml:space="preserve"> </v>
      </c>
      <c r="B784" s="3" t="str">
        <f ca="1">IF(OR(INDEX($I$2:$I$1001,MATCH(ROWS($H$2:H784),$H$2:$H$1001,0),1)&gt;=100000,INDEX($O$1005:$Q$1005,1,MATCH(COLUMNS($O$1006:O1006),$O$1006:$Q$1006,0))&gt;=100000), " ",IF(INDEX($O$2:$Q$1001,MATCH(ROWS($H$2:H784),$H$2:$H$1001,0),MATCH(COLUMNS($O$1006:O1006),$O$1006:$Q$1006,0)), HYPERLINK("#",""), HYPERLINK(CONCATENATE("#metadata!", ADDRESS(INDEX($J$2:$J$1001,MATCH(ROWS($H$2:H784),$H$2:$H$1001,0),0), INDEX($O$1004:$Q$1004,1,MATCH(COLUMNS($O$1006:O1006),$O$1006:$Q$1006,0)))),"Fix")))</f>
        <v xml:space="preserve"> </v>
      </c>
      <c r="C784" s="3" t="str">
        <f ca="1">IF(OR(INDEX($I$2:$I$1001,MATCH(ROWS($H$2:H784),$H$2:$H$1001,0),1)&gt;=100000,INDEX($O$1005:$Q$1005,1,MATCH(COLUMNS($O$1006:P1006),$O$1006:$Q$1006,0))&gt;=100000), " ",IF(INDEX($O$2:$Q$1001,MATCH(ROWS($H$2:H784),$H$2:$H$1001,0),MATCH(COLUMNS($O$1006:P1006),$O$1006:$Q$1006,0)), HYPERLINK("#",""), HYPERLINK(CONCATENATE("#metadata!", ADDRESS(INDEX($J$2:$J$1001,MATCH(ROWS($H$2:H784),$H$2:$H$1001,0),0), INDEX($O$1004:$Q$1004,1,MATCH(COLUMNS($O$1006:P1006),$O$1006:$Q$1006,0)))),"Fix")))</f>
        <v xml:space="preserve"> </v>
      </c>
      <c r="D784" s="3" t="str">
        <f ca="1">IF(OR(INDEX($I$2:$I$1001,MATCH(ROWS($H$2:H784),$H$2:$H$1001,0),1)&gt;=100000,INDEX($O$1005:$Q$1005,1,MATCH(COLUMNS($O$1006:Q1006),$O$1006:$Q$1006,0))&gt;=100000), " ",IF(INDEX($O$2:$Q$1001,MATCH(ROWS($H$2:H784),$H$2:$H$1001,0),MATCH(COLUMNS($O$1006:Q1006),$O$1006:$Q$1006,0)), HYPERLINK("#",""), HYPERLINK(CONCATENATE("#metadata!", ADDRESS(INDEX($J$2:$J$1001,MATCH(ROWS($H$2:H784),$H$2:$H$1001,0),0), INDEX($O$1004:$Q$1004,1,MATCH(COLUMNS($O$1006:Q1006),$O$1006:$Q$1006,0)))),"Fix")))</f>
        <v xml:space="preserve"> </v>
      </c>
      <c r="H784">
        <v>783</v>
      </c>
      <c r="I784">
        <v>100784</v>
      </c>
      <c r="J784">
        <v>784</v>
      </c>
      <c r="K784" t="b">
        <f t="shared" si="12"/>
        <v>1</v>
      </c>
      <c r="L784" t="b">
        <f>COUNTBLANK(metadata!B784:D784)=COLUMNS(metadata!B784:D784)</f>
        <v>1</v>
      </c>
      <c r="M784" t="str">
        <v/>
      </c>
      <c r="O784" t="b">
        <f ca="1"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P784" t="b">
        <f>AND(IF(metadata!C784="",FALSE,TRUE),EXACT(metadata!C784,"mouse gut metagenome"))</f>
        <v>0</v>
      </c>
      <c r="Q784" t="b">
        <f>AND(IF(metadata!D784="",FALSE,TRUE),EXACT(metadata!D784,"410661"))</f>
        <v>0</v>
      </c>
    </row>
    <row r="785" spans="1:17" x14ac:dyDescent="0.2">
      <c r="A785" s="4" t="str">
        <f ca="1">IF(B785=" "," ",HYPERLINK(CONCATENATE("#metadata!",ADDRESS(INDEX($J$2:$J$1001,MATCH(ROWS($H$2:H785),$H$2:$H$1001,0),0),1)),INDEX($M$2:$M$1001,MATCH(ROWS($H$2:H785),$H$2:$H$1001,0),0)))</f>
        <v xml:space="preserve"> </v>
      </c>
      <c r="B785" s="3" t="str">
        <f ca="1">IF(OR(INDEX($I$2:$I$1001,MATCH(ROWS($H$2:H785),$H$2:$H$1001,0),1)&gt;=100000,INDEX($O$1005:$Q$1005,1,MATCH(COLUMNS($O$1006:O1006),$O$1006:$Q$1006,0))&gt;=100000), " ",IF(INDEX($O$2:$Q$1001,MATCH(ROWS($H$2:H785),$H$2:$H$1001,0),MATCH(COLUMNS($O$1006:O1006),$O$1006:$Q$1006,0)), HYPERLINK("#",""), HYPERLINK(CONCATENATE("#metadata!", ADDRESS(INDEX($J$2:$J$1001,MATCH(ROWS($H$2:H785),$H$2:$H$1001,0),0), INDEX($O$1004:$Q$1004,1,MATCH(COLUMNS($O$1006:O1006),$O$1006:$Q$1006,0)))),"Fix")))</f>
        <v xml:space="preserve"> </v>
      </c>
      <c r="C785" s="3" t="str">
        <f ca="1">IF(OR(INDEX($I$2:$I$1001,MATCH(ROWS($H$2:H785),$H$2:$H$1001,0),1)&gt;=100000,INDEX($O$1005:$Q$1005,1,MATCH(COLUMNS($O$1006:P1006),$O$1006:$Q$1006,0))&gt;=100000), " ",IF(INDEX($O$2:$Q$1001,MATCH(ROWS($H$2:H785),$H$2:$H$1001,0),MATCH(COLUMNS($O$1006:P1006),$O$1006:$Q$1006,0)), HYPERLINK("#",""), HYPERLINK(CONCATENATE("#metadata!", ADDRESS(INDEX($J$2:$J$1001,MATCH(ROWS($H$2:H785),$H$2:$H$1001,0),0), INDEX($O$1004:$Q$1004,1,MATCH(COLUMNS($O$1006:P1006),$O$1006:$Q$1006,0)))),"Fix")))</f>
        <v xml:space="preserve"> </v>
      </c>
      <c r="D785" s="3" t="str">
        <f ca="1">IF(OR(INDEX($I$2:$I$1001,MATCH(ROWS($H$2:H785),$H$2:$H$1001,0),1)&gt;=100000,INDEX($O$1005:$Q$1005,1,MATCH(COLUMNS($O$1006:Q1006),$O$1006:$Q$1006,0))&gt;=100000), " ",IF(INDEX($O$2:$Q$1001,MATCH(ROWS($H$2:H785),$H$2:$H$1001,0),MATCH(COLUMNS($O$1006:Q1006),$O$1006:$Q$1006,0)), HYPERLINK("#",""), HYPERLINK(CONCATENATE("#metadata!", ADDRESS(INDEX($J$2:$J$1001,MATCH(ROWS($H$2:H785),$H$2:$H$1001,0),0), INDEX($O$1004:$Q$1004,1,MATCH(COLUMNS($O$1006:Q1006),$O$1006:$Q$1006,0)))),"Fix")))</f>
        <v xml:space="preserve"> </v>
      </c>
      <c r="H785">
        <v>784</v>
      </c>
      <c r="I785">
        <v>100785</v>
      </c>
      <c r="J785">
        <v>785</v>
      </c>
      <c r="K785" t="b">
        <f t="shared" si="12"/>
        <v>1</v>
      </c>
      <c r="L785" t="b">
        <f>COUNTBLANK(metadata!B785:D785)=COLUMNS(metadata!B785:D785)</f>
        <v>1</v>
      </c>
      <c r="M785" t="str">
        <v/>
      </c>
      <c r="O785" t="b">
        <f ca="1"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P785" t="b">
        <f>AND(IF(metadata!C785="",FALSE,TRUE),EXACT(metadata!C785,"mouse gut metagenome"))</f>
        <v>0</v>
      </c>
      <c r="Q785" t="b">
        <f>AND(IF(metadata!D785="",FALSE,TRUE),EXACT(metadata!D785,"410661"))</f>
        <v>0</v>
      </c>
    </row>
    <row r="786" spans="1:17" x14ac:dyDescent="0.2">
      <c r="A786" s="4" t="str">
        <f ca="1">IF(B786=" "," ",HYPERLINK(CONCATENATE("#metadata!",ADDRESS(INDEX($J$2:$J$1001,MATCH(ROWS($H$2:H786),$H$2:$H$1001,0),0),1)),INDEX($M$2:$M$1001,MATCH(ROWS($H$2:H786),$H$2:$H$1001,0),0)))</f>
        <v xml:space="preserve"> </v>
      </c>
      <c r="B786" s="3" t="str">
        <f ca="1">IF(OR(INDEX($I$2:$I$1001,MATCH(ROWS($H$2:H786),$H$2:$H$1001,0),1)&gt;=100000,INDEX($O$1005:$Q$1005,1,MATCH(COLUMNS($O$1006:O1006),$O$1006:$Q$1006,0))&gt;=100000), " ",IF(INDEX($O$2:$Q$1001,MATCH(ROWS($H$2:H786),$H$2:$H$1001,0),MATCH(COLUMNS($O$1006:O1006),$O$1006:$Q$1006,0)), HYPERLINK("#",""), HYPERLINK(CONCATENATE("#metadata!", ADDRESS(INDEX($J$2:$J$1001,MATCH(ROWS($H$2:H786),$H$2:$H$1001,0),0), INDEX($O$1004:$Q$1004,1,MATCH(COLUMNS($O$1006:O1006),$O$1006:$Q$1006,0)))),"Fix")))</f>
        <v xml:space="preserve"> </v>
      </c>
      <c r="C786" s="3" t="str">
        <f ca="1">IF(OR(INDEX($I$2:$I$1001,MATCH(ROWS($H$2:H786),$H$2:$H$1001,0),1)&gt;=100000,INDEX($O$1005:$Q$1005,1,MATCH(COLUMNS($O$1006:P1006),$O$1006:$Q$1006,0))&gt;=100000), " ",IF(INDEX($O$2:$Q$1001,MATCH(ROWS($H$2:H786),$H$2:$H$1001,0),MATCH(COLUMNS($O$1006:P1006),$O$1006:$Q$1006,0)), HYPERLINK("#",""), HYPERLINK(CONCATENATE("#metadata!", ADDRESS(INDEX($J$2:$J$1001,MATCH(ROWS($H$2:H786),$H$2:$H$1001,0),0), INDEX($O$1004:$Q$1004,1,MATCH(COLUMNS($O$1006:P1006),$O$1006:$Q$1006,0)))),"Fix")))</f>
        <v xml:space="preserve"> </v>
      </c>
      <c r="D786" s="3" t="str">
        <f ca="1">IF(OR(INDEX($I$2:$I$1001,MATCH(ROWS($H$2:H786),$H$2:$H$1001,0),1)&gt;=100000,INDEX($O$1005:$Q$1005,1,MATCH(COLUMNS($O$1006:Q1006),$O$1006:$Q$1006,0))&gt;=100000), " ",IF(INDEX($O$2:$Q$1001,MATCH(ROWS($H$2:H786),$H$2:$H$1001,0),MATCH(COLUMNS($O$1006:Q1006),$O$1006:$Q$1006,0)), HYPERLINK("#",""), HYPERLINK(CONCATENATE("#metadata!", ADDRESS(INDEX($J$2:$J$1001,MATCH(ROWS($H$2:H786),$H$2:$H$1001,0),0), INDEX($O$1004:$Q$1004,1,MATCH(COLUMNS($O$1006:Q1006),$O$1006:$Q$1006,0)))),"Fix")))</f>
        <v xml:space="preserve"> </v>
      </c>
      <c r="H786">
        <v>785</v>
      </c>
      <c r="I786">
        <v>100786</v>
      </c>
      <c r="J786">
        <v>786</v>
      </c>
      <c r="K786" t="b">
        <f t="shared" si="12"/>
        <v>1</v>
      </c>
      <c r="L786" t="b">
        <f>COUNTBLANK(metadata!B786:D786)=COLUMNS(metadata!B786:D786)</f>
        <v>1</v>
      </c>
      <c r="M786" t="str">
        <v/>
      </c>
      <c r="O786" t="b">
        <f ca="1"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P786" t="b">
        <f>AND(IF(metadata!C786="",FALSE,TRUE),EXACT(metadata!C786,"mouse gut metagenome"))</f>
        <v>0</v>
      </c>
      <c r="Q786" t="b">
        <f>AND(IF(metadata!D786="",FALSE,TRUE),EXACT(metadata!D786,"410661"))</f>
        <v>0</v>
      </c>
    </row>
    <row r="787" spans="1:17" x14ac:dyDescent="0.2">
      <c r="A787" s="4" t="str">
        <f ca="1">IF(B787=" "," ",HYPERLINK(CONCATENATE("#metadata!",ADDRESS(INDEX($J$2:$J$1001,MATCH(ROWS($H$2:H787),$H$2:$H$1001,0),0),1)),INDEX($M$2:$M$1001,MATCH(ROWS($H$2:H787),$H$2:$H$1001,0),0)))</f>
        <v xml:space="preserve"> </v>
      </c>
      <c r="B787" s="3" t="str">
        <f ca="1">IF(OR(INDEX($I$2:$I$1001,MATCH(ROWS($H$2:H787),$H$2:$H$1001,0),1)&gt;=100000,INDEX($O$1005:$Q$1005,1,MATCH(COLUMNS($O$1006:O1006),$O$1006:$Q$1006,0))&gt;=100000), " ",IF(INDEX($O$2:$Q$1001,MATCH(ROWS($H$2:H787),$H$2:$H$1001,0),MATCH(COLUMNS($O$1006:O1006),$O$1006:$Q$1006,0)), HYPERLINK("#",""), HYPERLINK(CONCATENATE("#metadata!", ADDRESS(INDEX($J$2:$J$1001,MATCH(ROWS($H$2:H787),$H$2:$H$1001,0),0), INDEX($O$1004:$Q$1004,1,MATCH(COLUMNS($O$1006:O1006),$O$1006:$Q$1006,0)))),"Fix")))</f>
        <v xml:space="preserve"> </v>
      </c>
      <c r="C787" s="3" t="str">
        <f ca="1">IF(OR(INDEX($I$2:$I$1001,MATCH(ROWS($H$2:H787),$H$2:$H$1001,0),1)&gt;=100000,INDEX($O$1005:$Q$1005,1,MATCH(COLUMNS($O$1006:P1006),$O$1006:$Q$1006,0))&gt;=100000), " ",IF(INDEX($O$2:$Q$1001,MATCH(ROWS($H$2:H787),$H$2:$H$1001,0),MATCH(COLUMNS($O$1006:P1006),$O$1006:$Q$1006,0)), HYPERLINK("#",""), HYPERLINK(CONCATENATE("#metadata!", ADDRESS(INDEX($J$2:$J$1001,MATCH(ROWS($H$2:H787),$H$2:$H$1001,0),0), INDEX($O$1004:$Q$1004,1,MATCH(COLUMNS($O$1006:P1006),$O$1006:$Q$1006,0)))),"Fix")))</f>
        <v xml:space="preserve"> </v>
      </c>
      <c r="D787" s="3" t="str">
        <f ca="1">IF(OR(INDEX($I$2:$I$1001,MATCH(ROWS($H$2:H787),$H$2:$H$1001,0),1)&gt;=100000,INDEX($O$1005:$Q$1005,1,MATCH(COLUMNS($O$1006:Q1006),$O$1006:$Q$1006,0))&gt;=100000), " ",IF(INDEX($O$2:$Q$1001,MATCH(ROWS($H$2:H787),$H$2:$H$1001,0),MATCH(COLUMNS($O$1006:Q1006),$O$1006:$Q$1006,0)), HYPERLINK("#",""), HYPERLINK(CONCATENATE("#metadata!", ADDRESS(INDEX($J$2:$J$1001,MATCH(ROWS($H$2:H787),$H$2:$H$1001,0),0), INDEX($O$1004:$Q$1004,1,MATCH(COLUMNS($O$1006:Q1006),$O$1006:$Q$1006,0)))),"Fix")))</f>
        <v xml:space="preserve"> </v>
      </c>
      <c r="H787">
        <v>786</v>
      </c>
      <c r="I787">
        <v>100787</v>
      </c>
      <c r="J787">
        <v>787</v>
      </c>
      <c r="K787" t="b">
        <f t="shared" si="12"/>
        <v>1</v>
      </c>
      <c r="L787" t="b">
        <f>COUNTBLANK(metadata!B787:D787)=COLUMNS(metadata!B787:D787)</f>
        <v>1</v>
      </c>
      <c r="M787" t="str">
        <v/>
      </c>
      <c r="O787" t="b">
        <f ca="1"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P787" t="b">
        <f>AND(IF(metadata!C787="",FALSE,TRUE),EXACT(metadata!C787,"mouse gut metagenome"))</f>
        <v>0</v>
      </c>
      <c r="Q787" t="b">
        <f>AND(IF(metadata!D787="",FALSE,TRUE),EXACT(metadata!D787,"410661"))</f>
        <v>0</v>
      </c>
    </row>
    <row r="788" spans="1:17" x14ac:dyDescent="0.2">
      <c r="A788" s="4" t="str">
        <f ca="1">IF(B788=" "," ",HYPERLINK(CONCATENATE("#metadata!",ADDRESS(INDEX($J$2:$J$1001,MATCH(ROWS($H$2:H788),$H$2:$H$1001,0),0),1)),INDEX($M$2:$M$1001,MATCH(ROWS($H$2:H788),$H$2:$H$1001,0),0)))</f>
        <v xml:space="preserve"> </v>
      </c>
      <c r="B788" s="3" t="str">
        <f ca="1">IF(OR(INDEX($I$2:$I$1001,MATCH(ROWS($H$2:H788),$H$2:$H$1001,0),1)&gt;=100000,INDEX($O$1005:$Q$1005,1,MATCH(COLUMNS($O$1006:O1006),$O$1006:$Q$1006,0))&gt;=100000), " ",IF(INDEX($O$2:$Q$1001,MATCH(ROWS($H$2:H788),$H$2:$H$1001,0),MATCH(COLUMNS($O$1006:O1006),$O$1006:$Q$1006,0)), HYPERLINK("#",""), HYPERLINK(CONCATENATE("#metadata!", ADDRESS(INDEX($J$2:$J$1001,MATCH(ROWS($H$2:H788),$H$2:$H$1001,0),0), INDEX($O$1004:$Q$1004,1,MATCH(COLUMNS($O$1006:O1006),$O$1006:$Q$1006,0)))),"Fix")))</f>
        <v xml:space="preserve"> </v>
      </c>
      <c r="C788" s="3" t="str">
        <f ca="1">IF(OR(INDEX($I$2:$I$1001,MATCH(ROWS($H$2:H788),$H$2:$H$1001,0),1)&gt;=100000,INDEX($O$1005:$Q$1005,1,MATCH(COLUMNS($O$1006:P1006),$O$1006:$Q$1006,0))&gt;=100000), " ",IF(INDEX($O$2:$Q$1001,MATCH(ROWS($H$2:H788),$H$2:$H$1001,0),MATCH(COLUMNS($O$1006:P1006),$O$1006:$Q$1006,0)), HYPERLINK("#",""), HYPERLINK(CONCATENATE("#metadata!", ADDRESS(INDEX($J$2:$J$1001,MATCH(ROWS($H$2:H788),$H$2:$H$1001,0),0), INDEX($O$1004:$Q$1004,1,MATCH(COLUMNS($O$1006:P1006),$O$1006:$Q$1006,0)))),"Fix")))</f>
        <v xml:space="preserve"> </v>
      </c>
      <c r="D788" s="3" t="str">
        <f ca="1">IF(OR(INDEX($I$2:$I$1001,MATCH(ROWS($H$2:H788),$H$2:$H$1001,0),1)&gt;=100000,INDEX($O$1005:$Q$1005,1,MATCH(COLUMNS($O$1006:Q1006),$O$1006:$Q$1006,0))&gt;=100000), " ",IF(INDEX($O$2:$Q$1001,MATCH(ROWS($H$2:H788),$H$2:$H$1001,0),MATCH(COLUMNS($O$1006:Q1006),$O$1006:$Q$1006,0)), HYPERLINK("#",""), HYPERLINK(CONCATENATE("#metadata!", ADDRESS(INDEX($J$2:$J$1001,MATCH(ROWS($H$2:H788),$H$2:$H$1001,0),0), INDEX($O$1004:$Q$1004,1,MATCH(COLUMNS($O$1006:Q1006),$O$1006:$Q$1006,0)))),"Fix")))</f>
        <v xml:space="preserve"> </v>
      </c>
      <c r="H788">
        <v>787</v>
      </c>
      <c r="I788">
        <v>100788</v>
      </c>
      <c r="J788">
        <v>788</v>
      </c>
      <c r="K788" t="b">
        <f t="shared" si="12"/>
        <v>1</v>
      </c>
      <c r="L788" t="b">
        <f>COUNTBLANK(metadata!B788:D788)=COLUMNS(metadata!B788:D788)</f>
        <v>1</v>
      </c>
      <c r="M788" t="str">
        <v/>
      </c>
      <c r="O788" t="b">
        <f ca="1"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P788" t="b">
        <f>AND(IF(metadata!C788="",FALSE,TRUE),EXACT(metadata!C788,"mouse gut metagenome"))</f>
        <v>0</v>
      </c>
      <c r="Q788" t="b">
        <f>AND(IF(metadata!D788="",FALSE,TRUE),EXACT(metadata!D788,"410661"))</f>
        <v>0</v>
      </c>
    </row>
    <row r="789" spans="1:17" x14ac:dyDescent="0.2">
      <c r="A789" s="4" t="str">
        <f ca="1">IF(B789=" "," ",HYPERLINK(CONCATENATE("#metadata!",ADDRESS(INDEX($J$2:$J$1001,MATCH(ROWS($H$2:H789),$H$2:$H$1001,0),0),1)),INDEX($M$2:$M$1001,MATCH(ROWS($H$2:H789),$H$2:$H$1001,0),0)))</f>
        <v xml:space="preserve"> </v>
      </c>
      <c r="B789" s="3" t="str">
        <f ca="1">IF(OR(INDEX($I$2:$I$1001,MATCH(ROWS($H$2:H789),$H$2:$H$1001,0),1)&gt;=100000,INDEX($O$1005:$Q$1005,1,MATCH(COLUMNS($O$1006:O1006),$O$1006:$Q$1006,0))&gt;=100000), " ",IF(INDEX($O$2:$Q$1001,MATCH(ROWS($H$2:H789),$H$2:$H$1001,0),MATCH(COLUMNS($O$1006:O1006),$O$1006:$Q$1006,0)), HYPERLINK("#",""), HYPERLINK(CONCATENATE("#metadata!", ADDRESS(INDEX($J$2:$J$1001,MATCH(ROWS($H$2:H789),$H$2:$H$1001,0),0), INDEX($O$1004:$Q$1004,1,MATCH(COLUMNS($O$1006:O1006),$O$1006:$Q$1006,0)))),"Fix")))</f>
        <v xml:space="preserve"> </v>
      </c>
      <c r="C789" s="3" t="str">
        <f ca="1">IF(OR(INDEX($I$2:$I$1001,MATCH(ROWS($H$2:H789),$H$2:$H$1001,0),1)&gt;=100000,INDEX($O$1005:$Q$1005,1,MATCH(COLUMNS($O$1006:P1006),$O$1006:$Q$1006,0))&gt;=100000), " ",IF(INDEX($O$2:$Q$1001,MATCH(ROWS($H$2:H789),$H$2:$H$1001,0),MATCH(COLUMNS($O$1006:P1006),$O$1006:$Q$1006,0)), HYPERLINK("#",""), HYPERLINK(CONCATENATE("#metadata!", ADDRESS(INDEX($J$2:$J$1001,MATCH(ROWS($H$2:H789),$H$2:$H$1001,0),0), INDEX($O$1004:$Q$1004,1,MATCH(COLUMNS($O$1006:P1006),$O$1006:$Q$1006,0)))),"Fix")))</f>
        <v xml:space="preserve"> </v>
      </c>
      <c r="D789" s="3" t="str">
        <f ca="1">IF(OR(INDEX($I$2:$I$1001,MATCH(ROWS($H$2:H789),$H$2:$H$1001,0),1)&gt;=100000,INDEX($O$1005:$Q$1005,1,MATCH(COLUMNS($O$1006:Q1006),$O$1006:$Q$1006,0))&gt;=100000), " ",IF(INDEX($O$2:$Q$1001,MATCH(ROWS($H$2:H789),$H$2:$H$1001,0),MATCH(COLUMNS($O$1006:Q1006),$O$1006:$Q$1006,0)), HYPERLINK("#",""), HYPERLINK(CONCATENATE("#metadata!", ADDRESS(INDEX($J$2:$J$1001,MATCH(ROWS($H$2:H789),$H$2:$H$1001,0),0), INDEX($O$1004:$Q$1004,1,MATCH(COLUMNS($O$1006:Q1006),$O$1006:$Q$1006,0)))),"Fix")))</f>
        <v xml:space="preserve"> </v>
      </c>
      <c r="H789">
        <v>788</v>
      </c>
      <c r="I789">
        <v>100789</v>
      </c>
      <c r="J789">
        <v>789</v>
      </c>
      <c r="K789" t="b">
        <f t="shared" si="12"/>
        <v>1</v>
      </c>
      <c r="L789" t="b">
        <f>COUNTBLANK(metadata!B789:D789)=COLUMNS(metadata!B789:D789)</f>
        <v>1</v>
      </c>
      <c r="M789" t="str">
        <v/>
      </c>
      <c r="O789" t="b">
        <f ca="1"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P789" t="b">
        <f>AND(IF(metadata!C789="",FALSE,TRUE),EXACT(metadata!C789,"mouse gut metagenome"))</f>
        <v>0</v>
      </c>
      <c r="Q789" t="b">
        <f>AND(IF(metadata!D789="",FALSE,TRUE),EXACT(metadata!D789,"410661"))</f>
        <v>0</v>
      </c>
    </row>
    <row r="790" spans="1:17" x14ac:dyDescent="0.2">
      <c r="A790" s="4" t="str">
        <f ca="1">IF(B790=" "," ",HYPERLINK(CONCATENATE("#metadata!",ADDRESS(INDEX($J$2:$J$1001,MATCH(ROWS($H$2:H790),$H$2:$H$1001,0),0),1)),INDEX($M$2:$M$1001,MATCH(ROWS($H$2:H790),$H$2:$H$1001,0),0)))</f>
        <v xml:space="preserve"> </v>
      </c>
      <c r="B790" s="3" t="str">
        <f ca="1">IF(OR(INDEX($I$2:$I$1001,MATCH(ROWS($H$2:H790),$H$2:$H$1001,0),1)&gt;=100000,INDEX($O$1005:$Q$1005,1,MATCH(COLUMNS($O$1006:O1006),$O$1006:$Q$1006,0))&gt;=100000), " ",IF(INDEX($O$2:$Q$1001,MATCH(ROWS($H$2:H790),$H$2:$H$1001,0),MATCH(COLUMNS($O$1006:O1006),$O$1006:$Q$1006,0)), HYPERLINK("#",""), HYPERLINK(CONCATENATE("#metadata!", ADDRESS(INDEX($J$2:$J$1001,MATCH(ROWS($H$2:H790),$H$2:$H$1001,0),0), INDEX($O$1004:$Q$1004,1,MATCH(COLUMNS($O$1006:O1006),$O$1006:$Q$1006,0)))),"Fix")))</f>
        <v xml:space="preserve"> </v>
      </c>
      <c r="C790" s="3" t="str">
        <f ca="1">IF(OR(INDEX($I$2:$I$1001,MATCH(ROWS($H$2:H790),$H$2:$H$1001,0),1)&gt;=100000,INDEX($O$1005:$Q$1005,1,MATCH(COLUMNS($O$1006:P1006),$O$1006:$Q$1006,0))&gt;=100000), " ",IF(INDEX($O$2:$Q$1001,MATCH(ROWS($H$2:H790),$H$2:$H$1001,0),MATCH(COLUMNS($O$1006:P1006),$O$1006:$Q$1006,0)), HYPERLINK("#",""), HYPERLINK(CONCATENATE("#metadata!", ADDRESS(INDEX($J$2:$J$1001,MATCH(ROWS($H$2:H790),$H$2:$H$1001,0),0), INDEX($O$1004:$Q$1004,1,MATCH(COLUMNS($O$1006:P1006),$O$1006:$Q$1006,0)))),"Fix")))</f>
        <v xml:space="preserve"> </v>
      </c>
      <c r="D790" s="3" t="str">
        <f ca="1">IF(OR(INDEX($I$2:$I$1001,MATCH(ROWS($H$2:H790),$H$2:$H$1001,0),1)&gt;=100000,INDEX($O$1005:$Q$1005,1,MATCH(COLUMNS($O$1006:Q1006),$O$1006:$Q$1006,0))&gt;=100000), " ",IF(INDEX($O$2:$Q$1001,MATCH(ROWS($H$2:H790),$H$2:$H$1001,0),MATCH(COLUMNS($O$1006:Q1006),$O$1006:$Q$1006,0)), HYPERLINK("#",""), HYPERLINK(CONCATENATE("#metadata!", ADDRESS(INDEX($J$2:$J$1001,MATCH(ROWS($H$2:H790),$H$2:$H$1001,0),0), INDEX($O$1004:$Q$1004,1,MATCH(COLUMNS($O$1006:Q1006),$O$1006:$Q$1006,0)))),"Fix")))</f>
        <v xml:space="preserve"> </v>
      </c>
      <c r="H790">
        <v>789</v>
      </c>
      <c r="I790">
        <v>100790</v>
      </c>
      <c r="J790">
        <v>790</v>
      </c>
      <c r="K790" t="b">
        <f t="shared" si="12"/>
        <v>1</v>
      </c>
      <c r="L790" t="b">
        <f>COUNTBLANK(metadata!B790:D790)=COLUMNS(metadata!B790:D790)</f>
        <v>1</v>
      </c>
      <c r="M790" t="str">
        <v/>
      </c>
      <c r="O790" t="b">
        <f ca="1"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P790" t="b">
        <f>AND(IF(metadata!C790="",FALSE,TRUE),EXACT(metadata!C790,"mouse gut metagenome"))</f>
        <v>0</v>
      </c>
      <c r="Q790" t="b">
        <f>AND(IF(metadata!D790="",FALSE,TRUE),EXACT(metadata!D790,"410661"))</f>
        <v>0</v>
      </c>
    </row>
    <row r="791" spans="1:17" x14ac:dyDescent="0.2">
      <c r="A791" s="4" t="str">
        <f ca="1">IF(B791=" "," ",HYPERLINK(CONCATENATE("#metadata!",ADDRESS(INDEX($J$2:$J$1001,MATCH(ROWS($H$2:H791),$H$2:$H$1001,0),0),1)),INDEX($M$2:$M$1001,MATCH(ROWS($H$2:H791),$H$2:$H$1001,0),0)))</f>
        <v xml:space="preserve"> </v>
      </c>
      <c r="B791" s="3" t="str">
        <f ca="1">IF(OR(INDEX($I$2:$I$1001,MATCH(ROWS($H$2:H791),$H$2:$H$1001,0),1)&gt;=100000,INDEX($O$1005:$Q$1005,1,MATCH(COLUMNS($O$1006:O1006),$O$1006:$Q$1006,0))&gt;=100000), " ",IF(INDEX($O$2:$Q$1001,MATCH(ROWS($H$2:H791),$H$2:$H$1001,0),MATCH(COLUMNS($O$1006:O1006),$O$1006:$Q$1006,0)), HYPERLINK("#",""), HYPERLINK(CONCATENATE("#metadata!", ADDRESS(INDEX($J$2:$J$1001,MATCH(ROWS($H$2:H791),$H$2:$H$1001,0),0), INDEX($O$1004:$Q$1004,1,MATCH(COLUMNS($O$1006:O1006),$O$1006:$Q$1006,0)))),"Fix")))</f>
        <v xml:space="preserve"> </v>
      </c>
      <c r="C791" s="3" t="str">
        <f ca="1">IF(OR(INDEX($I$2:$I$1001,MATCH(ROWS($H$2:H791),$H$2:$H$1001,0),1)&gt;=100000,INDEX($O$1005:$Q$1005,1,MATCH(COLUMNS($O$1006:P1006),$O$1006:$Q$1006,0))&gt;=100000), " ",IF(INDEX($O$2:$Q$1001,MATCH(ROWS($H$2:H791),$H$2:$H$1001,0),MATCH(COLUMNS($O$1006:P1006),$O$1006:$Q$1006,0)), HYPERLINK("#",""), HYPERLINK(CONCATENATE("#metadata!", ADDRESS(INDEX($J$2:$J$1001,MATCH(ROWS($H$2:H791),$H$2:$H$1001,0),0), INDEX($O$1004:$Q$1004,1,MATCH(COLUMNS($O$1006:P1006),$O$1006:$Q$1006,0)))),"Fix")))</f>
        <v xml:space="preserve"> </v>
      </c>
      <c r="D791" s="3" t="str">
        <f ca="1">IF(OR(INDEX($I$2:$I$1001,MATCH(ROWS($H$2:H791),$H$2:$H$1001,0),1)&gt;=100000,INDEX($O$1005:$Q$1005,1,MATCH(COLUMNS($O$1006:Q1006),$O$1006:$Q$1006,0))&gt;=100000), " ",IF(INDEX($O$2:$Q$1001,MATCH(ROWS($H$2:H791),$H$2:$H$1001,0),MATCH(COLUMNS($O$1006:Q1006),$O$1006:$Q$1006,0)), HYPERLINK("#",""), HYPERLINK(CONCATENATE("#metadata!", ADDRESS(INDEX($J$2:$J$1001,MATCH(ROWS($H$2:H791),$H$2:$H$1001,0),0), INDEX($O$1004:$Q$1004,1,MATCH(COLUMNS($O$1006:Q1006),$O$1006:$Q$1006,0)))),"Fix")))</f>
        <v xml:space="preserve"> </v>
      </c>
      <c r="H791">
        <v>790</v>
      </c>
      <c r="I791">
        <v>100791</v>
      </c>
      <c r="J791">
        <v>791</v>
      </c>
      <c r="K791" t="b">
        <f t="shared" si="12"/>
        <v>1</v>
      </c>
      <c r="L791" t="b">
        <f>COUNTBLANK(metadata!B791:D791)=COLUMNS(metadata!B791:D791)</f>
        <v>1</v>
      </c>
      <c r="M791" t="str">
        <v/>
      </c>
      <c r="O791" t="b">
        <f ca="1"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P791" t="b">
        <f>AND(IF(metadata!C791="",FALSE,TRUE),EXACT(metadata!C791,"mouse gut metagenome"))</f>
        <v>0</v>
      </c>
      <c r="Q791" t="b">
        <f>AND(IF(metadata!D791="",FALSE,TRUE),EXACT(metadata!D791,"410661"))</f>
        <v>0</v>
      </c>
    </row>
    <row r="792" spans="1:17" x14ac:dyDescent="0.2">
      <c r="A792" s="4" t="str">
        <f ca="1">IF(B792=" "," ",HYPERLINK(CONCATENATE("#metadata!",ADDRESS(INDEX($J$2:$J$1001,MATCH(ROWS($H$2:H792),$H$2:$H$1001,0),0),1)),INDEX($M$2:$M$1001,MATCH(ROWS($H$2:H792),$H$2:$H$1001,0),0)))</f>
        <v xml:space="preserve"> </v>
      </c>
      <c r="B792" s="3" t="str">
        <f ca="1">IF(OR(INDEX($I$2:$I$1001,MATCH(ROWS($H$2:H792),$H$2:$H$1001,0),1)&gt;=100000,INDEX($O$1005:$Q$1005,1,MATCH(COLUMNS($O$1006:O1006),$O$1006:$Q$1006,0))&gt;=100000), " ",IF(INDEX($O$2:$Q$1001,MATCH(ROWS($H$2:H792),$H$2:$H$1001,0),MATCH(COLUMNS($O$1006:O1006),$O$1006:$Q$1006,0)), HYPERLINK("#",""), HYPERLINK(CONCATENATE("#metadata!", ADDRESS(INDEX($J$2:$J$1001,MATCH(ROWS($H$2:H792),$H$2:$H$1001,0),0), INDEX($O$1004:$Q$1004,1,MATCH(COLUMNS($O$1006:O1006),$O$1006:$Q$1006,0)))),"Fix")))</f>
        <v xml:space="preserve"> </v>
      </c>
      <c r="C792" s="3" t="str">
        <f ca="1">IF(OR(INDEX($I$2:$I$1001,MATCH(ROWS($H$2:H792),$H$2:$H$1001,0),1)&gt;=100000,INDEX($O$1005:$Q$1005,1,MATCH(COLUMNS($O$1006:P1006),$O$1006:$Q$1006,0))&gt;=100000), " ",IF(INDEX($O$2:$Q$1001,MATCH(ROWS($H$2:H792),$H$2:$H$1001,0),MATCH(COLUMNS($O$1006:P1006),$O$1006:$Q$1006,0)), HYPERLINK("#",""), HYPERLINK(CONCATENATE("#metadata!", ADDRESS(INDEX($J$2:$J$1001,MATCH(ROWS($H$2:H792),$H$2:$H$1001,0),0), INDEX($O$1004:$Q$1004,1,MATCH(COLUMNS($O$1006:P1006),$O$1006:$Q$1006,0)))),"Fix")))</f>
        <v xml:space="preserve"> </v>
      </c>
      <c r="D792" s="3" t="str">
        <f ca="1">IF(OR(INDEX($I$2:$I$1001,MATCH(ROWS($H$2:H792),$H$2:$H$1001,0),1)&gt;=100000,INDEX($O$1005:$Q$1005,1,MATCH(COLUMNS($O$1006:Q1006),$O$1006:$Q$1006,0))&gt;=100000), " ",IF(INDEX($O$2:$Q$1001,MATCH(ROWS($H$2:H792),$H$2:$H$1001,0),MATCH(COLUMNS($O$1006:Q1006),$O$1006:$Q$1006,0)), HYPERLINK("#",""), HYPERLINK(CONCATENATE("#metadata!", ADDRESS(INDEX($J$2:$J$1001,MATCH(ROWS($H$2:H792),$H$2:$H$1001,0),0), INDEX($O$1004:$Q$1004,1,MATCH(COLUMNS($O$1006:Q1006),$O$1006:$Q$1006,0)))),"Fix")))</f>
        <v xml:space="preserve"> </v>
      </c>
      <c r="H792">
        <v>791</v>
      </c>
      <c r="I792">
        <v>100792</v>
      </c>
      <c r="J792">
        <v>792</v>
      </c>
      <c r="K792" t="b">
        <f t="shared" si="12"/>
        <v>1</v>
      </c>
      <c r="L792" t="b">
        <f>COUNTBLANK(metadata!B792:D792)=COLUMNS(metadata!B792:D792)</f>
        <v>1</v>
      </c>
      <c r="M792" t="str">
        <v/>
      </c>
      <c r="O792" t="b">
        <f ca="1"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P792" t="b">
        <f>AND(IF(metadata!C792="",FALSE,TRUE),EXACT(metadata!C792,"mouse gut metagenome"))</f>
        <v>0</v>
      </c>
      <c r="Q792" t="b">
        <f>AND(IF(metadata!D792="",FALSE,TRUE),EXACT(metadata!D792,"410661"))</f>
        <v>0</v>
      </c>
    </row>
    <row r="793" spans="1:17" x14ac:dyDescent="0.2">
      <c r="A793" s="4" t="str">
        <f ca="1">IF(B793=" "," ",HYPERLINK(CONCATENATE("#metadata!",ADDRESS(INDEX($J$2:$J$1001,MATCH(ROWS($H$2:H793),$H$2:$H$1001,0),0),1)),INDEX($M$2:$M$1001,MATCH(ROWS($H$2:H793),$H$2:$H$1001,0),0)))</f>
        <v xml:space="preserve"> </v>
      </c>
      <c r="B793" s="3" t="str">
        <f ca="1">IF(OR(INDEX($I$2:$I$1001,MATCH(ROWS($H$2:H793),$H$2:$H$1001,0),1)&gt;=100000,INDEX($O$1005:$Q$1005,1,MATCH(COLUMNS($O$1006:O1006),$O$1006:$Q$1006,0))&gt;=100000), " ",IF(INDEX($O$2:$Q$1001,MATCH(ROWS($H$2:H793),$H$2:$H$1001,0),MATCH(COLUMNS($O$1006:O1006),$O$1006:$Q$1006,0)), HYPERLINK("#",""), HYPERLINK(CONCATENATE("#metadata!", ADDRESS(INDEX($J$2:$J$1001,MATCH(ROWS($H$2:H793),$H$2:$H$1001,0),0), INDEX($O$1004:$Q$1004,1,MATCH(COLUMNS($O$1006:O1006),$O$1006:$Q$1006,0)))),"Fix")))</f>
        <v xml:space="preserve"> </v>
      </c>
      <c r="C793" s="3" t="str">
        <f ca="1">IF(OR(INDEX($I$2:$I$1001,MATCH(ROWS($H$2:H793),$H$2:$H$1001,0),1)&gt;=100000,INDEX($O$1005:$Q$1005,1,MATCH(COLUMNS($O$1006:P1006),$O$1006:$Q$1006,0))&gt;=100000), " ",IF(INDEX($O$2:$Q$1001,MATCH(ROWS($H$2:H793),$H$2:$H$1001,0),MATCH(COLUMNS($O$1006:P1006),$O$1006:$Q$1006,0)), HYPERLINK("#",""), HYPERLINK(CONCATENATE("#metadata!", ADDRESS(INDEX($J$2:$J$1001,MATCH(ROWS($H$2:H793),$H$2:$H$1001,0),0), INDEX($O$1004:$Q$1004,1,MATCH(COLUMNS($O$1006:P1006),$O$1006:$Q$1006,0)))),"Fix")))</f>
        <v xml:space="preserve"> </v>
      </c>
      <c r="D793" s="3" t="str">
        <f ca="1">IF(OR(INDEX($I$2:$I$1001,MATCH(ROWS($H$2:H793),$H$2:$H$1001,0),1)&gt;=100000,INDEX($O$1005:$Q$1005,1,MATCH(COLUMNS($O$1006:Q1006),$O$1006:$Q$1006,0))&gt;=100000), " ",IF(INDEX($O$2:$Q$1001,MATCH(ROWS($H$2:H793),$H$2:$H$1001,0),MATCH(COLUMNS($O$1006:Q1006),$O$1006:$Q$1006,0)), HYPERLINK("#",""), HYPERLINK(CONCATENATE("#metadata!", ADDRESS(INDEX($J$2:$J$1001,MATCH(ROWS($H$2:H793),$H$2:$H$1001,0),0), INDEX($O$1004:$Q$1004,1,MATCH(COLUMNS($O$1006:Q1006),$O$1006:$Q$1006,0)))),"Fix")))</f>
        <v xml:space="preserve"> </v>
      </c>
      <c r="H793">
        <v>792</v>
      </c>
      <c r="I793">
        <v>100793</v>
      </c>
      <c r="J793">
        <v>793</v>
      </c>
      <c r="K793" t="b">
        <f t="shared" si="12"/>
        <v>1</v>
      </c>
      <c r="L793" t="b">
        <f>COUNTBLANK(metadata!B793:D793)=COLUMNS(metadata!B793:D793)</f>
        <v>1</v>
      </c>
      <c r="M793" t="str">
        <v/>
      </c>
      <c r="O793" t="b">
        <f ca="1"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P793" t="b">
        <f>AND(IF(metadata!C793="",FALSE,TRUE),EXACT(metadata!C793,"mouse gut metagenome"))</f>
        <v>0</v>
      </c>
      <c r="Q793" t="b">
        <f>AND(IF(metadata!D793="",FALSE,TRUE),EXACT(metadata!D793,"410661"))</f>
        <v>0</v>
      </c>
    </row>
    <row r="794" spans="1:17" x14ac:dyDescent="0.2">
      <c r="A794" s="4" t="str">
        <f ca="1">IF(B794=" "," ",HYPERLINK(CONCATENATE("#metadata!",ADDRESS(INDEX($J$2:$J$1001,MATCH(ROWS($H$2:H794),$H$2:$H$1001,0),0),1)),INDEX($M$2:$M$1001,MATCH(ROWS($H$2:H794),$H$2:$H$1001,0),0)))</f>
        <v xml:space="preserve"> </v>
      </c>
      <c r="B794" s="3" t="str">
        <f ca="1">IF(OR(INDEX($I$2:$I$1001,MATCH(ROWS($H$2:H794),$H$2:$H$1001,0),1)&gt;=100000,INDEX($O$1005:$Q$1005,1,MATCH(COLUMNS($O$1006:O1006),$O$1006:$Q$1006,0))&gt;=100000), " ",IF(INDEX($O$2:$Q$1001,MATCH(ROWS($H$2:H794),$H$2:$H$1001,0),MATCH(COLUMNS($O$1006:O1006),$O$1006:$Q$1006,0)), HYPERLINK("#",""), HYPERLINK(CONCATENATE("#metadata!", ADDRESS(INDEX($J$2:$J$1001,MATCH(ROWS($H$2:H794),$H$2:$H$1001,0),0), INDEX($O$1004:$Q$1004,1,MATCH(COLUMNS($O$1006:O1006),$O$1006:$Q$1006,0)))),"Fix")))</f>
        <v xml:space="preserve"> </v>
      </c>
      <c r="C794" s="3" t="str">
        <f ca="1">IF(OR(INDEX($I$2:$I$1001,MATCH(ROWS($H$2:H794),$H$2:$H$1001,0),1)&gt;=100000,INDEX($O$1005:$Q$1005,1,MATCH(COLUMNS($O$1006:P1006),$O$1006:$Q$1006,0))&gt;=100000), " ",IF(INDEX($O$2:$Q$1001,MATCH(ROWS($H$2:H794),$H$2:$H$1001,0),MATCH(COLUMNS($O$1006:P1006),$O$1006:$Q$1006,0)), HYPERLINK("#",""), HYPERLINK(CONCATENATE("#metadata!", ADDRESS(INDEX($J$2:$J$1001,MATCH(ROWS($H$2:H794),$H$2:$H$1001,0),0), INDEX($O$1004:$Q$1004,1,MATCH(COLUMNS($O$1006:P1006),$O$1006:$Q$1006,0)))),"Fix")))</f>
        <v xml:space="preserve"> </v>
      </c>
      <c r="D794" s="3" t="str">
        <f ca="1">IF(OR(INDEX($I$2:$I$1001,MATCH(ROWS($H$2:H794),$H$2:$H$1001,0),1)&gt;=100000,INDEX($O$1005:$Q$1005,1,MATCH(COLUMNS($O$1006:Q1006),$O$1006:$Q$1006,0))&gt;=100000), " ",IF(INDEX($O$2:$Q$1001,MATCH(ROWS($H$2:H794),$H$2:$H$1001,0),MATCH(COLUMNS($O$1006:Q1006),$O$1006:$Q$1006,0)), HYPERLINK("#",""), HYPERLINK(CONCATENATE("#metadata!", ADDRESS(INDEX($J$2:$J$1001,MATCH(ROWS($H$2:H794),$H$2:$H$1001,0),0), INDEX($O$1004:$Q$1004,1,MATCH(COLUMNS($O$1006:Q1006),$O$1006:$Q$1006,0)))),"Fix")))</f>
        <v xml:space="preserve"> </v>
      </c>
      <c r="H794">
        <v>793</v>
      </c>
      <c r="I794">
        <v>100794</v>
      </c>
      <c r="J794">
        <v>794</v>
      </c>
      <c r="K794" t="b">
        <f t="shared" si="12"/>
        <v>1</v>
      </c>
      <c r="L794" t="b">
        <f>COUNTBLANK(metadata!B794:D794)=COLUMNS(metadata!B794:D794)</f>
        <v>1</v>
      </c>
      <c r="M794" t="str">
        <v/>
      </c>
      <c r="O794" t="b">
        <f ca="1"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P794" t="b">
        <f>AND(IF(metadata!C794="",FALSE,TRUE),EXACT(metadata!C794,"mouse gut metagenome"))</f>
        <v>0</v>
      </c>
      <c r="Q794" t="b">
        <f>AND(IF(metadata!D794="",FALSE,TRUE),EXACT(metadata!D794,"410661"))</f>
        <v>0</v>
      </c>
    </row>
    <row r="795" spans="1:17" x14ac:dyDescent="0.2">
      <c r="A795" s="4" t="str">
        <f ca="1">IF(B795=" "," ",HYPERLINK(CONCATENATE("#metadata!",ADDRESS(INDEX($J$2:$J$1001,MATCH(ROWS($H$2:H795),$H$2:$H$1001,0),0),1)),INDEX($M$2:$M$1001,MATCH(ROWS($H$2:H795),$H$2:$H$1001,0),0)))</f>
        <v xml:space="preserve"> </v>
      </c>
      <c r="B795" s="3" t="str">
        <f ca="1">IF(OR(INDEX($I$2:$I$1001,MATCH(ROWS($H$2:H795),$H$2:$H$1001,0),1)&gt;=100000,INDEX($O$1005:$Q$1005,1,MATCH(COLUMNS($O$1006:O1006),$O$1006:$Q$1006,0))&gt;=100000), " ",IF(INDEX($O$2:$Q$1001,MATCH(ROWS($H$2:H795),$H$2:$H$1001,0),MATCH(COLUMNS($O$1006:O1006),$O$1006:$Q$1006,0)), HYPERLINK("#",""), HYPERLINK(CONCATENATE("#metadata!", ADDRESS(INDEX($J$2:$J$1001,MATCH(ROWS($H$2:H795),$H$2:$H$1001,0),0), INDEX($O$1004:$Q$1004,1,MATCH(COLUMNS($O$1006:O1006),$O$1006:$Q$1006,0)))),"Fix")))</f>
        <v xml:space="preserve"> </v>
      </c>
      <c r="C795" s="3" t="str">
        <f ca="1">IF(OR(INDEX($I$2:$I$1001,MATCH(ROWS($H$2:H795),$H$2:$H$1001,0),1)&gt;=100000,INDEX($O$1005:$Q$1005,1,MATCH(COLUMNS($O$1006:P1006),$O$1006:$Q$1006,0))&gt;=100000), " ",IF(INDEX($O$2:$Q$1001,MATCH(ROWS($H$2:H795),$H$2:$H$1001,0),MATCH(COLUMNS($O$1006:P1006),$O$1006:$Q$1006,0)), HYPERLINK("#",""), HYPERLINK(CONCATENATE("#metadata!", ADDRESS(INDEX($J$2:$J$1001,MATCH(ROWS($H$2:H795),$H$2:$H$1001,0),0), INDEX($O$1004:$Q$1004,1,MATCH(COLUMNS($O$1006:P1006),$O$1006:$Q$1006,0)))),"Fix")))</f>
        <v xml:space="preserve"> </v>
      </c>
      <c r="D795" s="3" t="str">
        <f ca="1">IF(OR(INDEX($I$2:$I$1001,MATCH(ROWS($H$2:H795),$H$2:$H$1001,0),1)&gt;=100000,INDEX($O$1005:$Q$1005,1,MATCH(COLUMNS($O$1006:Q1006),$O$1006:$Q$1006,0))&gt;=100000), " ",IF(INDEX($O$2:$Q$1001,MATCH(ROWS($H$2:H795),$H$2:$H$1001,0),MATCH(COLUMNS($O$1006:Q1006),$O$1006:$Q$1006,0)), HYPERLINK("#",""), HYPERLINK(CONCATENATE("#metadata!", ADDRESS(INDEX($J$2:$J$1001,MATCH(ROWS($H$2:H795),$H$2:$H$1001,0),0), INDEX($O$1004:$Q$1004,1,MATCH(COLUMNS($O$1006:Q1006),$O$1006:$Q$1006,0)))),"Fix")))</f>
        <v xml:space="preserve"> </v>
      </c>
      <c r="H795">
        <v>794</v>
      </c>
      <c r="I795">
        <v>100795</v>
      </c>
      <c r="J795">
        <v>795</v>
      </c>
      <c r="K795" t="b">
        <f t="shared" si="12"/>
        <v>1</v>
      </c>
      <c r="L795" t="b">
        <f>COUNTBLANK(metadata!B795:D795)=COLUMNS(metadata!B795:D795)</f>
        <v>1</v>
      </c>
      <c r="M795" t="str">
        <v/>
      </c>
      <c r="O795" t="b">
        <f ca="1"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P795" t="b">
        <f>AND(IF(metadata!C795="",FALSE,TRUE),EXACT(metadata!C795,"mouse gut metagenome"))</f>
        <v>0</v>
      </c>
      <c r="Q795" t="b">
        <f>AND(IF(metadata!D795="",FALSE,TRUE),EXACT(metadata!D795,"410661"))</f>
        <v>0</v>
      </c>
    </row>
    <row r="796" spans="1:17" x14ac:dyDescent="0.2">
      <c r="A796" s="4" t="str">
        <f ca="1">IF(B796=" "," ",HYPERLINK(CONCATENATE("#metadata!",ADDRESS(INDEX($J$2:$J$1001,MATCH(ROWS($H$2:H796),$H$2:$H$1001,0),0),1)),INDEX($M$2:$M$1001,MATCH(ROWS($H$2:H796),$H$2:$H$1001,0),0)))</f>
        <v xml:space="preserve"> </v>
      </c>
      <c r="B796" s="3" t="str">
        <f ca="1">IF(OR(INDEX($I$2:$I$1001,MATCH(ROWS($H$2:H796),$H$2:$H$1001,0),1)&gt;=100000,INDEX($O$1005:$Q$1005,1,MATCH(COLUMNS($O$1006:O1006),$O$1006:$Q$1006,0))&gt;=100000), " ",IF(INDEX($O$2:$Q$1001,MATCH(ROWS($H$2:H796),$H$2:$H$1001,0),MATCH(COLUMNS($O$1006:O1006),$O$1006:$Q$1006,0)), HYPERLINK("#",""), HYPERLINK(CONCATENATE("#metadata!", ADDRESS(INDEX($J$2:$J$1001,MATCH(ROWS($H$2:H796),$H$2:$H$1001,0),0), INDEX($O$1004:$Q$1004,1,MATCH(COLUMNS($O$1006:O1006),$O$1006:$Q$1006,0)))),"Fix")))</f>
        <v xml:space="preserve"> </v>
      </c>
      <c r="C796" s="3" t="str">
        <f ca="1">IF(OR(INDEX($I$2:$I$1001,MATCH(ROWS($H$2:H796),$H$2:$H$1001,0),1)&gt;=100000,INDEX($O$1005:$Q$1005,1,MATCH(COLUMNS($O$1006:P1006),$O$1006:$Q$1006,0))&gt;=100000), " ",IF(INDEX($O$2:$Q$1001,MATCH(ROWS($H$2:H796),$H$2:$H$1001,0),MATCH(COLUMNS($O$1006:P1006),$O$1006:$Q$1006,0)), HYPERLINK("#",""), HYPERLINK(CONCATENATE("#metadata!", ADDRESS(INDEX($J$2:$J$1001,MATCH(ROWS($H$2:H796),$H$2:$H$1001,0),0), INDEX($O$1004:$Q$1004,1,MATCH(COLUMNS($O$1006:P1006),$O$1006:$Q$1006,0)))),"Fix")))</f>
        <v xml:space="preserve"> </v>
      </c>
      <c r="D796" s="3" t="str">
        <f ca="1">IF(OR(INDEX($I$2:$I$1001,MATCH(ROWS($H$2:H796),$H$2:$H$1001,0),1)&gt;=100000,INDEX($O$1005:$Q$1005,1,MATCH(COLUMNS($O$1006:Q1006),$O$1006:$Q$1006,0))&gt;=100000), " ",IF(INDEX($O$2:$Q$1001,MATCH(ROWS($H$2:H796),$H$2:$H$1001,0),MATCH(COLUMNS($O$1006:Q1006),$O$1006:$Q$1006,0)), HYPERLINK("#",""), HYPERLINK(CONCATENATE("#metadata!", ADDRESS(INDEX($J$2:$J$1001,MATCH(ROWS($H$2:H796),$H$2:$H$1001,0),0), INDEX($O$1004:$Q$1004,1,MATCH(COLUMNS($O$1006:Q1006),$O$1006:$Q$1006,0)))),"Fix")))</f>
        <v xml:space="preserve"> </v>
      </c>
      <c r="H796">
        <v>795</v>
      </c>
      <c r="I796">
        <v>100796</v>
      </c>
      <c r="J796">
        <v>796</v>
      </c>
      <c r="K796" t="b">
        <f t="shared" si="12"/>
        <v>1</v>
      </c>
      <c r="L796" t="b">
        <f>COUNTBLANK(metadata!B796:D796)=COLUMNS(metadata!B796:D796)</f>
        <v>1</v>
      </c>
      <c r="M796" t="str">
        <v/>
      </c>
      <c r="O796" t="b">
        <f ca="1"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P796" t="b">
        <f>AND(IF(metadata!C796="",FALSE,TRUE),EXACT(metadata!C796,"mouse gut metagenome"))</f>
        <v>0</v>
      </c>
      <c r="Q796" t="b">
        <f>AND(IF(metadata!D796="",FALSE,TRUE),EXACT(metadata!D796,"410661"))</f>
        <v>0</v>
      </c>
    </row>
    <row r="797" spans="1:17" x14ac:dyDescent="0.2">
      <c r="A797" s="4" t="str">
        <f ca="1">IF(B797=" "," ",HYPERLINK(CONCATENATE("#metadata!",ADDRESS(INDEX($J$2:$J$1001,MATCH(ROWS($H$2:H797),$H$2:$H$1001,0),0),1)),INDEX($M$2:$M$1001,MATCH(ROWS($H$2:H797),$H$2:$H$1001,0),0)))</f>
        <v xml:space="preserve"> </v>
      </c>
      <c r="B797" s="3" t="str">
        <f ca="1">IF(OR(INDEX($I$2:$I$1001,MATCH(ROWS($H$2:H797),$H$2:$H$1001,0),1)&gt;=100000,INDEX($O$1005:$Q$1005,1,MATCH(COLUMNS($O$1006:O1006),$O$1006:$Q$1006,0))&gt;=100000), " ",IF(INDEX($O$2:$Q$1001,MATCH(ROWS($H$2:H797),$H$2:$H$1001,0),MATCH(COLUMNS($O$1006:O1006),$O$1006:$Q$1006,0)), HYPERLINK("#",""), HYPERLINK(CONCATENATE("#metadata!", ADDRESS(INDEX($J$2:$J$1001,MATCH(ROWS($H$2:H797),$H$2:$H$1001,0),0), INDEX($O$1004:$Q$1004,1,MATCH(COLUMNS($O$1006:O1006),$O$1006:$Q$1006,0)))),"Fix")))</f>
        <v xml:space="preserve"> </v>
      </c>
      <c r="C797" s="3" t="str">
        <f ca="1">IF(OR(INDEX($I$2:$I$1001,MATCH(ROWS($H$2:H797),$H$2:$H$1001,0),1)&gt;=100000,INDEX($O$1005:$Q$1005,1,MATCH(COLUMNS($O$1006:P1006),$O$1006:$Q$1006,0))&gt;=100000), " ",IF(INDEX($O$2:$Q$1001,MATCH(ROWS($H$2:H797),$H$2:$H$1001,0),MATCH(COLUMNS($O$1006:P1006),$O$1006:$Q$1006,0)), HYPERLINK("#",""), HYPERLINK(CONCATENATE("#metadata!", ADDRESS(INDEX($J$2:$J$1001,MATCH(ROWS($H$2:H797),$H$2:$H$1001,0),0), INDEX($O$1004:$Q$1004,1,MATCH(COLUMNS($O$1006:P1006),$O$1006:$Q$1006,0)))),"Fix")))</f>
        <v xml:space="preserve"> </v>
      </c>
      <c r="D797" s="3" t="str">
        <f ca="1">IF(OR(INDEX($I$2:$I$1001,MATCH(ROWS($H$2:H797),$H$2:$H$1001,0),1)&gt;=100000,INDEX($O$1005:$Q$1005,1,MATCH(COLUMNS($O$1006:Q1006),$O$1006:$Q$1006,0))&gt;=100000), " ",IF(INDEX($O$2:$Q$1001,MATCH(ROWS($H$2:H797),$H$2:$H$1001,0),MATCH(COLUMNS($O$1006:Q1006),$O$1006:$Q$1006,0)), HYPERLINK("#",""), HYPERLINK(CONCATENATE("#metadata!", ADDRESS(INDEX($J$2:$J$1001,MATCH(ROWS($H$2:H797),$H$2:$H$1001,0),0), INDEX($O$1004:$Q$1004,1,MATCH(COLUMNS($O$1006:Q1006),$O$1006:$Q$1006,0)))),"Fix")))</f>
        <v xml:space="preserve"> </v>
      </c>
      <c r="H797">
        <v>796</v>
      </c>
      <c r="I797">
        <v>100797</v>
      </c>
      <c r="J797">
        <v>797</v>
      </c>
      <c r="K797" t="b">
        <f t="shared" si="12"/>
        <v>1</v>
      </c>
      <c r="L797" t="b">
        <f>COUNTBLANK(metadata!B797:D797)=COLUMNS(metadata!B797:D797)</f>
        <v>1</v>
      </c>
      <c r="M797" t="str">
        <v/>
      </c>
      <c r="O797" t="b">
        <f ca="1"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P797" t="b">
        <f>AND(IF(metadata!C797="",FALSE,TRUE),EXACT(metadata!C797,"mouse gut metagenome"))</f>
        <v>0</v>
      </c>
      <c r="Q797" t="b">
        <f>AND(IF(metadata!D797="",FALSE,TRUE),EXACT(metadata!D797,"410661"))</f>
        <v>0</v>
      </c>
    </row>
    <row r="798" spans="1:17" x14ac:dyDescent="0.2">
      <c r="A798" s="4" t="str">
        <f ca="1">IF(B798=" "," ",HYPERLINK(CONCATENATE("#metadata!",ADDRESS(INDEX($J$2:$J$1001,MATCH(ROWS($H$2:H798),$H$2:$H$1001,0),0),1)),INDEX($M$2:$M$1001,MATCH(ROWS($H$2:H798),$H$2:$H$1001,0),0)))</f>
        <v xml:space="preserve"> </v>
      </c>
      <c r="B798" s="3" t="str">
        <f ca="1">IF(OR(INDEX($I$2:$I$1001,MATCH(ROWS($H$2:H798),$H$2:$H$1001,0),1)&gt;=100000,INDEX($O$1005:$Q$1005,1,MATCH(COLUMNS($O$1006:O1006),$O$1006:$Q$1006,0))&gt;=100000), " ",IF(INDEX($O$2:$Q$1001,MATCH(ROWS($H$2:H798),$H$2:$H$1001,0),MATCH(COLUMNS($O$1006:O1006),$O$1006:$Q$1006,0)), HYPERLINK("#",""), HYPERLINK(CONCATENATE("#metadata!", ADDRESS(INDEX($J$2:$J$1001,MATCH(ROWS($H$2:H798),$H$2:$H$1001,0),0), INDEX($O$1004:$Q$1004,1,MATCH(COLUMNS($O$1006:O1006),$O$1006:$Q$1006,0)))),"Fix")))</f>
        <v xml:space="preserve"> </v>
      </c>
      <c r="C798" s="3" t="str">
        <f ca="1">IF(OR(INDEX($I$2:$I$1001,MATCH(ROWS($H$2:H798),$H$2:$H$1001,0),1)&gt;=100000,INDEX($O$1005:$Q$1005,1,MATCH(COLUMNS($O$1006:P1006),$O$1006:$Q$1006,0))&gt;=100000), " ",IF(INDEX($O$2:$Q$1001,MATCH(ROWS($H$2:H798),$H$2:$H$1001,0),MATCH(COLUMNS($O$1006:P1006),$O$1006:$Q$1006,0)), HYPERLINK("#",""), HYPERLINK(CONCATENATE("#metadata!", ADDRESS(INDEX($J$2:$J$1001,MATCH(ROWS($H$2:H798),$H$2:$H$1001,0),0), INDEX($O$1004:$Q$1004,1,MATCH(COLUMNS($O$1006:P1006),$O$1006:$Q$1006,0)))),"Fix")))</f>
        <v xml:space="preserve"> </v>
      </c>
      <c r="D798" s="3" t="str">
        <f ca="1">IF(OR(INDEX($I$2:$I$1001,MATCH(ROWS($H$2:H798),$H$2:$H$1001,0),1)&gt;=100000,INDEX($O$1005:$Q$1005,1,MATCH(COLUMNS($O$1006:Q1006),$O$1006:$Q$1006,0))&gt;=100000), " ",IF(INDEX($O$2:$Q$1001,MATCH(ROWS($H$2:H798),$H$2:$H$1001,0),MATCH(COLUMNS($O$1006:Q1006),$O$1006:$Q$1006,0)), HYPERLINK("#",""), HYPERLINK(CONCATENATE("#metadata!", ADDRESS(INDEX($J$2:$J$1001,MATCH(ROWS($H$2:H798),$H$2:$H$1001,0),0), INDEX($O$1004:$Q$1004,1,MATCH(COLUMNS($O$1006:Q1006),$O$1006:$Q$1006,0)))),"Fix")))</f>
        <v xml:space="preserve"> </v>
      </c>
      <c r="H798">
        <v>797</v>
      </c>
      <c r="I798">
        <v>100798</v>
      </c>
      <c r="J798">
        <v>798</v>
      </c>
      <c r="K798" t="b">
        <f t="shared" si="12"/>
        <v>1</v>
      </c>
      <c r="L798" t="b">
        <f>COUNTBLANK(metadata!B798:D798)=COLUMNS(metadata!B798:D798)</f>
        <v>1</v>
      </c>
      <c r="M798" t="str">
        <v/>
      </c>
      <c r="O798" t="b">
        <f ca="1"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P798" t="b">
        <f>AND(IF(metadata!C798="",FALSE,TRUE),EXACT(metadata!C798,"mouse gut metagenome"))</f>
        <v>0</v>
      </c>
      <c r="Q798" t="b">
        <f>AND(IF(metadata!D798="",FALSE,TRUE),EXACT(metadata!D798,"410661"))</f>
        <v>0</v>
      </c>
    </row>
    <row r="799" spans="1:17" x14ac:dyDescent="0.2">
      <c r="A799" s="4" t="str">
        <f ca="1">IF(B799=" "," ",HYPERLINK(CONCATENATE("#metadata!",ADDRESS(INDEX($J$2:$J$1001,MATCH(ROWS($H$2:H799),$H$2:$H$1001,0),0),1)),INDEX($M$2:$M$1001,MATCH(ROWS($H$2:H799),$H$2:$H$1001,0),0)))</f>
        <v xml:space="preserve"> </v>
      </c>
      <c r="B799" s="3" t="str">
        <f ca="1">IF(OR(INDEX($I$2:$I$1001,MATCH(ROWS($H$2:H799),$H$2:$H$1001,0),1)&gt;=100000,INDEX($O$1005:$Q$1005,1,MATCH(COLUMNS($O$1006:O1006),$O$1006:$Q$1006,0))&gt;=100000), " ",IF(INDEX($O$2:$Q$1001,MATCH(ROWS($H$2:H799),$H$2:$H$1001,0),MATCH(COLUMNS($O$1006:O1006),$O$1006:$Q$1006,0)), HYPERLINK("#",""), HYPERLINK(CONCATENATE("#metadata!", ADDRESS(INDEX($J$2:$J$1001,MATCH(ROWS($H$2:H799),$H$2:$H$1001,0),0), INDEX($O$1004:$Q$1004,1,MATCH(COLUMNS($O$1006:O1006),$O$1006:$Q$1006,0)))),"Fix")))</f>
        <v xml:space="preserve"> </v>
      </c>
      <c r="C799" s="3" t="str">
        <f ca="1">IF(OR(INDEX($I$2:$I$1001,MATCH(ROWS($H$2:H799),$H$2:$H$1001,0),1)&gt;=100000,INDEX($O$1005:$Q$1005,1,MATCH(COLUMNS($O$1006:P1006),$O$1006:$Q$1006,0))&gt;=100000), " ",IF(INDEX($O$2:$Q$1001,MATCH(ROWS($H$2:H799),$H$2:$H$1001,0),MATCH(COLUMNS($O$1006:P1006),$O$1006:$Q$1006,0)), HYPERLINK("#",""), HYPERLINK(CONCATENATE("#metadata!", ADDRESS(INDEX($J$2:$J$1001,MATCH(ROWS($H$2:H799),$H$2:$H$1001,0),0), INDEX($O$1004:$Q$1004,1,MATCH(COLUMNS($O$1006:P1006),$O$1006:$Q$1006,0)))),"Fix")))</f>
        <v xml:space="preserve"> </v>
      </c>
      <c r="D799" s="3" t="str">
        <f ca="1">IF(OR(INDEX($I$2:$I$1001,MATCH(ROWS($H$2:H799),$H$2:$H$1001,0),1)&gt;=100000,INDEX($O$1005:$Q$1005,1,MATCH(COLUMNS($O$1006:Q1006),$O$1006:$Q$1006,0))&gt;=100000), " ",IF(INDEX($O$2:$Q$1001,MATCH(ROWS($H$2:H799),$H$2:$H$1001,0),MATCH(COLUMNS($O$1006:Q1006),$O$1006:$Q$1006,0)), HYPERLINK("#",""), HYPERLINK(CONCATENATE("#metadata!", ADDRESS(INDEX($J$2:$J$1001,MATCH(ROWS($H$2:H799),$H$2:$H$1001,0),0), INDEX($O$1004:$Q$1004,1,MATCH(COLUMNS($O$1006:Q1006),$O$1006:$Q$1006,0)))),"Fix")))</f>
        <v xml:space="preserve"> </v>
      </c>
      <c r="H799">
        <v>798</v>
      </c>
      <c r="I799">
        <v>100799</v>
      </c>
      <c r="J799">
        <v>799</v>
      </c>
      <c r="K799" t="b">
        <f t="shared" si="12"/>
        <v>1</v>
      </c>
      <c r="L799" t="b">
        <f>COUNTBLANK(metadata!B799:D799)=COLUMNS(metadata!B799:D799)</f>
        <v>1</v>
      </c>
      <c r="M799" t="str">
        <v/>
      </c>
      <c r="O799" t="b">
        <f ca="1"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P799" t="b">
        <f>AND(IF(metadata!C799="",FALSE,TRUE),EXACT(metadata!C799,"mouse gut metagenome"))</f>
        <v>0</v>
      </c>
      <c r="Q799" t="b">
        <f>AND(IF(metadata!D799="",FALSE,TRUE),EXACT(metadata!D799,"410661"))</f>
        <v>0</v>
      </c>
    </row>
    <row r="800" spans="1:17" x14ac:dyDescent="0.2">
      <c r="A800" s="4" t="str">
        <f ca="1">IF(B800=" "," ",HYPERLINK(CONCATENATE("#metadata!",ADDRESS(INDEX($J$2:$J$1001,MATCH(ROWS($H$2:H800),$H$2:$H$1001,0),0),1)),INDEX($M$2:$M$1001,MATCH(ROWS($H$2:H800),$H$2:$H$1001,0),0)))</f>
        <v xml:space="preserve"> </v>
      </c>
      <c r="B800" s="3" t="str">
        <f ca="1">IF(OR(INDEX($I$2:$I$1001,MATCH(ROWS($H$2:H800),$H$2:$H$1001,0),1)&gt;=100000,INDEX($O$1005:$Q$1005,1,MATCH(COLUMNS($O$1006:O1006),$O$1006:$Q$1006,0))&gt;=100000), " ",IF(INDEX($O$2:$Q$1001,MATCH(ROWS($H$2:H800),$H$2:$H$1001,0),MATCH(COLUMNS($O$1006:O1006),$O$1006:$Q$1006,0)), HYPERLINK("#",""), HYPERLINK(CONCATENATE("#metadata!", ADDRESS(INDEX($J$2:$J$1001,MATCH(ROWS($H$2:H800),$H$2:$H$1001,0),0), INDEX($O$1004:$Q$1004,1,MATCH(COLUMNS($O$1006:O1006),$O$1006:$Q$1006,0)))),"Fix")))</f>
        <v xml:space="preserve"> </v>
      </c>
      <c r="C800" s="3" t="str">
        <f ca="1">IF(OR(INDEX($I$2:$I$1001,MATCH(ROWS($H$2:H800),$H$2:$H$1001,0),1)&gt;=100000,INDEX($O$1005:$Q$1005,1,MATCH(COLUMNS($O$1006:P1006),$O$1006:$Q$1006,0))&gt;=100000), " ",IF(INDEX($O$2:$Q$1001,MATCH(ROWS($H$2:H800),$H$2:$H$1001,0),MATCH(COLUMNS($O$1006:P1006),$O$1006:$Q$1006,0)), HYPERLINK("#",""), HYPERLINK(CONCATENATE("#metadata!", ADDRESS(INDEX($J$2:$J$1001,MATCH(ROWS($H$2:H800),$H$2:$H$1001,0),0), INDEX($O$1004:$Q$1004,1,MATCH(COLUMNS($O$1006:P1006),$O$1006:$Q$1006,0)))),"Fix")))</f>
        <v xml:space="preserve"> </v>
      </c>
      <c r="D800" s="3" t="str">
        <f ca="1">IF(OR(INDEX($I$2:$I$1001,MATCH(ROWS($H$2:H800),$H$2:$H$1001,0),1)&gt;=100000,INDEX($O$1005:$Q$1005,1,MATCH(COLUMNS($O$1006:Q1006),$O$1006:$Q$1006,0))&gt;=100000), " ",IF(INDEX($O$2:$Q$1001,MATCH(ROWS($H$2:H800),$H$2:$H$1001,0),MATCH(COLUMNS($O$1006:Q1006),$O$1006:$Q$1006,0)), HYPERLINK("#",""), HYPERLINK(CONCATENATE("#metadata!", ADDRESS(INDEX($J$2:$J$1001,MATCH(ROWS($H$2:H800),$H$2:$H$1001,0),0), INDEX($O$1004:$Q$1004,1,MATCH(COLUMNS($O$1006:Q1006),$O$1006:$Q$1006,0)))),"Fix")))</f>
        <v xml:space="preserve"> </v>
      </c>
      <c r="H800">
        <v>799</v>
      </c>
      <c r="I800">
        <v>100800</v>
      </c>
      <c r="J800">
        <v>800</v>
      </c>
      <c r="K800" t="b">
        <f t="shared" si="12"/>
        <v>1</v>
      </c>
      <c r="L800" t="b">
        <f>COUNTBLANK(metadata!B800:D800)=COLUMNS(metadata!B800:D800)</f>
        <v>1</v>
      </c>
      <c r="M800" t="str">
        <v/>
      </c>
      <c r="O800" t="b">
        <f ca="1"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P800" t="b">
        <f>AND(IF(metadata!C800="",FALSE,TRUE),EXACT(metadata!C800,"mouse gut metagenome"))</f>
        <v>0</v>
      </c>
      <c r="Q800" t="b">
        <f>AND(IF(metadata!D800="",FALSE,TRUE),EXACT(metadata!D800,"410661"))</f>
        <v>0</v>
      </c>
    </row>
    <row r="801" spans="1:17" x14ac:dyDescent="0.2">
      <c r="A801" s="4" t="str">
        <f ca="1">IF(B801=" "," ",HYPERLINK(CONCATENATE("#metadata!",ADDRESS(INDEX($J$2:$J$1001,MATCH(ROWS($H$2:H801),$H$2:$H$1001,0),0),1)),INDEX($M$2:$M$1001,MATCH(ROWS($H$2:H801),$H$2:$H$1001,0),0)))</f>
        <v xml:space="preserve"> </v>
      </c>
      <c r="B801" s="3" t="str">
        <f ca="1">IF(OR(INDEX($I$2:$I$1001,MATCH(ROWS($H$2:H801),$H$2:$H$1001,0),1)&gt;=100000,INDEX($O$1005:$Q$1005,1,MATCH(COLUMNS($O$1006:O1006),$O$1006:$Q$1006,0))&gt;=100000), " ",IF(INDEX($O$2:$Q$1001,MATCH(ROWS($H$2:H801),$H$2:$H$1001,0),MATCH(COLUMNS($O$1006:O1006),$O$1006:$Q$1006,0)), HYPERLINK("#",""), HYPERLINK(CONCATENATE("#metadata!", ADDRESS(INDEX($J$2:$J$1001,MATCH(ROWS($H$2:H801),$H$2:$H$1001,0),0), INDEX($O$1004:$Q$1004,1,MATCH(COLUMNS($O$1006:O1006),$O$1006:$Q$1006,0)))),"Fix")))</f>
        <v xml:space="preserve"> </v>
      </c>
      <c r="C801" s="3" t="str">
        <f ca="1">IF(OR(INDEX($I$2:$I$1001,MATCH(ROWS($H$2:H801),$H$2:$H$1001,0),1)&gt;=100000,INDEX($O$1005:$Q$1005,1,MATCH(COLUMNS($O$1006:P1006),$O$1006:$Q$1006,0))&gt;=100000), " ",IF(INDEX($O$2:$Q$1001,MATCH(ROWS($H$2:H801),$H$2:$H$1001,0),MATCH(COLUMNS($O$1006:P1006),$O$1006:$Q$1006,0)), HYPERLINK("#",""), HYPERLINK(CONCATENATE("#metadata!", ADDRESS(INDEX($J$2:$J$1001,MATCH(ROWS($H$2:H801),$H$2:$H$1001,0),0), INDEX($O$1004:$Q$1004,1,MATCH(COLUMNS($O$1006:P1006),$O$1006:$Q$1006,0)))),"Fix")))</f>
        <v xml:space="preserve"> </v>
      </c>
      <c r="D801" s="3" t="str">
        <f ca="1">IF(OR(INDEX($I$2:$I$1001,MATCH(ROWS($H$2:H801),$H$2:$H$1001,0),1)&gt;=100000,INDEX($O$1005:$Q$1005,1,MATCH(COLUMNS($O$1006:Q1006),$O$1006:$Q$1006,0))&gt;=100000), " ",IF(INDEX($O$2:$Q$1001,MATCH(ROWS($H$2:H801),$H$2:$H$1001,0),MATCH(COLUMNS($O$1006:Q1006),$O$1006:$Q$1006,0)), HYPERLINK("#",""), HYPERLINK(CONCATENATE("#metadata!", ADDRESS(INDEX($J$2:$J$1001,MATCH(ROWS($H$2:H801),$H$2:$H$1001,0),0), INDEX($O$1004:$Q$1004,1,MATCH(COLUMNS($O$1006:Q1006),$O$1006:$Q$1006,0)))),"Fix")))</f>
        <v xml:space="preserve"> </v>
      </c>
      <c r="H801">
        <v>800</v>
      </c>
      <c r="I801">
        <v>100801</v>
      </c>
      <c r="J801">
        <v>801</v>
      </c>
      <c r="K801" t="b">
        <f t="shared" si="12"/>
        <v>1</v>
      </c>
      <c r="L801" t="b">
        <f>COUNTBLANK(metadata!B801:D801)=COLUMNS(metadata!B801:D801)</f>
        <v>1</v>
      </c>
      <c r="M801" t="str">
        <v/>
      </c>
      <c r="O801" t="b">
        <f ca="1"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P801" t="b">
        <f>AND(IF(metadata!C801="",FALSE,TRUE),EXACT(metadata!C801,"mouse gut metagenome"))</f>
        <v>0</v>
      </c>
      <c r="Q801" t="b">
        <f>AND(IF(metadata!D801="",FALSE,TRUE),EXACT(metadata!D801,"410661"))</f>
        <v>0</v>
      </c>
    </row>
    <row r="802" spans="1:17" x14ac:dyDescent="0.2">
      <c r="A802" s="4" t="str">
        <f ca="1">IF(B802=" "," ",HYPERLINK(CONCATENATE("#metadata!",ADDRESS(INDEX($J$2:$J$1001,MATCH(ROWS($H$2:H802),$H$2:$H$1001,0),0),1)),INDEX($M$2:$M$1001,MATCH(ROWS($H$2:H802),$H$2:$H$1001,0),0)))</f>
        <v xml:space="preserve"> </v>
      </c>
      <c r="B802" s="3" t="str">
        <f ca="1">IF(OR(INDEX($I$2:$I$1001,MATCH(ROWS($H$2:H802),$H$2:$H$1001,0),1)&gt;=100000,INDEX($O$1005:$Q$1005,1,MATCH(COLUMNS($O$1006:O1006),$O$1006:$Q$1006,0))&gt;=100000), " ",IF(INDEX($O$2:$Q$1001,MATCH(ROWS($H$2:H802),$H$2:$H$1001,0),MATCH(COLUMNS($O$1006:O1006),$O$1006:$Q$1006,0)), HYPERLINK("#",""), HYPERLINK(CONCATENATE("#metadata!", ADDRESS(INDEX($J$2:$J$1001,MATCH(ROWS($H$2:H802),$H$2:$H$1001,0),0), INDEX($O$1004:$Q$1004,1,MATCH(COLUMNS($O$1006:O1006),$O$1006:$Q$1006,0)))),"Fix")))</f>
        <v xml:space="preserve"> </v>
      </c>
      <c r="C802" s="3" t="str">
        <f ca="1">IF(OR(INDEX($I$2:$I$1001,MATCH(ROWS($H$2:H802),$H$2:$H$1001,0),1)&gt;=100000,INDEX($O$1005:$Q$1005,1,MATCH(COLUMNS($O$1006:P1006),$O$1006:$Q$1006,0))&gt;=100000), " ",IF(INDEX($O$2:$Q$1001,MATCH(ROWS($H$2:H802),$H$2:$H$1001,0),MATCH(COLUMNS($O$1006:P1006),$O$1006:$Q$1006,0)), HYPERLINK("#",""), HYPERLINK(CONCATENATE("#metadata!", ADDRESS(INDEX($J$2:$J$1001,MATCH(ROWS($H$2:H802),$H$2:$H$1001,0),0), INDEX($O$1004:$Q$1004,1,MATCH(COLUMNS($O$1006:P1006),$O$1006:$Q$1006,0)))),"Fix")))</f>
        <v xml:space="preserve"> </v>
      </c>
      <c r="D802" s="3" t="str">
        <f ca="1">IF(OR(INDEX($I$2:$I$1001,MATCH(ROWS($H$2:H802),$H$2:$H$1001,0),1)&gt;=100000,INDEX($O$1005:$Q$1005,1,MATCH(COLUMNS($O$1006:Q1006),$O$1006:$Q$1006,0))&gt;=100000), " ",IF(INDEX($O$2:$Q$1001,MATCH(ROWS($H$2:H802),$H$2:$H$1001,0),MATCH(COLUMNS($O$1006:Q1006),$O$1006:$Q$1006,0)), HYPERLINK("#",""), HYPERLINK(CONCATENATE("#metadata!", ADDRESS(INDEX($J$2:$J$1001,MATCH(ROWS($H$2:H802),$H$2:$H$1001,0),0), INDEX($O$1004:$Q$1004,1,MATCH(COLUMNS($O$1006:Q1006),$O$1006:$Q$1006,0)))),"Fix")))</f>
        <v xml:space="preserve"> </v>
      </c>
      <c r="H802">
        <v>801</v>
      </c>
      <c r="I802">
        <v>100802</v>
      </c>
      <c r="J802">
        <v>802</v>
      </c>
      <c r="K802" t="b">
        <f t="shared" si="12"/>
        <v>1</v>
      </c>
      <c r="L802" t="b">
        <f>COUNTBLANK(metadata!B802:D802)=COLUMNS(metadata!B802:D802)</f>
        <v>1</v>
      </c>
      <c r="M802" t="str">
        <v/>
      </c>
      <c r="O802" t="b">
        <f ca="1"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P802" t="b">
        <f>AND(IF(metadata!C802="",FALSE,TRUE),EXACT(metadata!C802,"mouse gut metagenome"))</f>
        <v>0</v>
      </c>
      <c r="Q802" t="b">
        <f>AND(IF(metadata!D802="",FALSE,TRUE),EXACT(metadata!D802,"410661"))</f>
        <v>0</v>
      </c>
    </row>
    <row r="803" spans="1:17" x14ac:dyDescent="0.2">
      <c r="A803" s="4" t="str">
        <f ca="1">IF(B803=" "," ",HYPERLINK(CONCATENATE("#metadata!",ADDRESS(INDEX($J$2:$J$1001,MATCH(ROWS($H$2:H803),$H$2:$H$1001,0),0),1)),INDEX($M$2:$M$1001,MATCH(ROWS($H$2:H803),$H$2:$H$1001,0),0)))</f>
        <v xml:space="preserve"> </v>
      </c>
      <c r="B803" s="3" t="str">
        <f ca="1">IF(OR(INDEX($I$2:$I$1001,MATCH(ROWS($H$2:H803),$H$2:$H$1001,0),1)&gt;=100000,INDEX($O$1005:$Q$1005,1,MATCH(COLUMNS($O$1006:O1006),$O$1006:$Q$1006,0))&gt;=100000), " ",IF(INDEX($O$2:$Q$1001,MATCH(ROWS($H$2:H803),$H$2:$H$1001,0),MATCH(COLUMNS($O$1006:O1006),$O$1006:$Q$1006,0)), HYPERLINK("#",""), HYPERLINK(CONCATENATE("#metadata!", ADDRESS(INDEX($J$2:$J$1001,MATCH(ROWS($H$2:H803),$H$2:$H$1001,0),0), INDEX($O$1004:$Q$1004,1,MATCH(COLUMNS($O$1006:O1006),$O$1006:$Q$1006,0)))),"Fix")))</f>
        <v xml:space="preserve"> </v>
      </c>
      <c r="C803" s="3" t="str">
        <f ca="1">IF(OR(INDEX($I$2:$I$1001,MATCH(ROWS($H$2:H803),$H$2:$H$1001,0),1)&gt;=100000,INDEX($O$1005:$Q$1005,1,MATCH(COLUMNS($O$1006:P1006),$O$1006:$Q$1006,0))&gt;=100000), " ",IF(INDEX($O$2:$Q$1001,MATCH(ROWS($H$2:H803),$H$2:$H$1001,0),MATCH(COLUMNS($O$1006:P1006),$O$1006:$Q$1006,0)), HYPERLINK("#",""), HYPERLINK(CONCATENATE("#metadata!", ADDRESS(INDEX($J$2:$J$1001,MATCH(ROWS($H$2:H803),$H$2:$H$1001,0),0), INDEX($O$1004:$Q$1004,1,MATCH(COLUMNS($O$1006:P1006),$O$1006:$Q$1006,0)))),"Fix")))</f>
        <v xml:space="preserve"> </v>
      </c>
      <c r="D803" s="3" t="str">
        <f ca="1">IF(OR(INDEX($I$2:$I$1001,MATCH(ROWS($H$2:H803),$H$2:$H$1001,0),1)&gt;=100000,INDEX($O$1005:$Q$1005,1,MATCH(COLUMNS($O$1006:Q1006),$O$1006:$Q$1006,0))&gt;=100000), " ",IF(INDEX($O$2:$Q$1001,MATCH(ROWS($H$2:H803),$H$2:$H$1001,0),MATCH(COLUMNS($O$1006:Q1006),$O$1006:$Q$1006,0)), HYPERLINK("#",""), HYPERLINK(CONCATENATE("#metadata!", ADDRESS(INDEX($J$2:$J$1001,MATCH(ROWS($H$2:H803),$H$2:$H$1001,0),0), INDEX($O$1004:$Q$1004,1,MATCH(COLUMNS($O$1006:Q1006),$O$1006:$Q$1006,0)))),"Fix")))</f>
        <v xml:space="preserve"> </v>
      </c>
      <c r="H803">
        <v>802</v>
      </c>
      <c r="I803">
        <v>100803</v>
      </c>
      <c r="J803">
        <v>803</v>
      </c>
      <c r="K803" t="b">
        <f t="shared" si="12"/>
        <v>1</v>
      </c>
      <c r="L803" t="b">
        <f>COUNTBLANK(metadata!B803:D803)=COLUMNS(metadata!B803:D803)</f>
        <v>1</v>
      </c>
      <c r="M803" t="str">
        <v/>
      </c>
      <c r="O803" t="b">
        <f ca="1"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P803" t="b">
        <f>AND(IF(metadata!C803="",FALSE,TRUE),EXACT(metadata!C803,"mouse gut metagenome"))</f>
        <v>0</v>
      </c>
      <c r="Q803" t="b">
        <f>AND(IF(metadata!D803="",FALSE,TRUE),EXACT(metadata!D803,"410661"))</f>
        <v>0</v>
      </c>
    </row>
    <row r="804" spans="1:17" x14ac:dyDescent="0.2">
      <c r="A804" s="4" t="str">
        <f ca="1">IF(B804=" "," ",HYPERLINK(CONCATENATE("#metadata!",ADDRESS(INDEX($J$2:$J$1001,MATCH(ROWS($H$2:H804),$H$2:$H$1001,0),0),1)),INDEX($M$2:$M$1001,MATCH(ROWS($H$2:H804),$H$2:$H$1001,0),0)))</f>
        <v xml:space="preserve"> </v>
      </c>
      <c r="B804" s="3" t="str">
        <f ca="1">IF(OR(INDEX($I$2:$I$1001,MATCH(ROWS($H$2:H804),$H$2:$H$1001,0),1)&gt;=100000,INDEX($O$1005:$Q$1005,1,MATCH(COLUMNS($O$1006:O1006),$O$1006:$Q$1006,0))&gt;=100000), " ",IF(INDEX($O$2:$Q$1001,MATCH(ROWS($H$2:H804),$H$2:$H$1001,0),MATCH(COLUMNS($O$1006:O1006),$O$1006:$Q$1006,0)), HYPERLINK("#",""), HYPERLINK(CONCATENATE("#metadata!", ADDRESS(INDEX($J$2:$J$1001,MATCH(ROWS($H$2:H804),$H$2:$H$1001,0),0), INDEX($O$1004:$Q$1004,1,MATCH(COLUMNS($O$1006:O1006),$O$1006:$Q$1006,0)))),"Fix")))</f>
        <v xml:space="preserve"> </v>
      </c>
      <c r="C804" s="3" t="str">
        <f ca="1">IF(OR(INDEX($I$2:$I$1001,MATCH(ROWS($H$2:H804),$H$2:$H$1001,0),1)&gt;=100000,INDEX($O$1005:$Q$1005,1,MATCH(COLUMNS($O$1006:P1006),$O$1006:$Q$1006,0))&gt;=100000), " ",IF(INDEX($O$2:$Q$1001,MATCH(ROWS($H$2:H804),$H$2:$H$1001,0),MATCH(COLUMNS($O$1006:P1006),$O$1006:$Q$1006,0)), HYPERLINK("#",""), HYPERLINK(CONCATENATE("#metadata!", ADDRESS(INDEX($J$2:$J$1001,MATCH(ROWS($H$2:H804),$H$2:$H$1001,0),0), INDEX($O$1004:$Q$1004,1,MATCH(COLUMNS($O$1006:P1006),$O$1006:$Q$1006,0)))),"Fix")))</f>
        <v xml:space="preserve"> </v>
      </c>
      <c r="D804" s="3" t="str">
        <f ca="1">IF(OR(INDEX($I$2:$I$1001,MATCH(ROWS($H$2:H804),$H$2:$H$1001,0),1)&gt;=100000,INDEX($O$1005:$Q$1005,1,MATCH(COLUMNS($O$1006:Q1006),$O$1006:$Q$1006,0))&gt;=100000), " ",IF(INDEX($O$2:$Q$1001,MATCH(ROWS($H$2:H804),$H$2:$H$1001,0),MATCH(COLUMNS($O$1006:Q1006),$O$1006:$Q$1006,0)), HYPERLINK("#",""), HYPERLINK(CONCATENATE("#metadata!", ADDRESS(INDEX($J$2:$J$1001,MATCH(ROWS($H$2:H804),$H$2:$H$1001,0),0), INDEX($O$1004:$Q$1004,1,MATCH(COLUMNS($O$1006:Q1006),$O$1006:$Q$1006,0)))),"Fix")))</f>
        <v xml:space="preserve"> </v>
      </c>
      <c r="H804">
        <v>803</v>
      </c>
      <c r="I804">
        <v>100804</v>
      </c>
      <c r="J804">
        <v>804</v>
      </c>
      <c r="K804" t="b">
        <f t="shared" si="12"/>
        <v>1</v>
      </c>
      <c r="L804" t="b">
        <f>COUNTBLANK(metadata!B804:D804)=COLUMNS(metadata!B804:D804)</f>
        <v>1</v>
      </c>
      <c r="M804" t="str">
        <v/>
      </c>
      <c r="O804" t="b">
        <f ca="1"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P804" t="b">
        <f>AND(IF(metadata!C804="",FALSE,TRUE),EXACT(metadata!C804,"mouse gut metagenome"))</f>
        <v>0</v>
      </c>
      <c r="Q804" t="b">
        <f>AND(IF(metadata!D804="",FALSE,TRUE),EXACT(metadata!D804,"410661"))</f>
        <v>0</v>
      </c>
    </row>
    <row r="805" spans="1:17" x14ac:dyDescent="0.2">
      <c r="A805" s="4" t="str">
        <f ca="1">IF(B805=" "," ",HYPERLINK(CONCATENATE("#metadata!",ADDRESS(INDEX($J$2:$J$1001,MATCH(ROWS($H$2:H805),$H$2:$H$1001,0),0),1)),INDEX($M$2:$M$1001,MATCH(ROWS($H$2:H805),$H$2:$H$1001,0),0)))</f>
        <v xml:space="preserve"> </v>
      </c>
      <c r="B805" s="3" t="str">
        <f ca="1">IF(OR(INDEX($I$2:$I$1001,MATCH(ROWS($H$2:H805),$H$2:$H$1001,0),1)&gt;=100000,INDEX($O$1005:$Q$1005,1,MATCH(COLUMNS($O$1006:O1006),$O$1006:$Q$1006,0))&gt;=100000), " ",IF(INDEX($O$2:$Q$1001,MATCH(ROWS($H$2:H805),$H$2:$H$1001,0),MATCH(COLUMNS($O$1006:O1006),$O$1006:$Q$1006,0)), HYPERLINK("#",""), HYPERLINK(CONCATENATE("#metadata!", ADDRESS(INDEX($J$2:$J$1001,MATCH(ROWS($H$2:H805),$H$2:$H$1001,0),0), INDEX($O$1004:$Q$1004,1,MATCH(COLUMNS($O$1006:O1006),$O$1006:$Q$1006,0)))),"Fix")))</f>
        <v xml:space="preserve"> </v>
      </c>
      <c r="C805" s="3" t="str">
        <f ca="1">IF(OR(INDEX($I$2:$I$1001,MATCH(ROWS($H$2:H805),$H$2:$H$1001,0),1)&gt;=100000,INDEX($O$1005:$Q$1005,1,MATCH(COLUMNS($O$1006:P1006),$O$1006:$Q$1006,0))&gt;=100000), " ",IF(INDEX($O$2:$Q$1001,MATCH(ROWS($H$2:H805),$H$2:$H$1001,0),MATCH(COLUMNS($O$1006:P1006),$O$1006:$Q$1006,0)), HYPERLINK("#",""), HYPERLINK(CONCATENATE("#metadata!", ADDRESS(INDEX($J$2:$J$1001,MATCH(ROWS($H$2:H805),$H$2:$H$1001,0),0), INDEX($O$1004:$Q$1004,1,MATCH(COLUMNS($O$1006:P1006),$O$1006:$Q$1006,0)))),"Fix")))</f>
        <v xml:space="preserve"> </v>
      </c>
      <c r="D805" s="3" t="str">
        <f ca="1">IF(OR(INDEX($I$2:$I$1001,MATCH(ROWS($H$2:H805),$H$2:$H$1001,0),1)&gt;=100000,INDEX($O$1005:$Q$1005,1,MATCH(COLUMNS($O$1006:Q1006),$O$1006:$Q$1006,0))&gt;=100000), " ",IF(INDEX($O$2:$Q$1001,MATCH(ROWS($H$2:H805),$H$2:$H$1001,0),MATCH(COLUMNS($O$1006:Q1006),$O$1006:$Q$1006,0)), HYPERLINK("#",""), HYPERLINK(CONCATENATE("#metadata!", ADDRESS(INDEX($J$2:$J$1001,MATCH(ROWS($H$2:H805),$H$2:$H$1001,0),0), INDEX($O$1004:$Q$1004,1,MATCH(COLUMNS($O$1006:Q1006),$O$1006:$Q$1006,0)))),"Fix")))</f>
        <v xml:space="preserve"> </v>
      </c>
      <c r="H805">
        <v>804</v>
      </c>
      <c r="I805">
        <v>100805</v>
      </c>
      <c r="J805">
        <v>805</v>
      </c>
      <c r="K805" t="b">
        <f t="shared" si="12"/>
        <v>1</v>
      </c>
      <c r="L805" t="b">
        <f>COUNTBLANK(metadata!B805:D805)=COLUMNS(metadata!B805:D805)</f>
        <v>1</v>
      </c>
      <c r="M805" t="str">
        <v/>
      </c>
      <c r="O805" t="b">
        <f ca="1"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P805" t="b">
        <f>AND(IF(metadata!C805="",FALSE,TRUE),EXACT(metadata!C805,"mouse gut metagenome"))</f>
        <v>0</v>
      </c>
      <c r="Q805" t="b">
        <f>AND(IF(metadata!D805="",FALSE,TRUE),EXACT(metadata!D805,"410661"))</f>
        <v>0</v>
      </c>
    </row>
    <row r="806" spans="1:17" x14ac:dyDescent="0.2">
      <c r="A806" s="4" t="str">
        <f ca="1">IF(B806=" "," ",HYPERLINK(CONCATENATE("#metadata!",ADDRESS(INDEX($J$2:$J$1001,MATCH(ROWS($H$2:H806),$H$2:$H$1001,0),0),1)),INDEX($M$2:$M$1001,MATCH(ROWS($H$2:H806),$H$2:$H$1001,0),0)))</f>
        <v xml:space="preserve"> </v>
      </c>
      <c r="B806" s="3" t="str">
        <f ca="1">IF(OR(INDEX($I$2:$I$1001,MATCH(ROWS($H$2:H806),$H$2:$H$1001,0),1)&gt;=100000,INDEX($O$1005:$Q$1005,1,MATCH(COLUMNS($O$1006:O1006),$O$1006:$Q$1006,0))&gt;=100000), " ",IF(INDEX($O$2:$Q$1001,MATCH(ROWS($H$2:H806),$H$2:$H$1001,0),MATCH(COLUMNS($O$1006:O1006),$O$1006:$Q$1006,0)), HYPERLINK("#",""), HYPERLINK(CONCATENATE("#metadata!", ADDRESS(INDEX($J$2:$J$1001,MATCH(ROWS($H$2:H806),$H$2:$H$1001,0),0), INDEX($O$1004:$Q$1004,1,MATCH(COLUMNS($O$1006:O1006),$O$1006:$Q$1006,0)))),"Fix")))</f>
        <v xml:space="preserve"> </v>
      </c>
      <c r="C806" s="3" t="str">
        <f ca="1">IF(OR(INDEX($I$2:$I$1001,MATCH(ROWS($H$2:H806),$H$2:$H$1001,0),1)&gt;=100000,INDEX($O$1005:$Q$1005,1,MATCH(COLUMNS($O$1006:P1006),$O$1006:$Q$1006,0))&gt;=100000), " ",IF(INDEX($O$2:$Q$1001,MATCH(ROWS($H$2:H806),$H$2:$H$1001,0),MATCH(COLUMNS($O$1006:P1006),$O$1006:$Q$1006,0)), HYPERLINK("#",""), HYPERLINK(CONCATENATE("#metadata!", ADDRESS(INDEX($J$2:$J$1001,MATCH(ROWS($H$2:H806),$H$2:$H$1001,0),0), INDEX($O$1004:$Q$1004,1,MATCH(COLUMNS($O$1006:P1006),$O$1006:$Q$1006,0)))),"Fix")))</f>
        <v xml:space="preserve"> </v>
      </c>
      <c r="D806" s="3" t="str">
        <f ca="1">IF(OR(INDEX($I$2:$I$1001,MATCH(ROWS($H$2:H806),$H$2:$H$1001,0),1)&gt;=100000,INDEX($O$1005:$Q$1005,1,MATCH(COLUMNS($O$1006:Q1006),$O$1006:$Q$1006,0))&gt;=100000), " ",IF(INDEX($O$2:$Q$1001,MATCH(ROWS($H$2:H806),$H$2:$H$1001,0),MATCH(COLUMNS($O$1006:Q1006),$O$1006:$Q$1006,0)), HYPERLINK("#",""), HYPERLINK(CONCATENATE("#metadata!", ADDRESS(INDEX($J$2:$J$1001,MATCH(ROWS($H$2:H806),$H$2:$H$1001,0),0), INDEX($O$1004:$Q$1004,1,MATCH(COLUMNS($O$1006:Q1006),$O$1006:$Q$1006,0)))),"Fix")))</f>
        <v xml:space="preserve"> </v>
      </c>
      <c r="H806">
        <v>805</v>
      </c>
      <c r="I806">
        <v>100806</v>
      </c>
      <c r="J806">
        <v>806</v>
      </c>
      <c r="K806" t="b">
        <f t="shared" si="12"/>
        <v>1</v>
      </c>
      <c r="L806" t="b">
        <f>COUNTBLANK(metadata!B806:D806)=COLUMNS(metadata!B806:D806)</f>
        <v>1</v>
      </c>
      <c r="M806" t="str">
        <v/>
      </c>
      <c r="O806" t="b">
        <f ca="1"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P806" t="b">
        <f>AND(IF(metadata!C806="",FALSE,TRUE),EXACT(metadata!C806,"mouse gut metagenome"))</f>
        <v>0</v>
      </c>
      <c r="Q806" t="b">
        <f>AND(IF(metadata!D806="",FALSE,TRUE),EXACT(metadata!D806,"410661"))</f>
        <v>0</v>
      </c>
    </row>
    <row r="807" spans="1:17" x14ac:dyDescent="0.2">
      <c r="A807" s="4" t="str">
        <f ca="1">IF(B807=" "," ",HYPERLINK(CONCATENATE("#metadata!",ADDRESS(INDEX($J$2:$J$1001,MATCH(ROWS($H$2:H807),$H$2:$H$1001,0),0),1)),INDEX($M$2:$M$1001,MATCH(ROWS($H$2:H807),$H$2:$H$1001,0),0)))</f>
        <v xml:space="preserve"> </v>
      </c>
      <c r="B807" s="3" t="str">
        <f ca="1">IF(OR(INDEX($I$2:$I$1001,MATCH(ROWS($H$2:H807),$H$2:$H$1001,0),1)&gt;=100000,INDEX($O$1005:$Q$1005,1,MATCH(COLUMNS($O$1006:O1006),$O$1006:$Q$1006,0))&gt;=100000), " ",IF(INDEX($O$2:$Q$1001,MATCH(ROWS($H$2:H807),$H$2:$H$1001,0),MATCH(COLUMNS($O$1006:O1006),$O$1006:$Q$1006,0)), HYPERLINK("#",""), HYPERLINK(CONCATENATE("#metadata!", ADDRESS(INDEX($J$2:$J$1001,MATCH(ROWS($H$2:H807),$H$2:$H$1001,0),0), INDEX($O$1004:$Q$1004,1,MATCH(COLUMNS($O$1006:O1006),$O$1006:$Q$1006,0)))),"Fix")))</f>
        <v xml:space="preserve"> </v>
      </c>
      <c r="C807" s="3" t="str">
        <f ca="1">IF(OR(INDEX($I$2:$I$1001,MATCH(ROWS($H$2:H807),$H$2:$H$1001,0),1)&gt;=100000,INDEX($O$1005:$Q$1005,1,MATCH(COLUMNS($O$1006:P1006),$O$1006:$Q$1006,0))&gt;=100000), " ",IF(INDEX($O$2:$Q$1001,MATCH(ROWS($H$2:H807),$H$2:$H$1001,0),MATCH(COLUMNS($O$1006:P1006),$O$1006:$Q$1006,0)), HYPERLINK("#",""), HYPERLINK(CONCATENATE("#metadata!", ADDRESS(INDEX($J$2:$J$1001,MATCH(ROWS($H$2:H807),$H$2:$H$1001,0),0), INDEX($O$1004:$Q$1004,1,MATCH(COLUMNS($O$1006:P1006),$O$1006:$Q$1006,0)))),"Fix")))</f>
        <v xml:space="preserve"> </v>
      </c>
      <c r="D807" s="3" t="str">
        <f ca="1">IF(OR(INDEX($I$2:$I$1001,MATCH(ROWS($H$2:H807),$H$2:$H$1001,0),1)&gt;=100000,INDEX($O$1005:$Q$1005,1,MATCH(COLUMNS($O$1006:Q1006),$O$1006:$Q$1006,0))&gt;=100000), " ",IF(INDEX($O$2:$Q$1001,MATCH(ROWS($H$2:H807),$H$2:$H$1001,0),MATCH(COLUMNS($O$1006:Q1006),$O$1006:$Q$1006,0)), HYPERLINK("#",""), HYPERLINK(CONCATENATE("#metadata!", ADDRESS(INDEX($J$2:$J$1001,MATCH(ROWS($H$2:H807),$H$2:$H$1001,0),0), INDEX($O$1004:$Q$1004,1,MATCH(COLUMNS($O$1006:Q1006),$O$1006:$Q$1006,0)))),"Fix")))</f>
        <v xml:space="preserve"> </v>
      </c>
      <c r="H807">
        <v>806</v>
      </c>
      <c r="I807">
        <v>100807</v>
      </c>
      <c r="J807">
        <v>807</v>
      </c>
      <c r="K807" t="b">
        <f t="shared" si="12"/>
        <v>1</v>
      </c>
      <c r="L807" t="b">
        <f>COUNTBLANK(metadata!B807:D807)=COLUMNS(metadata!B807:D807)</f>
        <v>1</v>
      </c>
      <c r="M807" t="str">
        <v/>
      </c>
      <c r="O807" t="b">
        <f ca="1"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P807" t="b">
        <f>AND(IF(metadata!C807="",FALSE,TRUE),EXACT(metadata!C807,"mouse gut metagenome"))</f>
        <v>0</v>
      </c>
      <c r="Q807" t="b">
        <f>AND(IF(metadata!D807="",FALSE,TRUE),EXACT(metadata!D807,"410661"))</f>
        <v>0</v>
      </c>
    </row>
    <row r="808" spans="1:17" x14ac:dyDescent="0.2">
      <c r="A808" s="4" t="str">
        <f ca="1">IF(B808=" "," ",HYPERLINK(CONCATENATE("#metadata!",ADDRESS(INDEX($J$2:$J$1001,MATCH(ROWS($H$2:H808),$H$2:$H$1001,0),0),1)),INDEX($M$2:$M$1001,MATCH(ROWS($H$2:H808),$H$2:$H$1001,0),0)))</f>
        <v xml:space="preserve"> </v>
      </c>
      <c r="B808" s="3" t="str">
        <f ca="1">IF(OR(INDEX($I$2:$I$1001,MATCH(ROWS($H$2:H808),$H$2:$H$1001,0),1)&gt;=100000,INDEX($O$1005:$Q$1005,1,MATCH(COLUMNS($O$1006:O1006),$O$1006:$Q$1006,0))&gt;=100000), " ",IF(INDEX($O$2:$Q$1001,MATCH(ROWS($H$2:H808),$H$2:$H$1001,0),MATCH(COLUMNS($O$1006:O1006),$O$1006:$Q$1006,0)), HYPERLINK("#",""), HYPERLINK(CONCATENATE("#metadata!", ADDRESS(INDEX($J$2:$J$1001,MATCH(ROWS($H$2:H808),$H$2:$H$1001,0),0), INDEX($O$1004:$Q$1004,1,MATCH(COLUMNS($O$1006:O1006),$O$1006:$Q$1006,0)))),"Fix")))</f>
        <v xml:space="preserve"> </v>
      </c>
      <c r="C808" s="3" t="str">
        <f ca="1">IF(OR(INDEX($I$2:$I$1001,MATCH(ROWS($H$2:H808),$H$2:$H$1001,0),1)&gt;=100000,INDEX($O$1005:$Q$1005,1,MATCH(COLUMNS($O$1006:P1006),$O$1006:$Q$1006,0))&gt;=100000), " ",IF(INDEX($O$2:$Q$1001,MATCH(ROWS($H$2:H808),$H$2:$H$1001,0),MATCH(COLUMNS($O$1006:P1006),$O$1006:$Q$1006,0)), HYPERLINK("#",""), HYPERLINK(CONCATENATE("#metadata!", ADDRESS(INDEX($J$2:$J$1001,MATCH(ROWS($H$2:H808),$H$2:$H$1001,0),0), INDEX($O$1004:$Q$1004,1,MATCH(COLUMNS($O$1006:P1006),$O$1006:$Q$1006,0)))),"Fix")))</f>
        <v xml:space="preserve"> </v>
      </c>
      <c r="D808" s="3" t="str">
        <f ca="1">IF(OR(INDEX($I$2:$I$1001,MATCH(ROWS($H$2:H808),$H$2:$H$1001,0),1)&gt;=100000,INDEX($O$1005:$Q$1005,1,MATCH(COLUMNS($O$1006:Q1006),$O$1006:$Q$1006,0))&gt;=100000), " ",IF(INDEX($O$2:$Q$1001,MATCH(ROWS($H$2:H808),$H$2:$H$1001,0),MATCH(COLUMNS($O$1006:Q1006),$O$1006:$Q$1006,0)), HYPERLINK("#",""), HYPERLINK(CONCATENATE("#metadata!", ADDRESS(INDEX($J$2:$J$1001,MATCH(ROWS($H$2:H808),$H$2:$H$1001,0),0), INDEX($O$1004:$Q$1004,1,MATCH(COLUMNS($O$1006:Q1006),$O$1006:$Q$1006,0)))),"Fix")))</f>
        <v xml:space="preserve"> </v>
      </c>
      <c r="H808">
        <v>807</v>
      </c>
      <c r="I808">
        <v>100808</v>
      </c>
      <c r="J808">
        <v>808</v>
      </c>
      <c r="K808" t="b">
        <f t="shared" si="12"/>
        <v>1</v>
      </c>
      <c r="L808" t="b">
        <f>COUNTBLANK(metadata!B808:D808)=COLUMNS(metadata!B808:D808)</f>
        <v>1</v>
      </c>
      <c r="M808" t="str">
        <v/>
      </c>
      <c r="O808" t="b">
        <f ca="1"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P808" t="b">
        <f>AND(IF(metadata!C808="",FALSE,TRUE),EXACT(metadata!C808,"mouse gut metagenome"))</f>
        <v>0</v>
      </c>
      <c r="Q808" t="b">
        <f>AND(IF(metadata!D808="",FALSE,TRUE),EXACT(metadata!D808,"410661"))</f>
        <v>0</v>
      </c>
    </row>
    <row r="809" spans="1:17" x14ac:dyDescent="0.2">
      <c r="A809" s="4" t="str">
        <f ca="1">IF(B809=" "," ",HYPERLINK(CONCATENATE("#metadata!",ADDRESS(INDEX($J$2:$J$1001,MATCH(ROWS($H$2:H809),$H$2:$H$1001,0),0),1)),INDEX($M$2:$M$1001,MATCH(ROWS($H$2:H809),$H$2:$H$1001,0),0)))</f>
        <v xml:space="preserve"> </v>
      </c>
      <c r="B809" s="3" t="str">
        <f ca="1">IF(OR(INDEX($I$2:$I$1001,MATCH(ROWS($H$2:H809),$H$2:$H$1001,0),1)&gt;=100000,INDEX($O$1005:$Q$1005,1,MATCH(COLUMNS($O$1006:O1006),$O$1006:$Q$1006,0))&gt;=100000), " ",IF(INDEX($O$2:$Q$1001,MATCH(ROWS($H$2:H809),$H$2:$H$1001,0),MATCH(COLUMNS($O$1006:O1006),$O$1006:$Q$1006,0)), HYPERLINK("#",""), HYPERLINK(CONCATENATE("#metadata!", ADDRESS(INDEX($J$2:$J$1001,MATCH(ROWS($H$2:H809),$H$2:$H$1001,0),0), INDEX($O$1004:$Q$1004,1,MATCH(COLUMNS($O$1006:O1006),$O$1006:$Q$1006,0)))),"Fix")))</f>
        <v xml:space="preserve"> </v>
      </c>
      <c r="C809" s="3" t="str">
        <f ca="1">IF(OR(INDEX($I$2:$I$1001,MATCH(ROWS($H$2:H809),$H$2:$H$1001,0),1)&gt;=100000,INDEX($O$1005:$Q$1005,1,MATCH(COLUMNS($O$1006:P1006),$O$1006:$Q$1006,0))&gt;=100000), " ",IF(INDEX($O$2:$Q$1001,MATCH(ROWS($H$2:H809),$H$2:$H$1001,0),MATCH(COLUMNS($O$1006:P1006),$O$1006:$Q$1006,0)), HYPERLINK("#",""), HYPERLINK(CONCATENATE("#metadata!", ADDRESS(INDEX($J$2:$J$1001,MATCH(ROWS($H$2:H809),$H$2:$H$1001,0),0), INDEX($O$1004:$Q$1004,1,MATCH(COLUMNS($O$1006:P1006),$O$1006:$Q$1006,0)))),"Fix")))</f>
        <v xml:space="preserve"> </v>
      </c>
      <c r="D809" s="3" t="str">
        <f ca="1">IF(OR(INDEX($I$2:$I$1001,MATCH(ROWS($H$2:H809),$H$2:$H$1001,0),1)&gt;=100000,INDEX($O$1005:$Q$1005,1,MATCH(COLUMNS($O$1006:Q1006),$O$1006:$Q$1006,0))&gt;=100000), " ",IF(INDEX($O$2:$Q$1001,MATCH(ROWS($H$2:H809),$H$2:$H$1001,0),MATCH(COLUMNS($O$1006:Q1006),$O$1006:$Q$1006,0)), HYPERLINK("#",""), HYPERLINK(CONCATENATE("#metadata!", ADDRESS(INDEX($J$2:$J$1001,MATCH(ROWS($H$2:H809),$H$2:$H$1001,0),0), INDEX($O$1004:$Q$1004,1,MATCH(COLUMNS($O$1006:Q1006),$O$1006:$Q$1006,0)))),"Fix")))</f>
        <v xml:space="preserve"> </v>
      </c>
      <c r="H809">
        <v>808</v>
      </c>
      <c r="I809">
        <v>100809</v>
      </c>
      <c r="J809">
        <v>809</v>
      </c>
      <c r="K809" t="b">
        <f t="shared" si="12"/>
        <v>1</v>
      </c>
      <c r="L809" t="b">
        <f>COUNTBLANK(metadata!B809:D809)=COLUMNS(metadata!B809:D809)</f>
        <v>1</v>
      </c>
      <c r="M809" t="str">
        <v/>
      </c>
      <c r="O809" t="b">
        <f ca="1"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P809" t="b">
        <f>AND(IF(metadata!C809="",FALSE,TRUE),EXACT(metadata!C809,"mouse gut metagenome"))</f>
        <v>0</v>
      </c>
      <c r="Q809" t="b">
        <f>AND(IF(metadata!D809="",FALSE,TRUE),EXACT(metadata!D809,"410661"))</f>
        <v>0</v>
      </c>
    </row>
    <row r="810" spans="1:17" x14ac:dyDescent="0.2">
      <c r="A810" s="4" t="str">
        <f ca="1">IF(B810=" "," ",HYPERLINK(CONCATENATE("#metadata!",ADDRESS(INDEX($J$2:$J$1001,MATCH(ROWS($H$2:H810),$H$2:$H$1001,0),0),1)),INDEX($M$2:$M$1001,MATCH(ROWS($H$2:H810),$H$2:$H$1001,0),0)))</f>
        <v xml:space="preserve"> </v>
      </c>
      <c r="B810" s="3" t="str">
        <f ca="1">IF(OR(INDEX($I$2:$I$1001,MATCH(ROWS($H$2:H810),$H$2:$H$1001,0),1)&gt;=100000,INDEX($O$1005:$Q$1005,1,MATCH(COLUMNS($O$1006:O1006),$O$1006:$Q$1006,0))&gt;=100000), " ",IF(INDEX($O$2:$Q$1001,MATCH(ROWS($H$2:H810),$H$2:$H$1001,0),MATCH(COLUMNS($O$1006:O1006),$O$1006:$Q$1006,0)), HYPERLINK("#",""), HYPERLINK(CONCATENATE("#metadata!", ADDRESS(INDEX($J$2:$J$1001,MATCH(ROWS($H$2:H810),$H$2:$H$1001,0),0), INDEX($O$1004:$Q$1004,1,MATCH(COLUMNS($O$1006:O1006),$O$1006:$Q$1006,0)))),"Fix")))</f>
        <v xml:space="preserve"> </v>
      </c>
      <c r="C810" s="3" t="str">
        <f ca="1">IF(OR(INDEX($I$2:$I$1001,MATCH(ROWS($H$2:H810),$H$2:$H$1001,0),1)&gt;=100000,INDEX($O$1005:$Q$1005,1,MATCH(COLUMNS($O$1006:P1006),$O$1006:$Q$1006,0))&gt;=100000), " ",IF(INDEX($O$2:$Q$1001,MATCH(ROWS($H$2:H810),$H$2:$H$1001,0),MATCH(COLUMNS($O$1006:P1006),$O$1006:$Q$1006,0)), HYPERLINK("#",""), HYPERLINK(CONCATENATE("#metadata!", ADDRESS(INDEX($J$2:$J$1001,MATCH(ROWS($H$2:H810),$H$2:$H$1001,0),0), INDEX($O$1004:$Q$1004,1,MATCH(COLUMNS($O$1006:P1006),$O$1006:$Q$1006,0)))),"Fix")))</f>
        <v xml:space="preserve"> </v>
      </c>
      <c r="D810" s="3" t="str">
        <f ca="1">IF(OR(INDEX($I$2:$I$1001,MATCH(ROWS($H$2:H810),$H$2:$H$1001,0),1)&gt;=100000,INDEX($O$1005:$Q$1005,1,MATCH(COLUMNS($O$1006:Q1006),$O$1006:$Q$1006,0))&gt;=100000), " ",IF(INDEX($O$2:$Q$1001,MATCH(ROWS($H$2:H810),$H$2:$H$1001,0),MATCH(COLUMNS($O$1006:Q1006),$O$1006:$Q$1006,0)), HYPERLINK("#",""), HYPERLINK(CONCATENATE("#metadata!", ADDRESS(INDEX($J$2:$J$1001,MATCH(ROWS($H$2:H810),$H$2:$H$1001,0),0), INDEX($O$1004:$Q$1004,1,MATCH(COLUMNS($O$1006:Q1006),$O$1006:$Q$1006,0)))),"Fix")))</f>
        <v xml:space="preserve"> </v>
      </c>
      <c r="H810">
        <v>809</v>
      </c>
      <c r="I810">
        <v>100810</v>
      </c>
      <c r="J810">
        <v>810</v>
      </c>
      <c r="K810" t="b">
        <f t="shared" si="12"/>
        <v>1</v>
      </c>
      <c r="L810" t="b">
        <f>COUNTBLANK(metadata!B810:D810)=COLUMNS(metadata!B810:D810)</f>
        <v>1</v>
      </c>
      <c r="M810" t="str">
        <v/>
      </c>
      <c r="O810" t="b">
        <f ca="1"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P810" t="b">
        <f>AND(IF(metadata!C810="",FALSE,TRUE),EXACT(metadata!C810,"mouse gut metagenome"))</f>
        <v>0</v>
      </c>
      <c r="Q810" t="b">
        <f>AND(IF(metadata!D810="",FALSE,TRUE),EXACT(metadata!D810,"410661"))</f>
        <v>0</v>
      </c>
    </row>
    <row r="811" spans="1:17" x14ac:dyDescent="0.2">
      <c r="A811" s="4" t="str">
        <f ca="1">IF(B811=" "," ",HYPERLINK(CONCATENATE("#metadata!",ADDRESS(INDEX($J$2:$J$1001,MATCH(ROWS($H$2:H811),$H$2:$H$1001,0),0),1)),INDEX($M$2:$M$1001,MATCH(ROWS($H$2:H811),$H$2:$H$1001,0),0)))</f>
        <v xml:space="preserve"> </v>
      </c>
      <c r="B811" s="3" t="str">
        <f ca="1">IF(OR(INDEX($I$2:$I$1001,MATCH(ROWS($H$2:H811),$H$2:$H$1001,0),1)&gt;=100000,INDEX($O$1005:$Q$1005,1,MATCH(COLUMNS($O$1006:O1006),$O$1006:$Q$1006,0))&gt;=100000), " ",IF(INDEX($O$2:$Q$1001,MATCH(ROWS($H$2:H811),$H$2:$H$1001,0),MATCH(COLUMNS($O$1006:O1006),$O$1006:$Q$1006,0)), HYPERLINK("#",""), HYPERLINK(CONCATENATE("#metadata!", ADDRESS(INDEX($J$2:$J$1001,MATCH(ROWS($H$2:H811),$H$2:$H$1001,0),0), INDEX($O$1004:$Q$1004,1,MATCH(COLUMNS($O$1006:O1006),$O$1006:$Q$1006,0)))),"Fix")))</f>
        <v xml:space="preserve"> </v>
      </c>
      <c r="C811" s="3" t="str">
        <f ca="1">IF(OR(INDEX($I$2:$I$1001,MATCH(ROWS($H$2:H811),$H$2:$H$1001,0),1)&gt;=100000,INDEX($O$1005:$Q$1005,1,MATCH(COLUMNS($O$1006:P1006),$O$1006:$Q$1006,0))&gt;=100000), " ",IF(INDEX($O$2:$Q$1001,MATCH(ROWS($H$2:H811),$H$2:$H$1001,0),MATCH(COLUMNS($O$1006:P1006),$O$1006:$Q$1006,0)), HYPERLINK("#",""), HYPERLINK(CONCATENATE("#metadata!", ADDRESS(INDEX($J$2:$J$1001,MATCH(ROWS($H$2:H811),$H$2:$H$1001,0),0), INDEX($O$1004:$Q$1004,1,MATCH(COLUMNS($O$1006:P1006),$O$1006:$Q$1006,0)))),"Fix")))</f>
        <v xml:space="preserve"> </v>
      </c>
      <c r="D811" s="3" t="str">
        <f ca="1">IF(OR(INDEX($I$2:$I$1001,MATCH(ROWS($H$2:H811),$H$2:$H$1001,0),1)&gt;=100000,INDEX($O$1005:$Q$1005,1,MATCH(COLUMNS($O$1006:Q1006),$O$1006:$Q$1006,0))&gt;=100000), " ",IF(INDEX($O$2:$Q$1001,MATCH(ROWS($H$2:H811),$H$2:$H$1001,0),MATCH(COLUMNS($O$1006:Q1006),$O$1006:$Q$1006,0)), HYPERLINK("#",""), HYPERLINK(CONCATENATE("#metadata!", ADDRESS(INDEX($J$2:$J$1001,MATCH(ROWS($H$2:H811),$H$2:$H$1001,0),0), INDEX($O$1004:$Q$1004,1,MATCH(COLUMNS($O$1006:Q1006),$O$1006:$Q$1006,0)))),"Fix")))</f>
        <v xml:space="preserve"> </v>
      </c>
      <c r="H811">
        <v>810</v>
      </c>
      <c r="I811">
        <v>100811</v>
      </c>
      <c r="J811">
        <v>811</v>
      </c>
      <c r="K811" t="b">
        <f t="shared" si="12"/>
        <v>1</v>
      </c>
      <c r="L811" t="b">
        <f>COUNTBLANK(metadata!B811:D811)=COLUMNS(metadata!B811:D811)</f>
        <v>1</v>
      </c>
      <c r="M811" t="str">
        <v/>
      </c>
      <c r="O811" t="b">
        <f ca="1"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P811" t="b">
        <f>AND(IF(metadata!C811="",FALSE,TRUE),EXACT(metadata!C811,"mouse gut metagenome"))</f>
        <v>0</v>
      </c>
      <c r="Q811" t="b">
        <f>AND(IF(metadata!D811="",FALSE,TRUE),EXACT(metadata!D811,"410661"))</f>
        <v>0</v>
      </c>
    </row>
    <row r="812" spans="1:17" x14ac:dyDescent="0.2">
      <c r="A812" s="4" t="str">
        <f ca="1">IF(B812=" "," ",HYPERLINK(CONCATENATE("#metadata!",ADDRESS(INDEX($J$2:$J$1001,MATCH(ROWS($H$2:H812),$H$2:$H$1001,0),0),1)),INDEX($M$2:$M$1001,MATCH(ROWS($H$2:H812),$H$2:$H$1001,0),0)))</f>
        <v xml:space="preserve"> </v>
      </c>
      <c r="B812" s="3" t="str">
        <f ca="1">IF(OR(INDEX($I$2:$I$1001,MATCH(ROWS($H$2:H812),$H$2:$H$1001,0),1)&gt;=100000,INDEX($O$1005:$Q$1005,1,MATCH(COLUMNS($O$1006:O1006),$O$1006:$Q$1006,0))&gt;=100000), " ",IF(INDEX($O$2:$Q$1001,MATCH(ROWS($H$2:H812),$H$2:$H$1001,0),MATCH(COLUMNS($O$1006:O1006),$O$1006:$Q$1006,0)), HYPERLINK("#",""), HYPERLINK(CONCATENATE("#metadata!", ADDRESS(INDEX($J$2:$J$1001,MATCH(ROWS($H$2:H812),$H$2:$H$1001,0),0), INDEX($O$1004:$Q$1004,1,MATCH(COLUMNS($O$1006:O1006),$O$1006:$Q$1006,0)))),"Fix")))</f>
        <v xml:space="preserve"> </v>
      </c>
      <c r="C812" s="3" t="str">
        <f ca="1">IF(OR(INDEX($I$2:$I$1001,MATCH(ROWS($H$2:H812),$H$2:$H$1001,0),1)&gt;=100000,INDEX($O$1005:$Q$1005,1,MATCH(COLUMNS($O$1006:P1006),$O$1006:$Q$1006,0))&gt;=100000), " ",IF(INDEX($O$2:$Q$1001,MATCH(ROWS($H$2:H812),$H$2:$H$1001,0),MATCH(COLUMNS($O$1006:P1006),$O$1006:$Q$1006,0)), HYPERLINK("#",""), HYPERLINK(CONCATENATE("#metadata!", ADDRESS(INDEX($J$2:$J$1001,MATCH(ROWS($H$2:H812),$H$2:$H$1001,0),0), INDEX($O$1004:$Q$1004,1,MATCH(COLUMNS($O$1006:P1006),$O$1006:$Q$1006,0)))),"Fix")))</f>
        <v xml:space="preserve"> </v>
      </c>
      <c r="D812" s="3" t="str">
        <f ca="1">IF(OR(INDEX($I$2:$I$1001,MATCH(ROWS($H$2:H812),$H$2:$H$1001,0),1)&gt;=100000,INDEX($O$1005:$Q$1005,1,MATCH(COLUMNS($O$1006:Q1006),$O$1006:$Q$1006,0))&gt;=100000), " ",IF(INDEX($O$2:$Q$1001,MATCH(ROWS($H$2:H812),$H$2:$H$1001,0),MATCH(COLUMNS($O$1006:Q1006),$O$1006:$Q$1006,0)), HYPERLINK("#",""), HYPERLINK(CONCATENATE("#metadata!", ADDRESS(INDEX($J$2:$J$1001,MATCH(ROWS($H$2:H812),$H$2:$H$1001,0),0), INDEX($O$1004:$Q$1004,1,MATCH(COLUMNS($O$1006:Q1006),$O$1006:$Q$1006,0)))),"Fix")))</f>
        <v xml:space="preserve"> </v>
      </c>
      <c r="H812">
        <v>811</v>
      </c>
      <c r="I812">
        <v>100812</v>
      </c>
      <c r="J812">
        <v>812</v>
      </c>
      <c r="K812" t="b">
        <f t="shared" si="12"/>
        <v>1</v>
      </c>
      <c r="L812" t="b">
        <f>COUNTBLANK(metadata!B812:D812)=COLUMNS(metadata!B812:D812)</f>
        <v>1</v>
      </c>
      <c r="M812" t="str">
        <v/>
      </c>
      <c r="O812" t="b">
        <f ca="1"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P812" t="b">
        <f>AND(IF(metadata!C812="",FALSE,TRUE),EXACT(metadata!C812,"mouse gut metagenome"))</f>
        <v>0</v>
      </c>
      <c r="Q812" t="b">
        <f>AND(IF(metadata!D812="",FALSE,TRUE),EXACT(metadata!D812,"410661"))</f>
        <v>0</v>
      </c>
    </row>
    <row r="813" spans="1:17" x14ac:dyDescent="0.2">
      <c r="A813" s="4" t="str">
        <f ca="1">IF(B813=" "," ",HYPERLINK(CONCATENATE("#metadata!",ADDRESS(INDEX($J$2:$J$1001,MATCH(ROWS($H$2:H813),$H$2:$H$1001,0),0),1)),INDEX($M$2:$M$1001,MATCH(ROWS($H$2:H813),$H$2:$H$1001,0),0)))</f>
        <v xml:space="preserve"> </v>
      </c>
      <c r="B813" s="3" t="str">
        <f ca="1">IF(OR(INDEX($I$2:$I$1001,MATCH(ROWS($H$2:H813),$H$2:$H$1001,0),1)&gt;=100000,INDEX($O$1005:$Q$1005,1,MATCH(COLUMNS($O$1006:O1006),$O$1006:$Q$1006,0))&gt;=100000), " ",IF(INDEX($O$2:$Q$1001,MATCH(ROWS($H$2:H813),$H$2:$H$1001,0),MATCH(COLUMNS($O$1006:O1006),$O$1006:$Q$1006,0)), HYPERLINK("#",""), HYPERLINK(CONCATENATE("#metadata!", ADDRESS(INDEX($J$2:$J$1001,MATCH(ROWS($H$2:H813),$H$2:$H$1001,0),0), INDEX($O$1004:$Q$1004,1,MATCH(COLUMNS($O$1006:O1006),$O$1006:$Q$1006,0)))),"Fix")))</f>
        <v xml:space="preserve"> </v>
      </c>
      <c r="C813" s="3" t="str">
        <f ca="1">IF(OR(INDEX($I$2:$I$1001,MATCH(ROWS($H$2:H813),$H$2:$H$1001,0),1)&gt;=100000,INDEX($O$1005:$Q$1005,1,MATCH(COLUMNS($O$1006:P1006),$O$1006:$Q$1006,0))&gt;=100000), " ",IF(INDEX($O$2:$Q$1001,MATCH(ROWS($H$2:H813),$H$2:$H$1001,0),MATCH(COLUMNS($O$1006:P1006),$O$1006:$Q$1006,0)), HYPERLINK("#",""), HYPERLINK(CONCATENATE("#metadata!", ADDRESS(INDEX($J$2:$J$1001,MATCH(ROWS($H$2:H813),$H$2:$H$1001,0),0), INDEX($O$1004:$Q$1004,1,MATCH(COLUMNS($O$1006:P1006),$O$1006:$Q$1006,0)))),"Fix")))</f>
        <v xml:space="preserve"> </v>
      </c>
      <c r="D813" s="3" t="str">
        <f ca="1">IF(OR(INDEX($I$2:$I$1001,MATCH(ROWS($H$2:H813),$H$2:$H$1001,0),1)&gt;=100000,INDEX($O$1005:$Q$1005,1,MATCH(COLUMNS($O$1006:Q1006),$O$1006:$Q$1006,0))&gt;=100000), " ",IF(INDEX($O$2:$Q$1001,MATCH(ROWS($H$2:H813),$H$2:$H$1001,0),MATCH(COLUMNS($O$1006:Q1006),$O$1006:$Q$1006,0)), HYPERLINK("#",""), HYPERLINK(CONCATENATE("#metadata!", ADDRESS(INDEX($J$2:$J$1001,MATCH(ROWS($H$2:H813),$H$2:$H$1001,0),0), INDEX($O$1004:$Q$1004,1,MATCH(COLUMNS($O$1006:Q1006),$O$1006:$Q$1006,0)))),"Fix")))</f>
        <v xml:space="preserve"> </v>
      </c>
      <c r="H813">
        <v>812</v>
      </c>
      <c r="I813">
        <v>100813</v>
      </c>
      <c r="J813">
        <v>813</v>
      </c>
      <c r="K813" t="b">
        <f t="shared" si="12"/>
        <v>1</v>
      </c>
      <c r="L813" t="b">
        <f>COUNTBLANK(metadata!B813:D813)=COLUMNS(metadata!B813:D813)</f>
        <v>1</v>
      </c>
      <c r="M813" t="str">
        <v/>
      </c>
      <c r="O813" t="b">
        <f ca="1"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P813" t="b">
        <f>AND(IF(metadata!C813="",FALSE,TRUE),EXACT(metadata!C813,"mouse gut metagenome"))</f>
        <v>0</v>
      </c>
      <c r="Q813" t="b">
        <f>AND(IF(metadata!D813="",FALSE,TRUE),EXACT(metadata!D813,"410661"))</f>
        <v>0</v>
      </c>
    </row>
    <row r="814" spans="1:17" x14ac:dyDescent="0.2">
      <c r="A814" s="4" t="str">
        <f ca="1">IF(B814=" "," ",HYPERLINK(CONCATENATE("#metadata!",ADDRESS(INDEX($J$2:$J$1001,MATCH(ROWS($H$2:H814),$H$2:$H$1001,0),0),1)),INDEX($M$2:$M$1001,MATCH(ROWS($H$2:H814),$H$2:$H$1001,0),0)))</f>
        <v xml:space="preserve"> </v>
      </c>
      <c r="B814" s="3" t="str">
        <f ca="1">IF(OR(INDEX($I$2:$I$1001,MATCH(ROWS($H$2:H814),$H$2:$H$1001,0),1)&gt;=100000,INDEX($O$1005:$Q$1005,1,MATCH(COLUMNS($O$1006:O1006),$O$1006:$Q$1006,0))&gt;=100000), " ",IF(INDEX($O$2:$Q$1001,MATCH(ROWS($H$2:H814),$H$2:$H$1001,0),MATCH(COLUMNS($O$1006:O1006),$O$1006:$Q$1006,0)), HYPERLINK("#",""), HYPERLINK(CONCATENATE("#metadata!", ADDRESS(INDEX($J$2:$J$1001,MATCH(ROWS($H$2:H814),$H$2:$H$1001,0),0), INDEX($O$1004:$Q$1004,1,MATCH(COLUMNS($O$1006:O1006),$O$1006:$Q$1006,0)))),"Fix")))</f>
        <v xml:space="preserve"> </v>
      </c>
      <c r="C814" s="3" t="str">
        <f ca="1">IF(OR(INDEX($I$2:$I$1001,MATCH(ROWS($H$2:H814),$H$2:$H$1001,0),1)&gt;=100000,INDEX($O$1005:$Q$1005,1,MATCH(COLUMNS($O$1006:P1006),$O$1006:$Q$1006,0))&gt;=100000), " ",IF(INDEX($O$2:$Q$1001,MATCH(ROWS($H$2:H814),$H$2:$H$1001,0),MATCH(COLUMNS($O$1006:P1006),$O$1006:$Q$1006,0)), HYPERLINK("#",""), HYPERLINK(CONCATENATE("#metadata!", ADDRESS(INDEX($J$2:$J$1001,MATCH(ROWS($H$2:H814),$H$2:$H$1001,0),0), INDEX($O$1004:$Q$1004,1,MATCH(COLUMNS($O$1006:P1006),$O$1006:$Q$1006,0)))),"Fix")))</f>
        <v xml:space="preserve"> </v>
      </c>
      <c r="D814" s="3" t="str">
        <f ca="1">IF(OR(INDEX($I$2:$I$1001,MATCH(ROWS($H$2:H814),$H$2:$H$1001,0),1)&gt;=100000,INDEX($O$1005:$Q$1005,1,MATCH(COLUMNS($O$1006:Q1006),$O$1006:$Q$1006,0))&gt;=100000), " ",IF(INDEX($O$2:$Q$1001,MATCH(ROWS($H$2:H814),$H$2:$H$1001,0),MATCH(COLUMNS($O$1006:Q1006),$O$1006:$Q$1006,0)), HYPERLINK("#",""), HYPERLINK(CONCATENATE("#metadata!", ADDRESS(INDEX($J$2:$J$1001,MATCH(ROWS($H$2:H814),$H$2:$H$1001,0),0), INDEX($O$1004:$Q$1004,1,MATCH(COLUMNS($O$1006:Q1006),$O$1006:$Q$1006,0)))),"Fix")))</f>
        <v xml:space="preserve"> </v>
      </c>
      <c r="H814">
        <v>813</v>
      </c>
      <c r="I814">
        <v>100814</v>
      </c>
      <c r="J814">
        <v>814</v>
      </c>
      <c r="K814" t="b">
        <f t="shared" si="12"/>
        <v>1</v>
      </c>
      <c r="L814" t="b">
        <f>COUNTBLANK(metadata!B814:D814)=COLUMNS(metadata!B814:D814)</f>
        <v>1</v>
      </c>
      <c r="M814" t="str">
        <v/>
      </c>
      <c r="O814" t="b">
        <f ca="1"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P814" t="b">
        <f>AND(IF(metadata!C814="",FALSE,TRUE),EXACT(metadata!C814,"mouse gut metagenome"))</f>
        <v>0</v>
      </c>
      <c r="Q814" t="b">
        <f>AND(IF(metadata!D814="",FALSE,TRUE),EXACT(metadata!D814,"410661"))</f>
        <v>0</v>
      </c>
    </row>
    <row r="815" spans="1:17" x14ac:dyDescent="0.2">
      <c r="A815" s="4" t="str">
        <f ca="1">IF(B815=" "," ",HYPERLINK(CONCATENATE("#metadata!",ADDRESS(INDEX($J$2:$J$1001,MATCH(ROWS($H$2:H815),$H$2:$H$1001,0),0),1)),INDEX($M$2:$M$1001,MATCH(ROWS($H$2:H815),$H$2:$H$1001,0),0)))</f>
        <v xml:space="preserve"> </v>
      </c>
      <c r="B815" s="3" t="str">
        <f ca="1">IF(OR(INDEX($I$2:$I$1001,MATCH(ROWS($H$2:H815),$H$2:$H$1001,0),1)&gt;=100000,INDEX($O$1005:$Q$1005,1,MATCH(COLUMNS($O$1006:O1006),$O$1006:$Q$1006,0))&gt;=100000), " ",IF(INDEX($O$2:$Q$1001,MATCH(ROWS($H$2:H815),$H$2:$H$1001,0),MATCH(COLUMNS($O$1006:O1006),$O$1006:$Q$1006,0)), HYPERLINK("#",""), HYPERLINK(CONCATENATE("#metadata!", ADDRESS(INDEX($J$2:$J$1001,MATCH(ROWS($H$2:H815),$H$2:$H$1001,0),0), INDEX($O$1004:$Q$1004,1,MATCH(COLUMNS($O$1006:O1006),$O$1006:$Q$1006,0)))),"Fix")))</f>
        <v xml:space="preserve"> </v>
      </c>
      <c r="C815" s="3" t="str">
        <f ca="1">IF(OR(INDEX($I$2:$I$1001,MATCH(ROWS($H$2:H815),$H$2:$H$1001,0),1)&gt;=100000,INDEX($O$1005:$Q$1005,1,MATCH(COLUMNS($O$1006:P1006),$O$1006:$Q$1006,0))&gt;=100000), " ",IF(INDEX($O$2:$Q$1001,MATCH(ROWS($H$2:H815),$H$2:$H$1001,0),MATCH(COLUMNS($O$1006:P1006),$O$1006:$Q$1006,0)), HYPERLINK("#",""), HYPERLINK(CONCATENATE("#metadata!", ADDRESS(INDEX($J$2:$J$1001,MATCH(ROWS($H$2:H815),$H$2:$H$1001,0),0), INDEX($O$1004:$Q$1004,1,MATCH(COLUMNS($O$1006:P1006),$O$1006:$Q$1006,0)))),"Fix")))</f>
        <v xml:space="preserve"> </v>
      </c>
      <c r="D815" s="3" t="str">
        <f ca="1">IF(OR(INDEX($I$2:$I$1001,MATCH(ROWS($H$2:H815),$H$2:$H$1001,0),1)&gt;=100000,INDEX($O$1005:$Q$1005,1,MATCH(COLUMNS($O$1006:Q1006),$O$1006:$Q$1006,0))&gt;=100000), " ",IF(INDEX($O$2:$Q$1001,MATCH(ROWS($H$2:H815),$H$2:$H$1001,0),MATCH(COLUMNS($O$1006:Q1006),$O$1006:$Q$1006,0)), HYPERLINK("#",""), HYPERLINK(CONCATENATE("#metadata!", ADDRESS(INDEX($J$2:$J$1001,MATCH(ROWS($H$2:H815),$H$2:$H$1001,0),0), INDEX($O$1004:$Q$1004,1,MATCH(COLUMNS($O$1006:Q1006),$O$1006:$Q$1006,0)))),"Fix")))</f>
        <v xml:space="preserve"> </v>
      </c>
      <c r="H815">
        <v>814</v>
      </c>
      <c r="I815">
        <v>100815</v>
      </c>
      <c r="J815">
        <v>815</v>
      </c>
      <c r="K815" t="b">
        <f t="shared" si="12"/>
        <v>1</v>
      </c>
      <c r="L815" t="b">
        <f>COUNTBLANK(metadata!B815:D815)=COLUMNS(metadata!B815:D815)</f>
        <v>1</v>
      </c>
      <c r="M815" t="str">
        <v/>
      </c>
      <c r="O815" t="b">
        <f ca="1"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P815" t="b">
        <f>AND(IF(metadata!C815="",FALSE,TRUE),EXACT(metadata!C815,"mouse gut metagenome"))</f>
        <v>0</v>
      </c>
      <c r="Q815" t="b">
        <f>AND(IF(metadata!D815="",FALSE,TRUE),EXACT(metadata!D815,"410661"))</f>
        <v>0</v>
      </c>
    </row>
    <row r="816" spans="1:17" x14ac:dyDescent="0.2">
      <c r="A816" s="4" t="str">
        <f ca="1">IF(B816=" "," ",HYPERLINK(CONCATENATE("#metadata!",ADDRESS(INDEX($J$2:$J$1001,MATCH(ROWS($H$2:H816),$H$2:$H$1001,0),0),1)),INDEX($M$2:$M$1001,MATCH(ROWS($H$2:H816),$H$2:$H$1001,0),0)))</f>
        <v xml:space="preserve"> </v>
      </c>
      <c r="B816" s="3" t="str">
        <f ca="1">IF(OR(INDEX($I$2:$I$1001,MATCH(ROWS($H$2:H816),$H$2:$H$1001,0),1)&gt;=100000,INDEX($O$1005:$Q$1005,1,MATCH(COLUMNS($O$1006:O1006),$O$1006:$Q$1006,0))&gt;=100000), " ",IF(INDEX($O$2:$Q$1001,MATCH(ROWS($H$2:H816),$H$2:$H$1001,0),MATCH(COLUMNS($O$1006:O1006),$O$1006:$Q$1006,0)), HYPERLINK("#",""), HYPERLINK(CONCATENATE("#metadata!", ADDRESS(INDEX($J$2:$J$1001,MATCH(ROWS($H$2:H816),$H$2:$H$1001,0),0), INDEX($O$1004:$Q$1004,1,MATCH(COLUMNS($O$1006:O1006),$O$1006:$Q$1006,0)))),"Fix")))</f>
        <v xml:space="preserve"> </v>
      </c>
      <c r="C816" s="3" t="str">
        <f ca="1">IF(OR(INDEX($I$2:$I$1001,MATCH(ROWS($H$2:H816),$H$2:$H$1001,0),1)&gt;=100000,INDEX($O$1005:$Q$1005,1,MATCH(COLUMNS($O$1006:P1006),$O$1006:$Q$1006,0))&gt;=100000), " ",IF(INDEX($O$2:$Q$1001,MATCH(ROWS($H$2:H816),$H$2:$H$1001,0),MATCH(COLUMNS($O$1006:P1006),$O$1006:$Q$1006,0)), HYPERLINK("#",""), HYPERLINK(CONCATENATE("#metadata!", ADDRESS(INDEX($J$2:$J$1001,MATCH(ROWS($H$2:H816),$H$2:$H$1001,0),0), INDEX($O$1004:$Q$1004,1,MATCH(COLUMNS($O$1006:P1006),$O$1006:$Q$1006,0)))),"Fix")))</f>
        <v xml:space="preserve"> </v>
      </c>
      <c r="D816" s="3" t="str">
        <f ca="1">IF(OR(INDEX($I$2:$I$1001,MATCH(ROWS($H$2:H816),$H$2:$H$1001,0),1)&gt;=100000,INDEX($O$1005:$Q$1005,1,MATCH(COLUMNS($O$1006:Q1006),$O$1006:$Q$1006,0))&gt;=100000), " ",IF(INDEX($O$2:$Q$1001,MATCH(ROWS($H$2:H816),$H$2:$H$1001,0),MATCH(COLUMNS($O$1006:Q1006),$O$1006:$Q$1006,0)), HYPERLINK("#",""), HYPERLINK(CONCATENATE("#metadata!", ADDRESS(INDEX($J$2:$J$1001,MATCH(ROWS($H$2:H816),$H$2:$H$1001,0),0), INDEX($O$1004:$Q$1004,1,MATCH(COLUMNS($O$1006:Q1006),$O$1006:$Q$1006,0)))),"Fix")))</f>
        <v xml:space="preserve"> </v>
      </c>
      <c r="H816">
        <v>815</v>
      </c>
      <c r="I816">
        <v>100816</v>
      </c>
      <c r="J816">
        <v>816</v>
      </c>
      <c r="K816" t="b">
        <f t="shared" si="12"/>
        <v>1</v>
      </c>
      <c r="L816" t="b">
        <f>COUNTBLANK(metadata!B816:D816)=COLUMNS(metadata!B816:D816)</f>
        <v>1</v>
      </c>
      <c r="M816" t="str">
        <v/>
      </c>
      <c r="O816" t="b">
        <f ca="1"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P816" t="b">
        <f>AND(IF(metadata!C816="",FALSE,TRUE),EXACT(metadata!C816,"mouse gut metagenome"))</f>
        <v>0</v>
      </c>
      <c r="Q816" t="b">
        <f>AND(IF(metadata!D816="",FALSE,TRUE),EXACT(metadata!D816,"410661"))</f>
        <v>0</v>
      </c>
    </row>
    <row r="817" spans="1:17" x14ac:dyDescent="0.2">
      <c r="A817" s="4" t="str">
        <f ca="1">IF(B817=" "," ",HYPERLINK(CONCATENATE("#metadata!",ADDRESS(INDEX($J$2:$J$1001,MATCH(ROWS($H$2:H817),$H$2:$H$1001,0),0),1)),INDEX($M$2:$M$1001,MATCH(ROWS($H$2:H817),$H$2:$H$1001,0),0)))</f>
        <v xml:space="preserve"> </v>
      </c>
      <c r="B817" s="3" t="str">
        <f ca="1">IF(OR(INDEX($I$2:$I$1001,MATCH(ROWS($H$2:H817),$H$2:$H$1001,0),1)&gt;=100000,INDEX($O$1005:$Q$1005,1,MATCH(COLUMNS($O$1006:O1006),$O$1006:$Q$1006,0))&gt;=100000), " ",IF(INDEX($O$2:$Q$1001,MATCH(ROWS($H$2:H817),$H$2:$H$1001,0),MATCH(COLUMNS($O$1006:O1006),$O$1006:$Q$1006,0)), HYPERLINK("#",""), HYPERLINK(CONCATENATE("#metadata!", ADDRESS(INDEX($J$2:$J$1001,MATCH(ROWS($H$2:H817),$H$2:$H$1001,0),0), INDEX($O$1004:$Q$1004,1,MATCH(COLUMNS($O$1006:O1006),$O$1006:$Q$1006,0)))),"Fix")))</f>
        <v xml:space="preserve"> </v>
      </c>
      <c r="C817" s="3" t="str">
        <f ca="1">IF(OR(INDEX($I$2:$I$1001,MATCH(ROWS($H$2:H817),$H$2:$H$1001,0),1)&gt;=100000,INDEX($O$1005:$Q$1005,1,MATCH(COLUMNS($O$1006:P1006),$O$1006:$Q$1006,0))&gt;=100000), " ",IF(INDEX($O$2:$Q$1001,MATCH(ROWS($H$2:H817),$H$2:$H$1001,0),MATCH(COLUMNS($O$1006:P1006),$O$1006:$Q$1006,0)), HYPERLINK("#",""), HYPERLINK(CONCATENATE("#metadata!", ADDRESS(INDEX($J$2:$J$1001,MATCH(ROWS($H$2:H817),$H$2:$H$1001,0),0), INDEX($O$1004:$Q$1004,1,MATCH(COLUMNS($O$1006:P1006),$O$1006:$Q$1006,0)))),"Fix")))</f>
        <v xml:space="preserve"> </v>
      </c>
      <c r="D817" s="3" t="str">
        <f ca="1">IF(OR(INDEX($I$2:$I$1001,MATCH(ROWS($H$2:H817),$H$2:$H$1001,0),1)&gt;=100000,INDEX($O$1005:$Q$1005,1,MATCH(COLUMNS($O$1006:Q1006),$O$1006:$Q$1006,0))&gt;=100000), " ",IF(INDEX($O$2:$Q$1001,MATCH(ROWS($H$2:H817),$H$2:$H$1001,0),MATCH(COLUMNS($O$1006:Q1006),$O$1006:$Q$1006,0)), HYPERLINK("#",""), HYPERLINK(CONCATENATE("#metadata!", ADDRESS(INDEX($J$2:$J$1001,MATCH(ROWS($H$2:H817),$H$2:$H$1001,0),0), INDEX($O$1004:$Q$1004,1,MATCH(COLUMNS($O$1006:Q1006),$O$1006:$Q$1006,0)))),"Fix")))</f>
        <v xml:space="preserve"> </v>
      </c>
      <c r="H817">
        <v>816</v>
      </c>
      <c r="I817">
        <v>100817</v>
      </c>
      <c r="J817">
        <v>817</v>
      </c>
      <c r="K817" t="b">
        <f t="shared" si="12"/>
        <v>1</v>
      </c>
      <c r="L817" t="b">
        <f>COUNTBLANK(metadata!B817:D817)=COLUMNS(metadata!B817:D817)</f>
        <v>1</v>
      </c>
      <c r="M817" t="str">
        <v/>
      </c>
      <c r="O817" t="b">
        <f ca="1"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P817" t="b">
        <f>AND(IF(metadata!C817="",FALSE,TRUE),EXACT(metadata!C817,"mouse gut metagenome"))</f>
        <v>0</v>
      </c>
      <c r="Q817" t="b">
        <f>AND(IF(metadata!D817="",FALSE,TRUE),EXACT(metadata!D817,"410661"))</f>
        <v>0</v>
      </c>
    </row>
    <row r="818" spans="1:17" x14ac:dyDescent="0.2">
      <c r="A818" s="4" t="str">
        <f ca="1">IF(B818=" "," ",HYPERLINK(CONCATENATE("#metadata!",ADDRESS(INDEX($J$2:$J$1001,MATCH(ROWS($H$2:H818),$H$2:$H$1001,0),0),1)),INDEX($M$2:$M$1001,MATCH(ROWS($H$2:H818),$H$2:$H$1001,0),0)))</f>
        <v xml:space="preserve"> </v>
      </c>
      <c r="B818" s="3" t="str">
        <f ca="1">IF(OR(INDEX($I$2:$I$1001,MATCH(ROWS($H$2:H818),$H$2:$H$1001,0),1)&gt;=100000,INDEX($O$1005:$Q$1005,1,MATCH(COLUMNS($O$1006:O1006),$O$1006:$Q$1006,0))&gt;=100000), " ",IF(INDEX($O$2:$Q$1001,MATCH(ROWS($H$2:H818),$H$2:$H$1001,0),MATCH(COLUMNS($O$1006:O1006),$O$1006:$Q$1006,0)), HYPERLINK("#",""), HYPERLINK(CONCATENATE("#metadata!", ADDRESS(INDEX($J$2:$J$1001,MATCH(ROWS($H$2:H818),$H$2:$H$1001,0),0), INDEX($O$1004:$Q$1004,1,MATCH(COLUMNS($O$1006:O1006),$O$1006:$Q$1006,0)))),"Fix")))</f>
        <v xml:space="preserve"> </v>
      </c>
      <c r="C818" s="3" t="str">
        <f ca="1">IF(OR(INDEX($I$2:$I$1001,MATCH(ROWS($H$2:H818),$H$2:$H$1001,0),1)&gt;=100000,INDEX($O$1005:$Q$1005,1,MATCH(COLUMNS($O$1006:P1006),$O$1006:$Q$1006,0))&gt;=100000), " ",IF(INDEX($O$2:$Q$1001,MATCH(ROWS($H$2:H818),$H$2:$H$1001,0),MATCH(COLUMNS($O$1006:P1006),$O$1006:$Q$1006,0)), HYPERLINK("#",""), HYPERLINK(CONCATENATE("#metadata!", ADDRESS(INDEX($J$2:$J$1001,MATCH(ROWS($H$2:H818),$H$2:$H$1001,0),0), INDEX($O$1004:$Q$1004,1,MATCH(COLUMNS($O$1006:P1006),$O$1006:$Q$1006,0)))),"Fix")))</f>
        <v xml:space="preserve"> </v>
      </c>
      <c r="D818" s="3" t="str">
        <f ca="1">IF(OR(INDEX($I$2:$I$1001,MATCH(ROWS($H$2:H818),$H$2:$H$1001,0),1)&gt;=100000,INDEX($O$1005:$Q$1005,1,MATCH(COLUMNS($O$1006:Q1006),$O$1006:$Q$1006,0))&gt;=100000), " ",IF(INDEX($O$2:$Q$1001,MATCH(ROWS($H$2:H818),$H$2:$H$1001,0),MATCH(COLUMNS($O$1006:Q1006),$O$1006:$Q$1006,0)), HYPERLINK("#",""), HYPERLINK(CONCATENATE("#metadata!", ADDRESS(INDEX($J$2:$J$1001,MATCH(ROWS($H$2:H818),$H$2:$H$1001,0),0), INDEX($O$1004:$Q$1004,1,MATCH(COLUMNS($O$1006:Q1006),$O$1006:$Q$1006,0)))),"Fix")))</f>
        <v xml:space="preserve"> </v>
      </c>
      <c r="H818">
        <v>817</v>
      </c>
      <c r="I818">
        <v>100818</v>
      </c>
      <c r="J818">
        <v>818</v>
      </c>
      <c r="K818" t="b">
        <f t="shared" si="12"/>
        <v>1</v>
      </c>
      <c r="L818" t="b">
        <f>COUNTBLANK(metadata!B818:D818)=COLUMNS(metadata!B818:D818)</f>
        <v>1</v>
      </c>
      <c r="M818" t="str">
        <v/>
      </c>
      <c r="O818" t="b">
        <f ca="1"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P818" t="b">
        <f>AND(IF(metadata!C818="",FALSE,TRUE),EXACT(metadata!C818,"mouse gut metagenome"))</f>
        <v>0</v>
      </c>
      <c r="Q818" t="b">
        <f>AND(IF(metadata!D818="",FALSE,TRUE),EXACT(metadata!D818,"410661"))</f>
        <v>0</v>
      </c>
    </row>
    <row r="819" spans="1:17" x14ac:dyDescent="0.2">
      <c r="A819" s="4" t="str">
        <f ca="1">IF(B819=" "," ",HYPERLINK(CONCATENATE("#metadata!",ADDRESS(INDEX($J$2:$J$1001,MATCH(ROWS($H$2:H819),$H$2:$H$1001,0),0),1)),INDEX($M$2:$M$1001,MATCH(ROWS($H$2:H819),$H$2:$H$1001,0),0)))</f>
        <v xml:space="preserve"> </v>
      </c>
      <c r="B819" s="3" t="str">
        <f ca="1">IF(OR(INDEX($I$2:$I$1001,MATCH(ROWS($H$2:H819),$H$2:$H$1001,0),1)&gt;=100000,INDEX($O$1005:$Q$1005,1,MATCH(COLUMNS($O$1006:O1006),$O$1006:$Q$1006,0))&gt;=100000), " ",IF(INDEX($O$2:$Q$1001,MATCH(ROWS($H$2:H819),$H$2:$H$1001,0),MATCH(COLUMNS($O$1006:O1006),$O$1006:$Q$1006,0)), HYPERLINK("#",""), HYPERLINK(CONCATENATE("#metadata!", ADDRESS(INDEX($J$2:$J$1001,MATCH(ROWS($H$2:H819),$H$2:$H$1001,0),0), INDEX($O$1004:$Q$1004,1,MATCH(COLUMNS($O$1006:O1006),$O$1006:$Q$1006,0)))),"Fix")))</f>
        <v xml:space="preserve"> </v>
      </c>
      <c r="C819" s="3" t="str">
        <f ca="1">IF(OR(INDEX($I$2:$I$1001,MATCH(ROWS($H$2:H819),$H$2:$H$1001,0),1)&gt;=100000,INDEX($O$1005:$Q$1005,1,MATCH(COLUMNS($O$1006:P1006),$O$1006:$Q$1006,0))&gt;=100000), " ",IF(INDEX($O$2:$Q$1001,MATCH(ROWS($H$2:H819),$H$2:$H$1001,0),MATCH(COLUMNS($O$1006:P1006),$O$1006:$Q$1006,0)), HYPERLINK("#",""), HYPERLINK(CONCATENATE("#metadata!", ADDRESS(INDEX($J$2:$J$1001,MATCH(ROWS($H$2:H819),$H$2:$H$1001,0),0), INDEX($O$1004:$Q$1004,1,MATCH(COLUMNS($O$1006:P1006),$O$1006:$Q$1006,0)))),"Fix")))</f>
        <v xml:space="preserve"> </v>
      </c>
      <c r="D819" s="3" t="str">
        <f ca="1">IF(OR(INDEX($I$2:$I$1001,MATCH(ROWS($H$2:H819),$H$2:$H$1001,0),1)&gt;=100000,INDEX($O$1005:$Q$1005,1,MATCH(COLUMNS($O$1006:Q1006),$O$1006:$Q$1006,0))&gt;=100000), " ",IF(INDEX($O$2:$Q$1001,MATCH(ROWS($H$2:H819),$H$2:$H$1001,0),MATCH(COLUMNS($O$1006:Q1006),$O$1006:$Q$1006,0)), HYPERLINK("#",""), HYPERLINK(CONCATENATE("#metadata!", ADDRESS(INDEX($J$2:$J$1001,MATCH(ROWS($H$2:H819),$H$2:$H$1001,0),0), INDEX($O$1004:$Q$1004,1,MATCH(COLUMNS($O$1006:Q1006),$O$1006:$Q$1006,0)))),"Fix")))</f>
        <v xml:space="preserve"> </v>
      </c>
      <c r="H819">
        <v>818</v>
      </c>
      <c r="I819">
        <v>100819</v>
      </c>
      <c r="J819">
        <v>819</v>
      </c>
      <c r="K819" t="b">
        <f t="shared" si="12"/>
        <v>1</v>
      </c>
      <c r="L819" t="b">
        <f>COUNTBLANK(metadata!B819:D819)=COLUMNS(metadata!B819:D819)</f>
        <v>1</v>
      </c>
      <c r="M819" t="str">
        <v/>
      </c>
      <c r="O819" t="b">
        <f ca="1"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P819" t="b">
        <f>AND(IF(metadata!C819="",FALSE,TRUE),EXACT(metadata!C819,"mouse gut metagenome"))</f>
        <v>0</v>
      </c>
      <c r="Q819" t="b">
        <f>AND(IF(metadata!D819="",FALSE,TRUE),EXACT(metadata!D819,"410661"))</f>
        <v>0</v>
      </c>
    </row>
    <row r="820" spans="1:17" x14ac:dyDescent="0.2">
      <c r="A820" s="4" t="str">
        <f ca="1">IF(B820=" "," ",HYPERLINK(CONCATENATE("#metadata!",ADDRESS(INDEX($J$2:$J$1001,MATCH(ROWS($H$2:H820),$H$2:$H$1001,0),0),1)),INDEX($M$2:$M$1001,MATCH(ROWS($H$2:H820),$H$2:$H$1001,0),0)))</f>
        <v xml:space="preserve"> </v>
      </c>
      <c r="B820" s="3" t="str">
        <f ca="1">IF(OR(INDEX($I$2:$I$1001,MATCH(ROWS($H$2:H820),$H$2:$H$1001,0),1)&gt;=100000,INDEX($O$1005:$Q$1005,1,MATCH(COLUMNS($O$1006:O1006),$O$1006:$Q$1006,0))&gt;=100000), " ",IF(INDEX($O$2:$Q$1001,MATCH(ROWS($H$2:H820),$H$2:$H$1001,0),MATCH(COLUMNS($O$1006:O1006),$O$1006:$Q$1006,0)), HYPERLINK("#",""), HYPERLINK(CONCATENATE("#metadata!", ADDRESS(INDEX($J$2:$J$1001,MATCH(ROWS($H$2:H820),$H$2:$H$1001,0),0), INDEX($O$1004:$Q$1004,1,MATCH(COLUMNS($O$1006:O1006),$O$1006:$Q$1006,0)))),"Fix")))</f>
        <v xml:space="preserve"> </v>
      </c>
      <c r="C820" s="3" t="str">
        <f ca="1">IF(OR(INDEX($I$2:$I$1001,MATCH(ROWS($H$2:H820),$H$2:$H$1001,0),1)&gt;=100000,INDEX($O$1005:$Q$1005,1,MATCH(COLUMNS($O$1006:P1006),$O$1006:$Q$1006,0))&gt;=100000), " ",IF(INDEX($O$2:$Q$1001,MATCH(ROWS($H$2:H820),$H$2:$H$1001,0),MATCH(COLUMNS($O$1006:P1006),$O$1006:$Q$1006,0)), HYPERLINK("#",""), HYPERLINK(CONCATENATE("#metadata!", ADDRESS(INDEX($J$2:$J$1001,MATCH(ROWS($H$2:H820),$H$2:$H$1001,0),0), INDEX($O$1004:$Q$1004,1,MATCH(COLUMNS($O$1006:P1006),$O$1006:$Q$1006,0)))),"Fix")))</f>
        <v xml:space="preserve"> </v>
      </c>
      <c r="D820" s="3" t="str">
        <f ca="1">IF(OR(INDEX($I$2:$I$1001,MATCH(ROWS($H$2:H820),$H$2:$H$1001,0),1)&gt;=100000,INDEX($O$1005:$Q$1005,1,MATCH(COLUMNS($O$1006:Q1006),$O$1006:$Q$1006,0))&gt;=100000), " ",IF(INDEX($O$2:$Q$1001,MATCH(ROWS($H$2:H820),$H$2:$H$1001,0),MATCH(COLUMNS($O$1006:Q1006),$O$1006:$Q$1006,0)), HYPERLINK("#",""), HYPERLINK(CONCATENATE("#metadata!", ADDRESS(INDEX($J$2:$J$1001,MATCH(ROWS($H$2:H820),$H$2:$H$1001,0),0), INDEX($O$1004:$Q$1004,1,MATCH(COLUMNS($O$1006:Q1006),$O$1006:$Q$1006,0)))),"Fix")))</f>
        <v xml:space="preserve"> </v>
      </c>
      <c r="H820">
        <v>819</v>
      </c>
      <c r="I820">
        <v>100820</v>
      </c>
      <c r="J820">
        <v>820</v>
      </c>
      <c r="K820" t="b">
        <f t="shared" si="12"/>
        <v>1</v>
      </c>
      <c r="L820" t="b">
        <f>COUNTBLANK(metadata!B820:D820)=COLUMNS(metadata!B820:D820)</f>
        <v>1</v>
      </c>
      <c r="M820" t="str">
        <v/>
      </c>
      <c r="O820" t="b">
        <f ca="1"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P820" t="b">
        <f>AND(IF(metadata!C820="",FALSE,TRUE),EXACT(metadata!C820,"mouse gut metagenome"))</f>
        <v>0</v>
      </c>
      <c r="Q820" t="b">
        <f>AND(IF(metadata!D820="",FALSE,TRUE),EXACT(metadata!D820,"410661"))</f>
        <v>0</v>
      </c>
    </row>
    <row r="821" spans="1:17" x14ac:dyDescent="0.2">
      <c r="A821" s="4" t="str">
        <f ca="1">IF(B821=" "," ",HYPERLINK(CONCATENATE("#metadata!",ADDRESS(INDEX($J$2:$J$1001,MATCH(ROWS($H$2:H821),$H$2:$H$1001,0),0),1)),INDEX($M$2:$M$1001,MATCH(ROWS($H$2:H821),$H$2:$H$1001,0),0)))</f>
        <v xml:space="preserve"> </v>
      </c>
      <c r="B821" s="3" t="str">
        <f ca="1">IF(OR(INDEX($I$2:$I$1001,MATCH(ROWS($H$2:H821),$H$2:$H$1001,0),1)&gt;=100000,INDEX($O$1005:$Q$1005,1,MATCH(COLUMNS($O$1006:O1006),$O$1006:$Q$1006,0))&gt;=100000), " ",IF(INDEX($O$2:$Q$1001,MATCH(ROWS($H$2:H821),$H$2:$H$1001,0),MATCH(COLUMNS($O$1006:O1006),$O$1006:$Q$1006,0)), HYPERLINK("#",""), HYPERLINK(CONCATENATE("#metadata!", ADDRESS(INDEX($J$2:$J$1001,MATCH(ROWS($H$2:H821),$H$2:$H$1001,0),0), INDEX($O$1004:$Q$1004,1,MATCH(COLUMNS($O$1006:O1006),$O$1006:$Q$1006,0)))),"Fix")))</f>
        <v xml:space="preserve"> </v>
      </c>
      <c r="C821" s="3" t="str">
        <f ca="1">IF(OR(INDEX($I$2:$I$1001,MATCH(ROWS($H$2:H821),$H$2:$H$1001,0),1)&gt;=100000,INDEX($O$1005:$Q$1005,1,MATCH(COLUMNS($O$1006:P1006),$O$1006:$Q$1006,0))&gt;=100000), " ",IF(INDEX($O$2:$Q$1001,MATCH(ROWS($H$2:H821),$H$2:$H$1001,0),MATCH(COLUMNS($O$1006:P1006),$O$1006:$Q$1006,0)), HYPERLINK("#",""), HYPERLINK(CONCATENATE("#metadata!", ADDRESS(INDEX($J$2:$J$1001,MATCH(ROWS($H$2:H821),$H$2:$H$1001,0),0), INDEX($O$1004:$Q$1004,1,MATCH(COLUMNS($O$1006:P1006),$O$1006:$Q$1006,0)))),"Fix")))</f>
        <v xml:space="preserve"> </v>
      </c>
      <c r="D821" s="3" t="str">
        <f ca="1">IF(OR(INDEX($I$2:$I$1001,MATCH(ROWS($H$2:H821),$H$2:$H$1001,0),1)&gt;=100000,INDEX($O$1005:$Q$1005,1,MATCH(COLUMNS($O$1006:Q1006),$O$1006:$Q$1006,0))&gt;=100000), " ",IF(INDEX($O$2:$Q$1001,MATCH(ROWS($H$2:H821),$H$2:$H$1001,0),MATCH(COLUMNS($O$1006:Q1006),$O$1006:$Q$1006,0)), HYPERLINK("#",""), HYPERLINK(CONCATENATE("#metadata!", ADDRESS(INDEX($J$2:$J$1001,MATCH(ROWS($H$2:H821),$H$2:$H$1001,0),0), INDEX($O$1004:$Q$1004,1,MATCH(COLUMNS($O$1006:Q1006),$O$1006:$Q$1006,0)))),"Fix")))</f>
        <v xml:space="preserve"> </v>
      </c>
      <c r="H821">
        <v>820</v>
      </c>
      <c r="I821">
        <v>100821</v>
      </c>
      <c r="J821">
        <v>821</v>
      </c>
      <c r="K821" t="b">
        <f t="shared" si="12"/>
        <v>1</v>
      </c>
      <c r="L821" t="b">
        <f>COUNTBLANK(metadata!B821:D821)=COLUMNS(metadata!B821:D821)</f>
        <v>1</v>
      </c>
      <c r="M821" t="str">
        <v/>
      </c>
      <c r="O821" t="b">
        <f ca="1"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P821" t="b">
        <f>AND(IF(metadata!C821="",FALSE,TRUE),EXACT(metadata!C821,"mouse gut metagenome"))</f>
        <v>0</v>
      </c>
      <c r="Q821" t="b">
        <f>AND(IF(metadata!D821="",FALSE,TRUE),EXACT(metadata!D821,"410661"))</f>
        <v>0</v>
      </c>
    </row>
    <row r="822" spans="1:17" x14ac:dyDescent="0.2">
      <c r="A822" s="4" t="str">
        <f ca="1">IF(B822=" "," ",HYPERLINK(CONCATENATE("#metadata!",ADDRESS(INDEX($J$2:$J$1001,MATCH(ROWS($H$2:H822),$H$2:$H$1001,0),0),1)),INDEX($M$2:$M$1001,MATCH(ROWS($H$2:H822),$H$2:$H$1001,0),0)))</f>
        <v xml:space="preserve"> </v>
      </c>
      <c r="B822" s="3" t="str">
        <f ca="1">IF(OR(INDEX($I$2:$I$1001,MATCH(ROWS($H$2:H822),$H$2:$H$1001,0),1)&gt;=100000,INDEX($O$1005:$Q$1005,1,MATCH(COLUMNS($O$1006:O1006),$O$1006:$Q$1006,0))&gt;=100000), " ",IF(INDEX($O$2:$Q$1001,MATCH(ROWS($H$2:H822),$H$2:$H$1001,0),MATCH(COLUMNS($O$1006:O1006),$O$1006:$Q$1006,0)), HYPERLINK("#",""), HYPERLINK(CONCATENATE("#metadata!", ADDRESS(INDEX($J$2:$J$1001,MATCH(ROWS($H$2:H822),$H$2:$H$1001,0),0), INDEX($O$1004:$Q$1004,1,MATCH(COLUMNS($O$1006:O1006),$O$1006:$Q$1006,0)))),"Fix")))</f>
        <v xml:space="preserve"> </v>
      </c>
      <c r="C822" s="3" t="str">
        <f ca="1">IF(OR(INDEX($I$2:$I$1001,MATCH(ROWS($H$2:H822),$H$2:$H$1001,0),1)&gt;=100000,INDEX($O$1005:$Q$1005,1,MATCH(COLUMNS($O$1006:P1006),$O$1006:$Q$1006,0))&gt;=100000), " ",IF(INDEX($O$2:$Q$1001,MATCH(ROWS($H$2:H822),$H$2:$H$1001,0),MATCH(COLUMNS($O$1006:P1006),$O$1006:$Q$1006,0)), HYPERLINK("#",""), HYPERLINK(CONCATENATE("#metadata!", ADDRESS(INDEX($J$2:$J$1001,MATCH(ROWS($H$2:H822),$H$2:$H$1001,0),0), INDEX($O$1004:$Q$1004,1,MATCH(COLUMNS($O$1006:P1006),$O$1006:$Q$1006,0)))),"Fix")))</f>
        <v xml:space="preserve"> </v>
      </c>
      <c r="D822" s="3" t="str">
        <f ca="1">IF(OR(INDEX($I$2:$I$1001,MATCH(ROWS($H$2:H822),$H$2:$H$1001,0),1)&gt;=100000,INDEX($O$1005:$Q$1005,1,MATCH(COLUMNS($O$1006:Q1006),$O$1006:$Q$1006,0))&gt;=100000), " ",IF(INDEX($O$2:$Q$1001,MATCH(ROWS($H$2:H822),$H$2:$H$1001,0),MATCH(COLUMNS($O$1006:Q1006),$O$1006:$Q$1006,0)), HYPERLINK("#",""), HYPERLINK(CONCATENATE("#metadata!", ADDRESS(INDEX($J$2:$J$1001,MATCH(ROWS($H$2:H822),$H$2:$H$1001,0),0), INDEX($O$1004:$Q$1004,1,MATCH(COLUMNS($O$1006:Q1006),$O$1006:$Q$1006,0)))),"Fix")))</f>
        <v xml:space="preserve"> </v>
      </c>
      <c r="H822">
        <v>821</v>
      </c>
      <c r="I822">
        <v>100822</v>
      </c>
      <c r="J822">
        <v>822</v>
      </c>
      <c r="K822" t="b">
        <f t="shared" si="12"/>
        <v>1</v>
      </c>
      <c r="L822" t="b">
        <f>COUNTBLANK(metadata!B822:D822)=COLUMNS(metadata!B822:D822)</f>
        <v>1</v>
      </c>
      <c r="M822" t="str">
        <v/>
      </c>
      <c r="O822" t="b">
        <f ca="1"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P822" t="b">
        <f>AND(IF(metadata!C822="",FALSE,TRUE),EXACT(metadata!C822,"mouse gut metagenome"))</f>
        <v>0</v>
      </c>
      <c r="Q822" t="b">
        <f>AND(IF(metadata!D822="",FALSE,TRUE),EXACT(metadata!D822,"410661"))</f>
        <v>0</v>
      </c>
    </row>
    <row r="823" spans="1:17" x14ac:dyDescent="0.2">
      <c r="A823" s="4" t="str">
        <f ca="1">IF(B823=" "," ",HYPERLINK(CONCATENATE("#metadata!",ADDRESS(INDEX($J$2:$J$1001,MATCH(ROWS($H$2:H823),$H$2:$H$1001,0),0),1)),INDEX($M$2:$M$1001,MATCH(ROWS($H$2:H823),$H$2:$H$1001,0),0)))</f>
        <v xml:space="preserve"> </v>
      </c>
      <c r="B823" s="3" t="str">
        <f ca="1">IF(OR(INDEX($I$2:$I$1001,MATCH(ROWS($H$2:H823),$H$2:$H$1001,0),1)&gt;=100000,INDEX($O$1005:$Q$1005,1,MATCH(COLUMNS($O$1006:O1006),$O$1006:$Q$1006,0))&gt;=100000), " ",IF(INDEX($O$2:$Q$1001,MATCH(ROWS($H$2:H823),$H$2:$H$1001,0),MATCH(COLUMNS($O$1006:O1006),$O$1006:$Q$1006,0)), HYPERLINK("#",""), HYPERLINK(CONCATENATE("#metadata!", ADDRESS(INDEX($J$2:$J$1001,MATCH(ROWS($H$2:H823),$H$2:$H$1001,0),0), INDEX($O$1004:$Q$1004,1,MATCH(COLUMNS($O$1006:O1006),$O$1006:$Q$1006,0)))),"Fix")))</f>
        <v xml:space="preserve"> </v>
      </c>
      <c r="C823" s="3" t="str">
        <f ca="1">IF(OR(INDEX($I$2:$I$1001,MATCH(ROWS($H$2:H823),$H$2:$H$1001,0),1)&gt;=100000,INDEX($O$1005:$Q$1005,1,MATCH(COLUMNS($O$1006:P1006),$O$1006:$Q$1006,0))&gt;=100000), " ",IF(INDEX($O$2:$Q$1001,MATCH(ROWS($H$2:H823),$H$2:$H$1001,0),MATCH(COLUMNS($O$1006:P1006),$O$1006:$Q$1006,0)), HYPERLINK("#",""), HYPERLINK(CONCATENATE("#metadata!", ADDRESS(INDEX($J$2:$J$1001,MATCH(ROWS($H$2:H823),$H$2:$H$1001,0),0), INDEX($O$1004:$Q$1004,1,MATCH(COLUMNS($O$1006:P1006),$O$1006:$Q$1006,0)))),"Fix")))</f>
        <v xml:space="preserve"> </v>
      </c>
      <c r="D823" s="3" t="str">
        <f ca="1">IF(OR(INDEX($I$2:$I$1001,MATCH(ROWS($H$2:H823),$H$2:$H$1001,0),1)&gt;=100000,INDEX($O$1005:$Q$1005,1,MATCH(COLUMNS($O$1006:Q1006),$O$1006:$Q$1006,0))&gt;=100000), " ",IF(INDEX($O$2:$Q$1001,MATCH(ROWS($H$2:H823),$H$2:$H$1001,0),MATCH(COLUMNS($O$1006:Q1006),$O$1006:$Q$1006,0)), HYPERLINK("#",""), HYPERLINK(CONCATENATE("#metadata!", ADDRESS(INDEX($J$2:$J$1001,MATCH(ROWS($H$2:H823),$H$2:$H$1001,0),0), INDEX($O$1004:$Q$1004,1,MATCH(COLUMNS($O$1006:Q1006),$O$1006:$Q$1006,0)))),"Fix")))</f>
        <v xml:space="preserve"> </v>
      </c>
      <c r="H823">
        <v>822</v>
      </c>
      <c r="I823">
        <v>100823</v>
      </c>
      <c r="J823">
        <v>823</v>
      </c>
      <c r="K823" t="b">
        <f t="shared" si="12"/>
        <v>1</v>
      </c>
      <c r="L823" t="b">
        <f>COUNTBLANK(metadata!B823:D823)=COLUMNS(metadata!B823:D823)</f>
        <v>1</v>
      </c>
      <c r="M823" t="str">
        <v/>
      </c>
      <c r="O823" t="b">
        <f ca="1"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P823" t="b">
        <f>AND(IF(metadata!C823="",FALSE,TRUE),EXACT(metadata!C823,"mouse gut metagenome"))</f>
        <v>0</v>
      </c>
      <c r="Q823" t="b">
        <f>AND(IF(metadata!D823="",FALSE,TRUE),EXACT(metadata!D823,"410661"))</f>
        <v>0</v>
      </c>
    </row>
    <row r="824" spans="1:17" x14ac:dyDescent="0.2">
      <c r="A824" s="4" t="str">
        <f ca="1">IF(B824=" "," ",HYPERLINK(CONCATENATE("#metadata!",ADDRESS(INDEX($J$2:$J$1001,MATCH(ROWS($H$2:H824),$H$2:$H$1001,0),0),1)),INDEX($M$2:$M$1001,MATCH(ROWS($H$2:H824),$H$2:$H$1001,0),0)))</f>
        <v xml:space="preserve"> </v>
      </c>
      <c r="B824" s="3" t="str">
        <f ca="1">IF(OR(INDEX($I$2:$I$1001,MATCH(ROWS($H$2:H824),$H$2:$H$1001,0),1)&gt;=100000,INDEX($O$1005:$Q$1005,1,MATCH(COLUMNS($O$1006:O1006),$O$1006:$Q$1006,0))&gt;=100000), " ",IF(INDEX($O$2:$Q$1001,MATCH(ROWS($H$2:H824),$H$2:$H$1001,0),MATCH(COLUMNS($O$1006:O1006),$O$1006:$Q$1006,0)), HYPERLINK("#",""), HYPERLINK(CONCATENATE("#metadata!", ADDRESS(INDEX($J$2:$J$1001,MATCH(ROWS($H$2:H824),$H$2:$H$1001,0),0), INDEX($O$1004:$Q$1004,1,MATCH(COLUMNS($O$1006:O1006),$O$1006:$Q$1006,0)))),"Fix")))</f>
        <v xml:space="preserve"> </v>
      </c>
      <c r="C824" s="3" t="str">
        <f ca="1">IF(OR(INDEX($I$2:$I$1001,MATCH(ROWS($H$2:H824),$H$2:$H$1001,0),1)&gt;=100000,INDEX($O$1005:$Q$1005,1,MATCH(COLUMNS($O$1006:P1006),$O$1006:$Q$1006,0))&gt;=100000), " ",IF(INDEX($O$2:$Q$1001,MATCH(ROWS($H$2:H824),$H$2:$H$1001,0),MATCH(COLUMNS($O$1006:P1006),$O$1006:$Q$1006,0)), HYPERLINK("#",""), HYPERLINK(CONCATENATE("#metadata!", ADDRESS(INDEX($J$2:$J$1001,MATCH(ROWS($H$2:H824),$H$2:$H$1001,0),0), INDEX($O$1004:$Q$1004,1,MATCH(COLUMNS($O$1006:P1006),$O$1006:$Q$1006,0)))),"Fix")))</f>
        <v xml:space="preserve"> </v>
      </c>
      <c r="D824" s="3" t="str">
        <f ca="1">IF(OR(INDEX($I$2:$I$1001,MATCH(ROWS($H$2:H824),$H$2:$H$1001,0),1)&gt;=100000,INDEX($O$1005:$Q$1005,1,MATCH(COLUMNS($O$1006:Q1006),$O$1006:$Q$1006,0))&gt;=100000), " ",IF(INDEX($O$2:$Q$1001,MATCH(ROWS($H$2:H824),$H$2:$H$1001,0),MATCH(COLUMNS($O$1006:Q1006),$O$1006:$Q$1006,0)), HYPERLINK("#",""), HYPERLINK(CONCATENATE("#metadata!", ADDRESS(INDEX($J$2:$J$1001,MATCH(ROWS($H$2:H824),$H$2:$H$1001,0),0), INDEX($O$1004:$Q$1004,1,MATCH(COLUMNS($O$1006:Q1006),$O$1006:$Q$1006,0)))),"Fix")))</f>
        <v xml:space="preserve"> </v>
      </c>
      <c r="H824">
        <v>823</v>
      </c>
      <c r="I824">
        <v>100824</v>
      </c>
      <c r="J824">
        <v>824</v>
      </c>
      <c r="K824" t="b">
        <f t="shared" si="12"/>
        <v>1</v>
      </c>
      <c r="L824" t="b">
        <f>COUNTBLANK(metadata!B824:D824)=COLUMNS(metadata!B824:D824)</f>
        <v>1</v>
      </c>
      <c r="M824" t="str">
        <v/>
      </c>
      <c r="O824" t="b">
        <f ca="1"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P824" t="b">
        <f>AND(IF(metadata!C824="",FALSE,TRUE),EXACT(metadata!C824,"mouse gut metagenome"))</f>
        <v>0</v>
      </c>
      <c r="Q824" t="b">
        <f>AND(IF(metadata!D824="",FALSE,TRUE),EXACT(metadata!D824,"410661"))</f>
        <v>0</v>
      </c>
    </row>
    <row r="825" spans="1:17" x14ac:dyDescent="0.2">
      <c r="A825" s="4" t="str">
        <f ca="1">IF(B825=" "," ",HYPERLINK(CONCATENATE("#metadata!",ADDRESS(INDEX($J$2:$J$1001,MATCH(ROWS($H$2:H825),$H$2:$H$1001,0),0),1)),INDEX($M$2:$M$1001,MATCH(ROWS($H$2:H825),$H$2:$H$1001,0),0)))</f>
        <v xml:space="preserve"> </v>
      </c>
      <c r="B825" s="3" t="str">
        <f ca="1">IF(OR(INDEX($I$2:$I$1001,MATCH(ROWS($H$2:H825),$H$2:$H$1001,0),1)&gt;=100000,INDEX($O$1005:$Q$1005,1,MATCH(COLUMNS($O$1006:O1006),$O$1006:$Q$1006,0))&gt;=100000), " ",IF(INDEX($O$2:$Q$1001,MATCH(ROWS($H$2:H825),$H$2:$H$1001,0),MATCH(COLUMNS($O$1006:O1006),$O$1006:$Q$1006,0)), HYPERLINK("#",""), HYPERLINK(CONCATENATE("#metadata!", ADDRESS(INDEX($J$2:$J$1001,MATCH(ROWS($H$2:H825),$H$2:$H$1001,0),0), INDEX($O$1004:$Q$1004,1,MATCH(COLUMNS($O$1006:O1006),$O$1006:$Q$1006,0)))),"Fix")))</f>
        <v xml:space="preserve"> </v>
      </c>
      <c r="C825" s="3" t="str">
        <f ca="1">IF(OR(INDEX($I$2:$I$1001,MATCH(ROWS($H$2:H825),$H$2:$H$1001,0),1)&gt;=100000,INDEX($O$1005:$Q$1005,1,MATCH(COLUMNS($O$1006:P1006),$O$1006:$Q$1006,0))&gt;=100000), " ",IF(INDEX($O$2:$Q$1001,MATCH(ROWS($H$2:H825),$H$2:$H$1001,0),MATCH(COLUMNS($O$1006:P1006),$O$1006:$Q$1006,0)), HYPERLINK("#",""), HYPERLINK(CONCATENATE("#metadata!", ADDRESS(INDEX($J$2:$J$1001,MATCH(ROWS($H$2:H825),$H$2:$H$1001,0),0), INDEX($O$1004:$Q$1004,1,MATCH(COLUMNS($O$1006:P1006),$O$1006:$Q$1006,0)))),"Fix")))</f>
        <v xml:space="preserve"> </v>
      </c>
      <c r="D825" s="3" t="str">
        <f ca="1">IF(OR(INDEX($I$2:$I$1001,MATCH(ROWS($H$2:H825),$H$2:$H$1001,0),1)&gt;=100000,INDEX($O$1005:$Q$1005,1,MATCH(COLUMNS($O$1006:Q1006),$O$1006:$Q$1006,0))&gt;=100000), " ",IF(INDEX($O$2:$Q$1001,MATCH(ROWS($H$2:H825),$H$2:$H$1001,0),MATCH(COLUMNS($O$1006:Q1006),$O$1006:$Q$1006,0)), HYPERLINK("#",""), HYPERLINK(CONCATENATE("#metadata!", ADDRESS(INDEX($J$2:$J$1001,MATCH(ROWS($H$2:H825),$H$2:$H$1001,0),0), INDEX($O$1004:$Q$1004,1,MATCH(COLUMNS($O$1006:Q1006),$O$1006:$Q$1006,0)))),"Fix")))</f>
        <v xml:space="preserve"> </v>
      </c>
      <c r="H825">
        <v>824</v>
      </c>
      <c r="I825">
        <v>100825</v>
      </c>
      <c r="J825">
        <v>825</v>
      </c>
      <c r="K825" t="b">
        <f t="shared" si="12"/>
        <v>1</v>
      </c>
      <c r="L825" t="b">
        <f>COUNTBLANK(metadata!B825:D825)=COLUMNS(metadata!B825:D825)</f>
        <v>1</v>
      </c>
      <c r="M825" t="str">
        <v/>
      </c>
      <c r="O825" t="b">
        <f ca="1"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P825" t="b">
        <f>AND(IF(metadata!C825="",FALSE,TRUE),EXACT(metadata!C825,"mouse gut metagenome"))</f>
        <v>0</v>
      </c>
      <c r="Q825" t="b">
        <f>AND(IF(metadata!D825="",FALSE,TRUE),EXACT(metadata!D825,"410661"))</f>
        <v>0</v>
      </c>
    </row>
    <row r="826" spans="1:17" x14ac:dyDescent="0.2">
      <c r="A826" s="4" t="str">
        <f ca="1">IF(B826=" "," ",HYPERLINK(CONCATENATE("#metadata!",ADDRESS(INDEX($J$2:$J$1001,MATCH(ROWS($H$2:H826),$H$2:$H$1001,0),0),1)),INDEX($M$2:$M$1001,MATCH(ROWS($H$2:H826),$H$2:$H$1001,0),0)))</f>
        <v xml:space="preserve"> </v>
      </c>
      <c r="B826" s="3" t="str">
        <f ca="1">IF(OR(INDEX($I$2:$I$1001,MATCH(ROWS($H$2:H826),$H$2:$H$1001,0),1)&gt;=100000,INDEX($O$1005:$Q$1005,1,MATCH(COLUMNS($O$1006:O1006),$O$1006:$Q$1006,0))&gt;=100000), " ",IF(INDEX($O$2:$Q$1001,MATCH(ROWS($H$2:H826),$H$2:$H$1001,0),MATCH(COLUMNS($O$1006:O1006),$O$1006:$Q$1006,0)), HYPERLINK("#",""), HYPERLINK(CONCATENATE("#metadata!", ADDRESS(INDEX($J$2:$J$1001,MATCH(ROWS($H$2:H826),$H$2:$H$1001,0),0), INDEX($O$1004:$Q$1004,1,MATCH(COLUMNS($O$1006:O1006),$O$1006:$Q$1006,0)))),"Fix")))</f>
        <v xml:space="preserve"> </v>
      </c>
      <c r="C826" s="3" t="str">
        <f ca="1">IF(OR(INDEX($I$2:$I$1001,MATCH(ROWS($H$2:H826),$H$2:$H$1001,0),1)&gt;=100000,INDEX($O$1005:$Q$1005,1,MATCH(COLUMNS($O$1006:P1006),$O$1006:$Q$1006,0))&gt;=100000), " ",IF(INDEX($O$2:$Q$1001,MATCH(ROWS($H$2:H826),$H$2:$H$1001,0),MATCH(COLUMNS($O$1006:P1006),$O$1006:$Q$1006,0)), HYPERLINK("#",""), HYPERLINK(CONCATENATE("#metadata!", ADDRESS(INDEX($J$2:$J$1001,MATCH(ROWS($H$2:H826),$H$2:$H$1001,0),0), INDEX($O$1004:$Q$1004,1,MATCH(COLUMNS($O$1006:P1006),$O$1006:$Q$1006,0)))),"Fix")))</f>
        <v xml:space="preserve"> </v>
      </c>
      <c r="D826" s="3" t="str">
        <f ca="1">IF(OR(INDEX($I$2:$I$1001,MATCH(ROWS($H$2:H826),$H$2:$H$1001,0),1)&gt;=100000,INDEX($O$1005:$Q$1005,1,MATCH(COLUMNS($O$1006:Q1006),$O$1006:$Q$1006,0))&gt;=100000), " ",IF(INDEX($O$2:$Q$1001,MATCH(ROWS($H$2:H826),$H$2:$H$1001,0),MATCH(COLUMNS($O$1006:Q1006),$O$1006:$Q$1006,0)), HYPERLINK("#",""), HYPERLINK(CONCATENATE("#metadata!", ADDRESS(INDEX($J$2:$J$1001,MATCH(ROWS($H$2:H826),$H$2:$H$1001,0),0), INDEX($O$1004:$Q$1004,1,MATCH(COLUMNS($O$1006:Q1006),$O$1006:$Q$1006,0)))),"Fix")))</f>
        <v xml:space="preserve"> </v>
      </c>
      <c r="H826">
        <v>825</v>
      </c>
      <c r="I826">
        <v>100826</v>
      </c>
      <c r="J826">
        <v>826</v>
      </c>
      <c r="K826" t="b">
        <f t="shared" si="12"/>
        <v>1</v>
      </c>
      <c r="L826" t="b">
        <f>COUNTBLANK(metadata!B826:D826)=COLUMNS(metadata!B826:D826)</f>
        <v>1</v>
      </c>
      <c r="M826" t="str">
        <v/>
      </c>
      <c r="O826" t="b">
        <f ca="1"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P826" t="b">
        <f>AND(IF(metadata!C826="",FALSE,TRUE),EXACT(metadata!C826,"mouse gut metagenome"))</f>
        <v>0</v>
      </c>
      <c r="Q826" t="b">
        <f>AND(IF(metadata!D826="",FALSE,TRUE),EXACT(metadata!D826,"410661"))</f>
        <v>0</v>
      </c>
    </row>
    <row r="827" spans="1:17" x14ac:dyDescent="0.2">
      <c r="A827" s="4" t="str">
        <f ca="1">IF(B827=" "," ",HYPERLINK(CONCATENATE("#metadata!",ADDRESS(INDEX($J$2:$J$1001,MATCH(ROWS($H$2:H827),$H$2:$H$1001,0),0),1)),INDEX($M$2:$M$1001,MATCH(ROWS($H$2:H827),$H$2:$H$1001,0),0)))</f>
        <v xml:space="preserve"> </v>
      </c>
      <c r="B827" s="3" t="str">
        <f ca="1">IF(OR(INDEX($I$2:$I$1001,MATCH(ROWS($H$2:H827),$H$2:$H$1001,0),1)&gt;=100000,INDEX($O$1005:$Q$1005,1,MATCH(COLUMNS($O$1006:O1006),$O$1006:$Q$1006,0))&gt;=100000), " ",IF(INDEX($O$2:$Q$1001,MATCH(ROWS($H$2:H827),$H$2:$H$1001,0),MATCH(COLUMNS($O$1006:O1006),$O$1006:$Q$1006,0)), HYPERLINK("#",""), HYPERLINK(CONCATENATE("#metadata!", ADDRESS(INDEX($J$2:$J$1001,MATCH(ROWS($H$2:H827),$H$2:$H$1001,0),0), INDEX($O$1004:$Q$1004,1,MATCH(COLUMNS($O$1006:O1006),$O$1006:$Q$1006,0)))),"Fix")))</f>
        <v xml:space="preserve"> </v>
      </c>
      <c r="C827" s="3" t="str">
        <f ca="1">IF(OR(INDEX($I$2:$I$1001,MATCH(ROWS($H$2:H827),$H$2:$H$1001,0),1)&gt;=100000,INDEX($O$1005:$Q$1005,1,MATCH(COLUMNS($O$1006:P1006),$O$1006:$Q$1006,0))&gt;=100000), " ",IF(INDEX($O$2:$Q$1001,MATCH(ROWS($H$2:H827),$H$2:$H$1001,0),MATCH(COLUMNS($O$1006:P1006),$O$1006:$Q$1006,0)), HYPERLINK("#",""), HYPERLINK(CONCATENATE("#metadata!", ADDRESS(INDEX($J$2:$J$1001,MATCH(ROWS($H$2:H827),$H$2:$H$1001,0),0), INDEX($O$1004:$Q$1004,1,MATCH(COLUMNS($O$1006:P1006),$O$1006:$Q$1006,0)))),"Fix")))</f>
        <v xml:space="preserve"> </v>
      </c>
      <c r="D827" s="3" t="str">
        <f ca="1">IF(OR(INDEX($I$2:$I$1001,MATCH(ROWS($H$2:H827),$H$2:$H$1001,0),1)&gt;=100000,INDEX($O$1005:$Q$1005,1,MATCH(COLUMNS($O$1006:Q1006),$O$1006:$Q$1006,0))&gt;=100000), " ",IF(INDEX($O$2:$Q$1001,MATCH(ROWS($H$2:H827),$H$2:$H$1001,0),MATCH(COLUMNS($O$1006:Q1006),$O$1006:$Q$1006,0)), HYPERLINK("#",""), HYPERLINK(CONCATENATE("#metadata!", ADDRESS(INDEX($J$2:$J$1001,MATCH(ROWS($H$2:H827),$H$2:$H$1001,0),0), INDEX($O$1004:$Q$1004,1,MATCH(COLUMNS($O$1006:Q1006),$O$1006:$Q$1006,0)))),"Fix")))</f>
        <v xml:space="preserve"> </v>
      </c>
      <c r="H827">
        <v>826</v>
      </c>
      <c r="I827">
        <v>100827</v>
      </c>
      <c r="J827">
        <v>827</v>
      </c>
      <c r="K827" t="b">
        <f t="shared" si="12"/>
        <v>1</v>
      </c>
      <c r="L827" t="b">
        <f>COUNTBLANK(metadata!B827:D827)=COLUMNS(metadata!B827:D827)</f>
        <v>1</v>
      </c>
      <c r="M827" t="str">
        <v/>
      </c>
      <c r="O827" t="b">
        <f ca="1"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P827" t="b">
        <f>AND(IF(metadata!C827="",FALSE,TRUE),EXACT(metadata!C827,"mouse gut metagenome"))</f>
        <v>0</v>
      </c>
      <c r="Q827" t="b">
        <f>AND(IF(metadata!D827="",FALSE,TRUE),EXACT(metadata!D827,"410661"))</f>
        <v>0</v>
      </c>
    </row>
    <row r="828" spans="1:17" x14ac:dyDescent="0.2">
      <c r="A828" s="4" t="str">
        <f ca="1">IF(B828=" "," ",HYPERLINK(CONCATENATE("#metadata!",ADDRESS(INDEX($J$2:$J$1001,MATCH(ROWS($H$2:H828),$H$2:$H$1001,0),0),1)),INDEX($M$2:$M$1001,MATCH(ROWS($H$2:H828),$H$2:$H$1001,0),0)))</f>
        <v xml:space="preserve"> </v>
      </c>
      <c r="B828" s="3" t="str">
        <f ca="1">IF(OR(INDEX($I$2:$I$1001,MATCH(ROWS($H$2:H828),$H$2:$H$1001,0),1)&gt;=100000,INDEX($O$1005:$Q$1005,1,MATCH(COLUMNS($O$1006:O1006),$O$1006:$Q$1006,0))&gt;=100000), " ",IF(INDEX($O$2:$Q$1001,MATCH(ROWS($H$2:H828),$H$2:$H$1001,0),MATCH(COLUMNS($O$1006:O1006),$O$1006:$Q$1006,0)), HYPERLINK("#",""), HYPERLINK(CONCATENATE("#metadata!", ADDRESS(INDEX($J$2:$J$1001,MATCH(ROWS($H$2:H828),$H$2:$H$1001,0),0), INDEX($O$1004:$Q$1004,1,MATCH(COLUMNS($O$1006:O1006),$O$1006:$Q$1006,0)))),"Fix")))</f>
        <v xml:space="preserve"> </v>
      </c>
      <c r="C828" s="3" t="str">
        <f ca="1">IF(OR(INDEX($I$2:$I$1001,MATCH(ROWS($H$2:H828),$H$2:$H$1001,0),1)&gt;=100000,INDEX($O$1005:$Q$1005,1,MATCH(COLUMNS($O$1006:P1006),$O$1006:$Q$1006,0))&gt;=100000), " ",IF(INDEX($O$2:$Q$1001,MATCH(ROWS($H$2:H828),$H$2:$H$1001,0),MATCH(COLUMNS($O$1006:P1006),$O$1006:$Q$1006,0)), HYPERLINK("#",""), HYPERLINK(CONCATENATE("#metadata!", ADDRESS(INDEX($J$2:$J$1001,MATCH(ROWS($H$2:H828),$H$2:$H$1001,0),0), INDEX($O$1004:$Q$1004,1,MATCH(COLUMNS($O$1006:P1006),$O$1006:$Q$1006,0)))),"Fix")))</f>
        <v xml:space="preserve"> </v>
      </c>
      <c r="D828" s="3" t="str">
        <f ca="1">IF(OR(INDEX($I$2:$I$1001,MATCH(ROWS($H$2:H828),$H$2:$H$1001,0),1)&gt;=100000,INDEX($O$1005:$Q$1005,1,MATCH(COLUMNS($O$1006:Q1006),$O$1006:$Q$1006,0))&gt;=100000), " ",IF(INDEX($O$2:$Q$1001,MATCH(ROWS($H$2:H828),$H$2:$H$1001,0),MATCH(COLUMNS($O$1006:Q1006),$O$1006:$Q$1006,0)), HYPERLINK("#",""), HYPERLINK(CONCATENATE("#metadata!", ADDRESS(INDEX($J$2:$J$1001,MATCH(ROWS($H$2:H828),$H$2:$H$1001,0),0), INDEX($O$1004:$Q$1004,1,MATCH(COLUMNS($O$1006:Q1006),$O$1006:$Q$1006,0)))),"Fix")))</f>
        <v xml:space="preserve"> </v>
      </c>
      <c r="H828">
        <v>827</v>
      </c>
      <c r="I828">
        <v>100828</v>
      </c>
      <c r="J828">
        <v>828</v>
      </c>
      <c r="K828" t="b">
        <f t="shared" si="12"/>
        <v>1</v>
      </c>
      <c r="L828" t="b">
        <f>COUNTBLANK(metadata!B828:D828)=COLUMNS(metadata!B828:D828)</f>
        <v>1</v>
      </c>
      <c r="M828" t="str">
        <v/>
      </c>
      <c r="O828" t="b">
        <f ca="1"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P828" t="b">
        <f>AND(IF(metadata!C828="",FALSE,TRUE),EXACT(metadata!C828,"mouse gut metagenome"))</f>
        <v>0</v>
      </c>
      <c r="Q828" t="b">
        <f>AND(IF(metadata!D828="",FALSE,TRUE),EXACT(metadata!D828,"410661"))</f>
        <v>0</v>
      </c>
    </row>
    <row r="829" spans="1:17" x14ac:dyDescent="0.2">
      <c r="A829" s="4" t="str">
        <f ca="1">IF(B829=" "," ",HYPERLINK(CONCATENATE("#metadata!",ADDRESS(INDEX($J$2:$J$1001,MATCH(ROWS($H$2:H829),$H$2:$H$1001,0),0),1)),INDEX($M$2:$M$1001,MATCH(ROWS($H$2:H829),$H$2:$H$1001,0),0)))</f>
        <v xml:space="preserve"> </v>
      </c>
      <c r="B829" s="3" t="str">
        <f ca="1">IF(OR(INDEX($I$2:$I$1001,MATCH(ROWS($H$2:H829),$H$2:$H$1001,0),1)&gt;=100000,INDEX($O$1005:$Q$1005,1,MATCH(COLUMNS($O$1006:O1006),$O$1006:$Q$1006,0))&gt;=100000), " ",IF(INDEX($O$2:$Q$1001,MATCH(ROWS($H$2:H829),$H$2:$H$1001,0),MATCH(COLUMNS($O$1006:O1006),$O$1006:$Q$1006,0)), HYPERLINK("#",""), HYPERLINK(CONCATENATE("#metadata!", ADDRESS(INDEX($J$2:$J$1001,MATCH(ROWS($H$2:H829),$H$2:$H$1001,0),0), INDEX($O$1004:$Q$1004,1,MATCH(COLUMNS($O$1006:O1006),$O$1006:$Q$1006,0)))),"Fix")))</f>
        <v xml:space="preserve"> </v>
      </c>
      <c r="C829" s="3" t="str">
        <f ca="1">IF(OR(INDEX($I$2:$I$1001,MATCH(ROWS($H$2:H829),$H$2:$H$1001,0),1)&gt;=100000,INDEX($O$1005:$Q$1005,1,MATCH(COLUMNS($O$1006:P1006),$O$1006:$Q$1006,0))&gt;=100000), " ",IF(INDEX($O$2:$Q$1001,MATCH(ROWS($H$2:H829),$H$2:$H$1001,0),MATCH(COLUMNS($O$1006:P1006),$O$1006:$Q$1006,0)), HYPERLINK("#",""), HYPERLINK(CONCATENATE("#metadata!", ADDRESS(INDEX($J$2:$J$1001,MATCH(ROWS($H$2:H829),$H$2:$H$1001,0),0), INDEX($O$1004:$Q$1004,1,MATCH(COLUMNS($O$1006:P1006),$O$1006:$Q$1006,0)))),"Fix")))</f>
        <v xml:space="preserve"> </v>
      </c>
      <c r="D829" s="3" t="str">
        <f ca="1">IF(OR(INDEX($I$2:$I$1001,MATCH(ROWS($H$2:H829),$H$2:$H$1001,0),1)&gt;=100000,INDEX($O$1005:$Q$1005,1,MATCH(COLUMNS($O$1006:Q1006),$O$1006:$Q$1006,0))&gt;=100000), " ",IF(INDEX($O$2:$Q$1001,MATCH(ROWS($H$2:H829),$H$2:$H$1001,0),MATCH(COLUMNS($O$1006:Q1006),$O$1006:$Q$1006,0)), HYPERLINK("#",""), HYPERLINK(CONCATENATE("#metadata!", ADDRESS(INDEX($J$2:$J$1001,MATCH(ROWS($H$2:H829),$H$2:$H$1001,0),0), INDEX($O$1004:$Q$1004,1,MATCH(COLUMNS($O$1006:Q1006),$O$1006:$Q$1006,0)))),"Fix")))</f>
        <v xml:space="preserve"> </v>
      </c>
      <c r="H829">
        <v>828</v>
      </c>
      <c r="I829">
        <v>100829</v>
      </c>
      <c r="J829">
        <v>829</v>
      </c>
      <c r="K829" t="b">
        <f t="shared" si="12"/>
        <v>1</v>
      </c>
      <c r="L829" t="b">
        <f>COUNTBLANK(metadata!B829:D829)=COLUMNS(metadata!B829:D829)</f>
        <v>1</v>
      </c>
      <c r="M829" t="str">
        <v/>
      </c>
      <c r="O829" t="b">
        <f ca="1"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P829" t="b">
        <f>AND(IF(metadata!C829="",FALSE,TRUE),EXACT(metadata!C829,"mouse gut metagenome"))</f>
        <v>0</v>
      </c>
      <c r="Q829" t="b">
        <f>AND(IF(metadata!D829="",FALSE,TRUE),EXACT(metadata!D829,"410661"))</f>
        <v>0</v>
      </c>
    </row>
    <row r="830" spans="1:17" x14ac:dyDescent="0.2">
      <c r="A830" s="4" t="str">
        <f ca="1">IF(B830=" "," ",HYPERLINK(CONCATENATE("#metadata!",ADDRESS(INDEX($J$2:$J$1001,MATCH(ROWS($H$2:H830),$H$2:$H$1001,0),0),1)),INDEX($M$2:$M$1001,MATCH(ROWS($H$2:H830),$H$2:$H$1001,0),0)))</f>
        <v xml:space="preserve"> </v>
      </c>
      <c r="B830" s="3" t="str">
        <f ca="1">IF(OR(INDEX($I$2:$I$1001,MATCH(ROWS($H$2:H830),$H$2:$H$1001,0),1)&gt;=100000,INDEX($O$1005:$Q$1005,1,MATCH(COLUMNS($O$1006:O1006),$O$1006:$Q$1006,0))&gt;=100000), " ",IF(INDEX($O$2:$Q$1001,MATCH(ROWS($H$2:H830),$H$2:$H$1001,0),MATCH(COLUMNS($O$1006:O1006),$O$1006:$Q$1006,0)), HYPERLINK("#",""), HYPERLINK(CONCATENATE("#metadata!", ADDRESS(INDEX($J$2:$J$1001,MATCH(ROWS($H$2:H830),$H$2:$H$1001,0),0), INDEX($O$1004:$Q$1004,1,MATCH(COLUMNS($O$1006:O1006),$O$1006:$Q$1006,0)))),"Fix")))</f>
        <v xml:space="preserve"> </v>
      </c>
      <c r="C830" s="3" t="str">
        <f ca="1">IF(OR(INDEX($I$2:$I$1001,MATCH(ROWS($H$2:H830),$H$2:$H$1001,0),1)&gt;=100000,INDEX($O$1005:$Q$1005,1,MATCH(COLUMNS($O$1006:P1006),$O$1006:$Q$1006,0))&gt;=100000), " ",IF(INDEX($O$2:$Q$1001,MATCH(ROWS($H$2:H830),$H$2:$H$1001,0),MATCH(COLUMNS($O$1006:P1006),$O$1006:$Q$1006,0)), HYPERLINK("#",""), HYPERLINK(CONCATENATE("#metadata!", ADDRESS(INDEX($J$2:$J$1001,MATCH(ROWS($H$2:H830),$H$2:$H$1001,0),0), INDEX($O$1004:$Q$1004,1,MATCH(COLUMNS($O$1006:P1006),$O$1006:$Q$1006,0)))),"Fix")))</f>
        <v xml:space="preserve"> </v>
      </c>
      <c r="D830" s="3" t="str">
        <f ca="1">IF(OR(INDEX($I$2:$I$1001,MATCH(ROWS($H$2:H830),$H$2:$H$1001,0),1)&gt;=100000,INDEX($O$1005:$Q$1005,1,MATCH(COLUMNS($O$1006:Q1006),$O$1006:$Q$1006,0))&gt;=100000), " ",IF(INDEX($O$2:$Q$1001,MATCH(ROWS($H$2:H830),$H$2:$H$1001,0),MATCH(COLUMNS($O$1006:Q1006),$O$1006:$Q$1006,0)), HYPERLINK("#",""), HYPERLINK(CONCATENATE("#metadata!", ADDRESS(INDEX($J$2:$J$1001,MATCH(ROWS($H$2:H830),$H$2:$H$1001,0),0), INDEX($O$1004:$Q$1004,1,MATCH(COLUMNS($O$1006:Q1006),$O$1006:$Q$1006,0)))),"Fix")))</f>
        <v xml:space="preserve"> </v>
      </c>
      <c r="H830">
        <v>829</v>
      </c>
      <c r="I830">
        <v>100830</v>
      </c>
      <c r="J830">
        <v>830</v>
      </c>
      <c r="K830" t="b">
        <f t="shared" si="12"/>
        <v>1</v>
      </c>
      <c r="L830" t="b">
        <f>COUNTBLANK(metadata!B830:D830)=COLUMNS(metadata!B830:D830)</f>
        <v>1</v>
      </c>
      <c r="M830" t="str">
        <v/>
      </c>
      <c r="O830" t="b">
        <f ca="1"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P830" t="b">
        <f>AND(IF(metadata!C830="",FALSE,TRUE),EXACT(metadata!C830,"mouse gut metagenome"))</f>
        <v>0</v>
      </c>
      <c r="Q830" t="b">
        <f>AND(IF(metadata!D830="",FALSE,TRUE),EXACT(metadata!D830,"410661"))</f>
        <v>0</v>
      </c>
    </row>
    <row r="831" spans="1:17" x14ac:dyDescent="0.2">
      <c r="A831" s="4" t="str">
        <f ca="1">IF(B831=" "," ",HYPERLINK(CONCATENATE("#metadata!",ADDRESS(INDEX($J$2:$J$1001,MATCH(ROWS($H$2:H831),$H$2:$H$1001,0),0),1)),INDEX($M$2:$M$1001,MATCH(ROWS($H$2:H831),$H$2:$H$1001,0),0)))</f>
        <v xml:space="preserve"> </v>
      </c>
      <c r="B831" s="3" t="str">
        <f ca="1">IF(OR(INDEX($I$2:$I$1001,MATCH(ROWS($H$2:H831),$H$2:$H$1001,0),1)&gt;=100000,INDEX($O$1005:$Q$1005,1,MATCH(COLUMNS($O$1006:O1006),$O$1006:$Q$1006,0))&gt;=100000), " ",IF(INDEX($O$2:$Q$1001,MATCH(ROWS($H$2:H831),$H$2:$H$1001,0),MATCH(COLUMNS($O$1006:O1006),$O$1006:$Q$1006,0)), HYPERLINK("#",""), HYPERLINK(CONCATENATE("#metadata!", ADDRESS(INDEX($J$2:$J$1001,MATCH(ROWS($H$2:H831),$H$2:$H$1001,0),0), INDEX($O$1004:$Q$1004,1,MATCH(COLUMNS($O$1006:O1006),$O$1006:$Q$1006,0)))),"Fix")))</f>
        <v xml:space="preserve"> </v>
      </c>
      <c r="C831" s="3" t="str">
        <f ca="1">IF(OR(INDEX($I$2:$I$1001,MATCH(ROWS($H$2:H831),$H$2:$H$1001,0),1)&gt;=100000,INDEX($O$1005:$Q$1005,1,MATCH(COLUMNS($O$1006:P1006),$O$1006:$Q$1006,0))&gt;=100000), " ",IF(INDEX($O$2:$Q$1001,MATCH(ROWS($H$2:H831),$H$2:$H$1001,0),MATCH(COLUMNS($O$1006:P1006),$O$1006:$Q$1006,0)), HYPERLINK("#",""), HYPERLINK(CONCATENATE("#metadata!", ADDRESS(INDEX($J$2:$J$1001,MATCH(ROWS($H$2:H831),$H$2:$H$1001,0),0), INDEX($O$1004:$Q$1004,1,MATCH(COLUMNS($O$1006:P1006),$O$1006:$Q$1006,0)))),"Fix")))</f>
        <v xml:space="preserve"> </v>
      </c>
      <c r="D831" s="3" t="str">
        <f ca="1">IF(OR(INDEX($I$2:$I$1001,MATCH(ROWS($H$2:H831),$H$2:$H$1001,0),1)&gt;=100000,INDEX($O$1005:$Q$1005,1,MATCH(COLUMNS($O$1006:Q1006),$O$1006:$Q$1006,0))&gt;=100000), " ",IF(INDEX($O$2:$Q$1001,MATCH(ROWS($H$2:H831),$H$2:$H$1001,0),MATCH(COLUMNS($O$1006:Q1006),$O$1006:$Q$1006,0)), HYPERLINK("#",""), HYPERLINK(CONCATENATE("#metadata!", ADDRESS(INDEX($J$2:$J$1001,MATCH(ROWS($H$2:H831),$H$2:$H$1001,0),0), INDEX($O$1004:$Q$1004,1,MATCH(COLUMNS($O$1006:Q1006),$O$1006:$Q$1006,0)))),"Fix")))</f>
        <v xml:space="preserve"> </v>
      </c>
      <c r="H831">
        <v>830</v>
      </c>
      <c r="I831">
        <v>100831</v>
      </c>
      <c r="J831">
        <v>831</v>
      </c>
      <c r="K831" t="b">
        <f t="shared" si="12"/>
        <v>1</v>
      </c>
      <c r="L831" t="b">
        <f>COUNTBLANK(metadata!B831:D831)=COLUMNS(metadata!B831:D831)</f>
        <v>1</v>
      </c>
      <c r="M831" t="str">
        <v/>
      </c>
      <c r="O831" t="b">
        <f ca="1"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P831" t="b">
        <f>AND(IF(metadata!C831="",FALSE,TRUE),EXACT(metadata!C831,"mouse gut metagenome"))</f>
        <v>0</v>
      </c>
      <c r="Q831" t="b">
        <f>AND(IF(metadata!D831="",FALSE,TRUE),EXACT(metadata!D831,"410661"))</f>
        <v>0</v>
      </c>
    </row>
    <row r="832" spans="1:17" x14ac:dyDescent="0.2">
      <c r="A832" s="4" t="str">
        <f ca="1">IF(B832=" "," ",HYPERLINK(CONCATENATE("#metadata!",ADDRESS(INDEX($J$2:$J$1001,MATCH(ROWS($H$2:H832),$H$2:$H$1001,0),0),1)),INDEX($M$2:$M$1001,MATCH(ROWS($H$2:H832),$H$2:$H$1001,0),0)))</f>
        <v xml:space="preserve"> </v>
      </c>
      <c r="B832" s="3" t="str">
        <f ca="1">IF(OR(INDEX($I$2:$I$1001,MATCH(ROWS($H$2:H832),$H$2:$H$1001,0),1)&gt;=100000,INDEX($O$1005:$Q$1005,1,MATCH(COLUMNS($O$1006:O1006),$O$1006:$Q$1006,0))&gt;=100000), " ",IF(INDEX($O$2:$Q$1001,MATCH(ROWS($H$2:H832),$H$2:$H$1001,0),MATCH(COLUMNS($O$1006:O1006),$O$1006:$Q$1006,0)), HYPERLINK("#",""), HYPERLINK(CONCATENATE("#metadata!", ADDRESS(INDEX($J$2:$J$1001,MATCH(ROWS($H$2:H832),$H$2:$H$1001,0),0), INDEX($O$1004:$Q$1004,1,MATCH(COLUMNS($O$1006:O1006),$O$1006:$Q$1006,0)))),"Fix")))</f>
        <v xml:space="preserve"> </v>
      </c>
      <c r="C832" s="3" t="str">
        <f ca="1">IF(OR(INDEX($I$2:$I$1001,MATCH(ROWS($H$2:H832),$H$2:$H$1001,0),1)&gt;=100000,INDEX($O$1005:$Q$1005,1,MATCH(COLUMNS($O$1006:P1006),$O$1006:$Q$1006,0))&gt;=100000), " ",IF(INDEX($O$2:$Q$1001,MATCH(ROWS($H$2:H832),$H$2:$H$1001,0),MATCH(COLUMNS($O$1006:P1006),$O$1006:$Q$1006,0)), HYPERLINK("#",""), HYPERLINK(CONCATENATE("#metadata!", ADDRESS(INDEX($J$2:$J$1001,MATCH(ROWS($H$2:H832),$H$2:$H$1001,0),0), INDEX($O$1004:$Q$1004,1,MATCH(COLUMNS($O$1006:P1006),$O$1006:$Q$1006,0)))),"Fix")))</f>
        <v xml:space="preserve"> </v>
      </c>
      <c r="D832" s="3" t="str">
        <f ca="1">IF(OR(INDEX($I$2:$I$1001,MATCH(ROWS($H$2:H832),$H$2:$H$1001,0),1)&gt;=100000,INDEX($O$1005:$Q$1005,1,MATCH(COLUMNS($O$1006:Q1006),$O$1006:$Q$1006,0))&gt;=100000), " ",IF(INDEX($O$2:$Q$1001,MATCH(ROWS($H$2:H832),$H$2:$H$1001,0),MATCH(COLUMNS($O$1006:Q1006),$O$1006:$Q$1006,0)), HYPERLINK("#",""), HYPERLINK(CONCATENATE("#metadata!", ADDRESS(INDEX($J$2:$J$1001,MATCH(ROWS($H$2:H832),$H$2:$H$1001,0),0), INDEX($O$1004:$Q$1004,1,MATCH(COLUMNS($O$1006:Q1006),$O$1006:$Q$1006,0)))),"Fix")))</f>
        <v xml:space="preserve"> </v>
      </c>
      <c r="H832">
        <v>831</v>
      </c>
      <c r="I832">
        <v>100832</v>
      </c>
      <c r="J832">
        <v>832</v>
      </c>
      <c r="K832" t="b">
        <f t="shared" si="12"/>
        <v>1</v>
      </c>
      <c r="L832" t="b">
        <f>COUNTBLANK(metadata!B832:D832)=COLUMNS(metadata!B832:D832)</f>
        <v>1</v>
      </c>
      <c r="M832" t="str">
        <v/>
      </c>
      <c r="O832" t="b">
        <f ca="1"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P832" t="b">
        <f>AND(IF(metadata!C832="",FALSE,TRUE),EXACT(metadata!C832,"mouse gut metagenome"))</f>
        <v>0</v>
      </c>
      <c r="Q832" t="b">
        <f>AND(IF(metadata!D832="",FALSE,TRUE),EXACT(metadata!D832,"410661"))</f>
        <v>0</v>
      </c>
    </row>
    <row r="833" spans="1:17" x14ac:dyDescent="0.2">
      <c r="A833" s="4" t="str">
        <f ca="1">IF(B833=" "," ",HYPERLINK(CONCATENATE("#metadata!",ADDRESS(INDEX($J$2:$J$1001,MATCH(ROWS($H$2:H833),$H$2:$H$1001,0),0),1)),INDEX($M$2:$M$1001,MATCH(ROWS($H$2:H833),$H$2:$H$1001,0),0)))</f>
        <v xml:space="preserve"> </v>
      </c>
      <c r="B833" s="3" t="str">
        <f ca="1">IF(OR(INDEX($I$2:$I$1001,MATCH(ROWS($H$2:H833),$H$2:$H$1001,0),1)&gt;=100000,INDEX($O$1005:$Q$1005,1,MATCH(COLUMNS($O$1006:O1006),$O$1006:$Q$1006,0))&gt;=100000), " ",IF(INDEX($O$2:$Q$1001,MATCH(ROWS($H$2:H833),$H$2:$H$1001,0),MATCH(COLUMNS($O$1006:O1006),$O$1006:$Q$1006,0)), HYPERLINK("#",""), HYPERLINK(CONCATENATE("#metadata!", ADDRESS(INDEX($J$2:$J$1001,MATCH(ROWS($H$2:H833),$H$2:$H$1001,0),0), INDEX($O$1004:$Q$1004,1,MATCH(COLUMNS($O$1006:O1006),$O$1006:$Q$1006,0)))),"Fix")))</f>
        <v xml:space="preserve"> </v>
      </c>
      <c r="C833" s="3" t="str">
        <f ca="1">IF(OR(INDEX($I$2:$I$1001,MATCH(ROWS($H$2:H833),$H$2:$H$1001,0),1)&gt;=100000,INDEX($O$1005:$Q$1005,1,MATCH(COLUMNS($O$1006:P1006),$O$1006:$Q$1006,0))&gt;=100000), " ",IF(INDEX($O$2:$Q$1001,MATCH(ROWS($H$2:H833),$H$2:$H$1001,0),MATCH(COLUMNS($O$1006:P1006),$O$1006:$Q$1006,0)), HYPERLINK("#",""), HYPERLINK(CONCATENATE("#metadata!", ADDRESS(INDEX($J$2:$J$1001,MATCH(ROWS($H$2:H833),$H$2:$H$1001,0),0), INDEX($O$1004:$Q$1004,1,MATCH(COLUMNS($O$1006:P1006),$O$1006:$Q$1006,0)))),"Fix")))</f>
        <v xml:space="preserve"> </v>
      </c>
      <c r="D833" s="3" t="str">
        <f ca="1">IF(OR(INDEX($I$2:$I$1001,MATCH(ROWS($H$2:H833),$H$2:$H$1001,0),1)&gt;=100000,INDEX($O$1005:$Q$1005,1,MATCH(COLUMNS($O$1006:Q1006),$O$1006:$Q$1006,0))&gt;=100000), " ",IF(INDEX($O$2:$Q$1001,MATCH(ROWS($H$2:H833),$H$2:$H$1001,0),MATCH(COLUMNS($O$1006:Q1006),$O$1006:$Q$1006,0)), HYPERLINK("#",""), HYPERLINK(CONCATENATE("#metadata!", ADDRESS(INDEX($J$2:$J$1001,MATCH(ROWS($H$2:H833),$H$2:$H$1001,0),0), INDEX($O$1004:$Q$1004,1,MATCH(COLUMNS($O$1006:Q1006),$O$1006:$Q$1006,0)))),"Fix")))</f>
        <v xml:space="preserve"> </v>
      </c>
      <c r="H833">
        <v>832</v>
      </c>
      <c r="I833">
        <v>100833</v>
      </c>
      <c r="J833">
        <v>833</v>
      </c>
      <c r="K833" t="b">
        <f t="shared" si="12"/>
        <v>1</v>
      </c>
      <c r="L833" t="b">
        <f>COUNTBLANK(metadata!B833:D833)=COLUMNS(metadata!B833:D833)</f>
        <v>1</v>
      </c>
      <c r="M833" t="str">
        <v/>
      </c>
      <c r="O833" t="b">
        <f ca="1"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P833" t="b">
        <f>AND(IF(metadata!C833="",FALSE,TRUE),EXACT(metadata!C833,"mouse gut metagenome"))</f>
        <v>0</v>
      </c>
      <c r="Q833" t="b">
        <f>AND(IF(metadata!D833="",FALSE,TRUE),EXACT(metadata!D833,"410661"))</f>
        <v>0</v>
      </c>
    </row>
    <row r="834" spans="1:17" x14ac:dyDescent="0.2">
      <c r="A834" s="4" t="str">
        <f ca="1">IF(B834=" "," ",HYPERLINK(CONCATENATE("#metadata!",ADDRESS(INDEX($J$2:$J$1001,MATCH(ROWS($H$2:H834),$H$2:$H$1001,0),0),1)),INDEX($M$2:$M$1001,MATCH(ROWS($H$2:H834),$H$2:$H$1001,0),0)))</f>
        <v xml:space="preserve"> </v>
      </c>
      <c r="B834" s="3" t="str">
        <f ca="1">IF(OR(INDEX($I$2:$I$1001,MATCH(ROWS($H$2:H834),$H$2:$H$1001,0),1)&gt;=100000,INDEX($O$1005:$Q$1005,1,MATCH(COLUMNS($O$1006:O1006),$O$1006:$Q$1006,0))&gt;=100000), " ",IF(INDEX($O$2:$Q$1001,MATCH(ROWS($H$2:H834),$H$2:$H$1001,0),MATCH(COLUMNS($O$1006:O1006),$O$1006:$Q$1006,0)), HYPERLINK("#",""), HYPERLINK(CONCATENATE("#metadata!", ADDRESS(INDEX($J$2:$J$1001,MATCH(ROWS($H$2:H834),$H$2:$H$1001,0),0), INDEX($O$1004:$Q$1004,1,MATCH(COLUMNS($O$1006:O1006),$O$1006:$Q$1006,0)))),"Fix")))</f>
        <v xml:space="preserve"> </v>
      </c>
      <c r="C834" s="3" t="str">
        <f ca="1">IF(OR(INDEX($I$2:$I$1001,MATCH(ROWS($H$2:H834),$H$2:$H$1001,0),1)&gt;=100000,INDEX($O$1005:$Q$1005,1,MATCH(COLUMNS($O$1006:P1006),$O$1006:$Q$1006,0))&gt;=100000), " ",IF(INDEX($O$2:$Q$1001,MATCH(ROWS($H$2:H834),$H$2:$H$1001,0),MATCH(COLUMNS($O$1006:P1006),$O$1006:$Q$1006,0)), HYPERLINK("#",""), HYPERLINK(CONCATENATE("#metadata!", ADDRESS(INDEX($J$2:$J$1001,MATCH(ROWS($H$2:H834),$H$2:$H$1001,0),0), INDEX($O$1004:$Q$1004,1,MATCH(COLUMNS($O$1006:P1006),$O$1006:$Q$1006,0)))),"Fix")))</f>
        <v xml:space="preserve"> </v>
      </c>
      <c r="D834" s="3" t="str">
        <f ca="1">IF(OR(INDEX($I$2:$I$1001,MATCH(ROWS($H$2:H834),$H$2:$H$1001,0),1)&gt;=100000,INDEX($O$1005:$Q$1005,1,MATCH(COLUMNS($O$1006:Q1006),$O$1006:$Q$1006,0))&gt;=100000), " ",IF(INDEX($O$2:$Q$1001,MATCH(ROWS($H$2:H834),$H$2:$H$1001,0),MATCH(COLUMNS($O$1006:Q1006),$O$1006:$Q$1006,0)), HYPERLINK("#",""), HYPERLINK(CONCATENATE("#metadata!", ADDRESS(INDEX($J$2:$J$1001,MATCH(ROWS($H$2:H834),$H$2:$H$1001,0),0), INDEX($O$1004:$Q$1004,1,MATCH(COLUMNS($O$1006:Q1006),$O$1006:$Q$1006,0)))),"Fix")))</f>
        <v xml:space="preserve"> </v>
      </c>
      <c r="H834">
        <v>833</v>
      </c>
      <c r="I834">
        <v>100834</v>
      </c>
      <c r="J834">
        <v>834</v>
      </c>
      <c r="K834" t="b">
        <f t="shared" ref="K834:K897" si="13">IF(L834,TRUE,AND(O834:Q834))</f>
        <v>1</v>
      </c>
      <c r="L834" t="b">
        <f>COUNTBLANK(metadata!B834:D834)=COLUMNS(metadata!B834:D834)</f>
        <v>1</v>
      </c>
      <c r="M834" t="str">
        <v/>
      </c>
      <c r="O834" t="b">
        <f ca="1"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P834" t="b">
        <f>AND(IF(metadata!C834="",FALSE,TRUE),EXACT(metadata!C834,"mouse gut metagenome"))</f>
        <v>0</v>
      </c>
      <c r="Q834" t="b">
        <f>AND(IF(metadata!D834="",FALSE,TRUE),EXACT(metadata!D834,"410661"))</f>
        <v>0</v>
      </c>
    </row>
    <row r="835" spans="1:17" x14ac:dyDescent="0.2">
      <c r="A835" s="4" t="str">
        <f ca="1">IF(B835=" "," ",HYPERLINK(CONCATENATE("#metadata!",ADDRESS(INDEX($J$2:$J$1001,MATCH(ROWS($H$2:H835),$H$2:$H$1001,0),0),1)),INDEX($M$2:$M$1001,MATCH(ROWS($H$2:H835),$H$2:$H$1001,0),0)))</f>
        <v xml:space="preserve"> </v>
      </c>
      <c r="B835" s="3" t="str">
        <f ca="1">IF(OR(INDEX($I$2:$I$1001,MATCH(ROWS($H$2:H835),$H$2:$H$1001,0),1)&gt;=100000,INDEX($O$1005:$Q$1005,1,MATCH(COLUMNS($O$1006:O1006),$O$1006:$Q$1006,0))&gt;=100000), " ",IF(INDEX($O$2:$Q$1001,MATCH(ROWS($H$2:H835),$H$2:$H$1001,0),MATCH(COLUMNS($O$1006:O1006),$O$1006:$Q$1006,0)), HYPERLINK("#",""), HYPERLINK(CONCATENATE("#metadata!", ADDRESS(INDEX($J$2:$J$1001,MATCH(ROWS($H$2:H835),$H$2:$H$1001,0),0), INDEX($O$1004:$Q$1004,1,MATCH(COLUMNS($O$1006:O1006),$O$1006:$Q$1006,0)))),"Fix")))</f>
        <v xml:space="preserve"> </v>
      </c>
      <c r="C835" s="3" t="str">
        <f ca="1">IF(OR(INDEX($I$2:$I$1001,MATCH(ROWS($H$2:H835),$H$2:$H$1001,0),1)&gt;=100000,INDEX($O$1005:$Q$1005,1,MATCH(COLUMNS($O$1006:P1006),$O$1006:$Q$1006,0))&gt;=100000), " ",IF(INDEX($O$2:$Q$1001,MATCH(ROWS($H$2:H835),$H$2:$H$1001,0),MATCH(COLUMNS($O$1006:P1006),$O$1006:$Q$1006,0)), HYPERLINK("#",""), HYPERLINK(CONCATENATE("#metadata!", ADDRESS(INDEX($J$2:$J$1001,MATCH(ROWS($H$2:H835),$H$2:$H$1001,0),0), INDEX($O$1004:$Q$1004,1,MATCH(COLUMNS($O$1006:P1006),$O$1006:$Q$1006,0)))),"Fix")))</f>
        <v xml:space="preserve"> </v>
      </c>
      <c r="D835" s="3" t="str">
        <f ca="1">IF(OR(INDEX($I$2:$I$1001,MATCH(ROWS($H$2:H835),$H$2:$H$1001,0),1)&gt;=100000,INDEX($O$1005:$Q$1005,1,MATCH(COLUMNS($O$1006:Q1006),$O$1006:$Q$1006,0))&gt;=100000), " ",IF(INDEX($O$2:$Q$1001,MATCH(ROWS($H$2:H835),$H$2:$H$1001,0),MATCH(COLUMNS($O$1006:Q1006),$O$1006:$Q$1006,0)), HYPERLINK("#",""), HYPERLINK(CONCATENATE("#metadata!", ADDRESS(INDEX($J$2:$J$1001,MATCH(ROWS($H$2:H835),$H$2:$H$1001,0),0), INDEX($O$1004:$Q$1004,1,MATCH(COLUMNS($O$1006:Q1006),$O$1006:$Q$1006,0)))),"Fix")))</f>
        <v xml:space="preserve"> </v>
      </c>
      <c r="H835">
        <v>834</v>
      </c>
      <c r="I835">
        <v>100835</v>
      </c>
      <c r="J835">
        <v>835</v>
      </c>
      <c r="K835" t="b">
        <f t="shared" si="13"/>
        <v>1</v>
      </c>
      <c r="L835" t="b">
        <f>COUNTBLANK(metadata!B835:D835)=COLUMNS(metadata!B835:D835)</f>
        <v>1</v>
      </c>
      <c r="M835" t="str">
        <v/>
      </c>
      <c r="O835" t="b">
        <f ca="1"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P835" t="b">
        <f>AND(IF(metadata!C835="",FALSE,TRUE),EXACT(metadata!C835,"mouse gut metagenome"))</f>
        <v>0</v>
      </c>
      <c r="Q835" t="b">
        <f>AND(IF(metadata!D835="",FALSE,TRUE),EXACT(metadata!D835,"410661"))</f>
        <v>0</v>
      </c>
    </row>
    <row r="836" spans="1:17" x14ac:dyDescent="0.2">
      <c r="A836" s="4" t="str">
        <f ca="1">IF(B836=" "," ",HYPERLINK(CONCATENATE("#metadata!",ADDRESS(INDEX($J$2:$J$1001,MATCH(ROWS($H$2:H836),$H$2:$H$1001,0),0),1)),INDEX($M$2:$M$1001,MATCH(ROWS($H$2:H836),$H$2:$H$1001,0),0)))</f>
        <v xml:space="preserve"> </v>
      </c>
      <c r="B836" s="3" t="str">
        <f ca="1">IF(OR(INDEX($I$2:$I$1001,MATCH(ROWS($H$2:H836),$H$2:$H$1001,0),1)&gt;=100000,INDEX($O$1005:$Q$1005,1,MATCH(COLUMNS($O$1006:O1006),$O$1006:$Q$1006,0))&gt;=100000), " ",IF(INDEX($O$2:$Q$1001,MATCH(ROWS($H$2:H836),$H$2:$H$1001,0),MATCH(COLUMNS($O$1006:O1006),$O$1006:$Q$1006,0)), HYPERLINK("#",""), HYPERLINK(CONCATENATE("#metadata!", ADDRESS(INDEX($J$2:$J$1001,MATCH(ROWS($H$2:H836),$H$2:$H$1001,0),0), INDEX($O$1004:$Q$1004,1,MATCH(COLUMNS($O$1006:O1006),$O$1006:$Q$1006,0)))),"Fix")))</f>
        <v xml:space="preserve"> </v>
      </c>
      <c r="C836" s="3" t="str">
        <f ca="1">IF(OR(INDEX($I$2:$I$1001,MATCH(ROWS($H$2:H836),$H$2:$H$1001,0),1)&gt;=100000,INDEX($O$1005:$Q$1005,1,MATCH(COLUMNS($O$1006:P1006),$O$1006:$Q$1006,0))&gt;=100000), " ",IF(INDEX($O$2:$Q$1001,MATCH(ROWS($H$2:H836),$H$2:$H$1001,0),MATCH(COLUMNS($O$1006:P1006),$O$1006:$Q$1006,0)), HYPERLINK("#",""), HYPERLINK(CONCATENATE("#metadata!", ADDRESS(INDEX($J$2:$J$1001,MATCH(ROWS($H$2:H836),$H$2:$H$1001,0),0), INDEX($O$1004:$Q$1004,1,MATCH(COLUMNS($O$1006:P1006),$O$1006:$Q$1006,0)))),"Fix")))</f>
        <v xml:space="preserve"> </v>
      </c>
      <c r="D836" s="3" t="str">
        <f ca="1">IF(OR(INDEX($I$2:$I$1001,MATCH(ROWS($H$2:H836),$H$2:$H$1001,0),1)&gt;=100000,INDEX($O$1005:$Q$1005,1,MATCH(COLUMNS($O$1006:Q1006),$O$1006:$Q$1006,0))&gt;=100000), " ",IF(INDEX($O$2:$Q$1001,MATCH(ROWS($H$2:H836),$H$2:$H$1001,0),MATCH(COLUMNS($O$1006:Q1006),$O$1006:$Q$1006,0)), HYPERLINK("#",""), HYPERLINK(CONCATENATE("#metadata!", ADDRESS(INDEX($J$2:$J$1001,MATCH(ROWS($H$2:H836),$H$2:$H$1001,0),0), INDEX($O$1004:$Q$1004,1,MATCH(COLUMNS($O$1006:Q1006),$O$1006:$Q$1006,0)))),"Fix")))</f>
        <v xml:space="preserve"> </v>
      </c>
      <c r="H836">
        <v>835</v>
      </c>
      <c r="I836">
        <v>100836</v>
      </c>
      <c r="J836">
        <v>836</v>
      </c>
      <c r="K836" t="b">
        <f t="shared" si="13"/>
        <v>1</v>
      </c>
      <c r="L836" t="b">
        <f>COUNTBLANK(metadata!B836:D836)=COLUMNS(metadata!B836:D836)</f>
        <v>1</v>
      </c>
      <c r="M836" t="str">
        <v/>
      </c>
      <c r="O836" t="b">
        <f ca="1"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P836" t="b">
        <f>AND(IF(metadata!C836="",FALSE,TRUE),EXACT(metadata!C836,"mouse gut metagenome"))</f>
        <v>0</v>
      </c>
      <c r="Q836" t="b">
        <f>AND(IF(metadata!D836="",FALSE,TRUE),EXACT(metadata!D836,"410661"))</f>
        <v>0</v>
      </c>
    </row>
    <row r="837" spans="1:17" x14ac:dyDescent="0.2">
      <c r="A837" s="4" t="str">
        <f ca="1">IF(B837=" "," ",HYPERLINK(CONCATENATE("#metadata!",ADDRESS(INDEX($J$2:$J$1001,MATCH(ROWS($H$2:H837),$H$2:$H$1001,0),0),1)),INDEX($M$2:$M$1001,MATCH(ROWS($H$2:H837),$H$2:$H$1001,0),0)))</f>
        <v xml:space="preserve"> </v>
      </c>
      <c r="B837" s="3" t="str">
        <f ca="1">IF(OR(INDEX($I$2:$I$1001,MATCH(ROWS($H$2:H837),$H$2:$H$1001,0),1)&gt;=100000,INDEX($O$1005:$Q$1005,1,MATCH(COLUMNS($O$1006:O1006),$O$1006:$Q$1006,0))&gt;=100000), " ",IF(INDEX($O$2:$Q$1001,MATCH(ROWS($H$2:H837),$H$2:$H$1001,0),MATCH(COLUMNS($O$1006:O1006),$O$1006:$Q$1006,0)), HYPERLINK("#",""), HYPERLINK(CONCATENATE("#metadata!", ADDRESS(INDEX($J$2:$J$1001,MATCH(ROWS($H$2:H837),$H$2:$H$1001,0),0), INDEX($O$1004:$Q$1004,1,MATCH(COLUMNS($O$1006:O1006),$O$1006:$Q$1006,0)))),"Fix")))</f>
        <v xml:space="preserve"> </v>
      </c>
      <c r="C837" s="3" t="str">
        <f ca="1">IF(OR(INDEX($I$2:$I$1001,MATCH(ROWS($H$2:H837),$H$2:$H$1001,0),1)&gt;=100000,INDEX($O$1005:$Q$1005,1,MATCH(COLUMNS($O$1006:P1006),$O$1006:$Q$1006,0))&gt;=100000), " ",IF(INDEX($O$2:$Q$1001,MATCH(ROWS($H$2:H837),$H$2:$H$1001,0),MATCH(COLUMNS($O$1006:P1006),$O$1006:$Q$1006,0)), HYPERLINK("#",""), HYPERLINK(CONCATENATE("#metadata!", ADDRESS(INDEX($J$2:$J$1001,MATCH(ROWS($H$2:H837),$H$2:$H$1001,0),0), INDEX($O$1004:$Q$1004,1,MATCH(COLUMNS($O$1006:P1006),$O$1006:$Q$1006,0)))),"Fix")))</f>
        <v xml:space="preserve"> </v>
      </c>
      <c r="D837" s="3" t="str">
        <f ca="1">IF(OR(INDEX($I$2:$I$1001,MATCH(ROWS($H$2:H837),$H$2:$H$1001,0),1)&gt;=100000,INDEX($O$1005:$Q$1005,1,MATCH(COLUMNS($O$1006:Q1006),$O$1006:$Q$1006,0))&gt;=100000), " ",IF(INDEX($O$2:$Q$1001,MATCH(ROWS($H$2:H837),$H$2:$H$1001,0),MATCH(COLUMNS($O$1006:Q1006),$O$1006:$Q$1006,0)), HYPERLINK("#",""), HYPERLINK(CONCATENATE("#metadata!", ADDRESS(INDEX($J$2:$J$1001,MATCH(ROWS($H$2:H837),$H$2:$H$1001,0),0), INDEX($O$1004:$Q$1004,1,MATCH(COLUMNS($O$1006:Q1006),$O$1006:$Q$1006,0)))),"Fix")))</f>
        <v xml:space="preserve"> </v>
      </c>
      <c r="H837">
        <v>836</v>
      </c>
      <c r="I837">
        <v>100837</v>
      </c>
      <c r="J837">
        <v>837</v>
      </c>
      <c r="K837" t="b">
        <f t="shared" si="13"/>
        <v>1</v>
      </c>
      <c r="L837" t="b">
        <f>COUNTBLANK(metadata!B837:D837)=COLUMNS(metadata!B837:D837)</f>
        <v>1</v>
      </c>
      <c r="M837" t="str">
        <v/>
      </c>
      <c r="O837" t="b">
        <f ca="1"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P837" t="b">
        <f>AND(IF(metadata!C837="",FALSE,TRUE),EXACT(metadata!C837,"mouse gut metagenome"))</f>
        <v>0</v>
      </c>
      <c r="Q837" t="b">
        <f>AND(IF(metadata!D837="",FALSE,TRUE),EXACT(metadata!D837,"410661"))</f>
        <v>0</v>
      </c>
    </row>
    <row r="838" spans="1:17" x14ac:dyDescent="0.2">
      <c r="A838" s="4" t="str">
        <f ca="1">IF(B838=" "," ",HYPERLINK(CONCATENATE("#metadata!",ADDRESS(INDEX($J$2:$J$1001,MATCH(ROWS($H$2:H838),$H$2:$H$1001,0),0),1)),INDEX($M$2:$M$1001,MATCH(ROWS($H$2:H838),$H$2:$H$1001,0),0)))</f>
        <v xml:space="preserve"> </v>
      </c>
      <c r="B838" s="3" t="str">
        <f ca="1">IF(OR(INDEX($I$2:$I$1001,MATCH(ROWS($H$2:H838),$H$2:$H$1001,0),1)&gt;=100000,INDEX($O$1005:$Q$1005,1,MATCH(COLUMNS($O$1006:O1006),$O$1006:$Q$1006,0))&gt;=100000), " ",IF(INDEX($O$2:$Q$1001,MATCH(ROWS($H$2:H838),$H$2:$H$1001,0),MATCH(COLUMNS($O$1006:O1006),$O$1006:$Q$1006,0)), HYPERLINK("#",""), HYPERLINK(CONCATENATE("#metadata!", ADDRESS(INDEX($J$2:$J$1001,MATCH(ROWS($H$2:H838),$H$2:$H$1001,0),0), INDEX($O$1004:$Q$1004,1,MATCH(COLUMNS($O$1006:O1006),$O$1006:$Q$1006,0)))),"Fix")))</f>
        <v xml:space="preserve"> </v>
      </c>
      <c r="C838" s="3" t="str">
        <f ca="1">IF(OR(INDEX($I$2:$I$1001,MATCH(ROWS($H$2:H838),$H$2:$H$1001,0),1)&gt;=100000,INDEX($O$1005:$Q$1005,1,MATCH(COLUMNS($O$1006:P1006),$O$1006:$Q$1006,0))&gt;=100000), " ",IF(INDEX($O$2:$Q$1001,MATCH(ROWS($H$2:H838),$H$2:$H$1001,0),MATCH(COLUMNS($O$1006:P1006),$O$1006:$Q$1006,0)), HYPERLINK("#",""), HYPERLINK(CONCATENATE("#metadata!", ADDRESS(INDEX($J$2:$J$1001,MATCH(ROWS($H$2:H838),$H$2:$H$1001,0),0), INDEX($O$1004:$Q$1004,1,MATCH(COLUMNS($O$1006:P1006),$O$1006:$Q$1006,0)))),"Fix")))</f>
        <v xml:space="preserve"> </v>
      </c>
      <c r="D838" s="3" t="str">
        <f ca="1">IF(OR(INDEX($I$2:$I$1001,MATCH(ROWS($H$2:H838),$H$2:$H$1001,0),1)&gt;=100000,INDEX($O$1005:$Q$1005,1,MATCH(COLUMNS($O$1006:Q1006),$O$1006:$Q$1006,0))&gt;=100000), " ",IF(INDEX($O$2:$Q$1001,MATCH(ROWS($H$2:H838),$H$2:$H$1001,0),MATCH(COLUMNS($O$1006:Q1006),$O$1006:$Q$1006,0)), HYPERLINK("#",""), HYPERLINK(CONCATENATE("#metadata!", ADDRESS(INDEX($J$2:$J$1001,MATCH(ROWS($H$2:H838),$H$2:$H$1001,0),0), INDEX($O$1004:$Q$1004,1,MATCH(COLUMNS($O$1006:Q1006),$O$1006:$Q$1006,0)))),"Fix")))</f>
        <v xml:space="preserve"> </v>
      </c>
      <c r="H838">
        <v>837</v>
      </c>
      <c r="I838">
        <v>100838</v>
      </c>
      <c r="J838">
        <v>838</v>
      </c>
      <c r="K838" t="b">
        <f t="shared" si="13"/>
        <v>1</v>
      </c>
      <c r="L838" t="b">
        <f>COUNTBLANK(metadata!B838:D838)=COLUMNS(metadata!B838:D838)</f>
        <v>1</v>
      </c>
      <c r="M838" t="str">
        <v/>
      </c>
      <c r="O838" t="b">
        <f ca="1"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P838" t="b">
        <f>AND(IF(metadata!C838="",FALSE,TRUE),EXACT(metadata!C838,"mouse gut metagenome"))</f>
        <v>0</v>
      </c>
      <c r="Q838" t="b">
        <f>AND(IF(metadata!D838="",FALSE,TRUE),EXACT(metadata!D838,"410661"))</f>
        <v>0</v>
      </c>
    </row>
    <row r="839" spans="1:17" x14ac:dyDescent="0.2">
      <c r="A839" s="4" t="str">
        <f ca="1">IF(B839=" "," ",HYPERLINK(CONCATENATE("#metadata!",ADDRESS(INDEX($J$2:$J$1001,MATCH(ROWS($H$2:H839),$H$2:$H$1001,0),0),1)),INDEX($M$2:$M$1001,MATCH(ROWS($H$2:H839),$H$2:$H$1001,0),0)))</f>
        <v xml:space="preserve"> </v>
      </c>
      <c r="B839" s="3" t="str">
        <f ca="1">IF(OR(INDEX($I$2:$I$1001,MATCH(ROWS($H$2:H839),$H$2:$H$1001,0),1)&gt;=100000,INDEX($O$1005:$Q$1005,1,MATCH(COLUMNS($O$1006:O1006),$O$1006:$Q$1006,0))&gt;=100000), " ",IF(INDEX($O$2:$Q$1001,MATCH(ROWS($H$2:H839),$H$2:$H$1001,0),MATCH(COLUMNS($O$1006:O1006),$O$1006:$Q$1006,0)), HYPERLINK("#",""), HYPERLINK(CONCATENATE("#metadata!", ADDRESS(INDEX($J$2:$J$1001,MATCH(ROWS($H$2:H839),$H$2:$H$1001,0),0), INDEX($O$1004:$Q$1004,1,MATCH(COLUMNS($O$1006:O1006),$O$1006:$Q$1006,0)))),"Fix")))</f>
        <v xml:space="preserve"> </v>
      </c>
      <c r="C839" s="3" t="str">
        <f ca="1">IF(OR(INDEX($I$2:$I$1001,MATCH(ROWS($H$2:H839),$H$2:$H$1001,0),1)&gt;=100000,INDEX($O$1005:$Q$1005,1,MATCH(COLUMNS($O$1006:P1006),$O$1006:$Q$1006,0))&gt;=100000), " ",IF(INDEX($O$2:$Q$1001,MATCH(ROWS($H$2:H839),$H$2:$H$1001,0),MATCH(COLUMNS($O$1006:P1006),$O$1006:$Q$1006,0)), HYPERLINK("#",""), HYPERLINK(CONCATENATE("#metadata!", ADDRESS(INDEX($J$2:$J$1001,MATCH(ROWS($H$2:H839),$H$2:$H$1001,0),0), INDEX($O$1004:$Q$1004,1,MATCH(COLUMNS($O$1006:P1006),$O$1006:$Q$1006,0)))),"Fix")))</f>
        <v xml:space="preserve"> </v>
      </c>
      <c r="D839" s="3" t="str">
        <f ca="1">IF(OR(INDEX($I$2:$I$1001,MATCH(ROWS($H$2:H839),$H$2:$H$1001,0),1)&gt;=100000,INDEX($O$1005:$Q$1005,1,MATCH(COLUMNS($O$1006:Q1006),$O$1006:$Q$1006,0))&gt;=100000), " ",IF(INDEX($O$2:$Q$1001,MATCH(ROWS($H$2:H839),$H$2:$H$1001,0),MATCH(COLUMNS($O$1006:Q1006),$O$1006:$Q$1006,0)), HYPERLINK("#",""), HYPERLINK(CONCATENATE("#metadata!", ADDRESS(INDEX($J$2:$J$1001,MATCH(ROWS($H$2:H839),$H$2:$H$1001,0),0), INDEX($O$1004:$Q$1004,1,MATCH(COLUMNS($O$1006:Q1006),$O$1006:$Q$1006,0)))),"Fix")))</f>
        <v xml:space="preserve"> </v>
      </c>
      <c r="H839">
        <v>838</v>
      </c>
      <c r="I839">
        <v>100839</v>
      </c>
      <c r="J839">
        <v>839</v>
      </c>
      <c r="K839" t="b">
        <f t="shared" si="13"/>
        <v>1</v>
      </c>
      <c r="L839" t="b">
        <f>COUNTBLANK(metadata!B839:D839)=COLUMNS(metadata!B839:D839)</f>
        <v>1</v>
      </c>
      <c r="M839" t="str">
        <v/>
      </c>
      <c r="O839" t="b">
        <f ca="1"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P839" t="b">
        <f>AND(IF(metadata!C839="",FALSE,TRUE),EXACT(metadata!C839,"mouse gut metagenome"))</f>
        <v>0</v>
      </c>
      <c r="Q839" t="b">
        <f>AND(IF(metadata!D839="",FALSE,TRUE),EXACT(metadata!D839,"410661"))</f>
        <v>0</v>
      </c>
    </row>
    <row r="840" spans="1:17" x14ac:dyDescent="0.2">
      <c r="A840" s="4" t="str">
        <f ca="1">IF(B840=" "," ",HYPERLINK(CONCATENATE("#metadata!",ADDRESS(INDEX($J$2:$J$1001,MATCH(ROWS($H$2:H840),$H$2:$H$1001,0),0),1)),INDEX($M$2:$M$1001,MATCH(ROWS($H$2:H840),$H$2:$H$1001,0),0)))</f>
        <v xml:space="preserve"> </v>
      </c>
      <c r="B840" s="3" t="str">
        <f ca="1">IF(OR(INDEX($I$2:$I$1001,MATCH(ROWS($H$2:H840),$H$2:$H$1001,0),1)&gt;=100000,INDEX($O$1005:$Q$1005,1,MATCH(COLUMNS($O$1006:O1006),$O$1006:$Q$1006,0))&gt;=100000), " ",IF(INDEX($O$2:$Q$1001,MATCH(ROWS($H$2:H840),$H$2:$H$1001,0),MATCH(COLUMNS($O$1006:O1006),$O$1006:$Q$1006,0)), HYPERLINK("#",""), HYPERLINK(CONCATENATE("#metadata!", ADDRESS(INDEX($J$2:$J$1001,MATCH(ROWS($H$2:H840),$H$2:$H$1001,0),0), INDEX($O$1004:$Q$1004,1,MATCH(COLUMNS($O$1006:O1006),$O$1006:$Q$1006,0)))),"Fix")))</f>
        <v xml:space="preserve"> </v>
      </c>
      <c r="C840" s="3" t="str">
        <f ca="1">IF(OR(INDEX($I$2:$I$1001,MATCH(ROWS($H$2:H840),$H$2:$H$1001,0),1)&gt;=100000,INDEX($O$1005:$Q$1005,1,MATCH(COLUMNS($O$1006:P1006),$O$1006:$Q$1006,0))&gt;=100000), " ",IF(INDEX($O$2:$Q$1001,MATCH(ROWS($H$2:H840),$H$2:$H$1001,0),MATCH(COLUMNS($O$1006:P1006),$O$1006:$Q$1006,0)), HYPERLINK("#",""), HYPERLINK(CONCATENATE("#metadata!", ADDRESS(INDEX($J$2:$J$1001,MATCH(ROWS($H$2:H840),$H$2:$H$1001,0),0), INDEX($O$1004:$Q$1004,1,MATCH(COLUMNS($O$1006:P1006),$O$1006:$Q$1006,0)))),"Fix")))</f>
        <v xml:space="preserve"> </v>
      </c>
      <c r="D840" s="3" t="str">
        <f ca="1">IF(OR(INDEX($I$2:$I$1001,MATCH(ROWS($H$2:H840),$H$2:$H$1001,0),1)&gt;=100000,INDEX($O$1005:$Q$1005,1,MATCH(COLUMNS($O$1006:Q1006),$O$1006:$Q$1006,0))&gt;=100000), " ",IF(INDEX($O$2:$Q$1001,MATCH(ROWS($H$2:H840),$H$2:$H$1001,0),MATCH(COLUMNS($O$1006:Q1006),$O$1006:$Q$1006,0)), HYPERLINK("#",""), HYPERLINK(CONCATENATE("#metadata!", ADDRESS(INDEX($J$2:$J$1001,MATCH(ROWS($H$2:H840),$H$2:$H$1001,0),0), INDEX($O$1004:$Q$1004,1,MATCH(COLUMNS($O$1006:Q1006),$O$1006:$Q$1006,0)))),"Fix")))</f>
        <v xml:space="preserve"> </v>
      </c>
      <c r="H840">
        <v>839</v>
      </c>
      <c r="I840">
        <v>100840</v>
      </c>
      <c r="J840">
        <v>840</v>
      </c>
      <c r="K840" t="b">
        <f t="shared" si="13"/>
        <v>1</v>
      </c>
      <c r="L840" t="b">
        <f>COUNTBLANK(metadata!B840:D840)=COLUMNS(metadata!B840:D840)</f>
        <v>1</v>
      </c>
      <c r="M840" t="str">
        <v/>
      </c>
      <c r="O840" t="b">
        <f ca="1"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P840" t="b">
        <f>AND(IF(metadata!C840="",FALSE,TRUE),EXACT(metadata!C840,"mouse gut metagenome"))</f>
        <v>0</v>
      </c>
      <c r="Q840" t="b">
        <f>AND(IF(metadata!D840="",FALSE,TRUE),EXACT(metadata!D840,"410661"))</f>
        <v>0</v>
      </c>
    </row>
    <row r="841" spans="1:17" x14ac:dyDescent="0.2">
      <c r="A841" s="4" t="str">
        <f ca="1">IF(B841=" "," ",HYPERLINK(CONCATENATE("#metadata!",ADDRESS(INDEX($J$2:$J$1001,MATCH(ROWS($H$2:H841),$H$2:$H$1001,0),0),1)),INDEX($M$2:$M$1001,MATCH(ROWS($H$2:H841),$H$2:$H$1001,0),0)))</f>
        <v xml:space="preserve"> </v>
      </c>
      <c r="B841" s="3" t="str">
        <f ca="1">IF(OR(INDEX($I$2:$I$1001,MATCH(ROWS($H$2:H841),$H$2:$H$1001,0),1)&gt;=100000,INDEX($O$1005:$Q$1005,1,MATCH(COLUMNS($O$1006:O1006),$O$1006:$Q$1006,0))&gt;=100000), " ",IF(INDEX($O$2:$Q$1001,MATCH(ROWS($H$2:H841),$H$2:$H$1001,0),MATCH(COLUMNS($O$1006:O1006),$O$1006:$Q$1006,0)), HYPERLINK("#",""), HYPERLINK(CONCATENATE("#metadata!", ADDRESS(INDEX($J$2:$J$1001,MATCH(ROWS($H$2:H841),$H$2:$H$1001,0),0), INDEX($O$1004:$Q$1004,1,MATCH(COLUMNS($O$1006:O1006),$O$1006:$Q$1006,0)))),"Fix")))</f>
        <v xml:space="preserve"> </v>
      </c>
      <c r="C841" s="3" t="str">
        <f ca="1">IF(OR(INDEX($I$2:$I$1001,MATCH(ROWS($H$2:H841),$H$2:$H$1001,0),1)&gt;=100000,INDEX($O$1005:$Q$1005,1,MATCH(COLUMNS($O$1006:P1006),$O$1006:$Q$1006,0))&gt;=100000), " ",IF(INDEX($O$2:$Q$1001,MATCH(ROWS($H$2:H841),$H$2:$H$1001,0),MATCH(COLUMNS($O$1006:P1006),$O$1006:$Q$1006,0)), HYPERLINK("#",""), HYPERLINK(CONCATENATE("#metadata!", ADDRESS(INDEX($J$2:$J$1001,MATCH(ROWS($H$2:H841),$H$2:$H$1001,0),0), INDEX($O$1004:$Q$1004,1,MATCH(COLUMNS($O$1006:P1006),$O$1006:$Q$1006,0)))),"Fix")))</f>
        <v xml:space="preserve"> </v>
      </c>
      <c r="D841" s="3" t="str">
        <f ca="1">IF(OR(INDEX($I$2:$I$1001,MATCH(ROWS($H$2:H841),$H$2:$H$1001,0),1)&gt;=100000,INDEX($O$1005:$Q$1005,1,MATCH(COLUMNS($O$1006:Q1006),$O$1006:$Q$1006,0))&gt;=100000), " ",IF(INDEX($O$2:$Q$1001,MATCH(ROWS($H$2:H841),$H$2:$H$1001,0),MATCH(COLUMNS($O$1006:Q1006),$O$1006:$Q$1006,0)), HYPERLINK("#",""), HYPERLINK(CONCATENATE("#metadata!", ADDRESS(INDEX($J$2:$J$1001,MATCH(ROWS($H$2:H841),$H$2:$H$1001,0),0), INDEX($O$1004:$Q$1004,1,MATCH(COLUMNS($O$1006:Q1006),$O$1006:$Q$1006,0)))),"Fix")))</f>
        <v xml:space="preserve"> </v>
      </c>
      <c r="H841">
        <v>840</v>
      </c>
      <c r="I841">
        <v>100841</v>
      </c>
      <c r="J841">
        <v>841</v>
      </c>
      <c r="K841" t="b">
        <f t="shared" si="13"/>
        <v>1</v>
      </c>
      <c r="L841" t="b">
        <f>COUNTBLANK(metadata!B841:D841)=COLUMNS(metadata!B841:D841)</f>
        <v>1</v>
      </c>
      <c r="M841" t="str">
        <v/>
      </c>
      <c r="O841" t="b">
        <f ca="1"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P841" t="b">
        <f>AND(IF(metadata!C841="",FALSE,TRUE),EXACT(metadata!C841,"mouse gut metagenome"))</f>
        <v>0</v>
      </c>
      <c r="Q841" t="b">
        <f>AND(IF(metadata!D841="",FALSE,TRUE),EXACT(metadata!D841,"410661"))</f>
        <v>0</v>
      </c>
    </row>
    <row r="842" spans="1:17" x14ac:dyDescent="0.2">
      <c r="A842" s="4" t="str">
        <f ca="1">IF(B842=" "," ",HYPERLINK(CONCATENATE("#metadata!",ADDRESS(INDEX($J$2:$J$1001,MATCH(ROWS($H$2:H842),$H$2:$H$1001,0),0),1)),INDEX($M$2:$M$1001,MATCH(ROWS($H$2:H842),$H$2:$H$1001,0),0)))</f>
        <v xml:space="preserve"> </v>
      </c>
      <c r="B842" s="3" t="str">
        <f ca="1">IF(OR(INDEX($I$2:$I$1001,MATCH(ROWS($H$2:H842),$H$2:$H$1001,0),1)&gt;=100000,INDEX($O$1005:$Q$1005,1,MATCH(COLUMNS($O$1006:O1006),$O$1006:$Q$1006,0))&gt;=100000), " ",IF(INDEX($O$2:$Q$1001,MATCH(ROWS($H$2:H842),$H$2:$H$1001,0),MATCH(COLUMNS($O$1006:O1006),$O$1006:$Q$1006,0)), HYPERLINK("#",""), HYPERLINK(CONCATENATE("#metadata!", ADDRESS(INDEX($J$2:$J$1001,MATCH(ROWS($H$2:H842),$H$2:$H$1001,0),0), INDEX($O$1004:$Q$1004,1,MATCH(COLUMNS($O$1006:O1006),$O$1006:$Q$1006,0)))),"Fix")))</f>
        <v xml:space="preserve"> </v>
      </c>
      <c r="C842" s="3" t="str">
        <f ca="1">IF(OR(INDEX($I$2:$I$1001,MATCH(ROWS($H$2:H842),$H$2:$H$1001,0),1)&gt;=100000,INDEX($O$1005:$Q$1005,1,MATCH(COLUMNS($O$1006:P1006),$O$1006:$Q$1006,0))&gt;=100000), " ",IF(INDEX($O$2:$Q$1001,MATCH(ROWS($H$2:H842),$H$2:$H$1001,0),MATCH(COLUMNS($O$1006:P1006),$O$1006:$Q$1006,0)), HYPERLINK("#",""), HYPERLINK(CONCATENATE("#metadata!", ADDRESS(INDEX($J$2:$J$1001,MATCH(ROWS($H$2:H842),$H$2:$H$1001,0),0), INDEX($O$1004:$Q$1004,1,MATCH(COLUMNS($O$1006:P1006),$O$1006:$Q$1006,0)))),"Fix")))</f>
        <v xml:space="preserve"> </v>
      </c>
      <c r="D842" s="3" t="str">
        <f ca="1">IF(OR(INDEX($I$2:$I$1001,MATCH(ROWS($H$2:H842),$H$2:$H$1001,0),1)&gt;=100000,INDEX($O$1005:$Q$1005,1,MATCH(COLUMNS($O$1006:Q1006),$O$1006:$Q$1006,0))&gt;=100000), " ",IF(INDEX($O$2:$Q$1001,MATCH(ROWS($H$2:H842),$H$2:$H$1001,0),MATCH(COLUMNS($O$1006:Q1006),$O$1006:$Q$1006,0)), HYPERLINK("#",""), HYPERLINK(CONCATENATE("#metadata!", ADDRESS(INDEX($J$2:$J$1001,MATCH(ROWS($H$2:H842),$H$2:$H$1001,0),0), INDEX($O$1004:$Q$1004,1,MATCH(COLUMNS($O$1006:Q1006),$O$1006:$Q$1006,0)))),"Fix")))</f>
        <v xml:space="preserve"> </v>
      </c>
      <c r="H842">
        <v>841</v>
      </c>
      <c r="I842">
        <v>100842</v>
      </c>
      <c r="J842">
        <v>842</v>
      </c>
      <c r="K842" t="b">
        <f t="shared" si="13"/>
        <v>1</v>
      </c>
      <c r="L842" t="b">
        <f>COUNTBLANK(metadata!B842:D842)=COLUMNS(metadata!B842:D842)</f>
        <v>1</v>
      </c>
      <c r="M842" t="str">
        <v/>
      </c>
      <c r="O842" t="b">
        <f ca="1"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P842" t="b">
        <f>AND(IF(metadata!C842="",FALSE,TRUE),EXACT(metadata!C842,"mouse gut metagenome"))</f>
        <v>0</v>
      </c>
      <c r="Q842" t="b">
        <f>AND(IF(metadata!D842="",FALSE,TRUE),EXACT(metadata!D842,"410661"))</f>
        <v>0</v>
      </c>
    </row>
    <row r="843" spans="1:17" x14ac:dyDescent="0.2">
      <c r="A843" s="4" t="str">
        <f ca="1">IF(B843=" "," ",HYPERLINK(CONCATENATE("#metadata!",ADDRESS(INDEX($J$2:$J$1001,MATCH(ROWS($H$2:H843),$H$2:$H$1001,0),0),1)),INDEX($M$2:$M$1001,MATCH(ROWS($H$2:H843),$H$2:$H$1001,0),0)))</f>
        <v xml:space="preserve"> </v>
      </c>
      <c r="B843" s="3" t="str">
        <f ca="1">IF(OR(INDEX($I$2:$I$1001,MATCH(ROWS($H$2:H843),$H$2:$H$1001,0),1)&gt;=100000,INDEX($O$1005:$Q$1005,1,MATCH(COLUMNS($O$1006:O1006),$O$1006:$Q$1006,0))&gt;=100000), " ",IF(INDEX($O$2:$Q$1001,MATCH(ROWS($H$2:H843),$H$2:$H$1001,0),MATCH(COLUMNS($O$1006:O1006),$O$1006:$Q$1006,0)), HYPERLINK("#",""), HYPERLINK(CONCATENATE("#metadata!", ADDRESS(INDEX($J$2:$J$1001,MATCH(ROWS($H$2:H843),$H$2:$H$1001,0),0), INDEX($O$1004:$Q$1004,1,MATCH(COLUMNS($O$1006:O1006),$O$1006:$Q$1006,0)))),"Fix")))</f>
        <v xml:space="preserve"> </v>
      </c>
      <c r="C843" s="3" t="str">
        <f ca="1">IF(OR(INDEX($I$2:$I$1001,MATCH(ROWS($H$2:H843),$H$2:$H$1001,0),1)&gt;=100000,INDEX($O$1005:$Q$1005,1,MATCH(COLUMNS($O$1006:P1006),$O$1006:$Q$1006,0))&gt;=100000), " ",IF(INDEX($O$2:$Q$1001,MATCH(ROWS($H$2:H843),$H$2:$H$1001,0),MATCH(COLUMNS($O$1006:P1006),$O$1006:$Q$1006,0)), HYPERLINK("#",""), HYPERLINK(CONCATENATE("#metadata!", ADDRESS(INDEX($J$2:$J$1001,MATCH(ROWS($H$2:H843),$H$2:$H$1001,0),0), INDEX($O$1004:$Q$1004,1,MATCH(COLUMNS($O$1006:P1006),$O$1006:$Q$1006,0)))),"Fix")))</f>
        <v xml:space="preserve"> </v>
      </c>
      <c r="D843" s="3" t="str">
        <f ca="1">IF(OR(INDEX($I$2:$I$1001,MATCH(ROWS($H$2:H843),$H$2:$H$1001,0),1)&gt;=100000,INDEX($O$1005:$Q$1005,1,MATCH(COLUMNS($O$1006:Q1006),$O$1006:$Q$1006,0))&gt;=100000), " ",IF(INDEX($O$2:$Q$1001,MATCH(ROWS($H$2:H843),$H$2:$H$1001,0),MATCH(COLUMNS($O$1006:Q1006),$O$1006:$Q$1006,0)), HYPERLINK("#",""), HYPERLINK(CONCATENATE("#metadata!", ADDRESS(INDEX($J$2:$J$1001,MATCH(ROWS($H$2:H843),$H$2:$H$1001,0),0), INDEX($O$1004:$Q$1004,1,MATCH(COLUMNS($O$1006:Q1006),$O$1006:$Q$1006,0)))),"Fix")))</f>
        <v xml:space="preserve"> </v>
      </c>
      <c r="H843">
        <v>842</v>
      </c>
      <c r="I843">
        <v>100843</v>
      </c>
      <c r="J843">
        <v>843</v>
      </c>
      <c r="K843" t="b">
        <f t="shared" si="13"/>
        <v>1</v>
      </c>
      <c r="L843" t="b">
        <f>COUNTBLANK(metadata!B843:D843)=COLUMNS(metadata!B843:D843)</f>
        <v>1</v>
      </c>
      <c r="M843" t="str">
        <v/>
      </c>
      <c r="O843" t="b">
        <f ca="1"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P843" t="b">
        <f>AND(IF(metadata!C843="",FALSE,TRUE),EXACT(metadata!C843,"mouse gut metagenome"))</f>
        <v>0</v>
      </c>
      <c r="Q843" t="b">
        <f>AND(IF(metadata!D843="",FALSE,TRUE),EXACT(metadata!D843,"410661"))</f>
        <v>0</v>
      </c>
    </row>
    <row r="844" spans="1:17" x14ac:dyDescent="0.2">
      <c r="A844" s="4" t="str">
        <f ca="1">IF(B844=" "," ",HYPERLINK(CONCATENATE("#metadata!",ADDRESS(INDEX($J$2:$J$1001,MATCH(ROWS($H$2:H844),$H$2:$H$1001,0),0),1)),INDEX($M$2:$M$1001,MATCH(ROWS($H$2:H844),$H$2:$H$1001,0),0)))</f>
        <v xml:space="preserve"> </v>
      </c>
      <c r="B844" s="3" t="str">
        <f ca="1">IF(OR(INDEX($I$2:$I$1001,MATCH(ROWS($H$2:H844),$H$2:$H$1001,0),1)&gt;=100000,INDEX($O$1005:$Q$1005,1,MATCH(COLUMNS($O$1006:O1006),$O$1006:$Q$1006,0))&gt;=100000), " ",IF(INDEX($O$2:$Q$1001,MATCH(ROWS($H$2:H844),$H$2:$H$1001,0),MATCH(COLUMNS($O$1006:O1006),$O$1006:$Q$1006,0)), HYPERLINK("#",""), HYPERLINK(CONCATENATE("#metadata!", ADDRESS(INDEX($J$2:$J$1001,MATCH(ROWS($H$2:H844),$H$2:$H$1001,0),0), INDEX($O$1004:$Q$1004,1,MATCH(COLUMNS($O$1006:O1006),$O$1006:$Q$1006,0)))),"Fix")))</f>
        <v xml:space="preserve"> </v>
      </c>
      <c r="C844" s="3" t="str">
        <f ca="1">IF(OR(INDEX($I$2:$I$1001,MATCH(ROWS($H$2:H844),$H$2:$H$1001,0),1)&gt;=100000,INDEX($O$1005:$Q$1005,1,MATCH(COLUMNS($O$1006:P1006),$O$1006:$Q$1006,0))&gt;=100000), " ",IF(INDEX($O$2:$Q$1001,MATCH(ROWS($H$2:H844),$H$2:$H$1001,0),MATCH(COLUMNS($O$1006:P1006),$O$1006:$Q$1006,0)), HYPERLINK("#",""), HYPERLINK(CONCATENATE("#metadata!", ADDRESS(INDEX($J$2:$J$1001,MATCH(ROWS($H$2:H844),$H$2:$H$1001,0),0), INDEX($O$1004:$Q$1004,1,MATCH(COLUMNS($O$1006:P1006),$O$1006:$Q$1006,0)))),"Fix")))</f>
        <v xml:space="preserve"> </v>
      </c>
      <c r="D844" s="3" t="str">
        <f ca="1">IF(OR(INDEX($I$2:$I$1001,MATCH(ROWS($H$2:H844),$H$2:$H$1001,0),1)&gt;=100000,INDEX($O$1005:$Q$1005,1,MATCH(COLUMNS($O$1006:Q1006),$O$1006:$Q$1006,0))&gt;=100000), " ",IF(INDEX($O$2:$Q$1001,MATCH(ROWS($H$2:H844),$H$2:$H$1001,0),MATCH(COLUMNS($O$1006:Q1006),$O$1006:$Q$1006,0)), HYPERLINK("#",""), HYPERLINK(CONCATENATE("#metadata!", ADDRESS(INDEX($J$2:$J$1001,MATCH(ROWS($H$2:H844),$H$2:$H$1001,0),0), INDEX($O$1004:$Q$1004,1,MATCH(COLUMNS($O$1006:Q1006),$O$1006:$Q$1006,0)))),"Fix")))</f>
        <v xml:space="preserve"> </v>
      </c>
      <c r="H844">
        <v>843</v>
      </c>
      <c r="I844">
        <v>100844</v>
      </c>
      <c r="J844">
        <v>844</v>
      </c>
      <c r="K844" t="b">
        <f t="shared" si="13"/>
        <v>1</v>
      </c>
      <c r="L844" t="b">
        <f>COUNTBLANK(metadata!B844:D844)=COLUMNS(metadata!B844:D844)</f>
        <v>1</v>
      </c>
      <c r="M844" t="str">
        <v/>
      </c>
      <c r="O844" t="b">
        <f ca="1"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P844" t="b">
        <f>AND(IF(metadata!C844="",FALSE,TRUE),EXACT(metadata!C844,"mouse gut metagenome"))</f>
        <v>0</v>
      </c>
      <c r="Q844" t="b">
        <f>AND(IF(metadata!D844="",FALSE,TRUE),EXACT(metadata!D844,"410661"))</f>
        <v>0</v>
      </c>
    </row>
    <row r="845" spans="1:17" x14ac:dyDescent="0.2">
      <c r="A845" s="4" t="str">
        <f ca="1">IF(B845=" "," ",HYPERLINK(CONCATENATE("#metadata!",ADDRESS(INDEX($J$2:$J$1001,MATCH(ROWS($H$2:H845),$H$2:$H$1001,0),0),1)),INDEX($M$2:$M$1001,MATCH(ROWS($H$2:H845),$H$2:$H$1001,0),0)))</f>
        <v xml:space="preserve"> </v>
      </c>
      <c r="B845" s="3" t="str">
        <f ca="1">IF(OR(INDEX($I$2:$I$1001,MATCH(ROWS($H$2:H845),$H$2:$H$1001,0),1)&gt;=100000,INDEX($O$1005:$Q$1005,1,MATCH(COLUMNS($O$1006:O1006),$O$1006:$Q$1006,0))&gt;=100000), " ",IF(INDEX($O$2:$Q$1001,MATCH(ROWS($H$2:H845),$H$2:$H$1001,0),MATCH(COLUMNS($O$1006:O1006),$O$1006:$Q$1006,0)), HYPERLINK("#",""), HYPERLINK(CONCATENATE("#metadata!", ADDRESS(INDEX($J$2:$J$1001,MATCH(ROWS($H$2:H845),$H$2:$H$1001,0),0), INDEX($O$1004:$Q$1004,1,MATCH(COLUMNS($O$1006:O1006),$O$1006:$Q$1006,0)))),"Fix")))</f>
        <v xml:space="preserve"> </v>
      </c>
      <c r="C845" s="3" t="str">
        <f ca="1">IF(OR(INDEX($I$2:$I$1001,MATCH(ROWS($H$2:H845),$H$2:$H$1001,0),1)&gt;=100000,INDEX($O$1005:$Q$1005,1,MATCH(COLUMNS($O$1006:P1006),$O$1006:$Q$1006,0))&gt;=100000), " ",IF(INDEX($O$2:$Q$1001,MATCH(ROWS($H$2:H845),$H$2:$H$1001,0),MATCH(COLUMNS($O$1006:P1006),$O$1006:$Q$1006,0)), HYPERLINK("#",""), HYPERLINK(CONCATENATE("#metadata!", ADDRESS(INDEX($J$2:$J$1001,MATCH(ROWS($H$2:H845),$H$2:$H$1001,0),0), INDEX($O$1004:$Q$1004,1,MATCH(COLUMNS($O$1006:P1006),$O$1006:$Q$1006,0)))),"Fix")))</f>
        <v xml:space="preserve"> </v>
      </c>
      <c r="D845" s="3" t="str">
        <f ca="1">IF(OR(INDEX($I$2:$I$1001,MATCH(ROWS($H$2:H845),$H$2:$H$1001,0),1)&gt;=100000,INDEX($O$1005:$Q$1005,1,MATCH(COLUMNS($O$1006:Q1006),$O$1006:$Q$1006,0))&gt;=100000), " ",IF(INDEX($O$2:$Q$1001,MATCH(ROWS($H$2:H845),$H$2:$H$1001,0),MATCH(COLUMNS($O$1006:Q1006),$O$1006:$Q$1006,0)), HYPERLINK("#",""), HYPERLINK(CONCATENATE("#metadata!", ADDRESS(INDEX($J$2:$J$1001,MATCH(ROWS($H$2:H845),$H$2:$H$1001,0),0), INDEX($O$1004:$Q$1004,1,MATCH(COLUMNS($O$1006:Q1006),$O$1006:$Q$1006,0)))),"Fix")))</f>
        <v xml:space="preserve"> </v>
      </c>
      <c r="H845">
        <v>844</v>
      </c>
      <c r="I845">
        <v>100845</v>
      </c>
      <c r="J845">
        <v>845</v>
      </c>
      <c r="K845" t="b">
        <f t="shared" si="13"/>
        <v>1</v>
      </c>
      <c r="L845" t="b">
        <f>COUNTBLANK(metadata!B845:D845)=COLUMNS(metadata!B845:D845)</f>
        <v>1</v>
      </c>
      <c r="M845" t="str">
        <v/>
      </c>
      <c r="O845" t="b">
        <f ca="1"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P845" t="b">
        <f>AND(IF(metadata!C845="",FALSE,TRUE),EXACT(metadata!C845,"mouse gut metagenome"))</f>
        <v>0</v>
      </c>
      <c r="Q845" t="b">
        <f>AND(IF(metadata!D845="",FALSE,TRUE),EXACT(metadata!D845,"410661"))</f>
        <v>0</v>
      </c>
    </row>
    <row r="846" spans="1:17" x14ac:dyDescent="0.2">
      <c r="A846" s="4" t="str">
        <f ca="1">IF(B846=" "," ",HYPERLINK(CONCATENATE("#metadata!",ADDRESS(INDEX($J$2:$J$1001,MATCH(ROWS($H$2:H846),$H$2:$H$1001,0),0),1)),INDEX($M$2:$M$1001,MATCH(ROWS($H$2:H846),$H$2:$H$1001,0),0)))</f>
        <v xml:space="preserve"> </v>
      </c>
      <c r="B846" s="3" t="str">
        <f ca="1">IF(OR(INDEX($I$2:$I$1001,MATCH(ROWS($H$2:H846),$H$2:$H$1001,0),1)&gt;=100000,INDEX($O$1005:$Q$1005,1,MATCH(COLUMNS($O$1006:O1006),$O$1006:$Q$1006,0))&gt;=100000), " ",IF(INDEX($O$2:$Q$1001,MATCH(ROWS($H$2:H846),$H$2:$H$1001,0),MATCH(COLUMNS($O$1006:O1006),$O$1006:$Q$1006,0)), HYPERLINK("#",""), HYPERLINK(CONCATENATE("#metadata!", ADDRESS(INDEX($J$2:$J$1001,MATCH(ROWS($H$2:H846),$H$2:$H$1001,0),0), INDEX($O$1004:$Q$1004,1,MATCH(COLUMNS($O$1006:O1006),$O$1006:$Q$1006,0)))),"Fix")))</f>
        <v xml:space="preserve"> </v>
      </c>
      <c r="C846" s="3" t="str">
        <f ca="1">IF(OR(INDEX($I$2:$I$1001,MATCH(ROWS($H$2:H846),$H$2:$H$1001,0),1)&gt;=100000,INDEX($O$1005:$Q$1005,1,MATCH(COLUMNS($O$1006:P1006),$O$1006:$Q$1006,0))&gt;=100000), " ",IF(INDEX($O$2:$Q$1001,MATCH(ROWS($H$2:H846),$H$2:$H$1001,0),MATCH(COLUMNS($O$1006:P1006),$O$1006:$Q$1006,0)), HYPERLINK("#",""), HYPERLINK(CONCATENATE("#metadata!", ADDRESS(INDEX($J$2:$J$1001,MATCH(ROWS($H$2:H846),$H$2:$H$1001,0),0), INDEX($O$1004:$Q$1004,1,MATCH(COLUMNS($O$1006:P1006),$O$1006:$Q$1006,0)))),"Fix")))</f>
        <v xml:space="preserve"> </v>
      </c>
      <c r="D846" s="3" t="str">
        <f ca="1">IF(OR(INDEX($I$2:$I$1001,MATCH(ROWS($H$2:H846),$H$2:$H$1001,0),1)&gt;=100000,INDEX($O$1005:$Q$1005,1,MATCH(COLUMNS($O$1006:Q1006),$O$1006:$Q$1006,0))&gt;=100000), " ",IF(INDEX($O$2:$Q$1001,MATCH(ROWS($H$2:H846),$H$2:$H$1001,0),MATCH(COLUMNS($O$1006:Q1006),$O$1006:$Q$1006,0)), HYPERLINK("#",""), HYPERLINK(CONCATENATE("#metadata!", ADDRESS(INDEX($J$2:$J$1001,MATCH(ROWS($H$2:H846),$H$2:$H$1001,0),0), INDEX($O$1004:$Q$1004,1,MATCH(COLUMNS($O$1006:Q1006),$O$1006:$Q$1006,0)))),"Fix")))</f>
        <v xml:space="preserve"> </v>
      </c>
      <c r="H846">
        <v>845</v>
      </c>
      <c r="I846">
        <v>100846</v>
      </c>
      <c r="J846">
        <v>846</v>
      </c>
      <c r="K846" t="b">
        <f t="shared" si="13"/>
        <v>1</v>
      </c>
      <c r="L846" t="b">
        <f>COUNTBLANK(metadata!B846:D846)=COLUMNS(metadata!B846:D846)</f>
        <v>1</v>
      </c>
      <c r="M846" t="str">
        <v/>
      </c>
      <c r="O846" t="b">
        <f ca="1"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P846" t="b">
        <f>AND(IF(metadata!C846="",FALSE,TRUE),EXACT(metadata!C846,"mouse gut metagenome"))</f>
        <v>0</v>
      </c>
      <c r="Q846" t="b">
        <f>AND(IF(metadata!D846="",FALSE,TRUE),EXACT(metadata!D846,"410661"))</f>
        <v>0</v>
      </c>
    </row>
    <row r="847" spans="1:17" x14ac:dyDescent="0.2">
      <c r="A847" s="4" t="str">
        <f ca="1">IF(B847=" "," ",HYPERLINK(CONCATENATE("#metadata!",ADDRESS(INDEX($J$2:$J$1001,MATCH(ROWS($H$2:H847),$H$2:$H$1001,0),0),1)),INDEX($M$2:$M$1001,MATCH(ROWS($H$2:H847),$H$2:$H$1001,0),0)))</f>
        <v xml:space="preserve"> </v>
      </c>
      <c r="B847" s="3" t="str">
        <f ca="1">IF(OR(INDEX($I$2:$I$1001,MATCH(ROWS($H$2:H847),$H$2:$H$1001,0),1)&gt;=100000,INDEX($O$1005:$Q$1005,1,MATCH(COLUMNS($O$1006:O1006),$O$1006:$Q$1006,0))&gt;=100000), " ",IF(INDEX($O$2:$Q$1001,MATCH(ROWS($H$2:H847),$H$2:$H$1001,0),MATCH(COLUMNS($O$1006:O1006),$O$1006:$Q$1006,0)), HYPERLINK("#",""), HYPERLINK(CONCATENATE("#metadata!", ADDRESS(INDEX($J$2:$J$1001,MATCH(ROWS($H$2:H847),$H$2:$H$1001,0),0), INDEX($O$1004:$Q$1004,1,MATCH(COLUMNS($O$1006:O1006),$O$1006:$Q$1006,0)))),"Fix")))</f>
        <v xml:space="preserve"> </v>
      </c>
      <c r="C847" s="3" t="str">
        <f ca="1">IF(OR(INDEX($I$2:$I$1001,MATCH(ROWS($H$2:H847),$H$2:$H$1001,0),1)&gt;=100000,INDEX($O$1005:$Q$1005,1,MATCH(COLUMNS($O$1006:P1006),$O$1006:$Q$1006,0))&gt;=100000), " ",IF(INDEX($O$2:$Q$1001,MATCH(ROWS($H$2:H847),$H$2:$H$1001,0),MATCH(COLUMNS($O$1006:P1006),$O$1006:$Q$1006,0)), HYPERLINK("#",""), HYPERLINK(CONCATENATE("#metadata!", ADDRESS(INDEX($J$2:$J$1001,MATCH(ROWS($H$2:H847),$H$2:$H$1001,0),0), INDEX($O$1004:$Q$1004,1,MATCH(COLUMNS($O$1006:P1006),$O$1006:$Q$1006,0)))),"Fix")))</f>
        <v xml:space="preserve"> </v>
      </c>
      <c r="D847" s="3" t="str">
        <f ca="1">IF(OR(INDEX($I$2:$I$1001,MATCH(ROWS($H$2:H847),$H$2:$H$1001,0),1)&gt;=100000,INDEX($O$1005:$Q$1005,1,MATCH(COLUMNS($O$1006:Q1006),$O$1006:$Q$1006,0))&gt;=100000), " ",IF(INDEX($O$2:$Q$1001,MATCH(ROWS($H$2:H847),$H$2:$H$1001,0),MATCH(COLUMNS($O$1006:Q1006),$O$1006:$Q$1006,0)), HYPERLINK("#",""), HYPERLINK(CONCATENATE("#metadata!", ADDRESS(INDEX($J$2:$J$1001,MATCH(ROWS($H$2:H847),$H$2:$H$1001,0),0), INDEX($O$1004:$Q$1004,1,MATCH(COLUMNS($O$1006:Q1006),$O$1006:$Q$1006,0)))),"Fix")))</f>
        <v xml:space="preserve"> </v>
      </c>
      <c r="H847">
        <v>846</v>
      </c>
      <c r="I847">
        <v>100847</v>
      </c>
      <c r="J847">
        <v>847</v>
      </c>
      <c r="K847" t="b">
        <f t="shared" si="13"/>
        <v>1</v>
      </c>
      <c r="L847" t="b">
        <f>COUNTBLANK(metadata!B847:D847)=COLUMNS(metadata!B847:D847)</f>
        <v>1</v>
      </c>
      <c r="M847" t="str">
        <v/>
      </c>
      <c r="O847" t="b">
        <f ca="1"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P847" t="b">
        <f>AND(IF(metadata!C847="",FALSE,TRUE),EXACT(metadata!C847,"mouse gut metagenome"))</f>
        <v>0</v>
      </c>
      <c r="Q847" t="b">
        <f>AND(IF(metadata!D847="",FALSE,TRUE),EXACT(metadata!D847,"410661"))</f>
        <v>0</v>
      </c>
    </row>
    <row r="848" spans="1:17" x14ac:dyDescent="0.2">
      <c r="A848" s="4" t="str">
        <f ca="1">IF(B848=" "," ",HYPERLINK(CONCATENATE("#metadata!",ADDRESS(INDEX($J$2:$J$1001,MATCH(ROWS($H$2:H848),$H$2:$H$1001,0),0),1)),INDEX($M$2:$M$1001,MATCH(ROWS($H$2:H848),$H$2:$H$1001,0),0)))</f>
        <v xml:space="preserve"> </v>
      </c>
      <c r="B848" s="3" t="str">
        <f ca="1">IF(OR(INDEX($I$2:$I$1001,MATCH(ROWS($H$2:H848),$H$2:$H$1001,0),1)&gt;=100000,INDEX($O$1005:$Q$1005,1,MATCH(COLUMNS($O$1006:O1006),$O$1006:$Q$1006,0))&gt;=100000), " ",IF(INDEX($O$2:$Q$1001,MATCH(ROWS($H$2:H848),$H$2:$H$1001,0),MATCH(COLUMNS($O$1006:O1006),$O$1006:$Q$1006,0)), HYPERLINK("#",""), HYPERLINK(CONCATENATE("#metadata!", ADDRESS(INDEX($J$2:$J$1001,MATCH(ROWS($H$2:H848),$H$2:$H$1001,0),0), INDEX($O$1004:$Q$1004,1,MATCH(COLUMNS($O$1006:O1006),$O$1006:$Q$1006,0)))),"Fix")))</f>
        <v xml:space="preserve"> </v>
      </c>
      <c r="C848" s="3" t="str">
        <f ca="1">IF(OR(INDEX($I$2:$I$1001,MATCH(ROWS($H$2:H848),$H$2:$H$1001,0),1)&gt;=100000,INDEX($O$1005:$Q$1005,1,MATCH(COLUMNS($O$1006:P1006),$O$1006:$Q$1006,0))&gt;=100000), " ",IF(INDEX($O$2:$Q$1001,MATCH(ROWS($H$2:H848),$H$2:$H$1001,0),MATCH(COLUMNS($O$1006:P1006),$O$1006:$Q$1006,0)), HYPERLINK("#",""), HYPERLINK(CONCATENATE("#metadata!", ADDRESS(INDEX($J$2:$J$1001,MATCH(ROWS($H$2:H848),$H$2:$H$1001,0),0), INDEX($O$1004:$Q$1004,1,MATCH(COLUMNS($O$1006:P1006),$O$1006:$Q$1006,0)))),"Fix")))</f>
        <v xml:space="preserve"> </v>
      </c>
      <c r="D848" s="3" t="str">
        <f ca="1">IF(OR(INDEX($I$2:$I$1001,MATCH(ROWS($H$2:H848),$H$2:$H$1001,0),1)&gt;=100000,INDEX($O$1005:$Q$1005,1,MATCH(COLUMNS($O$1006:Q1006),$O$1006:$Q$1006,0))&gt;=100000), " ",IF(INDEX($O$2:$Q$1001,MATCH(ROWS($H$2:H848),$H$2:$H$1001,0),MATCH(COLUMNS($O$1006:Q1006),$O$1006:$Q$1006,0)), HYPERLINK("#",""), HYPERLINK(CONCATENATE("#metadata!", ADDRESS(INDEX($J$2:$J$1001,MATCH(ROWS($H$2:H848),$H$2:$H$1001,0),0), INDEX($O$1004:$Q$1004,1,MATCH(COLUMNS($O$1006:Q1006),$O$1006:$Q$1006,0)))),"Fix")))</f>
        <v xml:space="preserve"> </v>
      </c>
      <c r="H848">
        <v>847</v>
      </c>
      <c r="I848">
        <v>100848</v>
      </c>
      <c r="J848">
        <v>848</v>
      </c>
      <c r="K848" t="b">
        <f t="shared" si="13"/>
        <v>1</v>
      </c>
      <c r="L848" t="b">
        <f>COUNTBLANK(metadata!B848:D848)=COLUMNS(metadata!B848:D848)</f>
        <v>1</v>
      </c>
      <c r="M848" t="str">
        <v/>
      </c>
      <c r="O848" t="b">
        <f ca="1"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P848" t="b">
        <f>AND(IF(metadata!C848="",FALSE,TRUE),EXACT(metadata!C848,"mouse gut metagenome"))</f>
        <v>0</v>
      </c>
      <c r="Q848" t="b">
        <f>AND(IF(metadata!D848="",FALSE,TRUE),EXACT(metadata!D848,"410661"))</f>
        <v>0</v>
      </c>
    </row>
    <row r="849" spans="1:17" x14ac:dyDescent="0.2">
      <c r="A849" s="4" t="str">
        <f ca="1">IF(B849=" "," ",HYPERLINK(CONCATENATE("#metadata!",ADDRESS(INDEX($J$2:$J$1001,MATCH(ROWS($H$2:H849),$H$2:$H$1001,0),0),1)),INDEX($M$2:$M$1001,MATCH(ROWS($H$2:H849),$H$2:$H$1001,0),0)))</f>
        <v xml:space="preserve"> </v>
      </c>
      <c r="B849" s="3" t="str">
        <f ca="1">IF(OR(INDEX($I$2:$I$1001,MATCH(ROWS($H$2:H849),$H$2:$H$1001,0),1)&gt;=100000,INDEX($O$1005:$Q$1005,1,MATCH(COLUMNS($O$1006:O1006),$O$1006:$Q$1006,0))&gt;=100000), " ",IF(INDEX($O$2:$Q$1001,MATCH(ROWS($H$2:H849),$H$2:$H$1001,0),MATCH(COLUMNS($O$1006:O1006),$O$1006:$Q$1006,0)), HYPERLINK("#",""), HYPERLINK(CONCATENATE("#metadata!", ADDRESS(INDEX($J$2:$J$1001,MATCH(ROWS($H$2:H849),$H$2:$H$1001,0),0), INDEX($O$1004:$Q$1004,1,MATCH(COLUMNS($O$1006:O1006),$O$1006:$Q$1006,0)))),"Fix")))</f>
        <v xml:space="preserve"> </v>
      </c>
      <c r="C849" s="3" t="str">
        <f ca="1">IF(OR(INDEX($I$2:$I$1001,MATCH(ROWS($H$2:H849),$H$2:$H$1001,0),1)&gt;=100000,INDEX($O$1005:$Q$1005,1,MATCH(COLUMNS($O$1006:P1006),$O$1006:$Q$1006,0))&gt;=100000), " ",IF(INDEX($O$2:$Q$1001,MATCH(ROWS($H$2:H849),$H$2:$H$1001,0),MATCH(COLUMNS($O$1006:P1006),$O$1006:$Q$1006,0)), HYPERLINK("#",""), HYPERLINK(CONCATENATE("#metadata!", ADDRESS(INDEX($J$2:$J$1001,MATCH(ROWS($H$2:H849),$H$2:$H$1001,0),0), INDEX($O$1004:$Q$1004,1,MATCH(COLUMNS($O$1006:P1006),$O$1006:$Q$1006,0)))),"Fix")))</f>
        <v xml:space="preserve"> </v>
      </c>
      <c r="D849" s="3" t="str">
        <f ca="1">IF(OR(INDEX($I$2:$I$1001,MATCH(ROWS($H$2:H849),$H$2:$H$1001,0),1)&gt;=100000,INDEX($O$1005:$Q$1005,1,MATCH(COLUMNS($O$1006:Q1006),$O$1006:$Q$1006,0))&gt;=100000), " ",IF(INDEX($O$2:$Q$1001,MATCH(ROWS($H$2:H849),$H$2:$H$1001,0),MATCH(COLUMNS($O$1006:Q1006),$O$1006:$Q$1006,0)), HYPERLINK("#",""), HYPERLINK(CONCATENATE("#metadata!", ADDRESS(INDEX($J$2:$J$1001,MATCH(ROWS($H$2:H849),$H$2:$H$1001,0),0), INDEX($O$1004:$Q$1004,1,MATCH(COLUMNS($O$1006:Q1006),$O$1006:$Q$1006,0)))),"Fix")))</f>
        <v xml:space="preserve"> </v>
      </c>
      <c r="H849">
        <v>848</v>
      </c>
      <c r="I849">
        <v>100849</v>
      </c>
      <c r="J849">
        <v>849</v>
      </c>
      <c r="K849" t="b">
        <f t="shared" si="13"/>
        <v>1</v>
      </c>
      <c r="L849" t="b">
        <f>COUNTBLANK(metadata!B849:D849)=COLUMNS(metadata!B849:D849)</f>
        <v>1</v>
      </c>
      <c r="M849" t="str">
        <v/>
      </c>
      <c r="O849" t="b">
        <f ca="1"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P849" t="b">
        <f>AND(IF(metadata!C849="",FALSE,TRUE),EXACT(metadata!C849,"mouse gut metagenome"))</f>
        <v>0</v>
      </c>
      <c r="Q849" t="b">
        <f>AND(IF(metadata!D849="",FALSE,TRUE),EXACT(metadata!D849,"410661"))</f>
        <v>0</v>
      </c>
    </row>
    <row r="850" spans="1:17" x14ac:dyDescent="0.2">
      <c r="A850" s="4" t="str">
        <f ca="1">IF(B850=" "," ",HYPERLINK(CONCATENATE("#metadata!",ADDRESS(INDEX($J$2:$J$1001,MATCH(ROWS($H$2:H850),$H$2:$H$1001,0),0),1)),INDEX($M$2:$M$1001,MATCH(ROWS($H$2:H850),$H$2:$H$1001,0),0)))</f>
        <v xml:space="preserve"> </v>
      </c>
      <c r="B850" s="3" t="str">
        <f ca="1">IF(OR(INDEX($I$2:$I$1001,MATCH(ROWS($H$2:H850),$H$2:$H$1001,0),1)&gt;=100000,INDEX($O$1005:$Q$1005,1,MATCH(COLUMNS($O$1006:O1006),$O$1006:$Q$1006,0))&gt;=100000), " ",IF(INDEX($O$2:$Q$1001,MATCH(ROWS($H$2:H850),$H$2:$H$1001,0),MATCH(COLUMNS($O$1006:O1006),$O$1006:$Q$1006,0)), HYPERLINK("#",""), HYPERLINK(CONCATENATE("#metadata!", ADDRESS(INDEX($J$2:$J$1001,MATCH(ROWS($H$2:H850),$H$2:$H$1001,0),0), INDEX($O$1004:$Q$1004,1,MATCH(COLUMNS($O$1006:O1006),$O$1006:$Q$1006,0)))),"Fix")))</f>
        <v xml:space="preserve"> </v>
      </c>
      <c r="C850" s="3" t="str">
        <f ca="1">IF(OR(INDEX($I$2:$I$1001,MATCH(ROWS($H$2:H850),$H$2:$H$1001,0),1)&gt;=100000,INDEX($O$1005:$Q$1005,1,MATCH(COLUMNS($O$1006:P1006),$O$1006:$Q$1006,0))&gt;=100000), " ",IF(INDEX($O$2:$Q$1001,MATCH(ROWS($H$2:H850),$H$2:$H$1001,0),MATCH(COLUMNS($O$1006:P1006),$O$1006:$Q$1006,0)), HYPERLINK("#",""), HYPERLINK(CONCATENATE("#metadata!", ADDRESS(INDEX($J$2:$J$1001,MATCH(ROWS($H$2:H850),$H$2:$H$1001,0),0), INDEX($O$1004:$Q$1004,1,MATCH(COLUMNS($O$1006:P1006),$O$1006:$Q$1006,0)))),"Fix")))</f>
        <v xml:space="preserve"> </v>
      </c>
      <c r="D850" s="3" t="str">
        <f ca="1">IF(OR(INDEX($I$2:$I$1001,MATCH(ROWS($H$2:H850),$H$2:$H$1001,0),1)&gt;=100000,INDEX($O$1005:$Q$1005,1,MATCH(COLUMNS($O$1006:Q1006),$O$1006:$Q$1006,0))&gt;=100000), " ",IF(INDEX($O$2:$Q$1001,MATCH(ROWS($H$2:H850),$H$2:$H$1001,0),MATCH(COLUMNS($O$1006:Q1006),$O$1006:$Q$1006,0)), HYPERLINK("#",""), HYPERLINK(CONCATENATE("#metadata!", ADDRESS(INDEX($J$2:$J$1001,MATCH(ROWS($H$2:H850),$H$2:$H$1001,0),0), INDEX($O$1004:$Q$1004,1,MATCH(COLUMNS($O$1006:Q1006),$O$1006:$Q$1006,0)))),"Fix")))</f>
        <v xml:space="preserve"> </v>
      </c>
      <c r="H850">
        <v>849</v>
      </c>
      <c r="I850">
        <v>100850</v>
      </c>
      <c r="J850">
        <v>850</v>
      </c>
      <c r="K850" t="b">
        <f t="shared" si="13"/>
        <v>1</v>
      </c>
      <c r="L850" t="b">
        <f>COUNTBLANK(metadata!B850:D850)=COLUMNS(metadata!B850:D850)</f>
        <v>1</v>
      </c>
      <c r="M850" t="str">
        <v/>
      </c>
      <c r="O850" t="b">
        <f ca="1"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P850" t="b">
        <f>AND(IF(metadata!C850="",FALSE,TRUE),EXACT(metadata!C850,"mouse gut metagenome"))</f>
        <v>0</v>
      </c>
      <c r="Q850" t="b">
        <f>AND(IF(metadata!D850="",FALSE,TRUE),EXACT(metadata!D850,"410661"))</f>
        <v>0</v>
      </c>
    </row>
    <row r="851" spans="1:17" x14ac:dyDescent="0.2">
      <c r="A851" s="4" t="str">
        <f ca="1">IF(B851=" "," ",HYPERLINK(CONCATENATE("#metadata!",ADDRESS(INDEX($J$2:$J$1001,MATCH(ROWS($H$2:H851),$H$2:$H$1001,0),0),1)),INDEX($M$2:$M$1001,MATCH(ROWS($H$2:H851),$H$2:$H$1001,0),0)))</f>
        <v xml:space="preserve"> </v>
      </c>
      <c r="B851" s="3" t="str">
        <f ca="1">IF(OR(INDEX($I$2:$I$1001,MATCH(ROWS($H$2:H851),$H$2:$H$1001,0),1)&gt;=100000,INDEX($O$1005:$Q$1005,1,MATCH(COLUMNS($O$1006:O1006),$O$1006:$Q$1006,0))&gt;=100000), " ",IF(INDEX($O$2:$Q$1001,MATCH(ROWS($H$2:H851),$H$2:$H$1001,0),MATCH(COLUMNS($O$1006:O1006),$O$1006:$Q$1006,0)), HYPERLINK("#",""), HYPERLINK(CONCATENATE("#metadata!", ADDRESS(INDEX($J$2:$J$1001,MATCH(ROWS($H$2:H851),$H$2:$H$1001,0),0), INDEX($O$1004:$Q$1004,1,MATCH(COLUMNS($O$1006:O1006),$O$1006:$Q$1006,0)))),"Fix")))</f>
        <v xml:space="preserve"> </v>
      </c>
      <c r="C851" s="3" t="str">
        <f ca="1">IF(OR(INDEX($I$2:$I$1001,MATCH(ROWS($H$2:H851),$H$2:$H$1001,0),1)&gt;=100000,INDEX($O$1005:$Q$1005,1,MATCH(COLUMNS($O$1006:P1006),$O$1006:$Q$1006,0))&gt;=100000), " ",IF(INDEX($O$2:$Q$1001,MATCH(ROWS($H$2:H851),$H$2:$H$1001,0),MATCH(COLUMNS($O$1006:P1006),$O$1006:$Q$1006,0)), HYPERLINK("#",""), HYPERLINK(CONCATENATE("#metadata!", ADDRESS(INDEX($J$2:$J$1001,MATCH(ROWS($H$2:H851),$H$2:$H$1001,0),0), INDEX($O$1004:$Q$1004,1,MATCH(COLUMNS($O$1006:P1006),$O$1006:$Q$1006,0)))),"Fix")))</f>
        <v xml:space="preserve"> </v>
      </c>
      <c r="D851" s="3" t="str">
        <f ca="1">IF(OR(INDEX($I$2:$I$1001,MATCH(ROWS($H$2:H851),$H$2:$H$1001,0),1)&gt;=100000,INDEX($O$1005:$Q$1005,1,MATCH(COLUMNS($O$1006:Q1006),$O$1006:$Q$1006,0))&gt;=100000), " ",IF(INDEX($O$2:$Q$1001,MATCH(ROWS($H$2:H851),$H$2:$H$1001,0),MATCH(COLUMNS($O$1006:Q1006),$O$1006:$Q$1006,0)), HYPERLINK("#",""), HYPERLINK(CONCATENATE("#metadata!", ADDRESS(INDEX($J$2:$J$1001,MATCH(ROWS($H$2:H851),$H$2:$H$1001,0),0), INDEX($O$1004:$Q$1004,1,MATCH(COLUMNS($O$1006:Q1006),$O$1006:$Q$1006,0)))),"Fix")))</f>
        <v xml:space="preserve"> </v>
      </c>
      <c r="H851">
        <v>850</v>
      </c>
      <c r="I851">
        <v>100851</v>
      </c>
      <c r="J851">
        <v>851</v>
      </c>
      <c r="K851" t="b">
        <f t="shared" si="13"/>
        <v>1</v>
      </c>
      <c r="L851" t="b">
        <f>COUNTBLANK(metadata!B851:D851)=COLUMNS(metadata!B851:D851)</f>
        <v>1</v>
      </c>
      <c r="M851" t="str">
        <v/>
      </c>
      <c r="O851" t="b">
        <f ca="1"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P851" t="b">
        <f>AND(IF(metadata!C851="",FALSE,TRUE),EXACT(metadata!C851,"mouse gut metagenome"))</f>
        <v>0</v>
      </c>
      <c r="Q851" t="b">
        <f>AND(IF(metadata!D851="",FALSE,TRUE),EXACT(metadata!D851,"410661"))</f>
        <v>0</v>
      </c>
    </row>
    <row r="852" spans="1:17" x14ac:dyDescent="0.2">
      <c r="A852" s="4" t="str">
        <f ca="1">IF(B852=" "," ",HYPERLINK(CONCATENATE("#metadata!",ADDRESS(INDEX($J$2:$J$1001,MATCH(ROWS($H$2:H852),$H$2:$H$1001,0),0),1)),INDEX($M$2:$M$1001,MATCH(ROWS($H$2:H852),$H$2:$H$1001,0),0)))</f>
        <v xml:space="preserve"> </v>
      </c>
      <c r="B852" s="3" t="str">
        <f ca="1">IF(OR(INDEX($I$2:$I$1001,MATCH(ROWS($H$2:H852),$H$2:$H$1001,0),1)&gt;=100000,INDEX($O$1005:$Q$1005,1,MATCH(COLUMNS($O$1006:O1006),$O$1006:$Q$1006,0))&gt;=100000), " ",IF(INDEX($O$2:$Q$1001,MATCH(ROWS($H$2:H852),$H$2:$H$1001,0),MATCH(COLUMNS($O$1006:O1006),$O$1006:$Q$1006,0)), HYPERLINK("#",""), HYPERLINK(CONCATENATE("#metadata!", ADDRESS(INDEX($J$2:$J$1001,MATCH(ROWS($H$2:H852),$H$2:$H$1001,0),0), INDEX($O$1004:$Q$1004,1,MATCH(COLUMNS($O$1006:O1006),$O$1006:$Q$1006,0)))),"Fix")))</f>
        <v xml:space="preserve"> </v>
      </c>
      <c r="C852" s="3" t="str">
        <f ca="1">IF(OR(INDEX($I$2:$I$1001,MATCH(ROWS($H$2:H852),$H$2:$H$1001,0),1)&gt;=100000,INDEX($O$1005:$Q$1005,1,MATCH(COLUMNS($O$1006:P1006),$O$1006:$Q$1006,0))&gt;=100000), " ",IF(INDEX($O$2:$Q$1001,MATCH(ROWS($H$2:H852),$H$2:$H$1001,0),MATCH(COLUMNS($O$1006:P1006),$O$1006:$Q$1006,0)), HYPERLINK("#",""), HYPERLINK(CONCATENATE("#metadata!", ADDRESS(INDEX($J$2:$J$1001,MATCH(ROWS($H$2:H852),$H$2:$H$1001,0),0), INDEX($O$1004:$Q$1004,1,MATCH(COLUMNS($O$1006:P1006),$O$1006:$Q$1006,0)))),"Fix")))</f>
        <v xml:space="preserve"> </v>
      </c>
      <c r="D852" s="3" t="str">
        <f ca="1">IF(OR(INDEX($I$2:$I$1001,MATCH(ROWS($H$2:H852),$H$2:$H$1001,0),1)&gt;=100000,INDEX($O$1005:$Q$1005,1,MATCH(COLUMNS($O$1006:Q1006),$O$1006:$Q$1006,0))&gt;=100000), " ",IF(INDEX($O$2:$Q$1001,MATCH(ROWS($H$2:H852),$H$2:$H$1001,0),MATCH(COLUMNS($O$1006:Q1006),$O$1006:$Q$1006,0)), HYPERLINK("#",""), HYPERLINK(CONCATENATE("#metadata!", ADDRESS(INDEX($J$2:$J$1001,MATCH(ROWS($H$2:H852),$H$2:$H$1001,0),0), INDEX($O$1004:$Q$1004,1,MATCH(COLUMNS($O$1006:Q1006),$O$1006:$Q$1006,0)))),"Fix")))</f>
        <v xml:space="preserve"> </v>
      </c>
      <c r="H852">
        <v>851</v>
      </c>
      <c r="I852">
        <v>100852</v>
      </c>
      <c r="J852">
        <v>852</v>
      </c>
      <c r="K852" t="b">
        <f t="shared" si="13"/>
        <v>1</v>
      </c>
      <c r="L852" t="b">
        <f>COUNTBLANK(metadata!B852:D852)=COLUMNS(metadata!B852:D852)</f>
        <v>1</v>
      </c>
      <c r="M852" t="str">
        <v/>
      </c>
      <c r="O852" t="b">
        <f ca="1"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P852" t="b">
        <f>AND(IF(metadata!C852="",FALSE,TRUE),EXACT(metadata!C852,"mouse gut metagenome"))</f>
        <v>0</v>
      </c>
      <c r="Q852" t="b">
        <f>AND(IF(metadata!D852="",FALSE,TRUE),EXACT(metadata!D852,"410661"))</f>
        <v>0</v>
      </c>
    </row>
    <row r="853" spans="1:17" x14ac:dyDescent="0.2">
      <c r="A853" s="4" t="str">
        <f ca="1">IF(B853=" "," ",HYPERLINK(CONCATENATE("#metadata!",ADDRESS(INDEX($J$2:$J$1001,MATCH(ROWS($H$2:H853),$H$2:$H$1001,0),0),1)),INDEX($M$2:$M$1001,MATCH(ROWS($H$2:H853),$H$2:$H$1001,0),0)))</f>
        <v xml:space="preserve"> </v>
      </c>
      <c r="B853" s="3" t="str">
        <f ca="1">IF(OR(INDEX($I$2:$I$1001,MATCH(ROWS($H$2:H853),$H$2:$H$1001,0),1)&gt;=100000,INDEX($O$1005:$Q$1005,1,MATCH(COLUMNS($O$1006:O1006),$O$1006:$Q$1006,0))&gt;=100000), " ",IF(INDEX($O$2:$Q$1001,MATCH(ROWS($H$2:H853),$H$2:$H$1001,0),MATCH(COLUMNS($O$1006:O1006),$O$1006:$Q$1006,0)), HYPERLINK("#",""), HYPERLINK(CONCATENATE("#metadata!", ADDRESS(INDEX($J$2:$J$1001,MATCH(ROWS($H$2:H853),$H$2:$H$1001,0),0), INDEX($O$1004:$Q$1004,1,MATCH(COLUMNS($O$1006:O1006),$O$1006:$Q$1006,0)))),"Fix")))</f>
        <v xml:space="preserve"> </v>
      </c>
      <c r="C853" s="3" t="str">
        <f ca="1">IF(OR(INDEX($I$2:$I$1001,MATCH(ROWS($H$2:H853),$H$2:$H$1001,0),1)&gt;=100000,INDEX($O$1005:$Q$1005,1,MATCH(COLUMNS($O$1006:P1006),$O$1006:$Q$1006,0))&gt;=100000), " ",IF(INDEX($O$2:$Q$1001,MATCH(ROWS($H$2:H853),$H$2:$H$1001,0),MATCH(COLUMNS($O$1006:P1006),$O$1006:$Q$1006,0)), HYPERLINK("#",""), HYPERLINK(CONCATENATE("#metadata!", ADDRESS(INDEX($J$2:$J$1001,MATCH(ROWS($H$2:H853),$H$2:$H$1001,0),0), INDEX($O$1004:$Q$1004,1,MATCH(COLUMNS($O$1006:P1006),$O$1006:$Q$1006,0)))),"Fix")))</f>
        <v xml:space="preserve"> </v>
      </c>
      <c r="D853" s="3" t="str">
        <f ca="1">IF(OR(INDEX($I$2:$I$1001,MATCH(ROWS($H$2:H853),$H$2:$H$1001,0),1)&gt;=100000,INDEX($O$1005:$Q$1005,1,MATCH(COLUMNS($O$1006:Q1006),$O$1006:$Q$1006,0))&gt;=100000), " ",IF(INDEX($O$2:$Q$1001,MATCH(ROWS($H$2:H853),$H$2:$H$1001,0),MATCH(COLUMNS($O$1006:Q1006),$O$1006:$Q$1006,0)), HYPERLINK("#",""), HYPERLINK(CONCATENATE("#metadata!", ADDRESS(INDEX($J$2:$J$1001,MATCH(ROWS($H$2:H853),$H$2:$H$1001,0),0), INDEX($O$1004:$Q$1004,1,MATCH(COLUMNS($O$1006:Q1006),$O$1006:$Q$1006,0)))),"Fix")))</f>
        <v xml:space="preserve"> </v>
      </c>
      <c r="H853">
        <v>852</v>
      </c>
      <c r="I853">
        <v>100853</v>
      </c>
      <c r="J853">
        <v>853</v>
      </c>
      <c r="K853" t="b">
        <f t="shared" si="13"/>
        <v>1</v>
      </c>
      <c r="L853" t="b">
        <f>COUNTBLANK(metadata!B853:D853)=COLUMNS(metadata!B853:D853)</f>
        <v>1</v>
      </c>
      <c r="M853" t="str">
        <v/>
      </c>
      <c r="O853" t="b">
        <f ca="1"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P853" t="b">
        <f>AND(IF(metadata!C853="",FALSE,TRUE),EXACT(metadata!C853,"mouse gut metagenome"))</f>
        <v>0</v>
      </c>
      <c r="Q853" t="b">
        <f>AND(IF(metadata!D853="",FALSE,TRUE),EXACT(metadata!D853,"410661"))</f>
        <v>0</v>
      </c>
    </row>
    <row r="854" spans="1:17" x14ac:dyDescent="0.2">
      <c r="A854" s="4" t="str">
        <f ca="1">IF(B854=" "," ",HYPERLINK(CONCATENATE("#metadata!",ADDRESS(INDEX($J$2:$J$1001,MATCH(ROWS($H$2:H854),$H$2:$H$1001,0),0),1)),INDEX($M$2:$M$1001,MATCH(ROWS($H$2:H854),$H$2:$H$1001,0),0)))</f>
        <v xml:space="preserve"> </v>
      </c>
      <c r="B854" s="3" t="str">
        <f ca="1">IF(OR(INDEX($I$2:$I$1001,MATCH(ROWS($H$2:H854),$H$2:$H$1001,0),1)&gt;=100000,INDEX($O$1005:$Q$1005,1,MATCH(COLUMNS($O$1006:O1006),$O$1006:$Q$1006,0))&gt;=100000), " ",IF(INDEX($O$2:$Q$1001,MATCH(ROWS($H$2:H854),$H$2:$H$1001,0),MATCH(COLUMNS($O$1006:O1006),$O$1006:$Q$1006,0)), HYPERLINK("#",""), HYPERLINK(CONCATENATE("#metadata!", ADDRESS(INDEX($J$2:$J$1001,MATCH(ROWS($H$2:H854),$H$2:$H$1001,0),0), INDEX($O$1004:$Q$1004,1,MATCH(COLUMNS($O$1006:O1006),$O$1006:$Q$1006,0)))),"Fix")))</f>
        <v xml:space="preserve"> </v>
      </c>
      <c r="C854" s="3" t="str">
        <f ca="1">IF(OR(INDEX($I$2:$I$1001,MATCH(ROWS($H$2:H854),$H$2:$H$1001,0),1)&gt;=100000,INDEX($O$1005:$Q$1005,1,MATCH(COLUMNS($O$1006:P1006),$O$1006:$Q$1006,0))&gt;=100000), " ",IF(INDEX($O$2:$Q$1001,MATCH(ROWS($H$2:H854),$H$2:$H$1001,0),MATCH(COLUMNS($O$1006:P1006),$O$1006:$Q$1006,0)), HYPERLINK("#",""), HYPERLINK(CONCATENATE("#metadata!", ADDRESS(INDEX($J$2:$J$1001,MATCH(ROWS($H$2:H854),$H$2:$H$1001,0),0), INDEX($O$1004:$Q$1004,1,MATCH(COLUMNS($O$1006:P1006),$O$1006:$Q$1006,0)))),"Fix")))</f>
        <v xml:space="preserve"> </v>
      </c>
      <c r="D854" s="3" t="str">
        <f ca="1">IF(OR(INDEX($I$2:$I$1001,MATCH(ROWS($H$2:H854),$H$2:$H$1001,0),1)&gt;=100000,INDEX($O$1005:$Q$1005,1,MATCH(COLUMNS($O$1006:Q1006),$O$1006:$Q$1006,0))&gt;=100000), " ",IF(INDEX($O$2:$Q$1001,MATCH(ROWS($H$2:H854),$H$2:$H$1001,0),MATCH(COLUMNS($O$1006:Q1006),$O$1006:$Q$1006,0)), HYPERLINK("#",""), HYPERLINK(CONCATENATE("#metadata!", ADDRESS(INDEX($J$2:$J$1001,MATCH(ROWS($H$2:H854),$H$2:$H$1001,0),0), INDEX($O$1004:$Q$1004,1,MATCH(COLUMNS($O$1006:Q1006),$O$1006:$Q$1006,0)))),"Fix")))</f>
        <v xml:space="preserve"> </v>
      </c>
      <c r="H854">
        <v>853</v>
      </c>
      <c r="I854">
        <v>100854</v>
      </c>
      <c r="J854">
        <v>854</v>
      </c>
      <c r="K854" t="b">
        <f t="shared" si="13"/>
        <v>1</v>
      </c>
      <c r="L854" t="b">
        <f>COUNTBLANK(metadata!B854:D854)=COLUMNS(metadata!B854:D854)</f>
        <v>1</v>
      </c>
      <c r="M854" t="str">
        <v/>
      </c>
      <c r="O854" t="b">
        <f ca="1"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P854" t="b">
        <f>AND(IF(metadata!C854="",FALSE,TRUE),EXACT(metadata!C854,"mouse gut metagenome"))</f>
        <v>0</v>
      </c>
      <c r="Q854" t="b">
        <f>AND(IF(metadata!D854="",FALSE,TRUE),EXACT(metadata!D854,"410661"))</f>
        <v>0</v>
      </c>
    </row>
    <row r="855" spans="1:17" x14ac:dyDescent="0.2">
      <c r="A855" s="4" t="str">
        <f ca="1">IF(B855=" "," ",HYPERLINK(CONCATENATE("#metadata!",ADDRESS(INDEX($J$2:$J$1001,MATCH(ROWS($H$2:H855),$H$2:$H$1001,0),0),1)),INDEX($M$2:$M$1001,MATCH(ROWS($H$2:H855),$H$2:$H$1001,0),0)))</f>
        <v xml:space="preserve"> </v>
      </c>
      <c r="B855" s="3" t="str">
        <f ca="1">IF(OR(INDEX($I$2:$I$1001,MATCH(ROWS($H$2:H855),$H$2:$H$1001,0),1)&gt;=100000,INDEX($O$1005:$Q$1005,1,MATCH(COLUMNS($O$1006:O1006),$O$1006:$Q$1006,0))&gt;=100000), " ",IF(INDEX($O$2:$Q$1001,MATCH(ROWS($H$2:H855),$H$2:$H$1001,0),MATCH(COLUMNS($O$1006:O1006),$O$1006:$Q$1006,0)), HYPERLINK("#",""), HYPERLINK(CONCATENATE("#metadata!", ADDRESS(INDEX($J$2:$J$1001,MATCH(ROWS($H$2:H855),$H$2:$H$1001,0),0), INDEX($O$1004:$Q$1004,1,MATCH(COLUMNS($O$1006:O1006),$O$1006:$Q$1006,0)))),"Fix")))</f>
        <v xml:space="preserve"> </v>
      </c>
      <c r="C855" s="3" t="str">
        <f ca="1">IF(OR(INDEX($I$2:$I$1001,MATCH(ROWS($H$2:H855),$H$2:$H$1001,0),1)&gt;=100000,INDEX($O$1005:$Q$1005,1,MATCH(COLUMNS($O$1006:P1006),$O$1006:$Q$1006,0))&gt;=100000), " ",IF(INDEX($O$2:$Q$1001,MATCH(ROWS($H$2:H855),$H$2:$H$1001,0),MATCH(COLUMNS($O$1006:P1006),$O$1006:$Q$1006,0)), HYPERLINK("#",""), HYPERLINK(CONCATENATE("#metadata!", ADDRESS(INDEX($J$2:$J$1001,MATCH(ROWS($H$2:H855),$H$2:$H$1001,0),0), INDEX($O$1004:$Q$1004,1,MATCH(COLUMNS($O$1006:P1006),$O$1006:$Q$1006,0)))),"Fix")))</f>
        <v xml:space="preserve"> </v>
      </c>
      <c r="D855" s="3" t="str">
        <f ca="1">IF(OR(INDEX($I$2:$I$1001,MATCH(ROWS($H$2:H855),$H$2:$H$1001,0),1)&gt;=100000,INDEX($O$1005:$Q$1005,1,MATCH(COLUMNS($O$1006:Q1006),$O$1006:$Q$1006,0))&gt;=100000), " ",IF(INDEX($O$2:$Q$1001,MATCH(ROWS($H$2:H855),$H$2:$H$1001,0),MATCH(COLUMNS($O$1006:Q1006),$O$1006:$Q$1006,0)), HYPERLINK("#",""), HYPERLINK(CONCATENATE("#metadata!", ADDRESS(INDEX($J$2:$J$1001,MATCH(ROWS($H$2:H855),$H$2:$H$1001,0),0), INDEX($O$1004:$Q$1004,1,MATCH(COLUMNS($O$1006:Q1006),$O$1006:$Q$1006,0)))),"Fix")))</f>
        <v xml:space="preserve"> </v>
      </c>
      <c r="H855">
        <v>854</v>
      </c>
      <c r="I855">
        <v>100855</v>
      </c>
      <c r="J855">
        <v>855</v>
      </c>
      <c r="K855" t="b">
        <f t="shared" si="13"/>
        <v>1</v>
      </c>
      <c r="L855" t="b">
        <f>COUNTBLANK(metadata!B855:D855)=COLUMNS(metadata!B855:D855)</f>
        <v>1</v>
      </c>
      <c r="M855" t="str">
        <v/>
      </c>
      <c r="O855" t="b">
        <f ca="1"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P855" t="b">
        <f>AND(IF(metadata!C855="",FALSE,TRUE),EXACT(metadata!C855,"mouse gut metagenome"))</f>
        <v>0</v>
      </c>
      <c r="Q855" t="b">
        <f>AND(IF(metadata!D855="",FALSE,TRUE),EXACT(metadata!D855,"410661"))</f>
        <v>0</v>
      </c>
    </row>
    <row r="856" spans="1:17" x14ac:dyDescent="0.2">
      <c r="A856" s="4" t="str">
        <f ca="1">IF(B856=" "," ",HYPERLINK(CONCATENATE("#metadata!",ADDRESS(INDEX($J$2:$J$1001,MATCH(ROWS($H$2:H856),$H$2:$H$1001,0),0),1)),INDEX($M$2:$M$1001,MATCH(ROWS($H$2:H856),$H$2:$H$1001,0),0)))</f>
        <v xml:space="preserve"> </v>
      </c>
      <c r="B856" s="3" t="str">
        <f ca="1">IF(OR(INDEX($I$2:$I$1001,MATCH(ROWS($H$2:H856),$H$2:$H$1001,0),1)&gt;=100000,INDEX($O$1005:$Q$1005,1,MATCH(COLUMNS($O$1006:O1006),$O$1006:$Q$1006,0))&gt;=100000), " ",IF(INDEX($O$2:$Q$1001,MATCH(ROWS($H$2:H856),$H$2:$H$1001,0),MATCH(COLUMNS($O$1006:O1006),$O$1006:$Q$1006,0)), HYPERLINK("#",""), HYPERLINK(CONCATENATE("#metadata!", ADDRESS(INDEX($J$2:$J$1001,MATCH(ROWS($H$2:H856),$H$2:$H$1001,0),0), INDEX($O$1004:$Q$1004,1,MATCH(COLUMNS($O$1006:O1006),$O$1006:$Q$1006,0)))),"Fix")))</f>
        <v xml:space="preserve"> </v>
      </c>
      <c r="C856" s="3" t="str">
        <f ca="1">IF(OR(INDEX($I$2:$I$1001,MATCH(ROWS($H$2:H856),$H$2:$H$1001,0),1)&gt;=100000,INDEX($O$1005:$Q$1005,1,MATCH(COLUMNS($O$1006:P1006),$O$1006:$Q$1006,0))&gt;=100000), " ",IF(INDEX($O$2:$Q$1001,MATCH(ROWS($H$2:H856),$H$2:$H$1001,0),MATCH(COLUMNS($O$1006:P1006),$O$1006:$Q$1006,0)), HYPERLINK("#",""), HYPERLINK(CONCATENATE("#metadata!", ADDRESS(INDEX($J$2:$J$1001,MATCH(ROWS($H$2:H856),$H$2:$H$1001,0),0), INDEX($O$1004:$Q$1004,1,MATCH(COLUMNS($O$1006:P1006),$O$1006:$Q$1006,0)))),"Fix")))</f>
        <v xml:space="preserve"> </v>
      </c>
      <c r="D856" s="3" t="str">
        <f ca="1">IF(OR(INDEX($I$2:$I$1001,MATCH(ROWS($H$2:H856),$H$2:$H$1001,0),1)&gt;=100000,INDEX($O$1005:$Q$1005,1,MATCH(COLUMNS($O$1006:Q1006),$O$1006:$Q$1006,0))&gt;=100000), " ",IF(INDEX($O$2:$Q$1001,MATCH(ROWS($H$2:H856),$H$2:$H$1001,0),MATCH(COLUMNS($O$1006:Q1006),$O$1006:$Q$1006,0)), HYPERLINK("#",""), HYPERLINK(CONCATENATE("#metadata!", ADDRESS(INDEX($J$2:$J$1001,MATCH(ROWS($H$2:H856),$H$2:$H$1001,0),0), INDEX($O$1004:$Q$1004,1,MATCH(COLUMNS($O$1006:Q1006),$O$1006:$Q$1006,0)))),"Fix")))</f>
        <v xml:space="preserve"> </v>
      </c>
      <c r="H856">
        <v>855</v>
      </c>
      <c r="I856">
        <v>100856</v>
      </c>
      <c r="J856">
        <v>856</v>
      </c>
      <c r="K856" t="b">
        <f t="shared" si="13"/>
        <v>1</v>
      </c>
      <c r="L856" t="b">
        <f>COUNTBLANK(metadata!B856:D856)=COLUMNS(metadata!B856:D856)</f>
        <v>1</v>
      </c>
      <c r="M856" t="str">
        <v/>
      </c>
      <c r="O856" t="b">
        <f ca="1"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P856" t="b">
        <f>AND(IF(metadata!C856="",FALSE,TRUE),EXACT(metadata!C856,"mouse gut metagenome"))</f>
        <v>0</v>
      </c>
      <c r="Q856" t="b">
        <f>AND(IF(metadata!D856="",FALSE,TRUE),EXACT(metadata!D856,"410661"))</f>
        <v>0</v>
      </c>
    </row>
    <row r="857" spans="1:17" x14ac:dyDescent="0.2">
      <c r="A857" s="4" t="str">
        <f ca="1">IF(B857=" "," ",HYPERLINK(CONCATENATE("#metadata!",ADDRESS(INDEX($J$2:$J$1001,MATCH(ROWS($H$2:H857),$H$2:$H$1001,0),0),1)),INDEX($M$2:$M$1001,MATCH(ROWS($H$2:H857),$H$2:$H$1001,0),0)))</f>
        <v xml:space="preserve"> </v>
      </c>
      <c r="B857" s="3" t="str">
        <f ca="1">IF(OR(INDEX($I$2:$I$1001,MATCH(ROWS($H$2:H857),$H$2:$H$1001,0),1)&gt;=100000,INDEX($O$1005:$Q$1005,1,MATCH(COLUMNS($O$1006:O1006),$O$1006:$Q$1006,0))&gt;=100000), " ",IF(INDEX($O$2:$Q$1001,MATCH(ROWS($H$2:H857),$H$2:$H$1001,0),MATCH(COLUMNS($O$1006:O1006),$O$1006:$Q$1006,0)), HYPERLINK("#",""), HYPERLINK(CONCATENATE("#metadata!", ADDRESS(INDEX($J$2:$J$1001,MATCH(ROWS($H$2:H857),$H$2:$H$1001,0),0), INDEX($O$1004:$Q$1004,1,MATCH(COLUMNS($O$1006:O1006),$O$1006:$Q$1006,0)))),"Fix")))</f>
        <v xml:space="preserve"> </v>
      </c>
      <c r="C857" s="3" t="str">
        <f ca="1">IF(OR(INDEX($I$2:$I$1001,MATCH(ROWS($H$2:H857),$H$2:$H$1001,0),1)&gt;=100000,INDEX($O$1005:$Q$1005,1,MATCH(COLUMNS($O$1006:P1006),$O$1006:$Q$1006,0))&gt;=100000), " ",IF(INDEX($O$2:$Q$1001,MATCH(ROWS($H$2:H857),$H$2:$H$1001,0),MATCH(COLUMNS($O$1006:P1006),$O$1006:$Q$1006,0)), HYPERLINK("#",""), HYPERLINK(CONCATENATE("#metadata!", ADDRESS(INDEX($J$2:$J$1001,MATCH(ROWS($H$2:H857),$H$2:$H$1001,0),0), INDEX($O$1004:$Q$1004,1,MATCH(COLUMNS($O$1006:P1006),$O$1006:$Q$1006,0)))),"Fix")))</f>
        <v xml:space="preserve"> </v>
      </c>
      <c r="D857" s="3" t="str">
        <f ca="1">IF(OR(INDEX($I$2:$I$1001,MATCH(ROWS($H$2:H857),$H$2:$H$1001,0),1)&gt;=100000,INDEX($O$1005:$Q$1005,1,MATCH(COLUMNS($O$1006:Q1006),$O$1006:$Q$1006,0))&gt;=100000), " ",IF(INDEX($O$2:$Q$1001,MATCH(ROWS($H$2:H857),$H$2:$H$1001,0),MATCH(COLUMNS($O$1006:Q1006),$O$1006:$Q$1006,0)), HYPERLINK("#",""), HYPERLINK(CONCATENATE("#metadata!", ADDRESS(INDEX($J$2:$J$1001,MATCH(ROWS($H$2:H857),$H$2:$H$1001,0),0), INDEX($O$1004:$Q$1004,1,MATCH(COLUMNS($O$1006:Q1006),$O$1006:$Q$1006,0)))),"Fix")))</f>
        <v xml:space="preserve"> </v>
      </c>
      <c r="H857">
        <v>856</v>
      </c>
      <c r="I857">
        <v>100857</v>
      </c>
      <c r="J857">
        <v>857</v>
      </c>
      <c r="K857" t="b">
        <f t="shared" si="13"/>
        <v>1</v>
      </c>
      <c r="L857" t="b">
        <f>COUNTBLANK(metadata!B857:D857)=COLUMNS(metadata!B857:D857)</f>
        <v>1</v>
      </c>
      <c r="M857" t="str">
        <v/>
      </c>
      <c r="O857" t="b">
        <f ca="1"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P857" t="b">
        <f>AND(IF(metadata!C857="",FALSE,TRUE),EXACT(metadata!C857,"mouse gut metagenome"))</f>
        <v>0</v>
      </c>
      <c r="Q857" t="b">
        <f>AND(IF(metadata!D857="",FALSE,TRUE),EXACT(metadata!D857,"410661"))</f>
        <v>0</v>
      </c>
    </row>
    <row r="858" spans="1:17" x14ac:dyDescent="0.2">
      <c r="A858" s="4" t="str">
        <f ca="1">IF(B858=" "," ",HYPERLINK(CONCATENATE("#metadata!",ADDRESS(INDEX($J$2:$J$1001,MATCH(ROWS($H$2:H858),$H$2:$H$1001,0),0),1)),INDEX($M$2:$M$1001,MATCH(ROWS($H$2:H858),$H$2:$H$1001,0),0)))</f>
        <v xml:space="preserve"> </v>
      </c>
      <c r="B858" s="3" t="str">
        <f ca="1">IF(OR(INDEX($I$2:$I$1001,MATCH(ROWS($H$2:H858),$H$2:$H$1001,0),1)&gt;=100000,INDEX($O$1005:$Q$1005,1,MATCH(COLUMNS($O$1006:O1006),$O$1006:$Q$1006,0))&gt;=100000), " ",IF(INDEX($O$2:$Q$1001,MATCH(ROWS($H$2:H858),$H$2:$H$1001,0),MATCH(COLUMNS($O$1006:O1006),$O$1006:$Q$1006,0)), HYPERLINK("#",""), HYPERLINK(CONCATENATE("#metadata!", ADDRESS(INDEX($J$2:$J$1001,MATCH(ROWS($H$2:H858),$H$2:$H$1001,0),0), INDEX($O$1004:$Q$1004,1,MATCH(COLUMNS($O$1006:O1006),$O$1006:$Q$1006,0)))),"Fix")))</f>
        <v xml:space="preserve"> </v>
      </c>
      <c r="C858" s="3" t="str">
        <f ca="1">IF(OR(INDEX($I$2:$I$1001,MATCH(ROWS($H$2:H858),$H$2:$H$1001,0),1)&gt;=100000,INDEX($O$1005:$Q$1005,1,MATCH(COLUMNS($O$1006:P1006),$O$1006:$Q$1006,0))&gt;=100000), " ",IF(INDEX($O$2:$Q$1001,MATCH(ROWS($H$2:H858),$H$2:$H$1001,0),MATCH(COLUMNS($O$1006:P1006),$O$1006:$Q$1006,0)), HYPERLINK("#",""), HYPERLINK(CONCATENATE("#metadata!", ADDRESS(INDEX($J$2:$J$1001,MATCH(ROWS($H$2:H858),$H$2:$H$1001,0),0), INDEX($O$1004:$Q$1004,1,MATCH(COLUMNS($O$1006:P1006),$O$1006:$Q$1006,0)))),"Fix")))</f>
        <v xml:space="preserve"> </v>
      </c>
      <c r="D858" s="3" t="str">
        <f ca="1">IF(OR(INDEX($I$2:$I$1001,MATCH(ROWS($H$2:H858),$H$2:$H$1001,0),1)&gt;=100000,INDEX($O$1005:$Q$1005,1,MATCH(COLUMNS($O$1006:Q1006),$O$1006:$Q$1006,0))&gt;=100000), " ",IF(INDEX($O$2:$Q$1001,MATCH(ROWS($H$2:H858),$H$2:$H$1001,0),MATCH(COLUMNS($O$1006:Q1006),$O$1006:$Q$1006,0)), HYPERLINK("#",""), HYPERLINK(CONCATENATE("#metadata!", ADDRESS(INDEX($J$2:$J$1001,MATCH(ROWS($H$2:H858),$H$2:$H$1001,0),0), INDEX($O$1004:$Q$1004,1,MATCH(COLUMNS($O$1006:Q1006),$O$1006:$Q$1006,0)))),"Fix")))</f>
        <v xml:space="preserve"> </v>
      </c>
      <c r="H858">
        <v>857</v>
      </c>
      <c r="I858">
        <v>100858</v>
      </c>
      <c r="J858">
        <v>858</v>
      </c>
      <c r="K858" t="b">
        <f t="shared" si="13"/>
        <v>1</v>
      </c>
      <c r="L858" t="b">
        <f>COUNTBLANK(metadata!B858:D858)=COLUMNS(metadata!B858:D858)</f>
        <v>1</v>
      </c>
      <c r="M858" t="str">
        <v/>
      </c>
      <c r="O858" t="b">
        <f ca="1"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P858" t="b">
        <f>AND(IF(metadata!C858="",FALSE,TRUE),EXACT(metadata!C858,"mouse gut metagenome"))</f>
        <v>0</v>
      </c>
      <c r="Q858" t="b">
        <f>AND(IF(metadata!D858="",FALSE,TRUE),EXACT(metadata!D858,"410661"))</f>
        <v>0</v>
      </c>
    </row>
    <row r="859" spans="1:17" x14ac:dyDescent="0.2">
      <c r="A859" s="4" t="str">
        <f ca="1">IF(B859=" "," ",HYPERLINK(CONCATENATE("#metadata!",ADDRESS(INDEX($J$2:$J$1001,MATCH(ROWS($H$2:H859),$H$2:$H$1001,0),0),1)),INDEX($M$2:$M$1001,MATCH(ROWS($H$2:H859),$H$2:$H$1001,0),0)))</f>
        <v xml:space="preserve"> </v>
      </c>
      <c r="B859" s="3" t="str">
        <f ca="1">IF(OR(INDEX($I$2:$I$1001,MATCH(ROWS($H$2:H859),$H$2:$H$1001,0),1)&gt;=100000,INDEX($O$1005:$Q$1005,1,MATCH(COLUMNS($O$1006:O1006),$O$1006:$Q$1006,0))&gt;=100000), " ",IF(INDEX($O$2:$Q$1001,MATCH(ROWS($H$2:H859),$H$2:$H$1001,0),MATCH(COLUMNS($O$1006:O1006),$O$1006:$Q$1006,0)), HYPERLINK("#",""), HYPERLINK(CONCATENATE("#metadata!", ADDRESS(INDEX($J$2:$J$1001,MATCH(ROWS($H$2:H859),$H$2:$H$1001,0),0), INDEX($O$1004:$Q$1004,1,MATCH(COLUMNS($O$1006:O1006),$O$1006:$Q$1006,0)))),"Fix")))</f>
        <v xml:space="preserve"> </v>
      </c>
      <c r="C859" s="3" t="str">
        <f ca="1">IF(OR(INDEX($I$2:$I$1001,MATCH(ROWS($H$2:H859),$H$2:$H$1001,0),1)&gt;=100000,INDEX($O$1005:$Q$1005,1,MATCH(COLUMNS($O$1006:P1006),$O$1006:$Q$1006,0))&gt;=100000), " ",IF(INDEX($O$2:$Q$1001,MATCH(ROWS($H$2:H859),$H$2:$H$1001,0),MATCH(COLUMNS($O$1006:P1006),$O$1006:$Q$1006,0)), HYPERLINK("#",""), HYPERLINK(CONCATENATE("#metadata!", ADDRESS(INDEX($J$2:$J$1001,MATCH(ROWS($H$2:H859),$H$2:$H$1001,0),0), INDEX($O$1004:$Q$1004,1,MATCH(COLUMNS($O$1006:P1006),$O$1006:$Q$1006,0)))),"Fix")))</f>
        <v xml:space="preserve"> </v>
      </c>
      <c r="D859" s="3" t="str">
        <f ca="1">IF(OR(INDEX($I$2:$I$1001,MATCH(ROWS($H$2:H859),$H$2:$H$1001,0),1)&gt;=100000,INDEX($O$1005:$Q$1005,1,MATCH(COLUMNS($O$1006:Q1006),$O$1006:$Q$1006,0))&gt;=100000), " ",IF(INDEX($O$2:$Q$1001,MATCH(ROWS($H$2:H859),$H$2:$H$1001,0),MATCH(COLUMNS($O$1006:Q1006),$O$1006:$Q$1006,0)), HYPERLINK("#",""), HYPERLINK(CONCATENATE("#metadata!", ADDRESS(INDEX($J$2:$J$1001,MATCH(ROWS($H$2:H859),$H$2:$H$1001,0),0), INDEX($O$1004:$Q$1004,1,MATCH(COLUMNS($O$1006:Q1006),$O$1006:$Q$1006,0)))),"Fix")))</f>
        <v xml:space="preserve"> </v>
      </c>
      <c r="H859">
        <v>858</v>
      </c>
      <c r="I859">
        <v>100859</v>
      </c>
      <c r="J859">
        <v>859</v>
      </c>
      <c r="K859" t="b">
        <f t="shared" si="13"/>
        <v>1</v>
      </c>
      <c r="L859" t="b">
        <f>COUNTBLANK(metadata!B859:D859)=COLUMNS(metadata!B859:D859)</f>
        <v>1</v>
      </c>
      <c r="M859" t="str">
        <v/>
      </c>
      <c r="O859" t="b">
        <f ca="1"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P859" t="b">
        <f>AND(IF(metadata!C859="",FALSE,TRUE),EXACT(metadata!C859,"mouse gut metagenome"))</f>
        <v>0</v>
      </c>
      <c r="Q859" t="b">
        <f>AND(IF(metadata!D859="",FALSE,TRUE),EXACT(metadata!D859,"410661"))</f>
        <v>0</v>
      </c>
    </row>
    <row r="860" spans="1:17" x14ac:dyDescent="0.2">
      <c r="A860" s="4" t="str">
        <f ca="1">IF(B860=" "," ",HYPERLINK(CONCATENATE("#metadata!",ADDRESS(INDEX($J$2:$J$1001,MATCH(ROWS($H$2:H860),$H$2:$H$1001,0),0),1)),INDEX($M$2:$M$1001,MATCH(ROWS($H$2:H860),$H$2:$H$1001,0),0)))</f>
        <v xml:space="preserve"> </v>
      </c>
      <c r="B860" s="3" t="str">
        <f ca="1">IF(OR(INDEX($I$2:$I$1001,MATCH(ROWS($H$2:H860),$H$2:$H$1001,0),1)&gt;=100000,INDEX($O$1005:$Q$1005,1,MATCH(COLUMNS($O$1006:O1006),$O$1006:$Q$1006,0))&gt;=100000), " ",IF(INDEX($O$2:$Q$1001,MATCH(ROWS($H$2:H860),$H$2:$H$1001,0),MATCH(COLUMNS($O$1006:O1006),$O$1006:$Q$1006,0)), HYPERLINK("#",""), HYPERLINK(CONCATENATE("#metadata!", ADDRESS(INDEX($J$2:$J$1001,MATCH(ROWS($H$2:H860),$H$2:$H$1001,0),0), INDEX($O$1004:$Q$1004,1,MATCH(COLUMNS($O$1006:O1006),$O$1006:$Q$1006,0)))),"Fix")))</f>
        <v xml:space="preserve"> </v>
      </c>
      <c r="C860" s="3" t="str">
        <f ca="1">IF(OR(INDEX($I$2:$I$1001,MATCH(ROWS($H$2:H860),$H$2:$H$1001,0),1)&gt;=100000,INDEX($O$1005:$Q$1005,1,MATCH(COLUMNS($O$1006:P1006),$O$1006:$Q$1006,0))&gt;=100000), " ",IF(INDEX($O$2:$Q$1001,MATCH(ROWS($H$2:H860),$H$2:$H$1001,0),MATCH(COLUMNS($O$1006:P1006),$O$1006:$Q$1006,0)), HYPERLINK("#",""), HYPERLINK(CONCATENATE("#metadata!", ADDRESS(INDEX($J$2:$J$1001,MATCH(ROWS($H$2:H860),$H$2:$H$1001,0),0), INDEX($O$1004:$Q$1004,1,MATCH(COLUMNS($O$1006:P1006),$O$1006:$Q$1006,0)))),"Fix")))</f>
        <v xml:space="preserve"> </v>
      </c>
      <c r="D860" s="3" t="str">
        <f ca="1">IF(OR(INDEX($I$2:$I$1001,MATCH(ROWS($H$2:H860),$H$2:$H$1001,0),1)&gt;=100000,INDEX($O$1005:$Q$1005,1,MATCH(COLUMNS($O$1006:Q1006),$O$1006:$Q$1006,0))&gt;=100000), " ",IF(INDEX($O$2:$Q$1001,MATCH(ROWS($H$2:H860),$H$2:$H$1001,0),MATCH(COLUMNS($O$1006:Q1006),$O$1006:$Q$1006,0)), HYPERLINK("#",""), HYPERLINK(CONCATENATE("#metadata!", ADDRESS(INDEX($J$2:$J$1001,MATCH(ROWS($H$2:H860),$H$2:$H$1001,0),0), INDEX($O$1004:$Q$1004,1,MATCH(COLUMNS($O$1006:Q1006),$O$1006:$Q$1006,0)))),"Fix")))</f>
        <v xml:space="preserve"> </v>
      </c>
      <c r="H860">
        <v>859</v>
      </c>
      <c r="I860">
        <v>100860</v>
      </c>
      <c r="J860">
        <v>860</v>
      </c>
      <c r="K860" t="b">
        <f t="shared" si="13"/>
        <v>1</v>
      </c>
      <c r="L860" t="b">
        <f>COUNTBLANK(metadata!B860:D860)=COLUMNS(metadata!B860:D860)</f>
        <v>1</v>
      </c>
      <c r="M860" t="str">
        <v/>
      </c>
      <c r="O860" t="b">
        <f ca="1"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P860" t="b">
        <f>AND(IF(metadata!C860="",FALSE,TRUE),EXACT(metadata!C860,"mouse gut metagenome"))</f>
        <v>0</v>
      </c>
      <c r="Q860" t="b">
        <f>AND(IF(metadata!D860="",FALSE,TRUE),EXACT(metadata!D860,"410661"))</f>
        <v>0</v>
      </c>
    </row>
    <row r="861" spans="1:17" x14ac:dyDescent="0.2">
      <c r="A861" s="4" t="str">
        <f ca="1">IF(B861=" "," ",HYPERLINK(CONCATENATE("#metadata!",ADDRESS(INDEX($J$2:$J$1001,MATCH(ROWS($H$2:H861),$H$2:$H$1001,0),0),1)),INDEX($M$2:$M$1001,MATCH(ROWS($H$2:H861),$H$2:$H$1001,0),0)))</f>
        <v xml:space="preserve"> </v>
      </c>
      <c r="B861" s="3" t="str">
        <f ca="1">IF(OR(INDEX($I$2:$I$1001,MATCH(ROWS($H$2:H861),$H$2:$H$1001,0),1)&gt;=100000,INDEX($O$1005:$Q$1005,1,MATCH(COLUMNS($O$1006:O1006),$O$1006:$Q$1006,0))&gt;=100000), " ",IF(INDEX($O$2:$Q$1001,MATCH(ROWS($H$2:H861),$H$2:$H$1001,0),MATCH(COLUMNS($O$1006:O1006),$O$1006:$Q$1006,0)), HYPERLINK("#",""), HYPERLINK(CONCATENATE("#metadata!", ADDRESS(INDEX($J$2:$J$1001,MATCH(ROWS($H$2:H861),$H$2:$H$1001,0),0), INDEX($O$1004:$Q$1004,1,MATCH(COLUMNS($O$1006:O1006),$O$1006:$Q$1006,0)))),"Fix")))</f>
        <v xml:space="preserve"> </v>
      </c>
      <c r="C861" s="3" t="str">
        <f ca="1">IF(OR(INDEX($I$2:$I$1001,MATCH(ROWS($H$2:H861),$H$2:$H$1001,0),1)&gt;=100000,INDEX($O$1005:$Q$1005,1,MATCH(COLUMNS($O$1006:P1006),$O$1006:$Q$1006,0))&gt;=100000), " ",IF(INDEX($O$2:$Q$1001,MATCH(ROWS($H$2:H861),$H$2:$H$1001,0),MATCH(COLUMNS($O$1006:P1006),$O$1006:$Q$1006,0)), HYPERLINK("#",""), HYPERLINK(CONCATENATE("#metadata!", ADDRESS(INDEX($J$2:$J$1001,MATCH(ROWS($H$2:H861),$H$2:$H$1001,0),0), INDEX($O$1004:$Q$1004,1,MATCH(COLUMNS($O$1006:P1006),$O$1006:$Q$1006,0)))),"Fix")))</f>
        <v xml:space="preserve"> </v>
      </c>
      <c r="D861" s="3" t="str">
        <f ca="1">IF(OR(INDEX($I$2:$I$1001,MATCH(ROWS($H$2:H861),$H$2:$H$1001,0),1)&gt;=100000,INDEX($O$1005:$Q$1005,1,MATCH(COLUMNS($O$1006:Q1006),$O$1006:$Q$1006,0))&gt;=100000), " ",IF(INDEX($O$2:$Q$1001,MATCH(ROWS($H$2:H861),$H$2:$H$1001,0),MATCH(COLUMNS($O$1006:Q1006),$O$1006:$Q$1006,0)), HYPERLINK("#",""), HYPERLINK(CONCATENATE("#metadata!", ADDRESS(INDEX($J$2:$J$1001,MATCH(ROWS($H$2:H861),$H$2:$H$1001,0),0), INDEX($O$1004:$Q$1004,1,MATCH(COLUMNS($O$1006:Q1006),$O$1006:$Q$1006,0)))),"Fix")))</f>
        <v xml:space="preserve"> </v>
      </c>
      <c r="H861">
        <v>860</v>
      </c>
      <c r="I861">
        <v>100861</v>
      </c>
      <c r="J861">
        <v>861</v>
      </c>
      <c r="K861" t="b">
        <f t="shared" si="13"/>
        <v>1</v>
      </c>
      <c r="L861" t="b">
        <f>COUNTBLANK(metadata!B861:D861)=COLUMNS(metadata!B861:D861)</f>
        <v>1</v>
      </c>
      <c r="M861" t="str">
        <v/>
      </c>
      <c r="O861" t="b">
        <f ca="1"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P861" t="b">
        <f>AND(IF(metadata!C861="",FALSE,TRUE),EXACT(metadata!C861,"mouse gut metagenome"))</f>
        <v>0</v>
      </c>
      <c r="Q861" t="b">
        <f>AND(IF(metadata!D861="",FALSE,TRUE),EXACT(metadata!D861,"410661"))</f>
        <v>0</v>
      </c>
    </row>
    <row r="862" spans="1:17" x14ac:dyDescent="0.2">
      <c r="A862" s="4" t="str">
        <f ca="1">IF(B862=" "," ",HYPERLINK(CONCATENATE("#metadata!",ADDRESS(INDEX($J$2:$J$1001,MATCH(ROWS($H$2:H862),$H$2:$H$1001,0),0),1)),INDEX($M$2:$M$1001,MATCH(ROWS($H$2:H862),$H$2:$H$1001,0),0)))</f>
        <v xml:space="preserve"> </v>
      </c>
      <c r="B862" s="3" t="str">
        <f ca="1">IF(OR(INDEX($I$2:$I$1001,MATCH(ROWS($H$2:H862),$H$2:$H$1001,0),1)&gt;=100000,INDEX($O$1005:$Q$1005,1,MATCH(COLUMNS($O$1006:O1006),$O$1006:$Q$1006,0))&gt;=100000), " ",IF(INDEX($O$2:$Q$1001,MATCH(ROWS($H$2:H862),$H$2:$H$1001,0),MATCH(COLUMNS($O$1006:O1006),$O$1006:$Q$1006,0)), HYPERLINK("#",""), HYPERLINK(CONCATENATE("#metadata!", ADDRESS(INDEX($J$2:$J$1001,MATCH(ROWS($H$2:H862),$H$2:$H$1001,0),0), INDEX($O$1004:$Q$1004,1,MATCH(COLUMNS($O$1006:O1006),$O$1006:$Q$1006,0)))),"Fix")))</f>
        <v xml:space="preserve"> </v>
      </c>
      <c r="C862" s="3" t="str">
        <f ca="1">IF(OR(INDEX($I$2:$I$1001,MATCH(ROWS($H$2:H862),$H$2:$H$1001,0),1)&gt;=100000,INDEX($O$1005:$Q$1005,1,MATCH(COLUMNS($O$1006:P1006),$O$1006:$Q$1006,0))&gt;=100000), " ",IF(INDEX($O$2:$Q$1001,MATCH(ROWS($H$2:H862),$H$2:$H$1001,0),MATCH(COLUMNS($O$1006:P1006),$O$1006:$Q$1006,0)), HYPERLINK("#",""), HYPERLINK(CONCATENATE("#metadata!", ADDRESS(INDEX($J$2:$J$1001,MATCH(ROWS($H$2:H862),$H$2:$H$1001,0),0), INDEX($O$1004:$Q$1004,1,MATCH(COLUMNS($O$1006:P1006),$O$1006:$Q$1006,0)))),"Fix")))</f>
        <v xml:space="preserve"> </v>
      </c>
      <c r="D862" s="3" t="str">
        <f ca="1">IF(OR(INDEX($I$2:$I$1001,MATCH(ROWS($H$2:H862),$H$2:$H$1001,0),1)&gt;=100000,INDEX($O$1005:$Q$1005,1,MATCH(COLUMNS($O$1006:Q1006),$O$1006:$Q$1006,0))&gt;=100000), " ",IF(INDEX($O$2:$Q$1001,MATCH(ROWS($H$2:H862),$H$2:$H$1001,0),MATCH(COLUMNS($O$1006:Q1006),$O$1006:$Q$1006,0)), HYPERLINK("#",""), HYPERLINK(CONCATENATE("#metadata!", ADDRESS(INDEX($J$2:$J$1001,MATCH(ROWS($H$2:H862),$H$2:$H$1001,0),0), INDEX($O$1004:$Q$1004,1,MATCH(COLUMNS($O$1006:Q1006),$O$1006:$Q$1006,0)))),"Fix")))</f>
        <v xml:space="preserve"> </v>
      </c>
      <c r="H862">
        <v>861</v>
      </c>
      <c r="I862">
        <v>100862</v>
      </c>
      <c r="J862">
        <v>862</v>
      </c>
      <c r="K862" t="b">
        <f t="shared" si="13"/>
        <v>1</v>
      </c>
      <c r="L862" t="b">
        <f>COUNTBLANK(metadata!B862:D862)=COLUMNS(metadata!B862:D862)</f>
        <v>1</v>
      </c>
      <c r="M862" t="str">
        <v/>
      </c>
      <c r="O862" t="b">
        <f ca="1"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P862" t="b">
        <f>AND(IF(metadata!C862="",FALSE,TRUE),EXACT(metadata!C862,"mouse gut metagenome"))</f>
        <v>0</v>
      </c>
      <c r="Q862" t="b">
        <f>AND(IF(metadata!D862="",FALSE,TRUE),EXACT(metadata!D862,"410661"))</f>
        <v>0</v>
      </c>
    </row>
    <row r="863" spans="1:17" x14ac:dyDescent="0.2">
      <c r="A863" s="4" t="str">
        <f ca="1">IF(B863=" "," ",HYPERLINK(CONCATENATE("#metadata!",ADDRESS(INDEX($J$2:$J$1001,MATCH(ROWS($H$2:H863),$H$2:$H$1001,0),0),1)),INDEX($M$2:$M$1001,MATCH(ROWS($H$2:H863),$H$2:$H$1001,0),0)))</f>
        <v xml:space="preserve"> </v>
      </c>
      <c r="B863" s="3" t="str">
        <f ca="1">IF(OR(INDEX($I$2:$I$1001,MATCH(ROWS($H$2:H863),$H$2:$H$1001,0),1)&gt;=100000,INDEX($O$1005:$Q$1005,1,MATCH(COLUMNS($O$1006:O1006),$O$1006:$Q$1006,0))&gt;=100000), " ",IF(INDEX($O$2:$Q$1001,MATCH(ROWS($H$2:H863),$H$2:$H$1001,0),MATCH(COLUMNS($O$1006:O1006),$O$1006:$Q$1006,0)), HYPERLINK("#",""), HYPERLINK(CONCATENATE("#metadata!", ADDRESS(INDEX($J$2:$J$1001,MATCH(ROWS($H$2:H863),$H$2:$H$1001,0),0), INDEX($O$1004:$Q$1004,1,MATCH(COLUMNS($O$1006:O1006),$O$1006:$Q$1006,0)))),"Fix")))</f>
        <v xml:space="preserve"> </v>
      </c>
      <c r="C863" s="3" t="str">
        <f ca="1">IF(OR(INDEX($I$2:$I$1001,MATCH(ROWS($H$2:H863),$H$2:$H$1001,0),1)&gt;=100000,INDEX($O$1005:$Q$1005,1,MATCH(COLUMNS($O$1006:P1006),$O$1006:$Q$1006,0))&gt;=100000), " ",IF(INDEX($O$2:$Q$1001,MATCH(ROWS($H$2:H863),$H$2:$H$1001,0),MATCH(COLUMNS($O$1006:P1006),$O$1006:$Q$1006,0)), HYPERLINK("#",""), HYPERLINK(CONCATENATE("#metadata!", ADDRESS(INDEX($J$2:$J$1001,MATCH(ROWS($H$2:H863),$H$2:$H$1001,0),0), INDEX($O$1004:$Q$1004,1,MATCH(COLUMNS($O$1006:P1006),$O$1006:$Q$1006,0)))),"Fix")))</f>
        <v xml:space="preserve"> </v>
      </c>
      <c r="D863" s="3" t="str">
        <f ca="1">IF(OR(INDEX($I$2:$I$1001,MATCH(ROWS($H$2:H863),$H$2:$H$1001,0),1)&gt;=100000,INDEX($O$1005:$Q$1005,1,MATCH(COLUMNS($O$1006:Q1006),$O$1006:$Q$1006,0))&gt;=100000), " ",IF(INDEX($O$2:$Q$1001,MATCH(ROWS($H$2:H863),$H$2:$H$1001,0),MATCH(COLUMNS($O$1006:Q1006),$O$1006:$Q$1006,0)), HYPERLINK("#",""), HYPERLINK(CONCATENATE("#metadata!", ADDRESS(INDEX($J$2:$J$1001,MATCH(ROWS($H$2:H863),$H$2:$H$1001,0),0), INDEX($O$1004:$Q$1004,1,MATCH(COLUMNS($O$1006:Q1006),$O$1006:$Q$1006,0)))),"Fix")))</f>
        <v xml:space="preserve"> </v>
      </c>
      <c r="H863">
        <v>862</v>
      </c>
      <c r="I863">
        <v>100863</v>
      </c>
      <c r="J863">
        <v>863</v>
      </c>
      <c r="K863" t="b">
        <f t="shared" si="13"/>
        <v>1</v>
      </c>
      <c r="L863" t="b">
        <f>COUNTBLANK(metadata!B863:D863)=COLUMNS(metadata!B863:D863)</f>
        <v>1</v>
      </c>
      <c r="M863" t="str">
        <v/>
      </c>
      <c r="O863" t="b">
        <f ca="1"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P863" t="b">
        <f>AND(IF(metadata!C863="",FALSE,TRUE),EXACT(metadata!C863,"mouse gut metagenome"))</f>
        <v>0</v>
      </c>
      <c r="Q863" t="b">
        <f>AND(IF(metadata!D863="",FALSE,TRUE),EXACT(metadata!D863,"410661"))</f>
        <v>0</v>
      </c>
    </row>
    <row r="864" spans="1:17" x14ac:dyDescent="0.2">
      <c r="A864" s="4" t="str">
        <f ca="1">IF(B864=" "," ",HYPERLINK(CONCATENATE("#metadata!",ADDRESS(INDEX($J$2:$J$1001,MATCH(ROWS($H$2:H864),$H$2:$H$1001,0),0),1)),INDEX($M$2:$M$1001,MATCH(ROWS($H$2:H864),$H$2:$H$1001,0),0)))</f>
        <v xml:space="preserve"> </v>
      </c>
      <c r="B864" s="3" t="str">
        <f ca="1">IF(OR(INDEX($I$2:$I$1001,MATCH(ROWS($H$2:H864),$H$2:$H$1001,0),1)&gt;=100000,INDEX($O$1005:$Q$1005,1,MATCH(COLUMNS($O$1006:O1006),$O$1006:$Q$1006,0))&gt;=100000), " ",IF(INDEX($O$2:$Q$1001,MATCH(ROWS($H$2:H864),$H$2:$H$1001,0),MATCH(COLUMNS($O$1006:O1006),$O$1006:$Q$1006,0)), HYPERLINK("#",""), HYPERLINK(CONCATENATE("#metadata!", ADDRESS(INDEX($J$2:$J$1001,MATCH(ROWS($H$2:H864),$H$2:$H$1001,0),0), INDEX($O$1004:$Q$1004,1,MATCH(COLUMNS($O$1006:O1006),$O$1006:$Q$1006,0)))),"Fix")))</f>
        <v xml:space="preserve"> </v>
      </c>
      <c r="C864" s="3" t="str">
        <f ca="1">IF(OR(INDEX($I$2:$I$1001,MATCH(ROWS($H$2:H864),$H$2:$H$1001,0),1)&gt;=100000,INDEX($O$1005:$Q$1005,1,MATCH(COLUMNS($O$1006:P1006),$O$1006:$Q$1006,0))&gt;=100000), " ",IF(INDEX($O$2:$Q$1001,MATCH(ROWS($H$2:H864),$H$2:$H$1001,0),MATCH(COLUMNS($O$1006:P1006),$O$1006:$Q$1006,0)), HYPERLINK("#",""), HYPERLINK(CONCATENATE("#metadata!", ADDRESS(INDEX($J$2:$J$1001,MATCH(ROWS($H$2:H864),$H$2:$H$1001,0),0), INDEX($O$1004:$Q$1004,1,MATCH(COLUMNS($O$1006:P1006),$O$1006:$Q$1006,0)))),"Fix")))</f>
        <v xml:space="preserve"> </v>
      </c>
      <c r="D864" s="3" t="str">
        <f ca="1">IF(OR(INDEX($I$2:$I$1001,MATCH(ROWS($H$2:H864),$H$2:$H$1001,0),1)&gt;=100000,INDEX($O$1005:$Q$1005,1,MATCH(COLUMNS($O$1006:Q1006),$O$1006:$Q$1006,0))&gt;=100000), " ",IF(INDEX($O$2:$Q$1001,MATCH(ROWS($H$2:H864),$H$2:$H$1001,0),MATCH(COLUMNS($O$1006:Q1006),$O$1006:$Q$1006,0)), HYPERLINK("#",""), HYPERLINK(CONCATENATE("#metadata!", ADDRESS(INDEX($J$2:$J$1001,MATCH(ROWS($H$2:H864),$H$2:$H$1001,0),0), INDEX($O$1004:$Q$1004,1,MATCH(COLUMNS($O$1006:Q1006),$O$1006:$Q$1006,0)))),"Fix")))</f>
        <v xml:space="preserve"> </v>
      </c>
      <c r="H864">
        <v>863</v>
      </c>
      <c r="I864">
        <v>100864</v>
      </c>
      <c r="J864">
        <v>864</v>
      </c>
      <c r="K864" t="b">
        <f t="shared" si="13"/>
        <v>1</v>
      </c>
      <c r="L864" t="b">
        <f>COUNTBLANK(metadata!B864:D864)=COLUMNS(metadata!B864:D864)</f>
        <v>1</v>
      </c>
      <c r="M864" t="str">
        <v/>
      </c>
      <c r="O864" t="b">
        <f ca="1"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P864" t="b">
        <f>AND(IF(metadata!C864="",FALSE,TRUE),EXACT(metadata!C864,"mouse gut metagenome"))</f>
        <v>0</v>
      </c>
      <c r="Q864" t="b">
        <f>AND(IF(metadata!D864="",FALSE,TRUE),EXACT(metadata!D864,"410661"))</f>
        <v>0</v>
      </c>
    </row>
    <row r="865" spans="1:17" x14ac:dyDescent="0.2">
      <c r="A865" s="4" t="str">
        <f ca="1">IF(B865=" "," ",HYPERLINK(CONCATENATE("#metadata!",ADDRESS(INDEX($J$2:$J$1001,MATCH(ROWS($H$2:H865),$H$2:$H$1001,0),0),1)),INDEX($M$2:$M$1001,MATCH(ROWS($H$2:H865),$H$2:$H$1001,0),0)))</f>
        <v xml:space="preserve"> </v>
      </c>
      <c r="B865" s="3" t="str">
        <f ca="1">IF(OR(INDEX($I$2:$I$1001,MATCH(ROWS($H$2:H865),$H$2:$H$1001,0),1)&gt;=100000,INDEX($O$1005:$Q$1005,1,MATCH(COLUMNS($O$1006:O1006),$O$1006:$Q$1006,0))&gt;=100000), " ",IF(INDEX($O$2:$Q$1001,MATCH(ROWS($H$2:H865),$H$2:$H$1001,0),MATCH(COLUMNS($O$1006:O1006),$O$1006:$Q$1006,0)), HYPERLINK("#",""), HYPERLINK(CONCATENATE("#metadata!", ADDRESS(INDEX($J$2:$J$1001,MATCH(ROWS($H$2:H865),$H$2:$H$1001,0),0), INDEX($O$1004:$Q$1004,1,MATCH(COLUMNS($O$1006:O1006),$O$1006:$Q$1006,0)))),"Fix")))</f>
        <v xml:space="preserve"> </v>
      </c>
      <c r="C865" s="3" t="str">
        <f ca="1">IF(OR(INDEX($I$2:$I$1001,MATCH(ROWS($H$2:H865),$H$2:$H$1001,0),1)&gt;=100000,INDEX($O$1005:$Q$1005,1,MATCH(COLUMNS($O$1006:P1006),$O$1006:$Q$1006,0))&gt;=100000), " ",IF(INDEX($O$2:$Q$1001,MATCH(ROWS($H$2:H865),$H$2:$H$1001,0),MATCH(COLUMNS($O$1006:P1006),$O$1006:$Q$1006,0)), HYPERLINK("#",""), HYPERLINK(CONCATENATE("#metadata!", ADDRESS(INDEX($J$2:$J$1001,MATCH(ROWS($H$2:H865),$H$2:$H$1001,0),0), INDEX($O$1004:$Q$1004,1,MATCH(COLUMNS($O$1006:P1006),$O$1006:$Q$1006,0)))),"Fix")))</f>
        <v xml:space="preserve"> </v>
      </c>
      <c r="D865" s="3" t="str">
        <f ca="1">IF(OR(INDEX($I$2:$I$1001,MATCH(ROWS($H$2:H865),$H$2:$H$1001,0),1)&gt;=100000,INDEX($O$1005:$Q$1005,1,MATCH(COLUMNS($O$1006:Q1006),$O$1006:$Q$1006,0))&gt;=100000), " ",IF(INDEX($O$2:$Q$1001,MATCH(ROWS($H$2:H865),$H$2:$H$1001,0),MATCH(COLUMNS($O$1006:Q1006),$O$1006:$Q$1006,0)), HYPERLINK("#",""), HYPERLINK(CONCATENATE("#metadata!", ADDRESS(INDEX($J$2:$J$1001,MATCH(ROWS($H$2:H865),$H$2:$H$1001,0),0), INDEX($O$1004:$Q$1004,1,MATCH(COLUMNS($O$1006:Q1006),$O$1006:$Q$1006,0)))),"Fix")))</f>
        <v xml:space="preserve"> </v>
      </c>
      <c r="H865">
        <v>864</v>
      </c>
      <c r="I865">
        <v>100865</v>
      </c>
      <c r="J865">
        <v>865</v>
      </c>
      <c r="K865" t="b">
        <f t="shared" si="13"/>
        <v>1</v>
      </c>
      <c r="L865" t="b">
        <f>COUNTBLANK(metadata!B865:D865)=COLUMNS(metadata!B865:D865)</f>
        <v>1</v>
      </c>
      <c r="M865" t="str">
        <v/>
      </c>
      <c r="O865" t="b">
        <f ca="1"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P865" t="b">
        <f>AND(IF(metadata!C865="",FALSE,TRUE),EXACT(metadata!C865,"mouse gut metagenome"))</f>
        <v>0</v>
      </c>
      <c r="Q865" t="b">
        <f>AND(IF(metadata!D865="",FALSE,TRUE),EXACT(metadata!D865,"410661"))</f>
        <v>0</v>
      </c>
    </row>
    <row r="866" spans="1:17" x14ac:dyDescent="0.2">
      <c r="A866" s="4" t="str">
        <f ca="1">IF(B866=" "," ",HYPERLINK(CONCATENATE("#metadata!",ADDRESS(INDEX($J$2:$J$1001,MATCH(ROWS($H$2:H866),$H$2:$H$1001,0),0),1)),INDEX($M$2:$M$1001,MATCH(ROWS($H$2:H866),$H$2:$H$1001,0),0)))</f>
        <v xml:space="preserve"> </v>
      </c>
      <c r="B866" s="3" t="str">
        <f ca="1">IF(OR(INDEX($I$2:$I$1001,MATCH(ROWS($H$2:H866),$H$2:$H$1001,0),1)&gt;=100000,INDEX($O$1005:$Q$1005,1,MATCH(COLUMNS($O$1006:O1006),$O$1006:$Q$1006,0))&gt;=100000), " ",IF(INDEX($O$2:$Q$1001,MATCH(ROWS($H$2:H866),$H$2:$H$1001,0),MATCH(COLUMNS($O$1006:O1006),$O$1006:$Q$1006,0)), HYPERLINK("#",""), HYPERLINK(CONCATENATE("#metadata!", ADDRESS(INDEX($J$2:$J$1001,MATCH(ROWS($H$2:H866),$H$2:$H$1001,0),0), INDEX($O$1004:$Q$1004,1,MATCH(COLUMNS($O$1006:O1006),$O$1006:$Q$1006,0)))),"Fix")))</f>
        <v xml:space="preserve"> </v>
      </c>
      <c r="C866" s="3" t="str">
        <f ca="1">IF(OR(INDEX($I$2:$I$1001,MATCH(ROWS($H$2:H866),$H$2:$H$1001,0),1)&gt;=100000,INDEX($O$1005:$Q$1005,1,MATCH(COLUMNS($O$1006:P1006),$O$1006:$Q$1006,0))&gt;=100000), " ",IF(INDEX($O$2:$Q$1001,MATCH(ROWS($H$2:H866),$H$2:$H$1001,0),MATCH(COLUMNS($O$1006:P1006),$O$1006:$Q$1006,0)), HYPERLINK("#",""), HYPERLINK(CONCATENATE("#metadata!", ADDRESS(INDEX($J$2:$J$1001,MATCH(ROWS($H$2:H866),$H$2:$H$1001,0),0), INDEX($O$1004:$Q$1004,1,MATCH(COLUMNS($O$1006:P1006),$O$1006:$Q$1006,0)))),"Fix")))</f>
        <v xml:space="preserve"> </v>
      </c>
      <c r="D866" s="3" t="str">
        <f ca="1">IF(OR(INDEX($I$2:$I$1001,MATCH(ROWS($H$2:H866),$H$2:$H$1001,0),1)&gt;=100000,INDEX($O$1005:$Q$1005,1,MATCH(COLUMNS($O$1006:Q1006),$O$1006:$Q$1006,0))&gt;=100000), " ",IF(INDEX($O$2:$Q$1001,MATCH(ROWS($H$2:H866),$H$2:$H$1001,0),MATCH(COLUMNS($O$1006:Q1006),$O$1006:$Q$1006,0)), HYPERLINK("#",""), HYPERLINK(CONCATENATE("#metadata!", ADDRESS(INDEX($J$2:$J$1001,MATCH(ROWS($H$2:H866),$H$2:$H$1001,0),0), INDEX($O$1004:$Q$1004,1,MATCH(COLUMNS($O$1006:Q1006),$O$1006:$Q$1006,0)))),"Fix")))</f>
        <v xml:space="preserve"> </v>
      </c>
      <c r="H866">
        <v>865</v>
      </c>
      <c r="I866">
        <v>100866</v>
      </c>
      <c r="J866">
        <v>866</v>
      </c>
      <c r="K866" t="b">
        <f t="shared" si="13"/>
        <v>1</v>
      </c>
      <c r="L866" t="b">
        <f>COUNTBLANK(metadata!B866:D866)=COLUMNS(metadata!B866:D866)</f>
        <v>1</v>
      </c>
      <c r="M866" t="str">
        <v/>
      </c>
      <c r="O866" t="b">
        <f ca="1"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P866" t="b">
        <f>AND(IF(metadata!C866="",FALSE,TRUE),EXACT(metadata!C866,"mouse gut metagenome"))</f>
        <v>0</v>
      </c>
      <c r="Q866" t="b">
        <f>AND(IF(metadata!D866="",FALSE,TRUE),EXACT(metadata!D866,"410661"))</f>
        <v>0</v>
      </c>
    </row>
    <row r="867" spans="1:17" x14ac:dyDescent="0.2">
      <c r="A867" s="4" t="str">
        <f ca="1">IF(B867=" "," ",HYPERLINK(CONCATENATE("#metadata!",ADDRESS(INDEX($J$2:$J$1001,MATCH(ROWS($H$2:H867),$H$2:$H$1001,0),0),1)),INDEX($M$2:$M$1001,MATCH(ROWS($H$2:H867),$H$2:$H$1001,0),0)))</f>
        <v xml:space="preserve"> </v>
      </c>
      <c r="B867" s="3" t="str">
        <f ca="1">IF(OR(INDEX($I$2:$I$1001,MATCH(ROWS($H$2:H867),$H$2:$H$1001,0),1)&gt;=100000,INDEX($O$1005:$Q$1005,1,MATCH(COLUMNS($O$1006:O1006),$O$1006:$Q$1006,0))&gt;=100000), " ",IF(INDEX($O$2:$Q$1001,MATCH(ROWS($H$2:H867),$H$2:$H$1001,0),MATCH(COLUMNS($O$1006:O1006),$O$1006:$Q$1006,0)), HYPERLINK("#",""), HYPERLINK(CONCATENATE("#metadata!", ADDRESS(INDEX($J$2:$J$1001,MATCH(ROWS($H$2:H867),$H$2:$H$1001,0),0), INDEX($O$1004:$Q$1004,1,MATCH(COLUMNS($O$1006:O1006),$O$1006:$Q$1006,0)))),"Fix")))</f>
        <v xml:space="preserve"> </v>
      </c>
      <c r="C867" s="3" t="str">
        <f ca="1">IF(OR(INDEX($I$2:$I$1001,MATCH(ROWS($H$2:H867),$H$2:$H$1001,0),1)&gt;=100000,INDEX($O$1005:$Q$1005,1,MATCH(COLUMNS($O$1006:P1006),$O$1006:$Q$1006,0))&gt;=100000), " ",IF(INDEX($O$2:$Q$1001,MATCH(ROWS($H$2:H867),$H$2:$H$1001,0),MATCH(COLUMNS($O$1006:P1006),$O$1006:$Q$1006,0)), HYPERLINK("#",""), HYPERLINK(CONCATENATE("#metadata!", ADDRESS(INDEX($J$2:$J$1001,MATCH(ROWS($H$2:H867),$H$2:$H$1001,0),0), INDEX($O$1004:$Q$1004,1,MATCH(COLUMNS($O$1006:P1006),$O$1006:$Q$1006,0)))),"Fix")))</f>
        <v xml:space="preserve"> </v>
      </c>
      <c r="D867" s="3" t="str">
        <f ca="1">IF(OR(INDEX($I$2:$I$1001,MATCH(ROWS($H$2:H867),$H$2:$H$1001,0),1)&gt;=100000,INDEX($O$1005:$Q$1005,1,MATCH(COLUMNS($O$1006:Q1006),$O$1006:$Q$1006,0))&gt;=100000), " ",IF(INDEX($O$2:$Q$1001,MATCH(ROWS($H$2:H867),$H$2:$H$1001,0),MATCH(COLUMNS($O$1006:Q1006),$O$1006:$Q$1006,0)), HYPERLINK("#",""), HYPERLINK(CONCATENATE("#metadata!", ADDRESS(INDEX($J$2:$J$1001,MATCH(ROWS($H$2:H867),$H$2:$H$1001,0),0), INDEX($O$1004:$Q$1004,1,MATCH(COLUMNS($O$1006:Q1006),$O$1006:$Q$1006,0)))),"Fix")))</f>
        <v xml:space="preserve"> </v>
      </c>
      <c r="H867">
        <v>866</v>
      </c>
      <c r="I867">
        <v>100867</v>
      </c>
      <c r="J867">
        <v>867</v>
      </c>
      <c r="K867" t="b">
        <f t="shared" si="13"/>
        <v>1</v>
      </c>
      <c r="L867" t="b">
        <f>COUNTBLANK(metadata!B867:D867)=COLUMNS(metadata!B867:D867)</f>
        <v>1</v>
      </c>
      <c r="M867" t="str">
        <v/>
      </c>
      <c r="O867" t="b">
        <f ca="1"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P867" t="b">
        <f>AND(IF(metadata!C867="",FALSE,TRUE),EXACT(metadata!C867,"mouse gut metagenome"))</f>
        <v>0</v>
      </c>
      <c r="Q867" t="b">
        <f>AND(IF(metadata!D867="",FALSE,TRUE),EXACT(metadata!D867,"410661"))</f>
        <v>0</v>
      </c>
    </row>
    <row r="868" spans="1:17" x14ac:dyDescent="0.2">
      <c r="A868" s="4" t="str">
        <f ca="1">IF(B868=" "," ",HYPERLINK(CONCATENATE("#metadata!",ADDRESS(INDEX($J$2:$J$1001,MATCH(ROWS($H$2:H868),$H$2:$H$1001,0),0),1)),INDEX($M$2:$M$1001,MATCH(ROWS($H$2:H868),$H$2:$H$1001,0),0)))</f>
        <v xml:space="preserve"> </v>
      </c>
      <c r="B868" s="3" t="str">
        <f ca="1">IF(OR(INDEX($I$2:$I$1001,MATCH(ROWS($H$2:H868),$H$2:$H$1001,0),1)&gt;=100000,INDEX($O$1005:$Q$1005,1,MATCH(COLUMNS($O$1006:O1006),$O$1006:$Q$1006,0))&gt;=100000), " ",IF(INDEX($O$2:$Q$1001,MATCH(ROWS($H$2:H868),$H$2:$H$1001,0),MATCH(COLUMNS($O$1006:O1006),$O$1006:$Q$1006,0)), HYPERLINK("#",""), HYPERLINK(CONCATENATE("#metadata!", ADDRESS(INDEX($J$2:$J$1001,MATCH(ROWS($H$2:H868),$H$2:$H$1001,0),0), INDEX($O$1004:$Q$1004,1,MATCH(COLUMNS($O$1006:O1006),$O$1006:$Q$1006,0)))),"Fix")))</f>
        <v xml:space="preserve"> </v>
      </c>
      <c r="C868" s="3" t="str">
        <f ca="1">IF(OR(INDEX($I$2:$I$1001,MATCH(ROWS($H$2:H868),$H$2:$H$1001,0),1)&gt;=100000,INDEX($O$1005:$Q$1005,1,MATCH(COLUMNS($O$1006:P1006),$O$1006:$Q$1006,0))&gt;=100000), " ",IF(INDEX($O$2:$Q$1001,MATCH(ROWS($H$2:H868),$H$2:$H$1001,0),MATCH(COLUMNS($O$1006:P1006),$O$1006:$Q$1006,0)), HYPERLINK("#",""), HYPERLINK(CONCATENATE("#metadata!", ADDRESS(INDEX($J$2:$J$1001,MATCH(ROWS($H$2:H868),$H$2:$H$1001,0),0), INDEX($O$1004:$Q$1004,1,MATCH(COLUMNS($O$1006:P1006),$O$1006:$Q$1006,0)))),"Fix")))</f>
        <v xml:space="preserve"> </v>
      </c>
      <c r="D868" s="3" t="str">
        <f ca="1">IF(OR(INDEX($I$2:$I$1001,MATCH(ROWS($H$2:H868),$H$2:$H$1001,0),1)&gt;=100000,INDEX($O$1005:$Q$1005,1,MATCH(COLUMNS($O$1006:Q1006),$O$1006:$Q$1006,0))&gt;=100000), " ",IF(INDEX($O$2:$Q$1001,MATCH(ROWS($H$2:H868),$H$2:$H$1001,0),MATCH(COLUMNS($O$1006:Q1006),$O$1006:$Q$1006,0)), HYPERLINK("#",""), HYPERLINK(CONCATENATE("#metadata!", ADDRESS(INDEX($J$2:$J$1001,MATCH(ROWS($H$2:H868),$H$2:$H$1001,0),0), INDEX($O$1004:$Q$1004,1,MATCH(COLUMNS($O$1006:Q1006),$O$1006:$Q$1006,0)))),"Fix")))</f>
        <v xml:space="preserve"> </v>
      </c>
      <c r="H868">
        <v>867</v>
      </c>
      <c r="I868">
        <v>100868</v>
      </c>
      <c r="J868">
        <v>868</v>
      </c>
      <c r="K868" t="b">
        <f t="shared" si="13"/>
        <v>1</v>
      </c>
      <c r="L868" t="b">
        <f>COUNTBLANK(metadata!B868:D868)=COLUMNS(metadata!B868:D868)</f>
        <v>1</v>
      </c>
      <c r="M868" t="str">
        <v/>
      </c>
      <c r="O868" t="b">
        <f ca="1"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P868" t="b">
        <f>AND(IF(metadata!C868="",FALSE,TRUE),EXACT(metadata!C868,"mouse gut metagenome"))</f>
        <v>0</v>
      </c>
      <c r="Q868" t="b">
        <f>AND(IF(metadata!D868="",FALSE,TRUE),EXACT(metadata!D868,"410661"))</f>
        <v>0</v>
      </c>
    </row>
    <row r="869" spans="1:17" x14ac:dyDescent="0.2">
      <c r="A869" s="4" t="str">
        <f ca="1">IF(B869=" "," ",HYPERLINK(CONCATENATE("#metadata!",ADDRESS(INDEX($J$2:$J$1001,MATCH(ROWS($H$2:H869),$H$2:$H$1001,0),0),1)),INDEX($M$2:$M$1001,MATCH(ROWS($H$2:H869),$H$2:$H$1001,0),0)))</f>
        <v xml:space="preserve"> </v>
      </c>
      <c r="B869" s="3" t="str">
        <f ca="1">IF(OR(INDEX($I$2:$I$1001,MATCH(ROWS($H$2:H869),$H$2:$H$1001,0),1)&gt;=100000,INDEX($O$1005:$Q$1005,1,MATCH(COLUMNS($O$1006:O1006),$O$1006:$Q$1006,0))&gt;=100000), " ",IF(INDEX($O$2:$Q$1001,MATCH(ROWS($H$2:H869),$H$2:$H$1001,0),MATCH(COLUMNS($O$1006:O1006),$O$1006:$Q$1006,0)), HYPERLINK("#",""), HYPERLINK(CONCATENATE("#metadata!", ADDRESS(INDEX($J$2:$J$1001,MATCH(ROWS($H$2:H869),$H$2:$H$1001,0),0), INDEX($O$1004:$Q$1004,1,MATCH(COLUMNS($O$1006:O1006),$O$1006:$Q$1006,0)))),"Fix")))</f>
        <v xml:space="preserve"> </v>
      </c>
      <c r="C869" s="3" t="str">
        <f ca="1">IF(OR(INDEX($I$2:$I$1001,MATCH(ROWS($H$2:H869),$H$2:$H$1001,0),1)&gt;=100000,INDEX($O$1005:$Q$1005,1,MATCH(COLUMNS($O$1006:P1006),$O$1006:$Q$1006,0))&gt;=100000), " ",IF(INDEX($O$2:$Q$1001,MATCH(ROWS($H$2:H869),$H$2:$H$1001,0),MATCH(COLUMNS($O$1006:P1006),$O$1006:$Q$1006,0)), HYPERLINK("#",""), HYPERLINK(CONCATENATE("#metadata!", ADDRESS(INDEX($J$2:$J$1001,MATCH(ROWS($H$2:H869),$H$2:$H$1001,0),0), INDEX($O$1004:$Q$1004,1,MATCH(COLUMNS($O$1006:P1006),$O$1006:$Q$1006,0)))),"Fix")))</f>
        <v xml:space="preserve"> </v>
      </c>
      <c r="D869" s="3" t="str">
        <f ca="1">IF(OR(INDEX($I$2:$I$1001,MATCH(ROWS($H$2:H869),$H$2:$H$1001,0),1)&gt;=100000,INDEX($O$1005:$Q$1005,1,MATCH(COLUMNS($O$1006:Q1006),$O$1006:$Q$1006,0))&gt;=100000), " ",IF(INDEX($O$2:$Q$1001,MATCH(ROWS($H$2:H869),$H$2:$H$1001,0),MATCH(COLUMNS($O$1006:Q1006),$O$1006:$Q$1006,0)), HYPERLINK("#",""), HYPERLINK(CONCATENATE("#metadata!", ADDRESS(INDEX($J$2:$J$1001,MATCH(ROWS($H$2:H869),$H$2:$H$1001,0),0), INDEX($O$1004:$Q$1004,1,MATCH(COLUMNS($O$1006:Q1006),$O$1006:$Q$1006,0)))),"Fix")))</f>
        <v xml:space="preserve"> </v>
      </c>
      <c r="H869">
        <v>868</v>
      </c>
      <c r="I869">
        <v>100869</v>
      </c>
      <c r="J869">
        <v>869</v>
      </c>
      <c r="K869" t="b">
        <f t="shared" si="13"/>
        <v>1</v>
      </c>
      <c r="L869" t="b">
        <f>COUNTBLANK(metadata!B869:D869)=COLUMNS(metadata!B869:D869)</f>
        <v>1</v>
      </c>
      <c r="M869" t="str">
        <v/>
      </c>
      <c r="O869" t="b">
        <f ca="1"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P869" t="b">
        <f>AND(IF(metadata!C869="",FALSE,TRUE),EXACT(metadata!C869,"mouse gut metagenome"))</f>
        <v>0</v>
      </c>
      <c r="Q869" t="b">
        <f>AND(IF(metadata!D869="",FALSE,TRUE),EXACT(metadata!D869,"410661"))</f>
        <v>0</v>
      </c>
    </row>
    <row r="870" spans="1:17" x14ac:dyDescent="0.2">
      <c r="A870" s="4" t="str">
        <f ca="1">IF(B870=" "," ",HYPERLINK(CONCATENATE("#metadata!",ADDRESS(INDEX($J$2:$J$1001,MATCH(ROWS($H$2:H870),$H$2:$H$1001,0),0),1)),INDEX($M$2:$M$1001,MATCH(ROWS($H$2:H870),$H$2:$H$1001,0),0)))</f>
        <v xml:space="preserve"> </v>
      </c>
      <c r="B870" s="3" t="str">
        <f ca="1">IF(OR(INDEX($I$2:$I$1001,MATCH(ROWS($H$2:H870),$H$2:$H$1001,0),1)&gt;=100000,INDEX($O$1005:$Q$1005,1,MATCH(COLUMNS($O$1006:O1006),$O$1006:$Q$1006,0))&gt;=100000), " ",IF(INDEX($O$2:$Q$1001,MATCH(ROWS($H$2:H870),$H$2:$H$1001,0),MATCH(COLUMNS($O$1006:O1006),$O$1006:$Q$1006,0)), HYPERLINK("#",""), HYPERLINK(CONCATENATE("#metadata!", ADDRESS(INDEX($J$2:$J$1001,MATCH(ROWS($H$2:H870),$H$2:$H$1001,0),0), INDEX($O$1004:$Q$1004,1,MATCH(COLUMNS($O$1006:O1006),$O$1006:$Q$1006,0)))),"Fix")))</f>
        <v xml:space="preserve"> </v>
      </c>
      <c r="C870" s="3" t="str">
        <f ca="1">IF(OR(INDEX($I$2:$I$1001,MATCH(ROWS($H$2:H870),$H$2:$H$1001,0),1)&gt;=100000,INDEX($O$1005:$Q$1005,1,MATCH(COLUMNS($O$1006:P1006),$O$1006:$Q$1006,0))&gt;=100000), " ",IF(INDEX($O$2:$Q$1001,MATCH(ROWS($H$2:H870),$H$2:$H$1001,0),MATCH(COLUMNS($O$1006:P1006),$O$1006:$Q$1006,0)), HYPERLINK("#",""), HYPERLINK(CONCATENATE("#metadata!", ADDRESS(INDEX($J$2:$J$1001,MATCH(ROWS($H$2:H870),$H$2:$H$1001,0),0), INDEX($O$1004:$Q$1004,1,MATCH(COLUMNS($O$1006:P1006),$O$1006:$Q$1006,0)))),"Fix")))</f>
        <v xml:space="preserve"> </v>
      </c>
      <c r="D870" s="3" t="str">
        <f ca="1">IF(OR(INDEX($I$2:$I$1001,MATCH(ROWS($H$2:H870),$H$2:$H$1001,0),1)&gt;=100000,INDEX($O$1005:$Q$1005,1,MATCH(COLUMNS($O$1006:Q1006),$O$1006:$Q$1006,0))&gt;=100000), " ",IF(INDEX($O$2:$Q$1001,MATCH(ROWS($H$2:H870),$H$2:$H$1001,0),MATCH(COLUMNS($O$1006:Q1006),$O$1006:$Q$1006,0)), HYPERLINK("#",""), HYPERLINK(CONCATENATE("#metadata!", ADDRESS(INDEX($J$2:$J$1001,MATCH(ROWS($H$2:H870),$H$2:$H$1001,0),0), INDEX($O$1004:$Q$1004,1,MATCH(COLUMNS($O$1006:Q1006),$O$1006:$Q$1006,0)))),"Fix")))</f>
        <v xml:space="preserve"> </v>
      </c>
      <c r="H870">
        <v>869</v>
      </c>
      <c r="I870">
        <v>100870</v>
      </c>
      <c r="J870">
        <v>870</v>
      </c>
      <c r="K870" t="b">
        <f t="shared" si="13"/>
        <v>1</v>
      </c>
      <c r="L870" t="b">
        <f>COUNTBLANK(metadata!B870:D870)=COLUMNS(metadata!B870:D870)</f>
        <v>1</v>
      </c>
      <c r="M870" t="str">
        <v/>
      </c>
      <c r="O870" t="b">
        <f ca="1"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P870" t="b">
        <f>AND(IF(metadata!C870="",FALSE,TRUE),EXACT(metadata!C870,"mouse gut metagenome"))</f>
        <v>0</v>
      </c>
      <c r="Q870" t="b">
        <f>AND(IF(metadata!D870="",FALSE,TRUE),EXACT(metadata!D870,"410661"))</f>
        <v>0</v>
      </c>
    </row>
    <row r="871" spans="1:17" x14ac:dyDescent="0.2">
      <c r="A871" s="4" t="str">
        <f ca="1">IF(B871=" "," ",HYPERLINK(CONCATENATE("#metadata!",ADDRESS(INDEX($J$2:$J$1001,MATCH(ROWS($H$2:H871),$H$2:$H$1001,0),0),1)),INDEX($M$2:$M$1001,MATCH(ROWS($H$2:H871),$H$2:$H$1001,0),0)))</f>
        <v xml:space="preserve"> </v>
      </c>
      <c r="B871" s="3" t="str">
        <f ca="1">IF(OR(INDEX($I$2:$I$1001,MATCH(ROWS($H$2:H871),$H$2:$H$1001,0),1)&gt;=100000,INDEX($O$1005:$Q$1005,1,MATCH(COLUMNS($O$1006:O1006),$O$1006:$Q$1006,0))&gt;=100000), " ",IF(INDEX($O$2:$Q$1001,MATCH(ROWS($H$2:H871),$H$2:$H$1001,0),MATCH(COLUMNS($O$1006:O1006),$O$1006:$Q$1006,0)), HYPERLINK("#",""), HYPERLINK(CONCATENATE("#metadata!", ADDRESS(INDEX($J$2:$J$1001,MATCH(ROWS($H$2:H871),$H$2:$H$1001,0),0), INDEX($O$1004:$Q$1004,1,MATCH(COLUMNS($O$1006:O1006),$O$1006:$Q$1006,0)))),"Fix")))</f>
        <v xml:space="preserve"> </v>
      </c>
      <c r="C871" s="3" t="str">
        <f ca="1">IF(OR(INDEX($I$2:$I$1001,MATCH(ROWS($H$2:H871),$H$2:$H$1001,0),1)&gt;=100000,INDEX($O$1005:$Q$1005,1,MATCH(COLUMNS($O$1006:P1006),$O$1006:$Q$1006,0))&gt;=100000), " ",IF(INDEX($O$2:$Q$1001,MATCH(ROWS($H$2:H871),$H$2:$H$1001,0),MATCH(COLUMNS($O$1006:P1006),$O$1006:$Q$1006,0)), HYPERLINK("#",""), HYPERLINK(CONCATENATE("#metadata!", ADDRESS(INDEX($J$2:$J$1001,MATCH(ROWS($H$2:H871),$H$2:$H$1001,0),0), INDEX($O$1004:$Q$1004,1,MATCH(COLUMNS($O$1006:P1006),$O$1006:$Q$1006,0)))),"Fix")))</f>
        <v xml:space="preserve"> </v>
      </c>
      <c r="D871" s="3" t="str">
        <f ca="1">IF(OR(INDEX($I$2:$I$1001,MATCH(ROWS($H$2:H871),$H$2:$H$1001,0),1)&gt;=100000,INDEX($O$1005:$Q$1005,1,MATCH(COLUMNS($O$1006:Q1006),$O$1006:$Q$1006,0))&gt;=100000), " ",IF(INDEX($O$2:$Q$1001,MATCH(ROWS($H$2:H871),$H$2:$H$1001,0),MATCH(COLUMNS($O$1006:Q1006),$O$1006:$Q$1006,0)), HYPERLINK("#",""), HYPERLINK(CONCATENATE("#metadata!", ADDRESS(INDEX($J$2:$J$1001,MATCH(ROWS($H$2:H871),$H$2:$H$1001,0),0), INDEX($O$1004:$Q$1004,1,MATCH(COLUMNS($O$1006:Q1006),$O$1006:$Q$1006,0)))),"Fix")))</f>
        <v xml:space="preserve"> </v>
      </c>
      <c r="H871">
        <v>870</v>
      </c>
      <c r="I871">
        <v>100871</v>
      </c>
      <c r="J871">
        <v>871</v>
      </c>
      <c r="K871" t="b">
        <f t="shared" si="13"/>
        <v>1</v>
      </c>
      <c r="L871" t="b">
        <f>COUNTBLANK(metadata!B871:D871)=COLUMNS(metadata!B871:D871)</f>
        <v>1</v>
      </c>
      <c r="M871" t="str">
        <v/>
      </c>
      <c r="O871" t="b">
        <f ca="1"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P871" t="b">
        <f>AND(IF(metadata!C871="",FALSE,TRUE),EXACT(metadata!C871,"mouse gut metagenome"))</f>
        <v>0</v>
      </c>
      <c r="Q871" t="b">
        <f>AND(IF(metadata!D871="",FALSE,TRUE),EXACT(metadata!D871,"410661"))</f>
        <v>0</v>
      </c>
    </row>
    <row r="872" spans="1:17" x14ac:dyDescent="0.2">
      <c r="A872" s="4" t="str">
        <f ca="1">IF(B872=" "," ",HYPERLINK(CONCATENATE("#metadata!",ADDRESS(INDEX($J$2:$J$1001,MATCH(ROWS($H$2:H872),$H$2:$H$1001,0),0),1)),INDEX($M$2:$M$1001,MATCH(ROWS($H$2:H872),$H$2:$H$1001,0),0)))</f>
        <v xml:space="preserve"> </v>
      </c>
      <c r="B872" s="3" t="str">
        <f ca="1">IF(OR(INDEX($I$2:$I$1001,MATCH(ROWS($H$2:H872),$H$2:$H$1001,0),1)&gt;=100000,INDEX($O$1005:$Q$1005,1,MATCH(COLUMNS($O$1006:O1006),$O$1006:$Q$1006,0))&gt;=100000), " ",IF(INDEX($O$2:$Q$1001,MATCH(ROWS($H$2:H872),$H$2:$H$1001,0),MATCH(COLUMNS($O$1006:O1006),$O$1006:$Q$1006,0)), HYPERLINK("#",""), HYPERLINK(CONCATENATE("#metadata!", ADDRESS(INDEX($J$2:$J$1001,MATCH(ROWS($H$2:H872),$H$2:$H$1001,0),0), INDEX($O$1004:$Q$1004,1,MATCH(COLUMNS($O$1006:O1006),$O$1006:$Q$1006,0)))),"Fix")))</f>
        <v xml:space="preserve"> </v>
      </c>
      <c r="C872" s="3" t="str">
        <f ca="1">IF(OR(INDEX($I$2:$I$1001,MATCH(ROWS($H$2:H872),$H$2:$H$1001,0),1)&gt;=100000,INDEX($O$1005:$Q$1005,1,MATCH(COLUMNS($O$1006:P1006),$O$1006:$Q$1006,0))&gt;=100000), " ",IF(INDEX($O$2:$Q$1001,MATCH(ROWS($H$2:H872),$H$2:$H$1001,0),MATCH(COLUMNS($O$1006:P1006),$O$1006:$Q$1006,0)), HYPERLINK("#",""), HYPERLINK(CONCATENATE("#metadata!", ADDRESS(INDEX($J$2:$J$1001,MATCH(ROWS($H$2:H872),$H$2:$H$1001,0),0), INDEX($O$1004:$Q$1004,1,MATCH(COLUMNS($O$1006:P1006),$O$1006:$Q$1006,0)))),"Fix")))</f>
        <v xml:space="preserve"> </v>
      </c>
      <c r="D872" s="3" t="str">
        <f ca="1">IF(OR(INDEX($I$2:$I$1001,MATCH(ROWS($H$2:H872),$H$2:$H$1001,0),1)&gt;=100000,INDEX($O$1005:$Q$1005,1,MATCH(COLUMNS($O$1006:Q1006),$O$1006:$Q$1006,0))&gt;=100000), " ",IF(INDEX($O$2:$Q$1001,MATCH(ROWS($H$2:H872),$H$2:$H$1001,0),MATCH(COLUMNS($O$1006:Q1006),$O$1006:$Q$1006,0)), HYPERLINK("#",""), HYPERLINK(CONCATENATE("#metadata!", ADDRESS(INDEX($J$2:$J$1001,MATCH(ROWS($H$2:H872),$H$2:$H$1001,0),0), INDEX($O$1004:$Q$1004,1,MATCH(COLUMNS($O$1006:Q1006),$O$1006:$Q$1006,0)))),"Fix")))</f>
        <v xml:space="preserve"> </v>
      </c>
      <c r="H872">
        <v>871</v>
      </c>
      <c r="I872">
        <v>100872</v>
      </c>
      <c r="J872">
        <v>872</v>
      </c>
      <c r="K872" t="b">
        <f t="shared" si="13"/>
        <v>1</v>
      </c>
      <c r="L872" t="b">
        <f>COUNTBLANK(metadata!B872:D872)=COLUMNS(metadata!B872:D872)</f>
        <v>1</v>
      </c>
      <c r="M872" t="str">
        <v/>
      </c>
      <c r="O872" t="b">
        <f ca="1"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P872" t="b">
        <f>AND(IF(metadata!C872="",FALSE,TRUE),EXACT(metadata!C872,"mouse gut metagenome"))</f>
        <v>0</v>
      </c>
      <c r="Q872" t="b">
        <f>AND(IF(metadata!D872="",FALSE,TRUE),EXACT(metadata!D872,"410661"))</f>
        <v>0</v>
      </c>
    </row>
    <row r="873" spans="1:17" x14ac:dyDescent="0.2">
      <c r="A873" s="4" t="str">
        <f ca="1">IF(B873=" "," ",HYPERLINK(CONCATENATE("#metadata!",ADDRESS(INDEX($J$2:$J$1001,MATCH(ROWS($H$2:H873),$H$2:$H$1001,0),0),1)),INDEX($M$2:$M$1001,MATCH(ROWS($H$2:H873),$H$2:$H$1001,0),0)))</f>
        <v xml:space="preserve"> </v>
      </c>
      <c r="B873" s="3" t="str">
        <f ca="1">IF(OR(INDEX($I$2:$I$1001,MATCH(ROWS($H$2:H873),$H$2:$H$1001,0),1)&gt;=100000,INDEX($O$1005:$Q$1005,1,MATCH(COLUMNS($O$1006:O1006),$O$1006:$Q$1006,0))&gt;=100000), " ",IF(INDEX($O$2:$Q$1001,MATCH(ROWS($H$2:H873),$H$2:$H$1001,0),MATCH(COLUMNS($O$1006:O1006),$O$1006:$Q$1006,0)), HYPERLINK("#",""), HYPERLINK(CONCATENATE("#metadata!", ADDRESS(INDEX($J$2:$J$1001,MATCH(ROWS($H$2:H873),$H$2:$H$1001,0),0), INDEX($O$1004:$Q$1004,1,MATCH(COLUMNS($O$1006:O1006),$O$1006:$Q$1006,0)))),"Fix")))</f>
        <v xml:space="preserve"> </v>
      </c>
      <c r="C873" s="3" t="str">
        <f ca="1">IF(OR(INDEX($I$2:$I$1001,MATCH(ROWS($H$2:H873),$H$2:$H$1001,0),1)&gt;=100000,INDEX($O$1005:$Q$1005,1,MATCH(COLUMNS($O$1006:P1006),$O$1006:$Q$1006,0))&gt;=100000), " ",IF(INDEX($O$2:$Q$1001,MATCH(ROWS($H$2:H873),$H$2:$H$1001,0),MATCH(COLUMNS($O$1006:P1006),$O$1006:$Q$1006,0)), HYPERLINK("#",""), HYPERLINK(CONCATENATE("#metadata!", ADDRESS(INDEX($J$2:$J$1001,MATCH(ROWS($H$2:H873),$H$2:$H$1001,0),0), INDEX($O$1004:$Q$1004,1,MATCH(COLUMNS($O$1006:P1006),$O$1006:$Q$1006,0)))),"Fix")))</f>
        <v xml:space="preserve"> </v>
      </c>
      <c r="D873" s="3" t="str">
        <f ca="1">IF(OR(INDEX($I$2:$I$1001,MATCH(ROWS($H$2:H873),$H$2:$H$1001,0),1)&gt;=100000,INDEX($O$1005:$Q$1005,1,MATCH(COLUMNS($O$1006:Q1006),$O$1006:$Q$1006,0))&gt;=100000), " ",IF(INDEX($O$2:$Q$1001,MATCH(ROWS($H$2:H873),$H$2:$H$1001,0),MATCH(COLUMNS($O$1006:Q1006),$O$1006:$Q$1006,0)), HYPERLINK("#",""), HYPERLINK(CONCATENATE("#metadata!", ADDRESS(INDEX($J$2:$J$1001,MATCH(ROWS($H$2:H873),$H$2:$H$1001,0),0), INDEX($O$1004:$Q$1004,1,MATCH(COLUMNS($O$1006:Q1006),$O$1006:$Q$1006,0)))),"Fix")))</f>
        <v xml:space="preserve"> </v>
      </c>
      <c r="H873">
        <v>872</v>
      </c>
      <c r="I873">
        <v>100873</v>
      </c>
      <c r="J873">
        <v>873</v>
      </c>
      <c r="K873" t="b">
        <f t="shared" si="13"/>
        <v>1</v>
      </c>
      <c r="L873" t="b">
        <f>COUNTBLANK(metadata!B873:D873)=COLUMNS(metadata!B873:D873)</f>
        <v>1</v>
      </c>
      <c r="M873" t="str">
        <v/>
      </c>
      <c r="O873" t="b">
        <f ca="1"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P873" t="b">
        <f>AND(IF(metadata!C873="",FALSE,TRUE),EXACT(metadata!C873,"mouse gut metagenome"))</f>
        <v>0</v>
      </c>
      <c r="Q873" t="b">
        <f>AND(IF(metadata!D873="",FALSE,TRUE),EXACT(metadata!D873,"410661"))</f>
        <v>0</v>
      </c>
    </row>
    <row r="874" spans="1:17" x14ac:dyDescent="0.2">
      <c r="A874" s="4" t="str">
        <f ca="1">IF(B874=" "," ",HYPERLINK(CONCATENATE("#metadata!",ADDRESS(INDEX($J$2:$J$1001,MATCH(ROWS($H$2:H874),$H$2:$H$1001,0),0),1)),INDEX($M$2:$M$1001,MATCH(ROWS($H$2:H874),$H$2:$H$1001,0),0)))</f>
        <v xml:space="preserve"> </v>
      </c>
      <c r="B874" s="3" t="str">
        <f ca="1">IF(OR(INDEX($I$2:$I$1001,MATCH(ROWS($H$2:H874),$H$2:$H$1001,0),1)&gt;=100000,INDEX($O$1005:$Q$1005,1,MATCH(COLUMNS($O$1006:O1006),$O$1006:$Q$1006,0))&gt;=100000), " ",IF(INDEX($O$2:$Q$1001,MATCH(ROWS($H$2:H874),$H$2:$H$1001,0),MATCH(COLUMNS($O$1006:O1006),$O$1006:$Q$1006,0)), HYPERLINK("#",""), HYPERLINK(CONCATENATE("#metadata!", ADDRESS(INDEX($J$2:$J$1001,MATCH(ROWS($H$2:H874),$H$2:$H$1001,0),0), INDEX($O$1004:$Q$1004,1,MATCH(COLUMNS($O$1006:O1006),$O$1006:$Q$1006,0)))),"Fix")))</f>
        <v xml:space="preserve"> </v>
      </c>
      <c r="C874" s="3" t="str">
        <f ca="1">IF(OR(INDEX($I$2:$I$1001,MATCH(ROWS($H$2:H874),$H$2:$H$1001,0),1)&gt;=100000,INDEX($O$1005:$Q$1005,1,MATCH(COLUMNS($O$1006:P1006),$O$1006:$Q$1006,0))&gt;=100000), " ",IF(INDEX($O$2:$Q$1001,MATCH(ROWS($H$2:H874),$H$2:$H$1001,0),MATCH(COLUMNS($O$1006:P1006),$O$1006:$Q$1006,0)), HYPERLINK("#",""), HYPERLINK(CONCATENATE("#metadata!", ADDRESS(INDEX($J$2:$J$1001,MATCH(ROWS($H$2:H874),$H$2:$H$1001,0),0), INDEX($O$1004:$Q$1004,1,MATCH(COLUMNS($O$1006:P1006),$O$1006:$Q$1006,0)))),"Fix")))</f>
        <v xml:space="preserve"> </v>
      </c>
      <c r="D874" s="3" t="str">
        <f ca="1">IF(OR(INDEX($I$2:$I$1001,MATCH(ROWS($H$2:H874),$H$2:$H$1001,0),1)&gt;=100000,INDEX($O$1005:$Q$1005,1,MATCH(COLUMNS($O$1006:Q1006),$O$1006:$Q$1006,0))&gt;=100000), " ",IF(INDEX($O$2:$Q$1001,MATCH(ROWS($H$2:H874),$H$2:$H$1001,0),MATCH(COLUMNS($O$1006:Q1006),$O$1006:$Q$1006,0)), HYPERLINK("#",""), HYPERLINK(CONCATENATE("#metadata!", ADDRESS(INDEX($J$2:$J$1001,MATCH(ROWS($H$2:H874),$H$2:$H$1001,0),0), INDEX($O$1004:$Q$1004,1,MATCH(COLUMNS($O$1006:Q1006),$O$1006:$Q$1006,0)))),"Fix")))</f>
        <v xml:space="preserve"> </v>
      </c>
      <c r="H874">
        <v>873</v>
      </c>
      <c r="I874">
        <v>100874</v>
      </c>
      <c r="J874">
        <v>874</v>
      </c>
      <c r="K874" t="b">
        <f t="shared" si="13"/>
        <v>1</v>
      </c>
      <c r="L874" t="b">
        <f>COUNTBLANK(metadata!B874:D874)=COLUMNS(metadata!B874:D874)</f>
        <v>1</v>
      </c>
      <c r="M874" t="str">
        <v/>
      </c>
      <c r="O874" t="b">
        <f ca="1"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P874" t="b">
        <f>AND(IF(metadata!C874="",FALSE,TRUE),EXACT(metadata!C874,"mouse gut metagenome"))</f>
        <v>0</v>
      </c>
      <c r="Q874" t="b">
        <f>AND(IF(metadata!D874="",FALSE,TRUE),EXACT(metadata!D874,"410661"))</f>
        <v>0</v>
      </c>
    </row>
    <row r="875" spans="1:17" x14ac:dyDescent="0.2">
      <c r="A875" s="4" t="str">
        <f ca="1">IF(B875=" "," ",HYPERLINK(CONCATENATE("#metadata!",ADDRESS(INDEX($J$2:$J$1001,MATCH(ROWS($H$2:H875),$H$2:$H$1001,0),0),1)),INDEX($M$2:$M$1001,MATCH(ROWS($H$2:H875),$H$2:$H$1001,0),0)))</f>
        <v xml:space="preserve"> </v>
      </c>
      <c r="B875" s="3" t="str">
        <f ca="1">IF(OR(INDEX($I$2:$I$1001,MATCH(ROWS($H$2:H875),$H$2:$H$1001,0),1)&gt;=100000,INDEX($O$1005:$Q$1005,1,MATCH(COLUMNS($O$1006:O1006),$O$1006:$Q$1006,0))&gt;=100000), " ",IF(INDEX($O$2:$Q$1001,MATCH(ROWS($H$2:H875),$H$2:$H$1001,0),MATCH(COLUMNS($O$1006:O1006),$O$1006:$Q$1006,0)), HYPERLINK("#",""), HYPERLINK(CONCATENATE("#metadata!", ADDRESS(INDEX($J$2:$J$1001,MATCH(ROWS($H$2:H875),$H$2:$H$1001,0),0), INDEX($O$1004:$Q$1004,1,MATCH(COLUMNS($O$1006:O1006),$O$1006:$Q$1006,0)))),"Fix")))</f>
        <v xml:space="preserve"> </v>
      </c>
      <c r="C875" s="3" t="str">
        <f ca="1">IF(OR(INDEX($I$2:$I$1001,MATCH(ROWS($H$2:H875),$H$2:$H$1001,0),1)&gt;=100000,INDEX($O$1005:$Q$1005,1,MATCH(COLUMNS($O$1006:P1006),$O$1006:$Q$1006,0))&gt;=100000), " ",IF(INDEX($O$2:$Q$1001,MATCH(ROWS($H$2:H875),$H$2:$H$1001,0),MATCH(COLUMNS($O$1006:P1006),$O$1006:$Q$1006,0)), HYPERLINK("#",""), HYPERLINK(CONCATENATE("#metadata!", ADDRESS(INDEX($J$2:$J$1001,MATCH(ROWS($H$2:H875),$H$2:$H$1001,0),0), INDEX($O$1004:$Q$1004,1,MATCH(COLUMNS($O$1006:P1006),$O$1006:$Q$1006,0)))),"Fix")))</f>
        <v xml:space="preserve"> </v>
      </c>
      <c r="D875" s="3" t="str">
        <f ca="1">IF(OR(INDEX($I$2:$I$1001,MATCH(ROWS($H$2:H875),$H$2:$H$1001,0),1)&gt;=100000,INDEX($O$1005:$Q$1005,1,MATCH(COLUMNS($O$1006:Q1006),$O$1006:$Q$1006,0))&gt;=100000), " ",IF(INDEX($O$2:$Q$1001,MATCH(ROWS($H$2:H875),$H$2:$H$1001,0),MATCH(COLUMNS($O$1006:Q1006),$O$1006:$Q$1006,0)), HYPERLINK("#",""), HYPERLINK(CONCATENATE("#metadata!", ADDRESS(INDEX($J$2:$J$1001,MATCH(ROWS($H$2:H875),$H$2:$H$1001,0),0), INDEX($O$1004:$Q$1004,1,MATCH(COLUMNS($O$1006:Q1006),$O$1006:$Q$1006,0)))),"Fix")))</f>
        <v xml:space="preserve"> </v>
      </c>
      <c r="H875">
        <v>874</v>
      </c>
      <c r="I875">
        <v>100875</v>
      </c>
      <c r="J875">
        <v>875</v>
      </c>
      <c r="K875" t="b">
        <f t="shared" si="13"/>
        <v>1</v>
      </c>
      <c r="L875" t="b">
        <f>COUNTBLANK(metadata!B875:D875)=COLUMNS(metadata!B875:D875)</f>
        <v>1</v>
      </c>
      <c r="M875" t="str">
        <v/>
      </c>
      <c r="O875" t="b">
        <f ca="1"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P875" t="b">
        <f>AND(IF(metadata!C875="",FALSE,TRUE),EXACT(metadata!C875,"mouse gut metagenome"))</f>
        <v>0</v>
      </c>
      <c r="Q875" t="b">
        <f>AND(IF(metadata!D875="",FALSE,TRUE),EXACT(metadata!D875,"410661"))</f>
        <v>0</v>
      </c>
    </row>
    <row r="876" spans="1:17" x14ac:dyDescent="0.2">
      <c r="A876" s="4" t="str">
        <f ca="1">IF(B876=" "," ",HYPERLINK(CONCATENATE("#metadata!",ADDRESS(INDEX($J$2:$J$1001,MATCH(ROWS($H$2:H876),$H$2:$H$1001,0),0),1)),INDEX($M$2:$M$1001,MATCH(ROWS($H$2:H876),$H$2:$H$1001,0),0)))</f>
        <v xml:space="preserve"> </v>
      </c>
      <c r="B876" s="3" t="str">
        <f ca="1">IF(OR(INDEX($I$2:$I$1001,MATCH(ROWS($H$2:H876),$H$2:$H$1001,0),1)&gt;=100000,INDEX($O$1005:$Q$1005,1,MATCH(COLUMNS($O$1006:O1006),$O$1006:$Q$1006,0))&gt;=100000), " ",IF(INDEX($O$2:$Q$1001,MATCH(ROWS($H$2:H876),$H$2:$H$1001,0),MATCH(COLUMNS($O$1006:O1006),$O$1006:$Q$1006,0)), HYPERLINK("#",""), HYPERLINK(CONCATENATE("#metadata!", ADDRESS(INDEX($J$2:$J$1001,MATCH(ROWS($H$2:H876),$H$2:$H$1001,0),0), INDEX($O$1004:$Q$1004,1,MATCH(COLUMNS($O$1006:O1006),$O$1006:$Q$1006,0)))),"Fix")))</f>
        <v xml:space="preserve"> </v>
      </c>
      <c r="C876" s="3" t="str">
        <f ca="1">IF(OR(INDEX($I$2:$I$1001,MATCH(ROWS($H$2:H876),$H$2:$H$1001,0),1)&gt;=100000,INDEX($O$1005:$Q$1005,1,MATCH(COLUMNS($O$1006:P1006),$O$1006:$Q$1006,0))&gt;=100000), " ",IF(INDEX($O$2:$Q$1001,MATCH(ROWS($H$2:H876),$H$2:$H$1001,0),MATCH(COLUMNS($O$1006:P1006),$O$1006:$Q$1006,0)), HYPERLINK("#",""), HYPERLINK(CONCATENATE("#metadata!", ADDRESS(INDEX($J$2:$J$1001,MATCH(ROWS($H$2:H876),$H$2:$H$1001,0),0), INDEX($O$1004:$Q$1004,1,MATCH(COLUMNS($O$1006:P1006),$O$1006:$Q$1006,0)))),"Fix")))</f>
        <v xml:space="preserve"> </v>
      </c>
      <c r="D876" s="3" t="str">
        <f ca="1">IF(OR(INDEX($I$2:$I$1001,MATCH(ROWS($H$2:H876),$H$2:$H$1001,0),1)&gt;=100000,INDEX($O$1005:$Q$1005,1,MATCH(COLUMNS($O$1006:Q1006),$O$1006:$Q$1006,0))&gt;=100000), " ",IF(INDEX($O$2:$Q$1001,MATCH(ROWS($H$2:H876),$H$2:$H$1001,0),MATCH(COLUMNS($O$1006:Q1006),$O$1006:$Q$1006,0)), HYPERLINK("#",""), HYPERLINK(CONCATENATE("#metadata!", ADDRESS(INDEX($J$2:$J$1001,MATCH(ROWS($H$2:H876),$H$2:$H$1001,0),0), INDEX($O$1004:$Q$1004,1,MATCH(COLUMNS($O$1006:Q1006),$O$1006:$Q$1006,0)))),"Fix")))</f>
        <v xml:space="preserve"> </v>
      </c>
      <c r="H876">
        <v>875</v>
      </c>
      <c r="I876">
        <v>100876</v>
      </c>
      <c r="J876">
        <v>876</v>
      </c>
      <c r="K876" t="b">
        <f t="shared" si="13"/>
        <v>1</v>
      </c>
      <c r="L876" t="b">
        <f>COUNTBLANK(metadata!B876:D876)=COLUMNS(metadata!B876:D876)</f>
        <v>1</v>
      </c>
      <c r="M876" t="str">
        <v/>
      </c>
      <c r="O876" t="b">
        <f ca="1"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P876" t="b">
        <f>AND(IF(metadata!C876="",FALSE,TRUE),EXACT(metadata!C876,"mouse gut metagenome"))</f>
        <v>0</v>
      </c>
      <c r="Q876" t="b">
        <f>AND(IF(metadata!D876="",FALSE,TRUE),EXACT(metadata!D876,"410661"))</f>
        <v>0</v>
      </c>
    </row>
    <row r="877" spans="1:17" x14ac:dyDescent="0.2">
      <c r="A877" s="4" t="str">
        <f ca="1">IF(B877=" "," ",HYPERLINK(CONCATENATE("#metadata!",ADDRESS(INDEX($J$2:$J$1001,MATCH(ROWS($H$2:H877),$H$2:$H$1001,0),0),1)),INDEX($M$2:$M$1001,MATCH(ROWS($H$2:H877),$H$2:$H$1001,0),0)))</f>
        <v xml:space="preserve"> </v>
      </c>
      <c r="B877" s="3" t="str">
        <f ca="1">IF(OR(INDEX($I$2:$I$1001,MATCH(ROWS($H$2:H877),$H$2:$H$1001,0),1)&gt;=100000,INDEX($O$1005:$Q$1005,1,MATCH(COLUMNS($O$1006:O1006),$O$1006:$Q$1006,0))&gt;=100000), " ",IF(INDEX($O$2:$Q$1001,MATCH(ROWS($H$2:H877),$H$2:$H$1001,0),MATCH(COLUMNS($O$1006:O1006),$O$1006:$Q$1006,0)), HYPERLINK("#",""), HYPERLINK(CONCATENATE("#metadata!", ADDRESS(INDEX($J$2:$J$1001,MATCH(ROWS($H$2:H877),$H$2:$H$1001,0),0), INDEX($O$1004:$Q$1004,1,MATCH(COLUMNS($O$1006:O1006),$O$1006:$Q$1006,0)))),"Fix")))</f>
        <v xml:space="preserve"> </v>
      </c>
      <c r="C877" s="3" t="str">
        <f ca="1">IF(OR(INDEX($I$2:$I$1001,MATCH(ROWS($H$2:H877),$H$2:$H$1001,0),1)&gt;=100000,INDEX($O$1005:$Q$1005,1,MATCH(COLUMNS($O$1006:P1006),$O$1006:$Q$1006,0))&gt;=100000), " ",IF(INDEX($O$2:$Q$1001,MATCH(ROWS($H$2:H877),$H$2:$H$1001,0),MATCH(COLUMNS($O$1006:P1006),$O$1006:$Q$1006,0)), HYPERLINK("#",""), HYPERLINK(CONCATENATE("#metadata!", ADDRESS(INDEX($J$2:$J$1001,MATCH(ROWS($H$2:H877),$H$2:$H$1001,0),0), INDEX($O$1004:$Q$1004,1,MATCH(COLUMNS($O$1006:P1006),$O$1006:$Q$1006,0)))),"Fix")))</f>
        <v xml:space="preserve"> </v>
      </c>
      <c r="D877" s="3" t="str">
        <f ca="1">IF(OR(INDEX($I$2:$I$1001,MATCH(ROWS($H$2:H877),$H$2:$H$1001,0),1)&gt;=100000,INDEX($O$1005:$Q$1005,1,MATCH(COLUMNS($O$1006:Q1006),$O$1006:$Q$1006,0))&gt;=100000), " ",IF(INDEX($O$2:$Q$1001,MATCH(ROWS($H$2:H877),$H$2:$H$1001,0),MATCH(COLUMNS($O$1006:Q1006),$O$1006:$Q$1006,0)), HYPERLINK("#",""), HYPERLINK(CONCATENATE("#metadata!", ADDRESS(INDEX($J$2:$J$1001,MATCH(ROWS($H$2:H877),$H$2:$H$1001,0),0), INDEX($O$1004:$Q$1004,1,MATCH(COLUMNS($O$1006:Q1006),$O$1006:$Q$1006,0)))),"Fix")))</f>
        <v xml:space="preserve"> </v>
      </c>
      <c r="H877">
        <v>876</v>
      </c>
      <c r="I877">
        <v>100877</v>
      </c>
      <c r="J877">
        <v>877</v>
      </c>
      <c r="K877" t="b">
        <f t="shared" si="13"/>
        <v>1</v>
      </c>
      <c r="L877" t="b">
        <f>COUNTBLANK(metadata!B877:D877)=COLUMNS(metadata!B877:D877)</f>
        <v>1</v>
      </c>
      <c r="M877" t="str">
        <v/>
      </c>
      <c r="O877" t="b">
        <f ca="1"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P877" t="b">
        <f>AND(IF(metadata!C877="",FALSE,TRUE),EXACT(metadata!C877,"mouse gut metagenome"))</f>
        <v>0</v>
      </c>
      <c r="Q877" t="b">
        <f>AND(IF(metadata!D877="",FALSE,TRUE),EXACT(metadata!D877,"410661"))</f>
        <v>0</v>
      </c>
    </row>
    <row r="878" spans="1:17" x14ac:dyDescent="0.2">
      <c r="A878" s="4" t="str">
        <f ca="1">IF(B878=" "," ",HYPERLINK(CONCATENATE("#metadata!",ADDRESS(INDEX($J$2:$J$1001,MATCH(ROWS($H$2:H878),$H$2:$H$1001,0),0),1)),INDEX($M$2:$M$1001,MATCH(ROWS($H$2:H878),$H$2:$H$1001,0),0)))</f>
        <v xml:space="preserve"> </v>
      </c>
      <c r="B878" s="3" t="str">
        <f ca="1">IF(OR(INDEX($I$2:$I$1001,MATCH(ROWS($H$2:H878),$H$2:$H$1001,0),1)&gt;=100000,INDEX($O$1005:$Q$1005,1,MATCH(COLUMNS($O$1006:O1006),$O$1006:$Q$1006,0))&gt;=100000), " ",IF(INDEX($O$2:$Q$1001,MATCH(ROWS($H$2:H878),$H$2:$H$1001,0),MATCH(COLUMNS($O$1006:O1006),$O$1006:$Q$1006,0)), HYPERLINK("#",""), HYPERLINK(CONCATENATE("#metadata!", ADDRESS(INDEX($J$2:$J$1001,MATCH(ROWS($H$2:H878),$H$2:$H$1001,0),0), INDEX($O$1004:$Q$1004,1,MATCH(COLUMNS($O$1006:O1006),$O$1006:$Q$1006,0)))),"Fix")))</f>
        <v xml:space="preserve"> </v>
      </c>
      <c r="C878" s="3" t="str">
        <f ca="1">IF(OR(INDEX($I$2:$I$1001,MATCH(ROWS($H$2:H878),$H$2:$H$1001,0),1)&gt;=100000,INDEX($O$1005:$Q$1005,1,MATCH(COLUMNS($O$1006:P1006),$O$1006:$Q$1006,0))&gt;=100000), " ",IF(INDEX($O$2:$Q$1001,MATCH(ROWS($H$2:H878),$H$2:$H$1001,0),MATCH(COLUMNS($O$1006:P1006),$O$1006:$Q$1006,0)), HYPERLINK("#",""), HYPERLINK(CONCATENATE("#metadata!", ADDRESS(INDEX($J$2:$J$1001,MATCH(ROWS($H$2:H878),$H$2:$H$1001,0),0), INDEX($O$1004:$Q$1004,1,MATCH(COLUMNS($O$1006:P1006),$O$1006:$Q$1006,0)))),"Fix")))</f>
        <v xml:space="preserve"> </v>
      </c>
      <c r="D878" s="3" t="str">
        <f ca="1">IF(OR(INDEX($I$2:$I$1001,MATCH(ROWS($H$2:H878),$H$2:$H$1001,0),1)&gt;=100000,INDEX($O$1005:$Q$1005,1,MATCH(COLUMNS($O$1006:Q1006),$O$1006:$Q$1006,0))&gt;=100000), " ",IF(INDEX($O$2:$Q$1001,MATCH(ROWS($H$2:H878),$H$2:$H$1001,0),MATCH(COLUMNS($O$1006:Q1006),$O$1006:$Q$1006,0)), HYPERLINK("#",""), HYPERLINK(CONCATENATE("#metadata!", ADDRESS(INDEX($J$2:$J$1001,MATCH(ROWS($H$2:H878),$H$2:$H$1001,0),0), INDEX($O$1004:$Q$1004,1,MATCH(COLUMNS($O$1006:Q1006),$O$1006:$Q$1006,0)))),"Fix")))</f>
        <v xml:space="preserve"> </v>
      </c>
      <c r="H878">
        <v>877</v>
      </c>
      <c r="I878">
        <v>100878</v>
      </c>
      <c r="J878">
        <v>878</v>
      </c>
      <c r="K878" t="b">
        <f t="shared" si="13"/>
        <v>1</v>
      </c>
      <c r="L878" t="b">
        <f>COUNTBLANK(metadata!B878:D878)=COLUMNS(metadata!B878:D878)</f>
        <v>1</v>
      </c>
      <c r="M878" t="str">
        <v/>
      </c>
      <c r="O878" t="b">
        <f ca="1"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P878" t="b">
        <f>AND(IF(metadata!C878="",FALSE,TRUE),EXACT(metadata!C878,"mouse gut metagenome"))</f>
        <v>0</v>
      </c>
      <c r="Q878" t="b">
        <f>AND(IF(metadata!D878="",FALSE,TRUE),EXACT(metadata!D878,"410661"))</f>
        <v>0</v>
      </c>
    </row>
    <row r="879" spans="1:17" x14ac:dyDescent="0.2">
      <c r="A879" s="4" t="str">
        <f ca="1">IF(B879=" "," ",HYPERLINK(CONCATENATE("#metadata!",ADDRESS(INDEX($J$2:$J$1001,MATCH(ROWS($H$2:H879),$H$2:$H$1001,0),0),1)),INDEX($M$2:$M$1001,MATCH(ROWS($H$2:H879),$H$2:$H$1001,0),0)))</f>
        <v xml:space="preserve"> </v>
      </c>
      <c r="B879" s="3" t="str">
        <f ca="1">IF(OR(INDEX($I$2:$I$1001,MATCH(ROWS($H$2:H879),$H$2:$H$1001,0),1)&gt;=100000,INDEX($O$1005:$Q$1005,1,MATCH(COLUMNS($O$1006:O1006),$O$1006:$Q$1006,0))&gt;=100000), " ",IF(INDEX($O$2:$Q$1001,MATCH(ROWS($H$2:H879),$H$2:$H$1001,0),MATCH(COLUMNS($O$1006:O1006),$O$1006:$Q$1006,0)), HYPERLINK("#",""), HYPERLINK(CONCATENATE("#metadata!", ADDRESS(INDEX($J$2:$J$1001,MATCH(ROWS($H$2:H879),$H$2:$H$1001,0),0), INDEX($O$1004:$Q$1004,1,MATCH(COLUMNS($O$1006:O1006),$O$1006:$Q$1006,0)))),"Fix")))</f>
        <v xml:space="preserve"> </v>
      </c>
      <c r="C879" s="3" t="str">
        <f ca="1">IF(OR(INDEX($I$2:$I$1001,MATCH(ROWS($H$2:H879),$H$2:$H$1001,0),1)&gt;=100000,INDEX($O$1005:$Q$1005,1,MATCH(COLUMNS($O$1006:P1006),$O$1006:$Q$1006,0))&gt;=100000), " ",IF(INDEX($O$2:$Q$1001,MATCH(ROWS($H$2:H879),$H$2:$H$1001,0),MATCH(COLUMNS($O$1006:P1006),$O$1006:$Q$1006,0)), HYPERLINK("#",""), HYPERLINK(CONCATENATE("#metadata!", ADDRESS(INDEX($J$2:$J$1001,MATCH(ROWS($H$2:H879),$H$2:$H$1001,0),0), INDEX($O$1004:$Q$1004,1,MATCH(COLUMNS($O$1006:P1006),$O$1006:$Q$1006,0)))),"Fix")))</f>
        <v xml:space="preserve"> </v>
      </c>
      <c r="D879" s="3" t="str">
        <f ca="1">IF(OR(INDEX($I$2:$I$1001,MATCH(ROWS($H$2:H879),$H$2:$H$1001,0),1)&gt;=100000,INDEX($O$1005:$Q$1005,1,MATCH(COLUMNS($O$1006:Q1006),$O$1006:$Q$1006,0))&gt;=100000), " ",IF(INDEX($O$2:$Q$1001,MATCH(ROWS($H$2:H879),$H$2:$H$1001,0),MATCH(COLUMNS($O$1006:Q1006),$O$1006:$Q$1006,0)), HYPERLINK("#",""), HYPERLINK(CONCATENATE("#metadata!", ADDRESS(INDEX($J$2:$J$1001,MATCH(ROWS($H$2:H879),$H$2:$H$1001,0),0), INDEX($O$1004:$Q$1004,1,MATCH(COLUMNS($O$1006:Q1006),$O$1006:$Q$1006,0)))),"Fix")))</f>
        <v xml:space="preserve"> </v>
      </c>
      <c r="H879">
        <v>878</v>
      </c>
      <c r="I879">
        <v>100879</v>
      </c>
      <c r="J879">
        <v>879</v>
      </c>
      <c r="K879" t="b">
        <f t="shared" si="13"/>
        <v>1</v>
      </c>
      <c r="L879" t="b">
        <f>COUNTBLANK(metadata!B879:D879)=COLUMNS(metadata!B879:D879)</f>
        <v>1</v>
      </c>
      <c r="M879" t="str">
        <v/>
      </c>
      <c r="O879" t="b">
        <f ca="1"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P879" t="b">
        <f>AND(IF(metadata!C879="",FALSE,TRUE),EXACT(metadata!C879,"mouse gut metagenome"))</f>
        <v>0</v>
      </c>
      <c r="Q879" t="b">
        <f>AND(IF(metadata!D879="",FALSE,TRUE),EXACT(metadata!D879,"410661"))</f>
        <v>0</v>
      </c>
    </row>
    <row r="880" spans="1:17" x14ac:dyDescent="0.2">
      <c r="A880" s="4" t="str">
        <f ca="1">IF(B880=" "," ",HYPERLINK(CONCATENATE("#metadata!",ADDRESS(INDEX($J$2:$J$1001,MATCH(ROWS($H$2:H880),$H$2:$H$1001,0),0),1)),INDEX($M$2:$M$1001,MATCH(ROWS($H$2:H880),$H$2:$H$1001,0),0)))</f>
        <v xml:space="preserve"> </v>
      </c>
      <c r="B880" s="3" t="str">
        <f ca="1">IF(OR(INDEX($I$2:$I$1001,MATCH(ROWS($H$2:H880),$H$2:$H$1001,0),1)&gt;=100000,INDEX($O$1005:$Q$1005,1,MATCH(COLUMNS($O$1006:O1006),$O$1006:$Q$1006,0))&gt;=100000), " ",IF(INDEX($O$2:$Q$1001,MATCH(ROWS($H$2:H880),$H$2:$H$1001,0),MATCH(COLUMNS($O$1006:O1006),$O$1006:$Q$1006,0)), HYPERLINK("#",""), HYPERLINK(CONCATENATE("#metadata!", ADDRESS(INDEX($J$2:$J$1001,MATCH(ROWS($H$2:H880),$H$2:$H$1001,0),0), INDEX($O$1004:$Q$1004,1,MATCH(COLUMNS($O$1006:O1006),$O$1006:$Q$1006,0)))),"Fix")))</f>
        <v xml:space="preserve"> </v>
      </c>
      <c r="C880" s="3" t="str">
        <f ca="1">IF(OR(INDEX($I$2:$I$1001,MATCH(ROWS($H$2:H880),$H$2:$H$1001,0),1)&gt;=100000,INDEX($O$1005:$Q$1005,1,MATCH(COLUMNS($O$1006:P1006),$O$1006:$Q$1006,0))&gt;=100000), " ",IF(INDEX($O$2:$Q$1001,MATCH(ROWS($H$2:H880),$H$2:$H$1001,0),MATCH(COLUMNS($O$1006:P1006),$O$1006:$Q$1006,0)), HYPERLINK("#",""), HYPERLINK(CONCATENATE("#metadata!", ADDRESS(INDEX($J$2:$J$1001,MATCH(ROWS($H$2:H880),$H$2:$H$1001,0),0), INDEX($O$1004:$Q$1004,1,MATCH(COLUMNS($O$1006:P1006),$O$1006:$Q$1006,0)))),"Fix")))</f>
        <v xml:space="preserve"> </v>
      </c>
      <c r="D880" s="3" t="str">
        <f ca="1">IF(OR(INDEX($I$2:$I$1001,MATCH(ROWS($H$2:H880),$H$2:$H$1001,0),1)&gt;=100000,INDEX($O$1005:$Q$1005,1,MATCH(COLUMNS($O$1006:Q1006),$O$1006:$Q$1006,0))&gt;=100000), " ",IF(INDEX($O$2:$Q$1001,MATCH(ROWS($H$2:H880),$H$2:$H$1001,0),MATCH(COLUMNS($O$1006:Q1006),$O$1006:$Q$1006,0)), HYPERLINK("#",""), HYPERLINK(CONCATENATE("#metadata!", ADDRESS(INDEX($J$2:$J$1001,MATCH(ROWS($H$2:H880),$H$2:$H$1001,0),0), INDEX($O$1004:$Q$1004,1,MATCH(COLUMNS($O$1006:Q1006),$O$1006:$Q$1006,0)))),"Fix")))</f>
        <v xml:space="preserve"> </v>
      </c>
      <c r="H880">
        <v>879</v>
      </c>
      <c r="I880">
        <v>100880</v>
      </c>
      <c r="J880">
        <v>880</v>
      </c>
      <c r="K880" t="b">
        <f t="shared" si="13"/>
        <v>1</v>
      </c>
      <c r="L880" t="b">
        <f>COUNTBLANK(metadata!B880:D880)=COLUMNS(metadata!B880:D880)</f>
        <v>1</v>
      </c>
      <c r="M880" t="str">
        <v/>
      </c>
      <c r="O880" t="b">
        <f ca="1"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P880" t="b">
        <f>AND(IF(metadata!C880="",FALSE,TRUE),EXACT(metadata!C880,"mouse gut metagenome"))</f>
        <v>0</v>
      </c>
      <c r="Q880" t="b">
        <f>AND(IF(metadata!D880="",FALSE,TRUE),EXACT(metadata!D880,"410661"))</f>
        <v>0</v>
      </c>
    </row>
    <row r="881" spans="1:17" x14ac:dyDescent="0.2">
      <c r="A881" s="4" t="str">
        <f ca="1">IF(B881=" "," ",HYPERLINK(CONCATENATE("#metadata!",ADDRESS(INDEX($J$2:$J$1001,MATCH(ROWS($H$2:H881),$H$2:$H$1001,0),0),1)),INDEX($M$2:$M$1001,MATCH(ROWS($H$2:H881),$H$2:$H$1001,0),0)))</f>
        <v xml:space="preserve"> </v>
      </c>
      <c r="B881" s="3" t="str">
        <f ca="1">IF(OR(INDEX($I$2:$I$1001,MATCH(ROWS($H$2:H881),$H$2:$H$1001,0),1)&gt;=100000,INDEX($O$1005:$Q$1005,1,MATCH(COLUMNS($O$1006:O1006),$O$1006:$Q$1006,0))&gt;=100000), " ",IF(INDEX($O$2:$Q$1001,MATCH(ROWS($H$2:H881),$H$2:$H$1001,0),MATCH(COLUMNS($O$1006:O1006),$O$1006:$Q$1006,0)), HYPERLINK("#",""), HYPERLINK(CONCATENATE("#metadata!", ADDRESS(INDEX($J$2:$J$1001,MATCH(ROWS($H$2:H881),$H$2:$H$1001,0),0), INDEX($O$1004:$Q$1004,1,MATCH(COLUMNS($O$1006:O1006),$O$1006:$Q$1006,0)))),"Fix")))</f>
        <v xml:space="preserve"> </v>
      </c>
      <c r="C881" s="3" t="str">
        <f ca="1">IF(OR(INDEX($I$2:$I$1001,MATCH(ROWS($H$2:H881),$H$2:$H$1001,0),1)&gt;=100000,INDEX($O$1005:$Q$1005,1,MATCH(COLUMNS($O$1006:P1006),$O$1006:$Q$1006,0))&gt;=100000), " ",IF(INDEX($O$2:$Q$1001,MATCH(ROWS($H$2:H881),$H$2:$H$1001,0),MATCH(COLUMNS($O$1006:P1006),$O$1006:$Q$1006,0)), HYPERLINK("#",""), HYPERLINK(CONCATENATE("#metadata!", ADDRESS(INDEX($J$2:$J$1001,MATCH(ROWS($H$2:H881),$H$2:$H$1001,0),0), INDEX($O$1004:$Q$1004,1,MATCH(COLUMNS($O$1006:P1006),$O$1006:$Q$1006,0)))),"Fix")))</f>
        <v xml:space="preserve"> </v>
      </c>
      <c r="D881" s="3" t="str">
        <f ca="1">IF(OR(INDEX($I$2:$I$1001,MATCH(ROWS($H$2:H881),$H$2:$H$1001,0),1)&gt;=100000,INDEX($O$1005:$Q$1005,1,MATCH(COLUMNS($O$1006:Q1006),$O$1006:$Q$1006,0))&gt;=100000), " ",IF(INDEX($O$2:$Q$1001,MATCH(ROWS($H$2:H881),$H$2:$H$1001,0),MATCH(COLUMNS($O$1006:Q1006),$O$1006:$Q$1006,0)), HYPERLINK("#",""), HYPERLINK(CONCATENATE("#metadata!", ADDRESS(INDEX($J$2:$J$1001,MATCH(ROWS($H$2:H881),$H$2:$H$1001,0),0), INDEX($O$1004:$Q$1004,1,MATCH(COLUMNS($O$1006:Q1006),$O$1006:$Q$1006,0)))),"Fix")))</f>
        <v xml:space="preserve"> </v>
      </c>
      <c r="H881">
        <v>880</v>
      </c>
      <c r="I881">
        <v>100881</v>
      </c>
      <c r="J881">
        <v>881</v>
      </c>
      <c r="K881" t="b">
        <f t="shared" si="13"/>
        <v>1</v>
      </c>
      <c r="L881" t="b">
        <f>COUNTBLANK(metadata!B881:D881)=COLUMNS(metadata!B881:D881)</f>
        <v>1</v>
      </c>
      <c r="M881" t="str">
        <v/>
      </c>
      <c r="O881" t="b">
        <f ca="1"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P881" t="b">
        <f>AND(IF(metadata!C881="",FALSE,TRUE),EXACT(metadata!C881,"mouse gut metagenome"))</f>
        <v>0</v>
      </c>
      <c r="Q881" t="b">
        <f>AND(IF(metadata!D881="",FALSE,TRUE),EXACT(metadata!D881,"410661"))</f>
        <v>0</v>
      </c>
    </row>
    <row r="882" spans="1:17" x14ac:dyDescent="0.2">
      <c r="A882" s="4" t="str">
        <f ca="1">IF(B882=" "," ",HYPERLINK(CONCATENATE("#metadata!",ADDRESS(INDEX($J$2:$J$1001,MATCH(ROWS($H$2:H882),$H$2:$H$1001,0),0),1)),INDEX($M$2:$M$1001,MATCH(ROWS($H$2:H882),$H$2:$H$1001,0),0)))</f>
        <v xml:space="preserve"> </v>
      </c>
      <c r="B882" s="3" t="str">
        <f ca="1">IF(OR(INDEX($I$2:$I$1001,MATCH(ROWS($H$2:H882),$H$2:$H$1001,0),1)&gt;=100000,INDEX($O$1005:$Q$1005,1,MATCH(COLUMNS($O$1006:O1006),$O$1006:$Q$1006,0))&gt;=100000), " ",IF(INDEX($O$2:$Q$1001,MATCH(ROWS($H$2:H882),$H$2:$H$1001,0),MATCH(COLUMNS($O$1006:O1006),$O$1006:$Q$1006,0)), HYPERLINK("#",""), HYPERLINK(CONCATENATE("#metadata!", ADDRESS(INDEX($J$2:$J$1001,MATCH(ROWS($H$2:H882),$H$2:$H$1001,0),0), INDEX($O$1004:$Q$1004,1,MATCH(COLUMNS($O$1006:O1006),$O$1006:$Q$1006,0)))),"Fix")))</f>
        <v xml:space="preserve"> </v>
      </c>
      <c r="C882" s="3" t="str">
        <f ca="1">IF(OR(INDEX($I$2:$I$1001,MATCH(ROWS($H$2:H882),$H$2:$H$1001,0),1)&gt;=100000,INDEX($O$1005:$Q$1005,1,MATCH(COLUMNS($O$1006:P1006),$O$1006:$Q$1006,0))&gt;=100000), " ",IF(INDEX($O$2:$Q$1001,MATCH(ROWS($H$2:H882),$H$2:$H$1001,0),MATCH(COLUMNS($O$1006:P1006),$O$1006:$Q$1006,0)), HYPERLINK("#",""), HYPERLINK(CONCATENATE("#metadata!", ADDRESS(INDEX($J$2:$J$1001,MATCH(ROWS($H$2:H882),$H$2:$H$1001,0),0), INDEX($O$1004:$Q$1004,1,MATCH(COLUMNS($O$1006:P1006),$O$1006:$Q$1006,0)))),"Fix")))</f>
        <v xml:space="preserve"> </v>
      </c>
      <c r="D882" s="3" t="str">
        <f ca="1">IF(OR(INDEX($I$2:$I$1001,MATCH(ROWS($H$2:H882),$H$2:$H$1001,0),1)&gt;=100000,INDEX($O$1005:$Q$1005,1,MATCH(COLUMNS($O$1006:Q1006),$O$1006:$Q$1006,0))&gt;=100000), " ",IF(INDEX($O$2:$Q$1001,MATCH(ROWS($H$2:H882),$H$2:$H$1001,0),MATCH(COLUMNS($O$1006:Q1006),$O$1006:$Q$1006,0)), HYPERLINK("#",""), HYPERLINK(CONCATENATE("#metadata!", ADDRESS(INDEX($J$2:$J$1001,MATCH(ROWS($H$2:H882),$H$2:$H$1001,0),0), INDEX($O$1004:$Q$1004,1,MATCH(COLUMNS($O$1006:Q1006),$O$1006:$Q$1006,0)))),"Fix")))</f>
        <v xml:space="preserve"> </v>
      </c>
      <c r="H882">
        <v>881</v>
      </c>
      <c r="I882">
        <v>100882</v>
      </c>
      <c r="J882">
        <v>882</v>
      </c>
      <c r="K882" t="b">
        <f t="shared" si="13"/>
        <v>1</v>
      </c>
      <c r="L882" t="b">
        <f>COUNTBLANK(metadata!B882:D882)=COLUMNS(metadata!B882:D882)</f>
        <v>1</v>
      </c>
      <c r="M882" t="str">
        <v/>
      </c>
      <c r="O882" t="b">
        <f ca="1"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P882" t="b">
        <f>AND(IF(metadata!C882="",FALSE,TRUE),EXACT(metadata!C882,"mouse gut metagenome"))</f>
        <v>0</v>
      </c>
      <c r="Q882" t="b">
        <f>AND(IF(metadata!D882="",FALSE,TRUE),EXACT(metadata!D882,"410661"))</f>
        <v>0</v>
      </c>
    </row>
    <row r="883" spans="1:17" x14ac:dyDescent="0.2">
      <c r="A883" s="4" t="str">
        <f ca="1">IF(B883=" "," ",HYPERLINK(CONCATENATE("#metadata!",ADDRESS(INDEX($J$2:$J$1001,MATCH(ROWS($H$2:H883),$H$2:$H$1001,0),0),1)),INDEX($M$2:$M$1001,MATCH(ROWS($H$2:H883),$H$2:$H$1001,0),0)))</f>
        <v xml:space="preserve"> </v>
      </c>
      <c r="B883" s="3" t="str">
        <f ca="1">IF(OR(INDEX($I$2:$I$1001,MATCH(ROWS($H$2:H883),$H$2:$H$1001,0),1)&gt;=100000,INDEX($O$1005:$Q$1005,1,MATCH(COLUMNS($O$1006:O1006),$O$1006:$Q$1006,0))&gt;=100000), " ",IF(INDEX($O$2:$Q$1001,MATCH(ROWS($H$2:H883),$H$2:$H$1001,0),MATCH(COLUMNS($O$1006:O1006),$O$1006:$Q$1006,0)), HYPERLINK("#",""), HYPERLINK(CONCATENATE("#metadata!", ADDRESS(INDEX($J$2:$J$1001,MATCH(ROWS($H$2:H883),$H$2:$H$1001,0),0), INDEX($O$1004:$Q$1004,1,MATCH(COLUMNS($O$1006:O1006),$O$1006:$Q$1006,0)))),"Fix")))</f>
        <v xml:space="preserve"> </v>
      </c>
      <c r="C883" s="3" t="str">
        <f ca="1">IF(OR(INDEX($I$2:$I$1001,MATCH(ROWS($H$2:H883),$H$2:$H$1001,0),1)&gt;=100000,INDEX($O$1005:$Q$1005,1,MATCH(COLUMNS($O$1006:P1006),$O$1006:$Q$1006,0))&gt;=100000), " ",IF(INDEX($O$2:$Q$1001,MATCH(ROWS($H$2:H883),$H$2:$H$1001,0),MATCH(COLUMNS($O$1006:P1006),$O$1006:$Q$1006,0)), HYPERLINK("#",""), HYPERLINK(CONCATENATE("#metadata!", ADDRESS(INDEX($J$2:$J$1001,MATCH(ROWS($H$2:H883),$H$2:$H$1001,0),0), INDEX($O$1004:$Q$1004,1,MATCH(COLUMNS($O$1006:P1006),$O$1006:$Q$1006,0)))),"Fix")))</f>
        <v xml:space="preserve"> </v>
      </c>
      <c r="D883" s="3" t="str">
        <f ca="1">IF(OR(INDEX($I$2:$I$1001,MATCH(ROWS($H$2:H883),$H$2:$H$1001,0),1)&gt;=100000,INDEX($O$1005:$Q$1005,1,MATCH(COLUMNS($O$1006:Q1006),$O$1006:$Q$1006,0))&gt;=100000), " ",IF(INDEX($O$2:$Q$1001,MATCH(ROWS($H$2:H883),$H$2:$H$1001,0),MATCH(COLUMNS($O$1006:Q1006),$O$1006:$Q$1006,0)), HYPERLINK("#",""), HYPERLINK(CONCATENATE("#metadata!", ADDRESS(INDEX($J$2:$J$1001,MATCH(ROWS($H$2:H883),$H$2:$H$1001,0),0), INDEX($O$1004:$Q$1004,1,MATCH(COLUMNS($O$1006:Q1006),$O$1006:$Q$1006,0)))),"Fix")))</f>
        <v xml:space="preserve"> </v>
      </c>
      <c r="H883">
        <v>882</v>
      </c>
      <c r="I883">
        <v>100883</v>
      </c>
      <c r="J883">
        <v>883</v>
      </c>
      <c r="K883" t="b">
        <f t="shared" si="13"/>
        <v>1</v>
      </c>
      <c r="L883" t="b">
        <f>COUNTBLANK(metadata!B883:D883)=COLUMNS(metadata!B883:D883)</f>
        <v>1</v>
      </c>
      <c r="M883" t="str">
        <v/>
      </c>
      <c r="O883" t="b">
        <f ca="1"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P883" t="b">
        <f>AND(IF(metadata!C883="",FALSE,TRUE),EXACT(metadata!C883,"mouse gut metagenome"))</f>
        <v>0</v>
      </c>
      <c r="Q883" t="b">
        <f>AND(IF(metadata!D883="",FALSE,TRUE),EXACT(metadata!D883,"410661"))</f>
        <v>0</v>
      </c>
    </row>
    <row r="884" spans="1:17" x14ac:dyDescent="0.2">
      <c r="A884" s="4" t="str">
        <f ca="1">IF(B884=" "," ",HYPERLINK(CONCATENATE("#metadata!",ADDRESS(INDEX($J$2:$J$1001,MATCH(ROWS($H$2:H884),$H$2:$H$1001,0),0),1)),INDEX($M$2:$M$1001,MATCH(ROWS($H$2:H884),$H$2:$H$1001,0),0)))</f>
        <v xml:space="preserve"> </v>
      </c>
      <c r="B884" s="3" t="str">
        <f ca="1">IF(OR(INDEX($I$2:$I$1001,MATCH(ROWS($H$2:H884),$H$2:$H$1001,0),1)&gt;=100000,INDEX($O$1005:$Q$1005,1,MATCH(COLUMNS($O$1006:O1006),$O$1006:$Q$1006,0))&gt;=100000), " ",IF(INDEX($O$2:$Q$1001,MATCH(ROWS($H$2:H884),$H$2:$H$1001,0),MATCH(COLUMNS($O$1006:O1006),$O$1006:$Q$1006,0)), HYPERLINK("#",""), HYPERLINK(CONCATENATE("#metadata!", ADDRESS(INDEX($J$2:$J$1001,MATCH(ROWS($H$2:H884),$H$2:$H$1001,0),0), INDEX($O$1004:$Q$1004,1,MATCH(COLUMNS($O$1006:O1006),$O$1006:$Q$1006,0)))),"Fix")))</f>
        <v xml:space="preserve"> </v>
      </c>
      <c r="C884" s="3" t="str">
        <f ca="1">IF(OR(INDEX($I$2:$I$1001,MATCH(ROWS($H$2:H884),$H$2:$H$1001,0),1)&gt;=100000,INDEX($O$1005:$Q$1005,1,MATCH(COLUMNS($O$1006:P1006),$O$1006:$Q$1006,0))&gt;=100000), " ",IF(INDEX($O$2:$Q$1001,MATCH(ROWS($H$2:H884),$H$2:$H$1001,0),MATCH(COLUMNS($O$1006:P1006),$O$1006:$Q$1006,0)), HYPERLINK("#",""), HYPERLINK(CONCATENATE("#metadata!", ADDRESS(INDEX($J$2:$J$1001,MATCH(ROWS($H$2:H884),$H$2:$H$1001,0),0), INDEX($O$1004:$Q$1004,1,MATCH(COLUMNS($O$1006:P1006),$O$1006:$Q$1006,0)))),"Fix")))</f>
        <v xml:space="preserve"> </v>
      </c>
      <c r="D884" s="3" t="str">
        <f ca="1">IF(OR(INDEX($I$2:$I$1001,MATCH(ROWS($H$2:H884),$H$2:$H$1001,0),1)&gt;=100000,INDEX($O$1005:$Q$1005,1,MATCH(COLUMNS($O$1006:Q1006),$O$1006:$Q$1006,0))&gt;=100000), " ",IF(INDEX($O$2:$Q$1001,MATCH(ROWS($H$2:H884),$H$2:$H$1001,0),MATCH(COLUMNS($O$1006:Q1006),$O$1006:$Q$1006,0)), HYPERLINK("#",""), HYPERLINK(CONCATENATE("#metadata!", ADDRESS(INDEX($J$2:$J$1001,MATCH(ROWS($H$2:H884),$H$2:$H$1001,0),0), INDEX($O$1004:$Q$1004,1,MATCH(COLUMNS($O$1006:Q1006),$O$1006:$Q$1006,0)))),"Fix")))</f>
        <v xml:space="preserve"> </v>
      </c>
      <c r="H884">
        <v>883</v>
      </c>
      <c r="I884">
        <v>100884</v>
      </c>
      <c r="J884">
        <v>884</v>
      </c>
      <c r="K884" t="b">
        <f t="shared" si="13"/>
        <v>1</v>
      </c>
      <c r="L884" t="b">
        <f>COUNTBLANK(metadata!B884:D884)=COLUMNS(metadata!B884:D884)</f>
        <v>1</v>
      </c>
      <c r="M884" t="str">
        <v/>
      </c>
      <c r="O884" t="b">
        <f ca="1"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P884" t="b">
        <f>AND(IF(metadata!C884="",FALSE,TRUE),EXACT(metadata!C884,"mouse gut metagenome"))</f>
        <v>0</v>
      </c>
      <c r="Q884" t="b">
        <f>AND(IF(metadata!D884="",FALSE,TRUE),EXACT(metadata!D884,"410661"))</f>
        <v>0</v>
      </c>
    </row>
    <row r="885" spans="1:17" x14ac:dyDescent="0.2">
      <c r="A885" s="4" t="str">
        <f ca="1">IF(B885=" "," ",HYPERLINK(CONCATENATE("#metadata!",ADDRESS(INDEX($J$2:$J$1001,MATCH(ROWS($H$2:H885),$H$2:$H$1001,0),0),1)),INDEX($M$2:$M$1001,MATCH(ROWS($H$2:H885),$H$2:$H$1001,0),0)))</f>
        <v xml:space="preserve"> </v>
      </c>
      <c r="B885" s="3" t="str">
        <f ca="1">IF(OR(INDEX($I$2:$I$1001,MATCH(ROWS($H$2:H885),$H$2:$H$1001,0),1)&gt;=100000,INDEX($O$1005:$Q$1005,1,MATCH(COLUMNS($O$1006:O1006),$O$1006:$Q$1006,0))&gt;=100000), " ",IF(INDEX($O$2:$Q$1001,MATCH(ROWS($H$2:H885),$H$2:$H$1001,0),MATCH(COLUMNS($O$1006:O1006),$O$1006:$Q$1006,0)), HYPERLINK("#",""), HYPERLINK(CONCATENATE("#metadata!", ADDRESS(INDEX($J$2:$J$1001,MATCH(ROWS($H$2:H885),$H$2:$H$1001,0),0), INDEX($O$1004:$Q$1004,1,MATCH(COLUMNS($O$1006:O1006),$O$1006:$Q$1006,0)))),"Fix")))</f>
        <v xml:space="preserve"> </v>
      </c>
      <c r="C885" s="3" t="str">
        <f ca="1">IF(OR(INDEX($I$2:$I$1001,MATCH(ROWS($H$2:H885),$H$2:$H$1001,0),1)&gt;=100000,INDEX($O$1005:$Q$1005,1,MATCH(COLUMNS($O$1006:P1006),$O$1006:$Q$1006,0))&gt;=100000), " ",IF(INDEX($O$2:$Q$1001,MATCH(ROWS($H$2:H885),$H$2:$H$1001,0),MATCH(COLUMNS($O$1006:P1006),$O$1006:$Q$1006,0)), HYPERLINK("#",""), HYPERLINK(CONCATENATE("#metadata!", ADDRESS(INDEX($J$2:$J$1001,MATCH(ROWS($H$2:H885),$H$2:$H$1001,0),0), INDEX($O$1004:$Q$1004,1,MATCH(COLUMNS($O$1006:P1006),$O$1006:$Q$1006,0)))),"Fix")))</f>
        <v xml:space="preserve"> </v>
      </c>
      <c r="D885" s="3" t="str">
        <f ca="1">IF(OR(INDEX($I$2:$I$1001,MATCH(ROWS($H$2:H885),$H$2:$H$1001,0),1)&gt;=100000,INDEX($O$1005:$Q$1005,1,MATCH(COLUMNS($O$1006:Q1006),$O$1006:$Q$1006,0))&gt;=100000), " ",IF(INDEX($O$2:$Q$1001,MATCH(ROWS($H$2:H885),$H$2:$H$1001,0),MATCH(COLUMNS($O$1006:Q1006),$O$1006:$Q$1006,0)), HYPERLINK("#",""), HYPERLINK(CONCATENATE("#metadata!", ADDRESS(INDEX($J$2:$J$1001,MATCH(ROWS($H$2:H885),$H$2:$H$1001,0),0), INDEX($O$1004:$Q$1004,1,MATCH(COLUMNS($O$1006:Q1006),$O$1006:$Q$1006,0)))),"Fix")))</f>
        <v xml:space="preserve"> </v>
      </c>
      <c r="H885">
        <v>884</v>
      </c>
      <c r="I885">
        <v>100885</v>
      </c>
      <c r="J885">
        <v>885</v>
      </c>
      <c r="K885" t="b">
        <f t="shared" si="13"/>
        <v>1</v>
      </c>
      <c r="L885" t="b">
        <f>COUNTBLANK(metadata!B885:D885)=COLUMNS(metadata!B885:D885)</f>
        <v>1</v>
      </c>
      <c r="M885" t="str">
        <v/>
      </c>
      <c r="O885" t="b">
        <f ca="1"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P885" t="b">
        <f>AND(IF(metadata!C885="",FALSE,TRUE),EXACT(metadata!C885,"mouse gut metagenome"))</f>
        <v>0</v>
      </c>
      <c r="Q885" t="b">
        <f>AND(IF(metadata!D885="",FALSE,TRUE),EXACT(metadata!D885,"410661"))</f>
        <v>0</v>
      </c>
    </row>
    <row r="886" spans="1:17" x14ac:dyDescent="0.2">
      <c r="A886" s="4" t="str">
        <f ca="1">IF(B886=" "," ",HYPERLINK(CONCATENATE("#metadata!",ADDRESS(INDEX($J$2:$J$1001,MATCH(ROWS($H$2:H886),$H$2:$H$1001,0),0),1)),INDEX($M$2:$M$1001,MATCH(ROWS($H$2:H886),$H$2:$H$1001,0),0)))</f>
        <v xml:space="preserve"> </v>
      </c>
      <c r="B886" s="3" t="str">
        <f ca="1">IF(OR(INDEX($I$2:$I$1001,MATCH(ROWS($H$2:H886),$H$2:$H$1001,0),1)&gt;=100000,INDEX($O$1005:$Q$1005,1,MATCH(COLUMNS($O$1006:O1006),$O$1006:$Q$1006,0))&gt;=100000), " ",IF(INDEX($O$2:$Q$1001,MATCH(ROWS($H$2:H886),$H$2:$H$1001,0),MATCH(COLUMNS($O$1006:O1006),$O$1006:$Q$1006,0)), HYPERLINK("#",""), HYPERLINK(CONCATENATE("#metadata!", ADDRESS(INDEX($J$2:$J$1001,MATCH(ROWS($H$2:H886),$H$2:$H$1001,0),0), INDEX($O$1004:$Q$1004,1,MATCH(COLUMNS($O$1006:O1006),$O$1006:$Q$1006,0)))),"Fix")))</f>
        <v xml:space="preserve"> </v>
      </c>
      <c r="C886" s="3" t="str">
        <f ca="1">IF(OR(INDEX($I$2:$I$1001,MATCH(ROWS($H$2:H886),$H$2:$H$1001,0),1)&gt;=100000,INDEX($O$1005:$Q$1005,1,MATCH(COLUMNS($O$1006:P1006),$O$1006:$Q$1006,0))&gt;=100000), " ",IF(INDEX($O$2:$Q$1001,MATCH(ROWS($H$2:H886),$H$2:$H$1001,0),MATCH(COLUMNS($O$1006:P1006),$O$1006:$Q$1006,0)), HYPERLINK("#",""), HYPERLINK(CONCATENATE("#metadata!", ADDRESS(INDEX($J$2:$J$1001,MATCH(ROWS($H$2:H886),$H$2:$H$1001,0),0), INDEX($O$1004:$Q$1004,1,MATCH(COLUMNS($O$1006:P1006),$O$1006:$Q$1006,0)))),"Fix")))</f>
        <v xml:space="preserve"> </v>
      </c>
      <c r="D886" s="3" t="str">
        <f ca="1">IF(OR(INDEX($I$2:$I$1001,MATCH(ROWS($H$2:H886),$H$2:$H$1001,0),1)&gt;=100000,INDEX($O$1005:$Q$1005,1,MATCH(COLUMNS($O$1006:Q1006),$O$1006:$Q$1006,0))&gt;=100000), " ",IF(INDEX($O$2:$Q$1001,MATCH(ROWS($H$2:H886),$H$2:$H$1001,0),MATCH(COLUMNS($O$1006:Q1006),$O$1006:$Q$1006,0)), HYPERLINK("#",""), HYPERLINK(CONCATENATE("#metadata!", ADDRESS(INDEX($J$2:$J$1001,MATCH(ROWS($H$2:H886),$H$2:$H$1001,0),0), INDEX($O$1004:$Q$1004,1,MATCH(COLUMNS($O$1006:Q1006),$O$1006:$Q$1006,0)))),"Fix")))</f>
        <v xml:space="preserve"> </v>
      </c>
      <c r="H886">
        <v>885</v>
      </c>
      <c r="I886">
        <v>100886</v>
      </c>
      <c r="J886">
        <v>886</v>
      </c>
      <c r="K886" t="b">
        <f t="shared" si="13"/>
        <v>1</v>
      </c>
      <c r="L886" t="b">
        <f>COUNTBLANK(metadata!B886:D886)=COLUMNS(metadata!B886:D886)</f>
        <v>1</v>
      </c>
      <c r="M886" t="str">
        <v/>
      </c>
      <c r="O886" t="b">
        <f ca="1"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P886" t="b">
        <f>AND(IF(metadata!C886="",FALSE,TRUE),EXACT(metadata!C886,"mouse gut metagenome"))</f>
        <v>0</v>
      </c>
      <c r="Q886" t="b">
        <f>AND(IF(metadata!D886="",FALSE,TRUE),EXACT(metadata!D886,"410661"))</f>
        <v>0</v>
      </c>
    </row>
    <row r="887" spans="1:17" x14ac:dyDescent="0.2">
      <c r="A887" s="4" t="str">
        <f ca="1">IF(B887=" "," ",HYPERLINK(CONCATENATE("#metadata!",ADDRESS(INDEX($J$2:$J$1001,MATCH(ROWS($H$2:H887),$H$2:$H$1001,0),0),1)),INDEX($M$2:$M$1001,MATCH(ROWS($H$2:H887),$H$2:$H$1001,0),0)))</f>
        <v xml:space="preserve"> </v>
      </c>
      <c r="B887" s="3" t="str">
        <f ca="1">IF(OR(INDEX($I$2:$I$1001,MATCH(ROWS($H$2:H887),$H$2:$H$1001,0),1)&gt;=100000,INDEX($O$1005:$Q$1005,1,MATCH(COLUMNS($O$1006:O1006),$O$1006:$Q$1006,0))&gt;=100000), " ",IF(INDEX($O$2:$Q$1001,MATCH(ROWS($H$2:H887),$H$2:$H$1001,0),MATCH(COLUMNS($O$1006:O1006),$O$1006:$Q$1006,0)), HYPERLINK("#",""), HYPERLINK(CONCATENATE("#metadata!", ADDRESS(INDEX($J$2:$J$1001,MATCH(ROWS($H$2:H887),$H$2:$H$1001,0),0), INDEX($O$1004:$Q$1004,1,MATCH(COLUMNS($O$1006:O1006),$O$1006:$Q$1006,0)))),"Fix")))</f>
        <v xml:space="preserve"> </v>
      </c>
      <c r="C887" s="3" t="str">
        <f ca="1">IF(OR(INDEX($I$2:$I$1001,MATCH(ROWS($H$2:H887),$H$2:$H$1001,0),1)&gt;=100000,INDEX($O$1005:$Q$1005,1,MATCH(COLUMNS($O$1006:P1006),$O$1006:$Q$1006,0))&gt;=100000), " ",IF(INDEX($O$2:$Q$1001,MATCH(ROWS($H$2:H887),$H$2:$H$1001,0),MATCH(COLUMNS($O$1006:P1006),$O$1006:$Q$1006,0)), HYPERLINK("#",""), HYPERLINK(CONCATENATE("#metadata!", ADDRESS(INDEX($J$2:$J$1001,MATCH(ROWS($H$2:H887),$H$2:$H$1001,0),0), INDEX($O$1004:$Q$1004,1,MATCH(COLUMNS($O$1006:P1006),$O$1006:$Q$1006,0)))),"Fix")))</f>
        <v xml:space="preserve"> </v>
      </c>
      <c r="D887" s="3" t="str">
        <f ca="1">IF(OR(INDEX($I$2:$I$1001,MATCH(ROWS($H$2:H887),$H$2:$H$1001,0),1)&gt;=100000,INDEX($O$1005:$Q$1005,1,MATCH(COLUMNS($O$1006:Q1006),$O$1006:$Q$1006,0))&gt;=100000), " ",IF(INDEX($O$2:$Q$1001,MATCH(ROWS($H$2:H887),$H$2:$H$1001,0),MATCH(COLUMNS($O$1006:Q1006),$O$1006:$Q$1006,0)), HYPERLINK("#",""), HYPERLINK(CONCATENATE("#metadata!", ADDRESS(INDEX($J$2:$J$1001,MATCH(ROWS($H$2:H887),$H$2:$H$1001,0),0), INDEX($O$1004:$Q$1004,1,MATCH(COLUMNS($O$1006:Q1006),$O$1006:$Q$1006,0)))),"Fix")))</f>
        <v xml:space="preserve"> </v>
      </c>
      <c r="H887">
        <v>886</v>
      </c>
      <c r="I887">
        <v>100887</v>
      </c>
      <c r="J887">
        <v>887</v>
      </c>
      <c r="K887" t="b">
        <f t="shared" si="13"/>
        <v>1</v>
      </c>
      <c r="L887" t="b">
        <f>COUNTBLANK(metadata!B887:D887)=COLUMNS(metadata!B887:D887)</f>
        <v>1</v>
      </c>
      <c r="M887" t="str">
        <v/>
      </c>
      <c r="O887" t="b">
        <f ca="1"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P887" t="b">
        <f>AND(IF(metadata!C887="",FALSE,TRUE),EXACT(metadata!C887,"mouse gut metagenome"))</f>
        <v>0</v>
      </c>
      <c r="Q887" t="b">
        <f>AND(IF(metadata!D887="",FALSE,TRUE),EXACT(metadata!D887,"410661"))</f>
        <v>0</v>
      </c>
    </row>
    <row r="888" spans="1:17" x14ac:dyDescent="0.2">
      <c r="A888" s="4" t="str">
        <f ca="1">IF(B888=" "," ",HYPERLINK(CONCATENATE("#metadata!",ADDRESS(INDEX($J$2:$J$1001,MATCH(ROWS($H$2:H888),$H$2:$H$1001,0),0),1)),INDEX($M$2:$M$1001,MATCH(ROWS($H$2:H888),$H$2:$H$1001,0),0)))</f>
        <v xml:space="preserve"> </v>
      </c>
      <c r="B888" s="3" t="str">
        <f ca="1">IF(OR(INDEX($I$2:$I$1001,MATCH(ROWS($H$2:H888),$H$2:$H$1001,0),1)&gt;=100000,INDEX($O$1005:$Q$1005,1,MATCH(COLUMNS($O$1006:O1006),$O$1006:$Q$1006,0))&gt;=100000), " ",IF(INDEX($O$2:$Q$1001,MATCH(ROWS($H$2:H888),$H$2:$H$1001,0),MATCH(COLUMNS($O$1006:O1006),$O$1006:$Q$1006,0)), HYPERLINK("#",""), HYPERLINK(CONCATENATE("#metadata!", ADDRESS(INDEX($J$2:$J$1001,MATCH(ROWS($H$2:H888),$H$2:$H$1001,0),0), INDEX($O$1004:$Q$1004,1,MATCH(COLUMNS($O$1006:O1006),$O$1006:$Q$1006,0)))),"Fix")))</f>
        <v xml:space="preserve"> </v>
      </c>
      <c r="C888" s="3" t="str">
        <f ca="1">IF(OR(INDEX($I$2:$I$1001,MATCH(ROWS($H$2:H888),$H$2:$H$1001,0),1)&gt;=100000,INDEX($O$1005:$Q$1005,1,MATCH(COLUMNS($O$1006:P1006),$O$1006:$Q$1006,0))&gt;=100000), " ",IF(INDEX($O$2:$Q$1001,MATCH(ROWS($H$2:H888),$H$2:$H$1001,0),MATCH(COLUMNS($O$1006:P1006),$O$1006:$Q$1006,0)), HYPERLINK("#",""), HYPERLINK(CONCATENATE("#metadata!", ADDRESS(INDEX($J$2:$J$1001,MATCH(ROWS($H$2:H888),$H$2:$H$1001,0),0), INDEX($O$1004:$Q$1004,1,MATCH(COLUMNS($O$1006:P1006),$O$1006:$Q$1006,0)))),"Fix")))</f>
        <v xml:space="preserve"> </v>
      </c>
      <c r="D888" s="3" t="str">
        <f ca="1">IF(OR(INDEX($I$2:$I$1001,MATCH(ROWS($H$2:H888),$H$2:$H$1001,0),1)&gt;=100000,INDEX($O$1005:$Q$1005,1,MATCH(COLUMNS($O$1006:Q1006),$O$1006:$Q$1006,0))&gt;=100000), " ",IF(INDEX($O$2:$Q$1001,MATCH(ROWS($H$2:H888),$H$2:$H$1001,0),MATCH(COLUMNS($O$1006:Q1006),$O$1006:$Q$1006,0)), HYPERLINK("#",""), HYPERLINK(CONCATENATE("#metadata!", ADDRESS(INDEX($J$2:$J$1001,MATCH(ROWS($H$2:H888),$H$2:$H$1001,0),0), INDEX($O$1004:$Q$1004,1,MATCH(COLUMNS($O$1006:Q1006),$O$1006:$Q$1006,0)))),"Fix")))</f>
        <v xml:space="preserve"> </v>
      </c>
      <c r="H888">
        <v>887</v>
      </c>
      <c r="I888">
        <v>100888</v>
      </c>
      <c r="J888">
        <v>888</v>
      </c>
      <c r="K888" t="b">
        <f t="shared" si="13"/>
        <v>1</v>
      </c>
      <c r="L888" t="b">
        <f>COUNTBLANK(metadata!B888:D888)=COLUMNS(metadata!B888:D888)</f>
        <v>1</v>
      </c>
      <c r="M888" t="str">
        <v/>
      </c>
      <c r="O888" t="b">
        <f ca="1"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P888" t="b">
        <f>AND(IF(metadata!C888="",FALSE,TRUE),EXACT(metadata!C888,"mouse gut metagenome"))</f>
        <v>0</v>
      </c>
      <c r="Q888" t="b">
        <f>AND(IF(metadata!D888="",FALSE,TRUE),EXACT(metadata!D888,"410661"))</f>
        <v>0</v>
      </c>
    </row>
    <row r="889" spans="1:17" x14ac:dyDescent="0.2">
      <c r="A889" s="4" t="str">
        <f ca="1">IF(B889=" "," ",HYPERLINK(CONCATENATE("#metadata!",ADDRESS(INDEX($J$2:$J$1001,MATCH(ROWS($H$2:H889),$H$2:$H$1001,0),0),1)),INDEX($M$2:$M$1001,MATCH(ROWS($H$2:H889),$H$2:$H$1001,0),0)))</f>
        <v xml:space="preserve"> </v>
      </c>
      <c r="B889" s="3" t="str">
        <f ca="1">IF(OR(INDEX($I$2:$I$1001,MATCH(ROWS($H$2:H889),$H$2:$H$1001,0),1)&gt;=100000,INDEX($O$1005:$Q$1005,1,MATCH(COLUMNS($O$1006:O1006),$O$1006:$Q$1006,0))&gt;=100000), " ",IF(INDEX($O$2:$Q$1001,MATCH(ROWS($H$2:H889),$H$2:$H$1001,0),MATCH(COLUMNS($O$1006:O1006),$O$1006:$Q$1006,0)), HYPERLINK("#",""), HYPERLINK(CONCATENATE("#metadata!", ADDRESS(INDEX($J$2:$J$1001,MATCH(ROWS($H$2:H889),$H$2:$H$1001,0),0), INDEX($O$1004:$Q$1004,1,MATCH(COLUMNS($O$1006:O1006),$O$1006:$Q$1006,0)))),"Fix")))</f>
        <v xml:space="preserve"> </v>
      </c>
      <c r="C889" s="3" t="str">
        <f ca="1">IF(OR(INDEX($I$2:$I$1001,MATCH(ROWS($H$2:H889),$H$2:$H$1001,0),1)&gt;=100000,INDEX($O$1005:$Q$1005,1,MATCH(COLUMNS($O$1006:P1006),$O$1006:$Q$1006,0))&gt;=100000), " ",IF(INDEX($O$2:$Q$1001,MATCH(ROWS($H$2:H889),$H$2:$H$1001,0),MATCH(COLUMNS($O$1006:P1006),$O$1006:$Q$1006,0)), HYPERLINK("#",""), HYPERLINK(CONCATENATE("#metadata!", ADDRESS(INDEX($J$2:$J$1001,MATCH(ROWS($H$2:H889),$H$2:$H$1001,0),0), INDEX($O$1004:$Q$1004,1,MATCH(COLUMNS($O$1006:P1006),$O$1006:$Q$1006,0)))),"Fix")))</f>
        <v xml:space="preserve"> </v>
      </c>
      <c r="D889" s="3" t="str">
        <f ca="1">IF(OR(INDEX($I$2:$I$1001,MATCH(ROWS($H$2:H889),$H$2:$H$1001,0),1)&gt;=100000,INDEX($O$1005:$Q$1005,1,MATCH(COLUMNS($O$1006:Q1006),$O$1006:$Q$1006,0))&gt;=100000), " ",IF(INDEX($O$2:$Q$1001,MATCH(ROWS($H$2:H889),$H$2:$H$1001,0),MATCH(COLUMNS($O$1006:Q1006),$O$1006:$Q$1006,0)), HYPERLINK("#",""), HYPERLINK(CONCATENATE("#metadata!", ADDRESS(INDEX($J$2:$J$1001,MATCH(ROWS($H$2:H889),$H$2:$H$1001,0),0), INDEX($O$1004:$Q$1004,1,MATCH(COLUMNS($O$1006:Q1006),$O$1006:$Q$1006,0)))),"Fix")))</f>
        <v xml:space="preserve"> </v>
      </c>
      <c r="H889">
        <v>888</v>
      </c>
      <c r="I889">
        <v>100889</v>
      </c>
      <c r="J889">
        <v>889</v>
      </c>
      <c r="K889" t="b">
        <f t="shared" si="13"/>
        <v>1</v>
      </c>
      <c r="L889" t="b">
        <f>COUNTBLANK(metadata!B889:D889)=COLUMNS(metadata!B889:D889)</f>
        <v>1</v>
      </c>
      <c r="M889" t="str">
        <v/>
      </c>
      <c r="O889" t="b">
        <f ca="1"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P889" t="b">
        <f>AND(IF(metadata!C889="",FALSE,TRUE),EXACT(metadata!C889,"mouse gut metagenome"))</f>
        <v>0</v>
      </c>
      <c r="Q889" t="b">
        <f>AND(IF(metadata!D889="",FALSE,TRUE),EXACT(metadata!D889,"410661"))</f>
        <v>0</v>
      </c>
    </row>
    <row r="890" spans="1:17" x14ac:dyDescent="0.2">
      <c r="A890" s="4" t="str">
        <f ca="1">IF(B890=" "," ",HYPERLINK(CONCATENATE("#metadata!",ADDRESS(INDEX($J$2:$J$1001,MATCH(ROWS($H$2:H890),$H$2:$H$1001,0),0),1)),INDEX($M$2:$M$1001,MATCH(ROWS($H$2:H890),$H$2:$H$1001,0),0)))</f>
        <v xml:space="preserve"> </v>
      </c>
      <c r="B890" s="3" t="str">
        <f ca="1">IF(OR(INDEX($I$2:$I$1001,MATCH(ROWS($H$2:H890),$H$2:$H$1001,0),1)&gt;=100000,INDEX($O$1005:$Q$1005,1,MATCH(COLUMNS($O$1006:O1006),$O$1006:$Q$1006,0))&gt;=100000), " ",IF(INDEX($O$2:$Q$1001,MATCH(ROWS($H$2:H890),$H$2:$H$1001,0),MATCH(COLUMNS($O$1006:O1006),$O$1006:$Q$1006,0)), HYPERLINK("#",""), HYPERLINK(CONCATENATE("#metadata!", ADDRESS(INDEX($J$2:$J$1001,MATCH(ROWS($H$2:H890),$H$2:$H$1001,0),0), INDEX($O$1004:$Q$1004,1,MATCH(COLUMNS($O$1006:O1006),$O$1006:$Q$1006,0)))),"Fix")))</f>
        <v xml:space="preserve"> </v>
      </c>
      <c r="C890" s="3" t="str">
        <f ca="1">IF(OR(INDEX($I$2:$I$1001,MATCH(ROWS($H$2:H890),$H$2:$H$1001,0),1)&gt;=100000,INDEX($O$1005:$Q$1005,1,MATCH(COLUMNS($O$1006:P1006),$O$1006:$Q$1006,0))&gt;=100000), " ",IF(INDEX($O$2:$Q$1001,MATCH(ROWS($H$2:H890),$H$2:$H$1001,0),MATCH(COLUMNS($O$1006:P1006),$O$1006:$Q$1006,0)), HYPERLINK("#",""), HYPERLINK(CONCATENATE("#metadata!", ADDRESS(INDEX($J$2:$J$1001,MATCH(ROWS($H$2:H890),$H$2:$H$1001,0),0), INDEX($O$1004:$Q$1004,1,MATCH(COLUMNS($O$1006:P1006),$O$1006:$Q$1006,0)))),"Fix")))</f>
        <v xml:space="preserve"> </v>
      </c>
      <c r="D890" s="3" t="str">
        <f ca="1">IF(OR(INDEX($I$2:$I$1001,MATCH(ROWS($H$2:H890),$H$2:$H$1001,0),1)&gt;=100000,INDEX($O$1005:$Q$1005,1,MATCH(COLUMNS($O$1006:Q1006),$O$1006:$Q$1006,0))&gt;=100000), " ",IF(INDEX($O$2:$Q$1001,MATCH(ROWS($H$2:H890),$H$2:$H$1001,0),MATCH(COLUMNS($O$1006:Q1006),$O$1006:$Q$1006,0)), HYPERLINK("#",""), HYPERLINK(CONCATENATE("#metadata!", ADDRESS(INDEX($J$2:$J$1001,MATCH(ROWS($H$2:H890),$H$2:$H$1001,0),0), INDEX($O$1004:$Q$1004,1,MATCH(COLUMNS($O$1006:Q1006),$O$1006:$Q$1006,0)))),"Fix")))</f>
        <v xml:space="preserve"> </v>
      </c>
      <c r="H890">
        <v>889</v>
      </c>
      <c r="I890">
        <v>100890</v>
      </c>
      <c r="J890">
        <v>890</v>
      </c>
      <c r="K890" t="b">
        <f t="shared" si="13"/>
        <v>1</v>
      </c>
      <c r="L890" t="b">
        <f>COUNTBLANK(metadata!B890:D890)=COLUMNS(metadata!B890:D890)</f>
        <v>1</v>
      </c>
      <c r="M890" t="str">
        <v/>
      </c>
      <c r="O890" t="b">
        <f ca="1"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P890" t="b">
        <f>AND(IF(metadata!C890="",FALSE,TRUE),EXACT(metadata!C890,"mouse gut metagenome"))</f>
        <v>0</v>
      </c>
      <c r="Q890" t="b">
        <f>AND(IF(metadata!D890="",FALSE,TRUE),EXACT(metadata!D890,"410661"))</f>
        <v>0</v>
      </c>
    </row>
    <row r="891" spans="1:17" x14ac:dyDescent="0.2">
      <c r="A891" s="4" t="str">
        <f ca="1">IF(B891=" "," ",HYPERLINK(CONCATENATE("#metadata!",ADDRESS(INDEX($J$2:$J$1001,MATCH(ROWS($H$2:H891),$H$2:$H$1001,0),0),1)),INDEX($M$2:$M$1001,MATCH(ROWS($H$2:H891),$H$2:$H$1001,0),0)))</f>
        <v xml:space="preserve"> </v>
      </c>
      <c r="B891" s="3" t="str">
        <f ca="1">IF(OR(INDEX($I$2:$I$1001,MATCH(ROWS($H$2:H891),$H$2:$H$1001,0),1)&gt;=100000,INDEX($O$1005:$Q$1005,1,MATCH(COLUMNS($O$1006:O1006),$O$1006:$Q$1006,0))&gt;=100000), " ",IF(INDEX($O$2:$Q$1001,MATCH(ROWS($H$2:H891),$H$2:$H$1001,0),MATCH(COLUMNS($O$1006:O1006),$O$1006:$Q$1006,0)), HYPERLINK("#",""), HYPERLINK(CONCATENATE("#metadata!", ADDRESS(INDEX($J$2:$J$1001,MATCH(ROWS($H$2:H891),$H$2:$H$1001,0),0), INDEX($O$1004:$Q$1004,1,MATCH(COLUMNS($O$1006:O1006),$O$1006:$Q$1006,0)))),"Fix")))</f>
        <v xml:space="preserve"> </v>
      </c>
      <c r="C891" s="3" t="str">
        <f ca="1">IF(OR(INDEX($I$2:$I$1001,MATCH(ROWS($H$2:H891),$H$2:$H$1001,0),1)&gt;=100000,INDEX($O$1005:$Q$1005,1,MATCH(COLUMNS($O$1006:P1006),$O$1006:$Q$1006,0))&gt;=100000), " ",IF(INDEX($O$2:$Q$1001,MATCH(ROWS($H$2:H891),$H$2:$H$1001,0),MATCH(COLUMNS($O$1006:P1006),$O$1006:$Q$1006,0)), HYPERLINK("#",""), HYPERLINK(CONCATENATE("#metadata!", ADDRESS(INDEX($J$2:$J$1001,MATCH(ROWS($H$2:H891),$H$2:$H$1001,0),0), INDEX($O$1004:$Q$1004,1,MATCH(COLUMNS($O$1006:P1006),$O$1006:$Q$1006,0)))),"Fix")))</f>
        <v xml:space="preserve"> </v>
      </c>
      <c r="D891" s="3" t="str">
        <f ca="1">IF(OR(INDEX($I$2:$I$1001,MATCH(ROWS($H$2:H891),$H$2:$H$1001,0),1)&gt;=100000,INDEX($O$1005:$Q$1005,1,MATCH(COLUMNS($O$1006:Q1006),$O$1006:$Q$1006,0))&gt;=100000), " ",IF(INDEX($O$2:$Q$1001,MATCH(ROWS($H$2:H891),$H$2:$H$1001,0),MATCH(COLUMNS($O$1006:Q1006),$O$1006:$Q$1006,0)), HYPERLINK("#",""), HYPERLINK(CONCATENATE("#metadata!", ADDRESS(INDEX($J$2:$J$1001,MATCH(ROWS($H$2:H891),$H$2:$H$1001,0),0), INDEX($O$1004:$Q$1004,1,MATCH(COLUMNS($O$1006:Q1006),$O$1006:$Q$1006,0)))),"Fix")))</f>
        <v xml:space="preserve"> </v>
      </c>
      <c r="H891">
        <v>890</v>
      </c>
      <c r="I891">
        <v>100891</v>
      </c>
      <c r="J891">
        <v>891</v>
      </c>
      <c r="K891" t="b">
        <f t="shared" si="13"/>
        <v>1</v>
      </c>
      <c r="L891" t="b">
        <f>COUNTBLANK(metadata!B891:D891)=COLUMNS(metadata!B891:D891)</f>
        <v>1</v>
      </c>
      <c r="M891" t="str">
        <v/>
      </c>
      <c r="O891" t="b">
        <f ca="1"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P891" t="b">
        <f>AND(IF(metadata!C891="",FALSE,TRUE),EXACT(metadata!C891,"mouse gut metagenome"))</f>
        <v>0</v>
      </c>
      <c r="Q891" t="b">
        <f>AND(IF(metadata!D891="",FALSE,TRUE),EXACT(metadata!D891,"410661"))</f>
        <v>0</v>
      </c>
    </row>
    <row r="892" spans="1:17" x14ac:dyDescent="0.2">
      <c r="A892" s="4" t="str">
        <f ca="1">IF(B892=" "," ",HYPERLINK(CONCATENATE("#metadata!",ADDRESS(INDEX($J$2:$J$1001,MATCH(ROWS($H$2:H892),$H$2:$H$1001,0),0),1)),INDEX($M$2:$M$1001,MATCH(ROWS($H$2:H892),$H$2:$H$1001,0),0)))</f>
        <v xml:space="preserve"> </v>
      </c>
      <c r="B892" s="3" t="str">
        <f ca="1">IF(OR(INDEX($I$2:$I$1001,MATCH(ROWS($H$2:H892),$H$2:$H$1001,0),1)&gt;=100000,INDEX($O$1005:$Q$1005,1,MATCH(COLUMNS($O$1006:O1006),$O$1006:$Q$1006,0))&gt;=100000), " ",IF(INDEX($O$2:$Q$1001,MATCH(ROWS($H$2:H892),$H$2:$H$1001,0),MATCH(COLUMNS($O$1006:O1006),$O$1006:$Q$1006,0)), HYPERLINK("#",""), HYPERLINK(CONCATENATE("#metadata!", ADDRESS(INDEX($J$2:$J$1001,MATCH(ROWS($H$2:H892),$H$2:$H$1001,0),0), INDEX($O$1004:$Q$1004,1,MATCH(COLUMNS($O$1006:O1006),$O$1006:$Q$1006,0)))),"Fix")))</f>
        <v xml:space="preserve"> </v>
      </c>
      <c r="C892" s="3" t="str">
        <f ca="1">IF(OR(INDEX($I$2:$I$1001,MATCH(ROWS($H$2:H892),$H$2:$H$1001,0),1)&gt;=100000,INDEX($O$1005:$Q$1005,1,MATCH(COLUMNS($O$1006:P1006),$O$1006:$Q$1006,0))&gt;=100000), " ",IF(INDEX($O$2:$Q$1001,MATCH(ROWS($H$2:H892),$H$2:$H$1001,0),MATCH(COLUMNS($O$1006:P1006),$O$1006:$Q$1006,0)), HYPERLINK("#",""), HYPERLINK(CONCATENATE("#metadata!", ADDRESS(INDEX($J$2:$J$1001,MATCH(ROWS($H$2:H892),$H$2:$H$1001,0),0), INDEX($O$1004:$Q$1004,1,MATCH(COLUMNS($O$1006:P1006),$O$1006:$Q$1006,0)))),"Fix")))</f>
        <v xml:space="preserve"> </v>
      </c>
      <c r="D892" s="3" t="str">
        <f ca="1">IF(OR(INDEX($I$2:$I$1001,MATCH(ROWS($H$2:H892),$H$2:$H$1001,0),1)&gt;=100000,INDEX($O$1005:$Q$1005,1,MATCH(COLUMNS($O$1006:Q1006),$O$1006:$Q$1006,0))&gt;=100000), " ",IF(INDEX($O$2:$Q$1001,MATCH(ROWS($H$2:H892),$H$2:$H$1001,0),MATCH(COLUMNS($O$1006:Q1006),$O$1006:$Q$1006,0)), HYPERLINK("#",""), HYPERLINK(CONCATENATE("#metadata!", ADDRESS(INDEX($J$2:$J$1001,MATCH(ROWS($H$2:H892),$H$2:$H$1001,0),0), INDEX($O$1004:$Q$1004,1,MATCH(COLUMNS($O$1006:Q1006),$O$1006:$Q$1006,0)))),"Fix")))</f>
        <v xml:space="preserve"> </v>
      </c>
      <c r="H892">
        <v>891</v>
      </c>
      <c r="I892">
        <v>100892</v>
      </c>
      <c r="J892">
        <v>892</v>
      </c>
      <c r="K892" t="b">
        <f t="shared" si="13"/>
        <v>1</v>
      </c>
      <c r="L892" t="b">
        <f>COUNTBLANK(metadata!B892:D892)=COLUMNS(metadata!B892:D892)</f>
        <v>1</v>
      </c>
      <c r="M892" t="str">
        <v/>
      </c>
      <c r="O892" t="b">
        <f ca="1"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P892" t="b">
        <f>AND(IF(metadata!C892="",FALSE,TRUE),EXACT(metadata!C892,"mouse gut metagenome"))</f>
        <v>0</v>
      </c>
      <c r="Q892" t="b">
        <f>AND(IF(metadata!D892="",FALSE,TRUE),EXACT(metadata!D892,"410661"))</f>
        <v>0</v>
      </c>
    </row>
    <row r="893" spans="1:17" x14ac:dyDescent="0.2">
      <c r="A893" s="4" t="str">
        <f ca="1">IF(B893=" "," ",HYPERLINK(CONCATENATE("#metadata!",ADDRESS(INDEX($J$2:$J$1001,MATCH(ROWS($H$2:H893),$H$2:$H$1001,0),0),1)),INDEX($M$2:$M$1001,MATCH(ROWS($H$2:H893),$H$2:$H$1001,0),0)))</f>
        <v xml:space="preserve"> </v>
      </c>
      <c r="B893" s="3" t="str">
        <f ca="1">IF(OR(INDEX($I$2:$I$1001,MATCH(ROWS($H$2:H893),$H$2:$H$1001,0),1)&gt;=100000,INDEX($O$1005:$Q$1005,1,MATCH(COLUMNS($O$1006:O1006),$O$1006:$Q$1006,0))&gt;=100000), " ",IF(INDEX($O$2:$Q$1001,MATCH(ROWS($H$2:H893),$H$2:$H$1001,0),MATCH(COLUMNS($O$1006:O1006),$O$1006:$Q$1006,0)), HYPERLINK("#",""), HYPERLINK(CONCATENATE("#metadata!", ADDRESS(INDEX($J$2:$J$1001,MATCH(ROWS($H$2:H893),$H$2:$H$1001,0),0), INDEX($O$1004:$Q$1004,1,MATCH(COLUMNS($O$1006:O1006),$O$1006:$Q$1006,0)))),"Fix")))</f>
        <v xml:space="preserve"> </v>
      </c>
      <c r="C893" s="3" t="str">
        <f ca="1">IF(OR(INDEX($I$2:$I$1001,MATCH(ROWS($H$2:H893),$H$2:$H$1001,0),1)&gt;=100000,INDEX($O$1005:$Q$1005,1,MATCH(COLUMNS($O$1006:P1006),$O$1006:$Q$1006,0))&gt;=100000), " ",IF(INDEX($O$2:$Q$1001,MATCH(ROWS($H$2:H893),$H$2:$H$1001,0),MATCH(COLUMNS($O$1006:P1006),$O$1006:$Q$1006,0)), HYPERLINK("#",""), HYPERLINK(CONCATENATE("#metadata!", ADDRESS(INDEX($J$2:$J$1001,MATCH(ROWS($H$2:H893),$H$2:$H$1001,0),0), INDEX($O$1004:$Q$1004,1,MATCH(COLUMNS($O$1006:P1006),$O$1006:$Q$1006,0)))),"Fix")))</f>
        <v xml:space="preserve"> </v>
      </c>
      <c r="D893" s="3" t="str">
        <f ca="1">IF(OR(INDEX($I$2:$I$1001,MATCH(ROWS($H$2:H893),$H$2:$H$1001,0),1)&gt;=100000,INDEX($O$1005:$Q$1005,1,MATCH(COLUMNS($O$1006:Q1006),$O$1006:$Q$1006,0))&gt;=100000), " ",IF(INDEX($O$2:$Q$1001,MATCH(ROWS($H$2:H893),$H$2:$H$1001,0),MATCH(COLUMNS($O$1006:Q1006),$O$1006:$Q$1006,0)), HYPERLINK("#",""), HYPERLINK(CONCATENATE("#metadata!", ADDRESS(INDEX($J$2:$J$1001,MATCH(ROWS($H$2:H893),$H$2:$H$1001,0),0), INDEX($O$1004:$Q$1004,1,MATCH(COLUMNS($O$1006:Q1006),$O$1006:$Q$1006,0)))),"Fix")))</f>
        <v xml:space="preserve"> </v>
      </c>
      <c r="H893">
        <v>892</v>
      </c>
      <c r="I893">
        <v>100893</v>
      </c>
      <c r="J893">
        <v>893</v>
      </c>
      <c r="K893" t="b">
        <f t="shared" si="13"/>
        <v>1</v>
      </c>
      <c r="L893" t="b">
        <f>COUNTBLANK(metadata!B893:D893)=COLUMNS(metadata!B893:D893)</f>
        <v>1</v>
      </c>
      <c r="M893" t="str">
        <v/>
      </c>
      <c r="O893" t="b">
        <f ca="1"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P893" t="b">
        <f>AND(IF(metadata!C893="",FALSE,TRUE),EXACT(metadata!C893,"mouse gut metagenome"))</f>
        <v>0</v>
      </c>
      <c r="Q893" t="b">
        <f>AND(IF(metadata!D893="",FALSE,TRUE),EXACT(metadata!D893,"410661"))</f>
        <v>0</v>
      </c>
    </row>
    <row r="894" spans="1:17" x14ac:dyDescent="0.2">
      <c r="A894" s="4" t="str">
        <f ca="1">IF(B894=" "," ",HYPERLINK(CONCATENATE("#metadata!",ADDRESS(INDEX($J$2:$J$1001,MATCH(ROWS($H$2:H894),$H$2:$H$1001,0),0),1)),INDEX($M$2:$M$1001,MATCH(ROWS($H$2:H894),$H$2:$H$1001,0),0)))</f>
        <v xml:space="preserve"> </v>
      </c>
      <c r="B894" s="3" t="str">
        <f ca="1">IF(OR(INDEX($I$2:$I$1001,MATCH(ROWS($H$2:H894),$H$2:$H$1001,0),1)&gt;=100000,INDEX($O$1005:$Q$1005,1,MATCH(COLUMNS($O$1006:O1006),$O$1006:$Q$1006,0))&gt;=100000), " ",IF(INDEX($O$2:$Q$1001,MATCH(ROWS($H$2:H894),$H$2:$H$1001,0),MATCH(COLUMNS($O$1006:O1006),$O$1006:$Q$1006,0)), HYPERLINK("#",""), HYPERLINK(CONCATENATE("#metadata!", ADDRESS(INDEX($J$2:$J$1001,MATCH(ROWS($H$2:H894),$H$2:$H$1001,0),0), INDEX($O$1004:$Q$1004,1,MATCH(COLUMNS($O$1006:O1006),$O$1006:$Q$1006,0)))),"Fix")))</f>
        <v xml:space="preserve"> </v>
      </c>
      <c r="C894" s="3" t="str">
        <f ca="1">IF(OR(INDEX($I$2:$I$1001,MATCH(ROWS($H$2:H894),$H$2:$H$1001,0),1)&gt;=100000,INDEX($O$1005:$Q$1005,1,MATCH(COLUMNS($O$1006:P1006),$O$1006:$Q$1006,0))&gt;=100000), " ",IF(INDEX($O$2:$Q$1001,MATCH(ROWS($H$2:H894),$H$2:$H$1001,0),MATCH(COLUMNS($O$1006:P1006),$O$1006:$Q$1006,0)), HYPERLINK("#",""), HYPERLINK(CONCATENATE("#metadata!", ADDRESS(INDEX($J$2:$J$1001,MATCH(ROWS($H$2:H894),$H$2:$H$1001,0),0), INDEX($O$1004:$Q$1004,1,MATCH(COLUMNS($O$1006:P1006),$O$1006:$Q$1006,0)))),"Fix")))</f>
        <v xml:space="preserve"> </v>
      </c>
      <c r="D894" s="3" t="str">
        <f ca="1">IF(OR(INDEX($I$2:$I$1001,MATCH(ROWS($H$2:H894),$H$2:$H$1001,0),1)&gt;=100000,INDEX($O$1005:$Q$1005,1,MATCH(COLUMNS($O$1006:Q1006),$O$1006:$Q$1006,0))&gt;=100000), " ",IF(INDEX($O$2:$Q$1001,MATCH(ROWS($H$2:H894),$H$2:$H$1001,0),MATCH(COLUMNS($O$1006:Q1006),$O$1006:$Q$1006,0)), HYPERLINK("#",""), HYPERLINK(CONCATENATE("#metadata!", ADDRESS(INDEX($J$2:$J$1001,MATCH(ROWS($H$2:H894),$H$2:$H$1001,0),0), INDEX($O$1004:$Q$1004,1,MATCH(COLUMNS($O$1006:Q1006),$O$1006:$Q$1006,0)))),"Fix")))</f>
        <v xml:space="preserve"> </v>
      </c>
      <c r="H894">
        <v>893</v>
      </c>
      <c r="I894">
        <v>100894</v>
      </c>
      <c r="J894">
        <v>894</v>
      </c>
      <c r="K894" t="b">
        <f t="shared" si="13"/>
        <v>1</v>
      </c>
      <c r="L894" t="b">
        <f>COUNTBLANK(metadata!B894:D894)=COLUMNS(metadata!B894:D894)</f>
        <v>1</v>
      </c>
      <c r="M894" t="str">
        <v/>
      </c>
      <c r="O894" t="b">
        <f ca="1"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P894" t="b">
        <f>AND(IF(metadata!C894="",FALSE,TRUE),EXACT(metadata!C894,"mouse gut metagenome"))</f>
        <v>0</v>
      </c>
      <c r="Q894" t="b">
        <f>AND(IF(metadata!D894="",FALSE,TRUE),EXACT(metadata!D894,"410661"))</f>
        <v>0</v>
      </c>
    </row>
    <row r="895" spans="1:17" x14ac:dyDescent="0.2">
      <c r="A895" s="4" t="str">
        <f ca="1">IF(B895=" "," ",HYPERLINK(CONCATENATE("#metadata!",ADDRESS(INDEX($J$2:$J$1001,MATCH(ROWS($H$2:H895),$H$2:$H$1001,0),0),1)),INDEX($M$2:$M$1001,MATCH(ROWS($H$2:H895),$H$2:$H$1001,0),0)))</f>
        <v xml:space="preserve"> </v>
      </c>
      <c r="B895" s="3" t="str">
        <f ca="1">IF(OR(INDEX($I$2:$I$1001,MATCH(ROWS($H$2:H895),$H$2:$H$1001,0),1)&gt;=100000,INDEX($O$1005:$Q$1005,1,MATCH(COLUMNS($O$1006:O1006),$O$1006:$Q$1006,0))&gt;=100000), " ",IF(INDEX($O$2:$Q$1001,MATCH(ROWS($H$2:H895),$H$2:$H$1001,0),MATCH(COLUMNS($O$1006:O1006),$O$1006:$Q$1006,0)), HYPERLINK("#",""), HYPERLINK(CONCATENATE("#metadata!", ADDRESS(INDEX($J$2:$J$1001,MATCH(ROWS($H$2:H895),$H$2:$H$1001,0),0), INDEX($O$1004:$Q$1004,1,MATCH(COLUMNS($O$1006:O1006),$O$1006:$Q$1006,0)))),"Fix")))</f>
        <v xml:space="preserve"> </v>
      </c>
      <c r="C895" s="3" t="str">
        <f ca="1">IF(OR(INDEX($I$2:$I$1001,MATCH(ROWS($H$2:H895),$H$2:$H$1001,0),1)&gt;=100000,INDEX($O$1005:$Q$1005,1,MATCH(COLUMNS($O$1006:P1006),$O$1006:$Q$1006,0))&gt;=100000), " ",IF(INDEX($O$2:$Q$1001,MATCH(ROWS($H$2:H895),$H$2:$H$1001,0),MATCH(COLUMNS($O$1006:P1006),$O$1006:$Q$1006,0)), HYPERLINK("#",""), HYPERLINK(CONCATENATE("#metadata!", ADDRESS(INDEX($J$2:$J$1001,MATCH(ROWS($H$2:H895),$H$2:$H$1001,0),0), INDEX($O$1004:$Q$1004,1,MATCH(COLUMNS($O$1006:P1006),$O$1006:$Q$1006,0)))),"Fix")))</f>
        <v xml:space="preserve"> </v>
      </c>
      <c r="D895" s="3" t="str">
        <f ca="1">IF(OR(INDEX($I$2:$I$1001,MATCH(ROWS($H$2:H895),$H$2:$H$1001,0),1)&gt;=100000,INDEX($O$1005:$Q$1005,1,MATCH(COLUMNS($O$1006:Q1006),$O$1006:$Q$1006,0))&gt;=100000), " ",IF(INDEX($O$2:$Q$1001,MATCH(ROWS($H$2:H895),$H$2:$H$1001,0),MATCH(COLUMNS($O$1006:Q1006),$O$1006:$Q$1006,0)), HYPERLINK("#",""), HYPERLINK(CONCATENATE("#metadata!", ADDRESS(INDEX($J$2:$J$1001,MATCH(ROWS($H$2:H895),$H$2:$H$1001,0),0), INDEX($O$1004:$Q$1004,1,MATCH(COLUMNS($O$1006:Q1006),$O$1006:$Q$1006,0)))),"Fix")))</f>
        <v xml:space="preserve"> </v>
      </c>
      <c r="H895">
        <v>894</v>
      </c>
      <c r="I895">
        <v>100895</v>
      </c>
      <c r="J895">
        <v>895</v>
      </c>
      <c r="K895" t="b">
        <f t="shared" si="13"/>
        <v>1</v>
      </c>
      <c r="L895" t="b">
        <f>COUNTBLANK(metadata!B895:D895)=COLUMNS(metadata!B895:D895)</f>
        <v>1</v>
      </c>
      <c r="M895" t="str">
        <v/>
      </c>
      <c r="O895" t="b">
        <f ca="1"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P895" t="b">
        <f>AND(IF(metadata!C895="",FALSE,TRUE),EXACT(metadata!C895,"mouse gut metagenome"))</f>
        <v>0</v>
      </c>
      <c r="Q895" t="b">
        <f>AND(IF(metadata!D895="",FALSE,TRUE),EXACT(metadata!D895,"410661"))</f>
        <v>0</v>
      </c>
    </row>
    <row r="896" spans="1:17" x14ac:dyDescent="0.2">
      <c r="A896" s="4" t="str">
        <f ca="1">IF(B896=" "," ",HYPERLINK(CONCATENATE("#metadata!",ADDRESS(INDEX($J$2:$J$1001,MATCH(ROWS($H$2:H896),$H$2:$H$1001,0),0),1)),INDEX($M$2:$M$1001,MATCH(ROWS($H$2:H896),$H$2:$H$1001,0),0)))</f>
        <v xml:space="preserve"> </v>
      </c>
      <c r="B896" s="3" t="str">
        <f ca="1">IF(OR(INDEX($I$2:$I$1001,MATCH(ROWS($H$2:H896),$H$2:$H$1001,0),1)&gt;=100000,INDEX($O$1005:$Q$1005,1,MATCH(COLUMNS($O$1006:O1006),$O$1006:$Q$1006,0))&gt;=100000), " ",IF(INDEX($O$2:$Q$1001,MATCH(ROWS($H$2:H896),$H$2:$H$1001,0),MATCH(COLUMNS($O$1006:O1006),$O$1006:$Q$1006,0)), HYPERLINK("#",""), HYPERLINK(CONCATENATE("#metadata!", ADDRESS(INDEX($J$2:$J$1001,MATCH(ROWS($H$2:H896),$H$2:$H$1001,0),0), INDEX($O$1004:$Q$1004,1,MATCH(COLUMNS($O$1006:O1006),$O$1006:$Q$1006,0)))),"Fix")))</f>
        <v xml:space="preserve"> </v>
      </c>
      <c r="C896" s="3" t="str">
        <f ca="1">IF(OR(INDEX($I$2:$I$1001,MATCH(ROWS($H$2:H896),$H$2:$H$1001,0),1)&gt;=100000,INDEX($O$1005:$Q$1005,1,MATCH(COLUMNS($O$1006:P1006),$O$1006:$Q$1006,0))&gt;=100000), " ",IF(INDEX($O$2:$Q$1001,MATCH(ROWS($H$2:H896),$H$2:$H$1001,0),MATCH(COLUMNS($O$1006:P1006),$O$1006:$Q$1006,0)), HYPERLINK("#",""), HYPERLINK(CONCATENATE("#metadata!", ADDRESS(INDEX($J$2:$J$1001,MATCH(ROWS($H$2:H896),$H$2:$H$1001,0),0), INDEX($O$1004:$Q$1004,1,MATCH(COLUMNS($O$1006:P1006),$O$1006:$Q$1006,0)))),"Fix")))</f>
        <v xml:space="preserve"> </v>
      </c>
      <c r="D896" s="3" t="str">
        <f ca="1">IF(OR(INDEX($I$2:$I$1001,MATCH(ROWS($H$2:H896),$H$2:$H$1001,0),1)&gt;=100000,INDEX($O$1005:$Q$1005,1,MATCH(COLUMNS($O$1006:Q1006),$O$1006:$Q$1006,0))&gt;=100000), " ",IF(INDEX($O$2:$Q$1001,MATCH(ROWS($H$2:H896),$H$2:$H$1001,0),MATCH(COLUMNS($O$1006:Q1006),$O$1006:$Q$1006,0)), HYPERLINK("#",""), HYPERLINK(CONCATENATE("#metadata!", ADDRESS(INDEX($J$2:$J$1001,MATCH(ROWS($H$2:H896),$H$2:$H$1001,0),0), INDEX($O$1004:$Q$1004,1,MATCH(COLUMNS($O$1006:Q1006),$O$1006:$Q$1006,0)))),"Fix")))</f>
        <v xml:space="preserve"> </v>
      </c>
      <c r="H896">
        <v>895</v>
      </c>
      <c r="I896">
        <v>100896</v>
      </c>
      <c r="J896">
        <v>896</v>
      </c>
      <c r="K896" t="b">
        <f t="shared" si="13"/>
        <v>1</v>
      </c>
      <c r="L896" t="b">
        <f>COUNTBLANK(metadata!B896:D896)=COLUMNS(metadata!B896:D896)</f>
        <v>1</v>
      </c>
      <c r="M896" t="str">
        <v/>
      </c>
      <c r="O896" t="b">
        <f ca="1"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P896" t="b">
        <f>AND(IF(metadata!C896="",FALSE,TRUE),EXACT(metadata!C896,"mouse gut metagenome"))</f>
        <v>0</v>
      </c>
      <c r="Q896" t="b">
        <f>AND(IF(metadata!D896="",FALSE,TRUE),EXACT(metadata!D896,"410661"))</f>
        <v>0</v>
      </c>
    </row>
    <row r="897" spans="1:17" x14ac:dyDescent="0.2">
      <c r="A897" s="4" t="str">
        <f ca="1">IF(B897=" "," ",HYPERLINK(CONCATENATE("#metadata!",ADDRESS(INDEX($J$2:$J$1001,MATCH(ROWS($H$2:H897),$H$2:$H$1001,0),0),1)),INDEX($M$2:$M$1001,MATCH(ROWS($H$2:H897),$H$2:$H$1001,0),0)))</f>
        <v xml:space="preserve"> </v>
      </c>
      <c r="B897" s="3" t="str">
        <f ca="1">IF(OR(INDEX($I$2:$I$1001,MATCH(ROWS($H$2:H897),$H$2:$H$1001,0),1)&gt;=100000,INDEX($O$1005:$Q$1005,1,MATCH(COLUMNS($O$1006:O1006),$O$1006:$Q$1006,0))&gt;=100000), " ",IF(INDEX($O$2:$Q$1001,MATCH(ROWS($H$2:H897),$H$2:$H$1001,0),MATCH(COLUMNS($O$1006:O1006),$O$1006:$Q$1006,0)), HYPERLINK("#",""), HYPERLINK(CONCATENATE("#metadata!", ADDRESS(INDEX($J$2:$J$1001,MATCH(ROWS($H$2:H897),$H$2:$H$1001,0),0), INDEX($O$1004:$Q$1004,1,MATCH(COLUMNS($O$1006:O1006),$O$1006:$Q$1006,0)))),"Fix")))</f>
        <v xml:space="preserve"> </v>
      </c>
      <c r="C897" s="3" t="str">
        <f ca="1">IF(OR(INDEX($I$2:$I$1001,MATCH(ROWS($H$2:H897),$H$2:$H$1001,0),1)&gt;=100000,INDEX($O$1005:$Q$1005,1,MATCH(COLUMNS($O$1006:P1006),$O$1006:$Q$1006,0))&gt;=100000), " ",IF(INDEX($O$2:$Q$1001,MATCH(ROWS($H$2:H897),$H$2:$H$1001,0),MATCH(COLUMNS($O$1006:P1006),$O$1006:$Q$1006,0)), HYPERLINK("#",""), HYPERLINK(CONCATENATE("#metadata!", ADDRESS(INDEX($J$2:$J$1001,MATCH(ROWS($H$2:H897),$H$2:$H$1001,0),0), INDEX($O$1004:$Q$1004,1,MATCH(COLUMNS($O$1006:P1006),$O$1006:$Q$1006,0)))),"Fix")))</f>
        <v xml:space="preserve"> </v>
      </c>
      <c r="D897" s="3" t="str">
        <f ca="1">IF(OR(INDEX($I$2:$I$1001,MATCH(ROWS($H$2:H897),$H$2:$H$1001,0),1)&gt;=100000,INDEX($O$1005:$Q$1005,1,MATCH(COLUMNS($O$1006:Q1006),$O$1006:$Q$1006,0))&gt;=100000), " ",IF(INDEX($O$2:$Q$1001,MATCH(ROWS($H$2:H897),$H$2:$H$1001,0),MATCH(COLUMNS($O$1006:Q1006),$O$1006:$Q$1006,0)), HYPERLINK("#",""), HYPERLINK(CONCATENATE("#metadata!", ADDRESS(INDEX($J$2:$J$1001,MATCH(ROWS($H$2:H897),$H$2:$H$1001,0),0), INDEX($O$1004:$Q$1004,1,MATCH(COLUMNS($O$1006:Q1006),$O$1006:$Q$1006,0)))),"Fix")))</f>
        <v xml:space="preserve"> </v>
      </c>
      <c r="H897">
        <v>896</v>
      </c>
      <c r="I897">
        <v>100897</v>
      </c>
      <c r="J897">
        <v>897</v>
      </c>
      <c r="K897" t="b">
        <f t="shared" si="13"/>
        <v>1</v>
      </c>
      <c r="L897" t="b">
        <f>COUNTBLANK(metadata!B897:D897)=COLUMNS(metadata!B897:D897)</f>
        <v>1</v>
      </c>
      <c r="M897" t="str">
        <v/>
      </c>
      <c r="O897" t="b">
        <f ca="1"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P897" t="b">
        <f>AND(IF(metadata!C897="",FALSE,TRUE),EXACT(metadata!C897,"mouse gut metagenome"))</f>
        <v>0</v>
      </c>
      <c r="Q897" t="b">
        <f>AND(IF(metadata!D897="",FALSE,TRUE),EXACT(metadata!D897,"410661"))</f>
        <v>0</v>
      </c>
    </row>
    <row r="898" spans="1:17" x14ac:dyDescent="0.2">
      <c r="A898" s="4" t="str">
        <f ca="1">IF(B898=" "," ",HYPERLINK(CONCATENATE("#metadata!",ADDRESS(INDEX($J$2:$J$1001,MATCH(ROWS($H$2:H898),$H$2:$H$1001,0),0),1)),INDEX($M$2:$M$1001,MATCH(ROWS($H$2:H898),$H$2:$H$1001,0),0)))</f>
        <v xml:space="preserve"> </v>
      </c>
      <c r="B898" s="3" t="str">
        <f ca="1">IF(OR(INDEX($I$2:$I$1001,MATCH(ROWS($H$2:H898),$H$2:$H$1001,0),1)&gt;=100000,INDEX($O$1005:$Q$1005,1,MATCH(COLUMNS($O$1006:O1006),$O$1006:$Q$1006,0))&gt;=100000), " ",IF(INDEX($O$2:$Q$1001,MATCH(ROWS($H$2:H898),$H$2:$H$1001,0),MATCH(COLUMNS($O$1006:O1006),$O$1006:$Q$1006,0)), HYPERLINK("#",""), HYPERLINK(CONCATENATE("#metadata!", ADDRESS(INDEX($J$2:$J$1001,MATCH(ROWS($H$2:H898),$H$2:$H$1001,0),0), INDEX($O$1004:$Q$1004,1,MATCH(COLUMNS($O$1006:O1006),$O$1006:$Q$1006,0)))),"Fix")))</f>
        <v xml:space="preserve"> </v>
      </c>
      <c r="C898" s="3" t="str">
        <f ca="1">IF(OR(INDEX($I$2:$I$1001,MATCH(ROWS($H$2:H898),$H$2:$H$1001,0),1)&gt;=100000,INDEX($O$1005:$Q$1005,1,MATCH(COLUMNS($O$1006:P1006),$O$1006:$Q$1006,0))&gt;=100000), " ",IF(INDEX($O$2:$Q$1001,MATCH(ROWS($H$2:H898),$H$2:$H$1001,0),MATCH(COLUMNS($O$1006:P1006),$O$1006:$Q$1006,0)), HYPERLINK("#",""), HYPERLINK(CONCATENATE("#metadata!", ADDRESS(INDEX($J$2:$J$1001,MATCH(ROWS($H$2:H898),$H$2:$H$1001,0),0), INDEX($O$1004:$Q$1004,1,MATCH(COLUMNS($O$1006:P1006),$O$1006:$Q$1006,0)))),"Fix")))</f>
        <v xml:space="preserve"> </v>
      </c>
      <c r="D898" s="3" t="str">
        <f ca="1">IF(OR(INDEX($I$2:$I$1001,MATCH(ROWS($H$2:H898),$H$2:$H$1001,0),1)&gt;=100000,INDEX($O$1005:$Q$1005,1,MATCH(COLUMNS($O$1006:Q1006),$O$1006:$Q$1006,0))&gt;=100000), " ",IF(INDEX($O$2:$Q$1001,MATCH(ROWS($H$2:H898),$H$2:$H$1001,0),MATCH(COLUMNS($O$1006:Q1006),$O$1006:$Q$1006,0)), HYPERLINK("#",""), HYPERLINK(CONCATENATE("#metadata!", ADDRESS(INDEX($J$2:$J$1001,MATCH(ROWS($H$2:H898),$H$2:$H$1001,0),0), INDEX($O$1004:$Q$1004,1,MATCH(COLUMNS($O$1006:Q1006),$O$1006:$Q$1006,0)))),"Fix")))</f>
        <v xml:space="preserve"> </v>
      </c>
      <c r="H898">
        <v>897</v>
      </c>
      <c r="I898">
        <v>100898</v>
      </c>
      <c r="J898">
        <v>898</v>
      </c>
      <c r="K898" t="b">
        <f t="shared" ref="K898:K961" si="14">IF(L898,TRUE,AND(O898:Q898))</f>
        <v>1</v>
      </c>
      <c r="L898" t="b">
        <f>COUNTBLANK(metadata!B898:D898)=COLUMNS(metadata!B898:D898)</f>
        <v>1</v>
      </c>
      <c r="M898" t="str">
        <v/>
      </c>
      <c r="O898" t="b">
        <f ca="1"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P898" t="b">
        <f>AND(IF(metadata!C898="",FALSE,TRUE),EXACT(metadata!C898,"mouse gut metagenome"))</f>
        <v>0</v>
      </c>
      <c r="Q898" t="b">
        <f>AND(IF(metadata!D898="",FALSE,TRUE),EXACT(metadata!D898,"410661"))</f>
        <v>0</v>
      </c>
    </row>
    <row r="899" spans="1:17" x14ac:dyDescent="0.2">
      <c r="A899" s="4" t="str">
        <f ca="1">IF(B899=" "," ",HYPERLINK(CONCATENATE("#metadata!",ADDRESS(INDEX($J$2:$J$1001,MATCH(ROWS($H$2:H899),$H$2:$H$1001,0),0),1)),INDEX($M$2:$M$1001,MATCH(ROWS($H$2:H899),$H$2:$H$1001,0),0)))</f>
        <v xml:space="preserve"> </v>
      </c>
      <c r="B899" s="3" t="str">
        <f ca="1">IF(OR(INDEX($I$2:$I$1001,MATCH(ROWS($H$2:H899),$H$2:$H$1001,0),1)&gt;=100000,INDEX($O$1005:$Q$1005,1,MATCH(COLUMNS($O$1006:O1006),$O$1006:$Q$1006,0))&gt;=100000), " ",IF(INDEX($O$2:$Q$1001,MATCH(ROWS($H$2:H899),$H$2:$H$1001,0),MATCH(COLUMNS($O$1006:O1006),$O$1006:$Q$1006,0)), HYPERLINK("#",""), HYPERLINK(CONCATENATE("#metadata!", ADDRESS(INDEX($J$2:$J$1001,MATCH(ROWS($H$2:H899),$H$2:$H$1001,0),0), INDEX($O$1004:$Q$1004,1,MATCH(COLUMNS($O$1006:O1006),$O$1006:$Q$1006,0)))),"Fix")))</f>
        <v xml:space="preserve"> </v>
      </c>
      <c r="C899" s="3" t="str">
        <f ca="1">IF(OR(INDEX($I$2:$I$1001,MATCH(ROWS($H$2:H899),$H$2:$H$1001,0),1)&gt;=100000,INDEX($O$1005:$Q$1005,1,MATCH(COLUMNS($O$1006:P1006),$O$1006:$Q$1006,0))&gt;=100000), " ",IF(INDEX($O$2:$Q$1001,MATCH(ROWS($H$2:H899),$H$2:$H$1001,0),MATCH(COLUMNS($O$1006:P1006),$O$1006:$Q$1006,0)), HYPERLINK("#",""), HYPERLINK(CONCATENATE("#metadata!", ADDRESS(INDEX($J$2:$J$1001,MATCH(ROWS($H$2:H899),$H$2:$H$1001,0),0), INDEX($O$1004:$Q$1004,1,MATCH(COLUMNS($O$1006:P1006),$O$1006:$Q$1006,0)))),"Fix")))</f>
        <v xml:space="preserve"> </v>
      </c>
      <c r="D899" s="3" t="str">
        <f ca="1">IF(OR(INDEX($I$2:$I$1001,MATCH(ROWS($H$2:H899),$H$2:$H$1001,0),1)&gt;=100000,INDEX($O$1005:$Q$1005,1,MATCH(COLUMNS($O$1006:Q1006),$O$1006:$Q$1006,0))&gt;=100000), " ",IF(INDEX($O$2:$Q$1001,MATCH(ROWS($H$2:H899),$H$2:$H$1001,0),MATCH(COLUMNS($O$1006:Q1006),$O$1006:$Q$1006,0)), HYPERLINK("#",""), HYPERLINK(CONCATENATE("#metadata!", ADDRESS(INDEX($J$2:$J$1001,MATCH(ROWS($H$2:H899),$H$2:$H$1001,0),0), INDEX($O$1004:$Q$1004,1,MATCH(COLUMNS($O$1006:Q1006),$O$1006:$Q$1006,0)))),"Fix")))</f>
        <v xml:space="preserve"> </v>
      </c>
      <c r="H899">
        <v>898</v>
      </c>
      <c r="I899">
        <v>100899</v>
      </c>
      <c r="J899">
        <v>899</v>
      </c>
      <c r="K899" t="b">
        <f t="shared" si="14"/>
        <v>1</v>
      </c>
      <c r="L899" t="b">
        <f>COUNTBLANK(metadata!B899:D899)=COLUMNS(metadata!B899:D899)</f>
        <v>1</v>
      </c>
      <c r="M899" t="str">
        <v/>
      </c>
      <c r="O899" t="b">
        <f ca="1"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P899" t="b">
        <f>AND(IF(metadata!C899="",FALSE,TRUE),EXACT(metadata!C899,"mouse gut metagenome"))</f>
        <v>0</v>
      </c>
      <c r="Q899" t="b">
        <f>AND(IF(metadata!D899="",FALSE,TRUE),EXACT(metadata!D899,"410661"))</f>
        <v>0</v>
      </c>
    </row>
    <row r="900" spans="1:17" x14ac:dyDescent="0.2">
      <c r="A900" s="4" t="str">
        <f ca="1">IF(B900=" "," ",HYPERLINK(CONCATENATE("#metadata!",ADDRESS(INDEX($J$2:$J$1001,MATCH(ROWS($H$2:H900),$H$2:$H$1001,0),0),1)),INDEX($M$2:$M$1001,MATCH(ROWS($H$2:H900),$H$2:$H$1001,0),0)))</f>
        <v xml:space="preserve"> </v>
      </c>
      <c r="B900" s="3" t="str">
        <f ca="1">IF(OR(INDEX($I$2:$I$1001,MATCH(ROWS($H$2:H900),$H$2:$H$1001,0),1)&gt;=100000,INDEX($O$1005:$Q$1005,1,MATCH(COLUMNS($O$1006:O1006),$O$1006:$Q$1006,0))&gt;=100000), " ",IF(INDEX($O$2:$Q$1001,MATCH(ROWS($H$2:H900),$H$2:$H$1001,0),MATCH(COLUMNS($O$1006:O1006),$O$1006:$Q$1006,0)), HYPERLINK("#",""), HYPERLINK(CONCATENATE("#metadata!", ADDRESS(INDEX($J$2:$J$1001,MATCH(ROWS($H$2:H900),$H$2:$H$1001,0),0), INDEX($O$1004:$Q$1004,1,MATCH(COLUMNS($O$1006:O1006),$O$1006:$Q$1006,0)))),"Fix")))</f>
        <v xml:space="preserve"> </v>
      </c>
      <c r="C900" s="3" t="str">
        <f ca="1">IF(OR(INDEX($I$2:$I$1001,MATCH(ROWS($H$2:H900),$H$2:$H$1001,0),1)&gt;=100000,INDEX($O$1005:$Q$1005,1,MATCH(COLUMNS($O$1006:P1006),$O$1006:$Q$1006,0))&gt;=100000), " ",IF(INDEX($O$2:$Q$1001,MATCH(ROWS($H$2:H900),$H$2:$H$1001,0),MATCH(COLUMNS($O$1006:P1006),$O$1006:$Q$1006,0)), HYPERLINK("#",""), HYPERLINK(CONCATENATE("#metadata!", ADDRESS(INDEX($J$2:$J$1001,MATCH(ROWS($H$2:H900),$H$2:$H$1001,0),0), INDEX($O$1004:$Q$1004,1,MATCH(COLUMNS($O$1006:P1006),$O$1006:$Q$1006,0)))),"Fix")))</f>
        <v xml:space="preserve"> </v>
      </c>
      <c r="D900" s="3" t="str">
        <f ca="1">IF(OR(INDEX($I$2:$I$1001,MATCH(ROWS($H$2:H900),$H$2:$H$1001,0),1)&gt;=100000,INDEX($O$1005:$Q$1005,1,MATCH(COLUMNS($O$1006:Q1006),$O$1006:$Q$1006,0))&gt;=100000), " ",IF(INDEX($O$2:$Q$1001,MATCH(ROWS($H$2:H900),$H$2:$H$1001,0),MATCH(COLUMNS($O$1006:Q1006),$O$1006:$Q$1006,0)), HYPERLINK("#",""), HYPERLINK(CONCATENATE("#metadata!", ADDRESS(INDEX($J$2:$J$1001,MATCH(ROWS($H$2:H900),$H$2:$H$1001,0),0), INDEX($O$1004:$Q$1004,1,MATCH(COLUMNS($O$1006:Q1006),$O$1006:$Q$1006,0)))),"Fix")))</f>
        <v xml:space="preserve"> </v>
      </c>
      <c r="H900">
        <v>899</v>
      </c>
      <c r="I900">
        <v>100900</v>
      </c>
      <c r="J900">
        <v>900</v>
      </c>
      <c r="K900" t="b">
        <f t="shared" si="14"/>
        <v>1</v>
      </c>
      <c r="L900" t="b">
        <f>COUNTBLANK(metadata!B900:D900)=COLUMNS(metadata!B900:D900)</f>
        <v>1</v>
      </c>
      <c r="M900" t="str">
        <v/>
      </c>
      <c r="O900" t="b">
        <f ca="1"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P900" t="b">
        <f>AND(IF(metadata!C900="",FALSE,TRUE),EXACT(metadata!C900,"mouse gut metagenome"))</f>
        <v>0</v>
      </c>
      <c r="Q900" t="b">
        <f>AND(IF(metadata!D900="",FALSE,TRUE),EXACT(metadata!D900,"410661"))</f>
        <v>0</v>
      </c>
    </row>
    <row r="901" spans="1:17" x14ac:dyDescent="0.2">
      <c r="A901" s="4" t="str">
        <f ca="1">IF(B901=" "," ",HYPERLINK(CONCATENATE("#metadata!",ADDRESS(INDEX($J$2:$J$1001,MATCH(ROWS($H$2:H901),$H$2:$H$1001,0),0),1)),INDEX($M$2:$M$1001,MATCH(ROWS($H$2:H901),$H$2:$H$1001,0),0)))</f>
        <v xml:space="preserve"> </v>
      </c>
      <c r="B901" s="3" t="str">
        <f ca="1">IF(OR(INDEX($I$2:$I$1001,MATCH(ROWS($H$2:H901),$H$2:$H$1001,0),1)&gt;=100000,INDEX($O$1005:$Q$1005,1,MATCH(COLUMNS($O$1006:O1006),$O$1006:$Q$1006,0))&gt;=100000), " ",IF(INDEX($O$2:$Q$1001,MATCH(ROWS($H$2:H901),$H$2:$H$1001,0),MATCH(COLUMNS($O$1006:O1006),$O$1006:$Q$1006,0)), HYPERLINK("#",""), HYPERLINK(CONCATENATE("#metadata!", ADDRESS(INDEX($J$2:$J$1001,MATCH(ROWS($H$2:H901),$H$2:$H$1001,0),0), INDEX($O$1004:$Q$1004,1,MATCH(COLUMNS($O$1006:O1006),$O$1006:$Q$1006,0)))),"Fix")))</f>
        <v xml:space="preserve"> </v>
      </c>
      <c r="C901" s="3" t="str">
        <f ca="1">IF(OR(INDEX($I$2:$I$1001,MATCH(ROWS($H$2:H901),$H$2:$H$1001,0),1)&gt;=100000,INDEX($O$1005:$Q$1005,1,MATCH(COLUMNS($O$1006:P1006),$O$1006:$Q$1006,0))&gt;=100000), " ",IF(INDEX($O$2:$Q$1001,MATCH(ROWS($H$2:H901),$H$2:$H$1001,0),MATCH(COLUMNS($O$1006:P1006),$O$1006:$Q$1006,0)), HYPERLINK("#",""), HYPERLINK(CONCATENATE("#metadata!", ADDRESS(INDEX($J$2:$J$1001,MATCH(ROWS($H$2:H901),$H$2:$H$1001,0),0), INDEX($O$1004:$Q$1004,1,MATCH(COLUMNS($O$1006:P1006),$O$1006:$Q$1006,0)))),"Fix")))</f>
        <v xml:space="preserve"> </v>
      </c>
      <c r="D901" s="3" t="str">
        <f ca="1">IF(OR(INDEX($I$2:$I$1001,MATCH(ROWS($H$2:H901),$H$2:$H$1001,0),1)&gt;=100000,INDEX($O$1005:$Q$1005,1,MATCH(COLUMNS($O$1006:Q1006),$O$1006:$Q$1006,0))&gt;=100000), " ",IF(INDEX($O$2:$Q$1001,MATCH(ROWS($H$2:H901),$H$2:$H$1001,0),MATCH(COLUMNS($O$1006:Q1006),$O$1006:$Q$1006,0)), HYPERLINK("#",""), HYPERLINK(CONCATENATE("#metadata!", ADDRESS(INDEX($J$2:$J$1001,MATCH(ROWS($H$2:H901),$H$2:$H$1001,0),0), INDEX($O$1004:$Q$1004,1,MATCH(COLUMNS($O$1006:Q1006),$O$1006:$Q$1006,0)))),"Fix")))</f>
        <v xml:space="preserve"> </v>
      </c>
      <c r="H901">
        <v>900</v>
      </c>
      <c r="I901">
        <v>100901</v>
      </c>
      <c r="J901">
        <v>901</v>
      </c>
      <c r="K901" t="b">
        <f t="shared" si="14"/>
        <v>1</v>
      </c>
      <c r="L901" t="b">
        <f>COUNTBLANK(metadata!B901:D901)=COLUMNS(metadata!B901:D901)</f>
        <v>1</v>
      </c>
      <c r="M901" t="str">
        <v/>
      </c>
      <c r="O901" t="b">
        <f ca="1"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P901" t="b">
        <f>AND(IF(metadata!C901="",FALSE,TRUE),EXACT(metadata!C901,"mouse gut metagenome"))</f>
        <v>0</v>
      </c>
      <c r="Q901" t="b">
        <f>AND(IF(metadata!D901="",FALSE,TRUE),EXACT(metadata!D901,"410661"))</f>
        <v>0</v>
      </c>
    </row>
    <row r="902" spans="1:17" x14ac:dyDescent="0.2">
      <c r="A902" s="4" t="str">
        <f ca="1">IF(B902=" "," ",HYPERLINK(CONCATENATE("#metadata!",ADDRESS(INDEX($J$2:$J$1001,MATCH(ROWS($H$2:H902),$H$2:$H$1001,0),0),1)),INDEX($M$2:$M$1001,MATCH(ROWS($H$2:H902),$H$2:$H$1001,0),0)))</f>
        <v xml:space="preserve"> </v>
      </c>
      <c r="B902" s="3" t="str">
        <f ca="1">IF(OR(INDEX($I$2:$I$1001,MATCH(ROWS($H$2:H902),$H$2:$H$1001,0),1)&gt;=100000,INDEX($O$1005:$Q$1005,1,MATCH(COLUMNS($O$1006:O1006),$O$1006:$Q$1006,0))&gt;=100000), " ",IF(INDEX($O$2:$Q$1001,MATCH(ROWS($H$2:H902),$H$2:$H$1001,0),MATCH(COLUMNS($O$1006:O1006),$O$1006:$Q$1006,0)), HYPERLINK("#",""), HYPERLINK(CONCATENATE("#metadata!", ADDRESS(INDEX($J$2:$J$1001,MATCH(ROWS($H$2:H902),$H$2:$H$1001,0),0), INDEX($O$1004:$Q$1004,1,MATCH(COLUMNS($O$1006:O1006),$O$1006:$Q$1006,0)))),"Fix")))</f>
        <v xml:space="preserve"> </v>
      </c>
      <c r="C902" s="3" t="str">
        <f ca="1">IF(OR(INDEX($I$2:$I$1001,MATCH(ROWS($H$2:H902),$H$2:$H$1001,0),1)&gt;=100000,INDEX($O$1005:$Q$1005,1,MATCH(COLUMNS($O$1006:P1006),$O$1006:$Q$1006,0))&gt;=100000), " ",IF(INDEX($O$2:$Q$1001,MATCH(ROWS($H$2:H902),$H$2:$H$1001,0),MATCH(COLUMNS($O$1006:P1006),$O$1006:$Q$1006,0)), HYPERLINK("#",""), HYPERLINK(CONCATENATE("#metadata!", ADDRESS(INDEX($J$2:$J$1001,MATCH(ROWS($H$2:H902),$H$2:$H$1001,0),0), INDEX($O$1004:$Q$1004,1,MATCH(COLUMNS($O$1006:P1006),$O$1006:$Q$1006,0)))),"Fix")))</f>
        <v xml:space="preserve"> </v>
      </c>
      <c r="D902" s="3" t="str">
        <f ca="1">IF(OR(INDEX($I$2:$I$1001,MATCH(ROWS($H$2:H902),$H$2:$H$1001,0),1)&gt;=100000,INDEX($O$1005:$Q$1005,1,MATCH(COLUMNS($O$1006:Q1006),$O$1006:$Q$1006,0))&gt;=100000), " ",IF(INDEX($O$2:$Q$1001,MATCH(ROWS($H$2:H902),$H$2:$H$1001,0),MATCH(COLUMNS($O$1006:Q1006),$O$1006:$Q$1006,0)), HYPERLINK("#",""), HYPERLINK(CONCATENATE("#metadata!", ADDRESS(INDEX($J$2:$J$1001,MATCH(ROWS($H$2:H902),$H$2:$H$1001,0),0), INDEX($O$1004:$Q$1004,1,MATCH(COLUMNS($O$1006:Q1006),$O$1006:$Q$1006,0)))),"Fix")))</f>
        <v xml:space="preserve"> </v>
      </c>
      <c r="H902">
        <v>901</v>
      </c>
      <c r="I902">
        <v>100902</v>
      </c>
      <c r="J902">
        <v>902</v>
      </c>
      <c r="K902" t="b">
        <f t="shared" si="14"/>
        <v>1</v>
      </c>
      <c r="L902" t="b">
        <f>COUNTBLANK(metadata!B902:D902)=COLUMNS(metadata!B902:D902)</f>
        <v>1</v>
      </c>
      <c r="M902" t="str">
        <v/>
      </c>
      <c r="O902" t="b">
        <f ca="1"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P902" t="b">
        <f>AND(IF(metadata!C902="",FALSE,TRUE),EXACT(metadata!C902,"mouse gut metagenome"))</f>
        <v>0</v>
      </c>
      <c r="Q902" t="b">
        <f>AND(IF(metadata!D902="",FALSE,TRUE),EXACT(metadata!D902,"410661"))</f>
        <v>0</v>
      </c>
    </row>
    <row r="903" spans="1:17" x14ac:dyDescent="0.2">
      <c r="A903" s="4" t="str">
        <f ca="1">IF(B903=" "," ",HYPERLINK(CONCATENATE("#metadata!",ADDRESS(INDEX($J$2:$J$1001,MATCH(ROWS($H$2:H903),$H$2:$H$1001,0),0),1)),INDEX($M$2:$M$1001,MATCH(ROWS($H$2:H903),$H$2:$H$1001,0),0)))</f>
        <v xml:space="preserve"> </v>
      </c>
      <c r="B903" s="3" t="str">
        <f ca="1">IF(OR(INDEX($I$2:$I$1001,MATCH(ROWS($H$2:H903),$H$2:$H$1001,0),1)&gt;=100000,INDEX($O$1005:$Q$1005,1,MATCH(COLUMNS($O$1006:O1006),$O$1006:$Q$1006,0))&gt;=100000), " ",IF(INDEX($O$2:$Q$1001,MATCH(ROWS($H$2:H903),$H$2:$H$1001,0),MATCH(COLUMNS($O$1006:O1006),$O$1006:$Q$1006,0)), HYPERLINK("#",""), HYPERLINK(CONCATENATE("#metadata!", ADDRESS(INDEX($J$2:$J$1001,MATCH(ROWS($H$2:H903),$H$2:$H$1001,0),0), INDEX($O$1004:$Q$1004,1,MATCH(COLUMNS($O$1006:O1006),$O$1006:$Q$1006,0)))),"Fix")))</f>
        <v xml:space="preserve"> </v>
      </c>
      <c r="C903" s="3" t="str">
        <f ca="1">IF(OR(INDEX($I$2:$I$1001,MATCH(ROWS($H$2:H903),$H$2:$H$1001,0),1)&gt;=100000,INDEX($O$1005:$Q$1005,1,MATCH(COLUMNS($O$1006:P1006),$O$1006:$Q$1006,0))&gt;=100000), " ",IF(INDEX($O$2:$Q$1001,MATCH(ROWS($H$2:H903),$H$2:$H$1001,0),MATCH(COLUMNS($O$1006:P1006),$O$1006:$Q$1006,0)), HYPERLINK("#",""), HYPERLINK(CONCATENATE("#metadata!", ADDRESS(INDEX($J$2:$J$1001,MATCH(ROWS($H$2:H903),$H$2:$H$1001,0),0), INDEX($O$1004:$Q$1004,1,MATCH(COLUMNS($O$1006:P1006),$O$1006:$Q$1006,0)))),"Fix")))</f>
        <v xml:space="preserve"> </v>
      </c>
      <c r="D903" s="3" t="str">
        <f ca="1">IF(OR(INDEX($I$2:$I$1001,MATCH(ROWS($H$2:H903),$H$2:$H$1001,0),1)&gt;=100000,INDEX($O$1005:$Q$1005,1,MATCH(COLUMNS($O$1006:Q1006),$O$1006:$Q$1006,0))&gt;=100000), " ",IF(INDEX($O$2:$Q$1001,MATCH(ROWS($H$2:H903),$H$2:$H$1001,0),MATCH(COLUMNS($O$1006:Q1006),$O$1006:$Q$1006,0)), HYPERLINK("#",""), HYPERLINK(CONCATENATE("#metadata!", ADDRESS(INDEX($J$2:$J$1001,MATCH(ROWS($H$2:H903),$H$2:$H$1001,0),0), INDEX($O$1004:$Q$1004,1,MATCH(COLUMNS($O$1006:Q1006),$O$1006:$Q$1006,0)))),"Fix")))</f>
        <v xml:space="preserve"> </v>
      </c>
      <c r="H903">
        <v>902</v>
      </c>
      <c r="I903">
        <v>100903</v>
      </c>
      <c r="J903">
        <v>903</v>
      </c>
      <c r="K903" t="b">
        <f t="shared" si="14"/>
        <v>1</v>
      </c>
      <c r="L903" t="b">
        <f>COUNTBLANK(metadata!B903:D903)=COLUMNS(metadata!B903:D903)</f>
        <v>1</v>
      </c>
      <c r="M903" t="str">
        <v/>
      </c>
      <c r="O903" t="b">
        <f ca="1"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P903" t="b">
        <f>AND(IF(metadata!C903="",FALSE,TRUE),EXACT(metadata!C903,"mouse gut metagenome"))</f>
        <v>0</v>
      </c>
      <c r="Q903" t="b">
        <f>AND(IF(metadata!D903="",FALSE,TRUE),EXACT(metadata!D903,"410661"))</f>
        <v>0</v>
      </c>
    </row>
    <row r="904" spans="1:17" x14ac:dyDescent="0.2">
      <c r="A904" s="4" t="str">
        <f ca="1">IF(B904=" "," ",HYPERLINK(CONCATENATE("#metadata!",ADDRESS(INDEX($J$2:$J$1001,MATCH(ROWS($H$2:H904),$H$2:$H$1001,0),0),1)),INDEX($M$2:$M$1001,MATCH(ROWS($H$2:H904),$H$2:$H$1001,0),0)))</f>
        <v xml:space="preserve"> </v>
      </c>
      <c r="B904" s="3" t="str">
        <f ca="1">IF(OR(INDEX($I$2:$I$1001,MATCH(ROWS($H$2:H904),$H$2:$H$1001,0),1)&gt;=100000,INDEX($O$1005:$Q$1005,1,MATCH(COLUMNS($O$1006:O1006),$O$1006:$Q$1006,0))&gt;=100000), " ",IF(INDEX($O$2:$Q$1001,MATCH(ROWS($H$2:H904),$H$2:$H$1001,0),MATCH(COLUMNS($O$1006:O1006),$O$1006:$Q$1006,0)), HYPERLINK("#",""), HYPERLINK(CONCATENATE("#metadata!", ADDRESS(INDEX($J$2:$J$1001,MATCH(ROWS($H$2:H904),$H$2:$H$1001,0),0), INDEX($O$1004:$Q$1004,1,MATCH(COLUMNS($O$1006:O1006),$O$1006:$Q$1006,0)))),"Fix")))</f>
        <v xml:space="preserve"> </v>
      </c>
      <c r="C904" s="3" t="str">
        <f ca="1">IF(OR(INDEX($I$2:$I$1001,MATCH(ROWS($H$2:H904),$H$2:$H$1001,0),1)&gt;=100000,INDEX($O$1005:$Q$1005,1,MATCH(COLUMNS($O$1006:P1006),$O$1006:$Q$1006,0))&gt;=100000), " ",IF(INDEX($O$2:$Q$1001,MATCH(ROWS($H$2:H904),$H$2:$H$1001,0),MATCH(COLUMNS($O$1006:P1006),$O$1006:$Q$1006,0)), HYPERLINK("#",""), HYPERLINK(CONCATENATE("#metadata!", ADDRESS(INDEX($J$2:$J$1001,MATCH(ROWS($H$2:H904),$H$2:$H$1001,0),0), INDEX($O$1004:$Q$1004,1,MATCH(COLUMNS($O$1006:P1006),$O$1006:$Q$1006,0)))),"Fix")))</f>
        <v xml:space="preserve"> </v>
      </c>
      <c r="D904" s="3" t="str">
        <f ca="1">IF(OR(INDEX($I$2:$I$1001,MATCH(ROWS($H$2:H904),$H$2:$H$1001,0),1)&gt;=100000,INDEX($O$1005:$Q$1005,1,MATCH(COLUMNS($O$1006:Q1006),$O$1006:$Q$1006,0))&gt;=100000), " ",IF(INDEX($O$2:$Q$1001,MATCH(ROWS($H$2:H904),$H$2:$H$1001,0),MATCH(COLUMNS($O$1006:Q1006),$O$1006:$Q$1006,0)), HYPERLINK("#",""), HYPERLINK(CONCATENATE("#metadata!", ADDRESS(INDEX($J$2:$J$1001,MATCH(ROWS($H$2:H904),$H$2:$H$1001,0),0), INDEX($O$1004:$Q$1004,1,MATCH(COLUMNS($O$1006:Q1006),$O$1006:$Q$1006,0)))),"Fix")))</f>
        <v xml:space="preserve"> </v>
      </c>
      <c r="H904">
        <v>903</v>
      </c>
      <c r="I904">
        <v>100904</v>
      </c>
      <c r="J904">
        <v>904</v>
      </c>
      <c r="K904" t="b">
        <f t="shared" si="14"/>
        <v>1</v>
      </c>
      <c r="L904" t="b">
        <f>COUNTBLANK(metadata!B904:D904)=COLUMNS(metadata!B904:D904)</f>
        <v>1</v>
      </c>
      <c r="M904" t="str">
        <v/>
      </c>
      <c r="O904" t="b">
        <f ca="1"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P904" t="b">
        <f>AND(IF(metadata!C904="",FALSE,TRUE),EXACT(metadata!C904,"mouse gut metagenome"))</f>
        <v>0</v>
      </c>
      <c r="Q904" t="b">
        <f>AND(IF(metadata!D904="",FALSE,TRUE),EXACT(metadata!D904,"410661"))</f>
        <v>0</v>
      </c>
    </row>
    <row r="905" spans="1:17" x14ac:dyDescent="0.2">
      <c r="A905" s="4" t="str">
        <f ca="1">IF(B905=" "," ",HYPERLINK(CONCATENATE("#metadata!",ADDRESS(INDEX($J$2:$J$1001,MATCH(ROWS($H$2:H905),$H$2:$H$1001,0),0),1)),INDEX($M$2:$M$1001,MATCH(ROWS($H$2:H905),$H$2:$H$1001,0),0)))</f>
        <v xml:space="preserve"> </v>
      </c>
      <c r="B905" s="3" t="str">
        <f ca="1">IF(OR(INDEX($I$2:$I$1001,MATCH(ROWS($H$2:H905),$H$2:$H$1001,0),1)&gt;=100000,INDEX($O$1005:$Q$1005,1,MATCH(COLUMNS($O$1006:O1006),$O$1006:$Q$1006,0))&gt;=100000), " ",IF(INDEX($O$2:$Q$1001,MATCH(ROWS($H$2:H905),$H$2:$H$1001,0),MATCH(COLUMNS($O$1006:O1006),$O$1006:$Q$1006,0)), HYPERLINK("#",""), HYPERLINK(CONCATENATE("#metadata!", ADDRESS(INDEX($J$2:$J$1001,MATCH(ROWS($H$2:H905),$H$2:$H$1001,0),0), INDEX($O$1004:$Q$1004,1,MATCH(COLUMNS($O$1006:O1006),$O$1006:$Q$1006,0)))),"Fix")))</f>
        <v xml:space="preserve"> </v>
      </c>
      <c r="C905" s="3" t="str">
        <f ca="1">IF(OR(INDEX($I$2:$I$1001,MATCH(ROWS($H$2:H905),$H$2:$H$1001,0),1)&gt;=100000,INDEX($O$1005:$Q$1005,1,MATCH(COLUMNS($O$1006:P1006),$O$1006:$Q$1006,0))&gt;=100000), " ",IF(INDEX($O$2:$Q$1001,MATCH(ROWS($H$2:H905),$H$2:$H$1001,0),MATCH(COLUMNS($O$1006:P1006),$O$1006:$Q$1006,0)), HYPERLINK("#",""), HYPERLINK(CONCATENATE("#metadata!", ADDRESS(INDEX($J$2:$J$1001,MATCH(ROWS($H$2:H905),$H$2:$H$1001,0),0), INDEX($O$1004:$Q$1004,1,MATCH(COLUMNS($O$1006:P1006),$O$1006:$Q$1006,0)))),"Fix")))</f>
        <v xml:space="preserve"> </v>
      </c>
      <c r="D905" s="3" t="str">
        <f ca="1">IF(OR(INDEX($I$2:$I$1001,MATCH(ROWS($H$2:H905),$H$2:$H$1001,0),1)&gt;=100000,INDEX($O$1005:$Q$1005,1,MATCH(COLUMNS($O$1006:Q1006),$O$1006:$Q$1006,0))&gt;=100000), " ",IF(INDEX($O$2:$Q$1001,MATCH(ROWS($H$2:H905),$H$2:$H$1001,0),MATCH(COLUMNS($O$1006:Q1006),$O$1006:$Q$1006,0)), HYPERLINK("#",""), HYPERLINK(CONCATENATE("#metadata!", ADDRESS(INDEX($J$2:$J$1001,MATCH(ROWS($H$2:H905),$H$2:$H$1001,0),0), INDEX($O$1004:$Q$1004,1,MATCH(COLUMNS($O$1006:Q1006),$O$1006:$Q$1006,0)))),"Fix")))</f>
        <v xml:space="preserve"> </v>
      </c>
      <c r="H905">
        <v>904</v>
      </c>
      <c r="I905">
        <v>100905</v>
      </c>
      <c r="J905">
        <v>905</v>
      </c>
      <c r="K905" t="b">
        <f t="shared" si="14"/>
        <v>1</v>
      </c>
      <c r="L905" t="b">
        <f>COUNTBLANK(metadata!B905:D905)=COLUMNS(metadata!B905:D905)</f>
        <v>1</v>
      </c>
      <c r="M905" t="str">
        <v/>
      </c>
      <c r="O905" t="b">
        <f ca="1"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P905" t="b">
        <f>AND(IF(metadata!C905="",FALSE,TRUE),EXACT(metadata!C905,"mouse gut metagenome"))</f>
        <v>0</v>
      </c>
      <c r="Q905" t="b">
        <f>AND(IF(metadata!D905="",FALSE,TRUE),EXACT(metadata!D905,"410661"))</f>
        <v>0</v>
      </c>
    </row>
    <row r="906" spans="1:17" x14ac:dyDescent="0.2">
      <c r="A906" s="4" t="str">
        <f ca="1">IF(B906=" "," ",HYPERLINK(CONCATENATE("#metadata!",ADDRESS(INDEX($J$2:$J$1001,MATCH(ROWS($H$2:H906),$H$2:$H$1001,0),0),1)),INDEX($M$2:$M$1001,MATCH(ROWS($H$2:H906),$H$2:$H$1001,0),0)))</f>
        <v xml:space="preserve"> </v>
      </c>
      <c r="B906" s="3" t="str">
        <f ca="1">IF(OR(INDEX($I$2:$I$1001,MATCH(ROWS($H$2:H906),$H$2:$H$1001,0),1)&gt;=100000,INDEX($O$1005:$Q$1005,1,MATCH(COLUMNS($O$1006:O1006),$O$1006:$Q$1006,0))&gt;=100000), " ",IF(INDEX($O$2:$Q$1001,MATCH(ROWS($H$2:H906),$H$2:$H$1001,0),MATCH(COLUMNS($O$1006:O1006),$O$1006:$Q$1006,0)), HYPERLINK("#",""), HYPERLINK(CONCATENATE("#metadata!", ADDRESS(INDEX($J$2:$J$1001,MATCH(ROWS($H$2:H906),$H$2:$H$1001,0),0), INDEX($O$1004:$Q$1004,1,MATCH(COLUMNS($O$1006:O1006),$O$1006:$Q$1006,0)))),"Fix")))</f>
        <v xml:space="preserve"> </v>
      </c>
      <c r="C906" s="3" t="str">
        <f ca="1">IF(OR(INDEX($I$2:$I$1001,MATCH(ROWS($H$2:H906),$H$2:$H$1001,0),1)&gt;=100000,INDEX($O$1005:$Q$1005,1,MATCH(COLUMNS($O$1006:P1006),$O$1006:$Q$1006,0))&gt;=100000), " ",IF(INDEX($O$2:$Q$1001,MATCH(ROWS($H$2:H906),$H$2:$H$1001,0),MATCH(COLUMNS($O$1006:P1006),$O$1006:$Q$1006,0)), HYPERLINK("#",""), HYPERLINK(CONCATENATE("#metadata!", ADDRESS(INDEX($J$2:$J$1001,MATCH(ROWS($H$2:H906),$H$2:$H$1001,0),0), INDEX($O$1004:$Q$1004,1,MATCH(COLUMNS($O$1006:P1006),$O$1006:$Q$1006,0)))),"Fix")))</f>
        <v xml:space="preserve"> </v>
      </c>
      <c r="D906" s="3" t="str">
        <f ca="1">IF(OR(INDEX($I$2:$I$1001,MATCH(ROWS($H$2:H906),$H$2:$H$1001,0),1)&gt;=100000,INDEX($O$1005:$Q$1005,1,MATCH(COLUMNS($O$1006:Q1006),$O$1006:$Q$1006,0))&gt;=100000), " ",IF(INDEX($O$2:$Q$1001,MATCH(ROWS($H$2:H906),$H$2:$H$1001,0),MATCH(COLUMNS($O$1006:Q1006),$O$1006:$Q$1006,0)), HYPERLINK("#",""), HYPERLINK(CONCATENATE("#metadata!", ADDRESS(INDEX($J$2:$J$1001,MATCH(ROWS($H$2:H906),$H$2:$H$1001,0),0), INDEX($O$1004:$Q$1004,1,MATCH(COLUMNS($O$1006:Q1006),$O$1006:$Q$1006,0)))),"Fix")))</f>
        <v xml:space="preserve"> </v>
      </c>
      <c r="H906">
        <v>905</v>
      </c>
      <c r="I906">
        <v>100906</v>
      </c>
      <c r="J906">
        <v>906</v>
      </c>
      <c r="K906" t="b">
        <f t="shared" si="14"/>
        <v>1</v>
      </c>
      <c r="L906" t="b">
        <f>COUNTBLANK(metadata!B906:D906)=COLUMNS(metadata!B906:D906)</f>
        <v>1</v>
      </c>
      <c r="M906" t="str">
        <v/>
      </c>
      <c r="O906" t="b">
        <f ca="1"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P906" t="b">
        <f>AND(IF(metadata!C906="",FALSE,TRUE),EXACT(metadata!C906,"mouse gut metagenome"))</f>
        <v>0</v>
      </c>
      <c r="Q906" t="b">
        <f>AND(IF(metadata!D906="",FALSE,TRUE),EXACT(metadata!D906,"410661"))</f>
        <v>0</v>
      </c>
    </row>
    <row r="907" spans="1:17" x14ac:dyDescent="0.2">
      <c r="A907" s="4" t="str">
        <f ca="1">IF(B907=" "," ",HYPERLINK(CONCATENATE("#metadata!",ADDRESS(INDEX($J$2:$J$1001,MATCH(ROWS($H$2:H907),$H$2:$H$1001,0),0),1)),INDEX($M$2:$M$1001,MATCH(ROWS($H$2:H907),$H$2:$H$1001,0),0)))</f>
        <v xml:space="preserve"> </v>
      </c>
      <c r="B907" s="3" t="str">
        <f ca="1">IF(OR(INDEX($I$2:$I$1001,MATCH(ROWS($H$2:H907),$H$2:$H$1001,0),1)&gt;=100000,INDEX($O$1005:$Q$1005,1,MATCH(COLUMNS($O$1006:O1006),$O$1006:$Q$1006,0))&gt;=100000), " ",IF(INDEX($O$2:$Q$1001,MATCH(ROWS($H$2:H907),$H$2:$H$1001,0),MATCH(COLUMNS($O$1006:O1006),$O$1006:$Q$1006,0)), HYPERLINK("#",""), HYPERLINK(CONCATENATE("#metadata!", ADDRESS(INDEX($J$2:$J$1001,MATCH(ROWS($H$2:H907),$H$2:$H$1001,0),0), INDEX($O$1004:$Q$1004,1,MATCH(COLUMNS($O$1006:O1006),$O$1006:$Q$1006,0)))),"Fix")))</f>
        <v xml:space="preserve"> </v>
      </c>
      <c r="C907" s="3" t="str">
        <f ca="1">IF(OR(INDEX($I$2:$I$1001,MATCH(ROWS($H$2:H907),$H$2:$H$1001,0),1)&gt;=100000,INDEX($O$1005:$Q$1005,1,MATCH(COLUMNS($O$1006:P1006),$O$1006:$Q$1006,0))&gt;=100000), " ",IF(INDEX($O$2:$Q$1001,MATCH(ROWS($H$2:H907),$H$2:$H$1001,0),MATCH(COLUMNS($O$1006:P1006),$O$1006:$Q$1006,0)), HYPERLINK("#",""), HYPERLINK(CONCATENATE("#metadata!", ADDRESS(INDEX($J$2:$J$1001,MATCH(ROWS($H$2:H907),$H$2:$H$1001,0),0), INDEX($O$1004:$Q$1004,1,MATCH(COLUMNS($O$1006:P1006),$O$1006:$Q$1006,0)))),"Fix")))</f>
        <v xml:space="preserve"> </v>
      </c>
      <c r="D907" s="3" t="str">
        <f ca="1">IF(OR(INDEX($I$2:$I$1001,MATCH(ROWS($H$2:H907),$H$2:$H$1001,0),1)&gt;=100000,INDEX($O$1005:$Q$1005,1,MATCH(COLUMNS($O$1006:Q1006),$O$1006:$Q$1006,0))&gt;=100000), " ",IF(INDEX($O$2:$Q$1001,MATCH(ROWS($H$2:H907),$H$2:$H$1001,0),MATCH(COLUMNS($O$1006:Q1006),$O$1006:$Q$1006,0)), HYPERLINK("#",""), HYPERLINK(CONCATENATE("#metadata!", ADDRESS(INDEX($J$2:$J$1001,MATCH(ROWS($H$2:H907),$H$2:$H$1001,0),0), INDEX($O$1004:$Q$1004,1,MATCH(COLUMNS($O$1006:Q1006),$O$1006:$Q$1006,0)))),"Fix")))</f>
        <v xml:space="preserve"> </v>
      </c>
      <c r="H907">
        <v>906</v>
      </c>
      <c r="I907">
        <v>100907</v>
      </c>
      <c r="J907">
        <v>907</v>
      </c>
      <c r="K907" t="b">
        <f t="shared" si="14"/>
        <v>1</v>
      </c>
      <c r="L907" t="b">
        <f>COUNTBLANK(metadata!B907:D907)=COLUMNS(metadata!B907:D907)</f>
        <v>1</v>
      </c>
      <c r="M907" t="str">
        <v/>
      </c>
      <c r="O907" t="b">
        <f ca="1"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P907" t="b">
        <f>AND(IF(metadata!C907="",FALSE,TRUE),EXACT(metadata!C907,"mouse gut metagenome"))</f>
        <v>0</v>
      </c>
      <c r="Q907" t="b">
        <f>AND(IF(metadata!D907="",FALSE,TRUE),EXACT(metadata!D907,"410661"))</f>
        <v>0</v>
      </c>
    </row>
    <row r="908" spans="1:17" x14ac:dyDescent="0.2">
      <c r="A908" s="4" t="str">
        <f ca="1">IF(B908=" "," ",HYPERLINK(CONCATENATE("#metadata!",ADDRESS(INDEX($J$2:$J$1001,MATCH(ROWS($H$2:H908),$H$2:$H$1001,0),0),1)),INDEX($M$2:$M$1001,MATCH(ROWS($H$2:H908),$H$2:$H$1001,0),0)))</f>
        <v xml:space="preserve"> </v>
      </c>
      <c r="B908" s="3" t="str">
        <f ca="1">IF(OR(INDEX($I$2:$I$1001,MATCH(ROWS($H$2:H908),$H$2:$H$1001,0),1)&gt;=100000,INDEX($O$1005:$Q$1005,1,MATCH(COLUMNS($O$1006:O1006),$O$1006:$Q$1006,0))&gt;=100000), " ",IF(INDEX($O$2:$Q$1001,MATCH(ROWS($H$2:H908),$H$2:$H$1001,0),MATCH(COLUMNS($O$1006:O1006),$O$1006:$Q$1006,0)), HYPERLINK("#",""), HYPERLINK(CONCATENATE("#metadata!", ADDRESS(INDEX($J$2:$J$1001,MATCH(ROWS($H$2:H908),$H$2:$H$1001,0),0), INDEX($O$1004:$Q$1004,1,MATCH(COLUMNS($O$1006:O1006),$O$1006:$Q$1006,0)))),"Fix")))</f>
        <v xml:space="preserve"> </v>
      </c>
      <c r="C908" s="3" t="str">
        <f ca="1">IF(OR(INDEX($I$2:$I$1001,MATCH(ROWS($H$2:H908),$H$2:$H$1001,0),1)&gt;=100000,INDEX($O$1005:$Q$1005,1,MATCH(COLUMNS($O$1006:P1006),$O$1006:$Q$1006,0))&gt;=100000), " ",IF(INDEX($O$2:$Q$1001,MATCH(ROWS($H$2:H908),$H$2:$H$1001,0),MATCH(COLUMNS($O$1006:P1006),$O$1006:$Q$1006,0)), HYPERLINK("#",""), HYPERLINK(CONCATENATE("#metadata!", ADDRESS(INDEX($J$2:$J$1001,MATCH(ROWS($H$2:H908),$H$2:$H$1001,0),0), INDEX($O$1004:$Q$1004,1,MATCH(COLUMNS($O$1006:P1006),$O$1006:$Q$1006,0)))),"Fix")))</f>
        <v xml:space="preserve"> </v>
      </c>
      <c r="D908" s="3" t="str">
        <f ca="1">IF(OR(INDEX($I$2:$I$1001,MATCH(ROWS($H$2:H908),$H$2:$H$1001,0),1)&gt;=100000,INDEX($O$1005:$Q$1005,1,MATCH(COLUMNS($O$1006:Q1006),$O$1006:$Q$1006,0))&gt;=100000), " ",IF(INDEX($O$2:$Q$1001,MATCH(ROWS($H$2:H908),$H$2:$H$1001,0),MATCH(COLUMNS($O$1006:Q1006),$O$1006:$Q$1006,0)), HYPERLINK("#",""), HYPERLINK(CONCATENATE("#metadata!", ADDRESS(INDEX($J$2:$J$1001,MATCH(ROWS($H$2:H908),$H$2:$H$1001,0),0), INDEX($O$1004:$Q$1004,1,MATCH(COLUMNS($O$1006:Q1006),$O$1006:$Q$1006,0)))),"Fix")))</f>
        <v xml:space="preserve"> </v>
      </c>
      <c r="H908">
        <v>907</v>
      </c>
      <c r="I908">
        <v>100908</v>
      </c>
      <c r="J908">
        <v>908</v>
      </c>
      <c r="K908" t="b">
        <f t="shared" si="14"/>
        <v>1</v>
      </c>
      <c r="L908" t="b">
        <f>COUNTBLANK(metadata!B908:D908)=COLUMNS(metadata!B908:D908)</f>
        <v>1</v>
      </c>
      <c r="M908" t="str">
        <v/>
      </c>
      <c r="O908" t="b">
        <f ca="1"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P908" t="b">
        <f>AND(IF(metadata!C908="",FALSE,TRUE),EXACT(metadata!C908,"mouse gut metagenome"))</f>
        <v>0</v>
      </c>
      <c r="Q908" t="b">
        <f>AND(IF(metadata!D908="",FALSE,TRUE),EXACT(metadata!D908,"410661"))</f>
        <v>0</v>
      </c>
    </row>
    <row r="909" spans="1:17" x14ac:dyDescent="0.2">
      <c r="A909" s="4" t="str">
        <f ca="1">IF(B909=" "," ",HYPERLINK(CONCATENATE("#metadata!",ADDRESS(INDEX($J$2:$J$1001,MATCH(ROWS($H$2:H909),$H$2:$H$1001,0),0),1)),INDEX($M$2:$M$1001,MATCH(ROWS($H$2:H909),$H$2:$H$1001,0),0)))</f>
        <v xml:space="preserve"> </v>
      </c>
      <c r="B909" s="3" t="str">
        <f ca="1">IF(OR(INDEX($I$2:$I$1001,MATCH(ROWS($H$2:H909),$H$2:$H$1001,0),1)&gt;=100000,INDEX($O$1005:$Q$1005,1,MATCH(COLUMNS($O$1006:O1006),$O$1006:$Q$1006,0))&gt;=100000), " ",IF(INDEX($O$2:$Q$1001,MATCH(ROWS($H$2:H909),$H$2:$H$1001,0),MATCH(COLUMNS($O$1006:O1006),$O$1006:$Q$1006,0)), HYPERLINK("#",""), HYPERLINK(CONCATENATE("#metadata!", ADDRESS(INDEX($J$2:$J$1001,MATCH(ROWS($H$2:H909),$H$2:$H$1001,0),0), INDEX($O$1004:$Q$1004,1,MATCH(COLUMNS($O$1006:O1006),$O$1006:$Q$1006,0)))),"Fix")))</f>
        <v xml:space="preserve"> </v>
      </c>
      <c r="C909" s="3" t="str">
        <f ca="1">IF(OR(INDEX($I$2:$I$1001,MATCH(ROWS($H$2:H909),$H$2:$H$1001,0),1)&gt;=100000,INDEX($O$1005:$Q$1005,1,MATCH(COLUMNS($O$1006:P1006),$O$1006:$Q$1006,0))&gt;=100000), " ",IF(INDEX($O$2:$Q$1001,MATCH(ROWS($H$2:H909),$H$2:$H$1001,0),MATCH(COLUMNS($O$1006:P1006),$O$1006:$Q$1006,0)), HYPERLINK("#",""), HYPERLINK(CONCATENATE("#metadata!", ADDRESS(INDEX($J$2:$J$1001,MATCH(ROWS($H$2:H909),$H$2:$H$1001,0),0), INDEX($O$1004:$Q$1004,1,MATCH(COLUMNS($O$1006:P1006),$O$1006:$Q$1006,0)))),"Fix")))</f>
        <v xml:space="preserve"> </v>
      </c>
      <c r="D909" s="3" t="str">
        <f ca="1">IF(OR(INDEX($I$2:$I$1001,MATCH(ROWS($H$2:H909),$H$2:$H$1001,0),1)&gt;=100000,INDEX($O$1005:$Q$1005,1,MATCH(COLUMNS($O$1006:Q1006),$O$1006:$Q$1006,0))&gt;=100000), " ",IF(INDEX($O$2:$Q$1001,MATCH(ROWS($H$2:H909),$H$2:$H$1001,0),MATCH(COLUMNS($O$1006:Q1006),$O$1006:$Q$1006,0)), HYPERLINK("#",""), HYPERLINK(CONCATENATE("#metadata!", ADDRESS(INDEX($J$2:$J$1001,MATCH(ROWS($H$2:H909),$H$2:$H$1001,0),0), INDEX($O$1004:$Q$1004,1,MATCH(COLUMNS($O$1006:Q1006),$O$1006:$Q$1006,0)))),"Fix")))</f>
        <v xml:space="preserve"> </v>
      </c>
      <c r="H909">
        <v>908</v>
      </c>
      <c r="I909">
        <v>100909</v>
      </c>
      <c r="J909">
        <v>909</v>
      </c>
      <c r="K909" t="b">
        <f t="shared" si="14"/>
        <v>1</v>
      </c>
      <c r="L909" t="b">
        <f>COUNTBLANK(metadata!B909:D909)=COLUMNS(metadata!B909:D909)</f>
        <v>1</v>
      </c>
      <c r="M909" t="str">
        <v/>
      </c>
      <c r="O909" t="b">
        <f ca="1"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P909" t="b">
        <f>AND(IF(metadata!C909="",FALSE,TRUE),EXACT(metadata!C909,"mouse gut metagenome"))</f>
        <v>0</v>
      </c>
      <c r="Q909" t="b">
        <f>AND(IF(metadata!D909="",FALSE,TRUE),EXACT(metadata!D909,"410661"))</f>
        <v>0</v>
      </c>
    </row>
    <row r="910" spans="1:17" x14ac:dyDescent="0.2">
      <c r="A910" s="4" t="str">
        <f ca="1">IF(B910=" "," ",HYPERLINK(CONCATENATE("#metadata!",ADDRESS(INDEX($J$2:$J$1001,MATCH(ROWS($H$2:H910),$H$2:$H$1001,0),0),1)),INDEX($M$2:$M$1001,MATCH(ROWS($H$2:H910),$H$2:$H$1001,0),0)))</f>
        <v xml:space="preserve"> </v>
      </c>
      <c r="B910" s="3" t="str">
        <f ca="1">IF(OR(INDEX($I$2:$I$1001,MATCH(ROWS($H$2:H910),$H$2:$H$1001,0),1)&gt;=100000,INDEX($O$1005:$Q$1005,1,MATCH(COLUMNS($O$1006:O1006),$O$1006:$Q$1006,0))&gt;=100000), " ",IF(INDEX($O$2:$Q$1001,MATCH(ROWS($H$2:H910),$H$2:$H$1001,0),MATCH(COLUMNS($O$1006:O1006),$O$1006:$Q$1006,0)), HYPERLINK("#",""), HYPERLINK(CONCATENATE("#metadata!", ADDRESS(INDEX($J$2:$J$1001,MATCH(ROWS($H$2:H910),$H$2:$H$1001,0),0), INDEX($O$1004:$Q$1004,1,MATCH(COLUMNS($O$1006:O1006),$O$1006:$Q$1006,0)))),"Fix")))</f>
        <v xml:space="preserve"> </v>
      </c>
      <c r="C910" s="3" t="str">
        <f ca="1">IF(OR(INDEX($I$2:$I$1001,MATCH(ROWS($H$2:H910),$H$2:$H$1001,0),1)&gt;=100000,INDEX($O$1005:$Q$1005,1,MATCH(COLUMNS($O$1006:P1006),$O$1006:$Q$1006,0))&gt;=100000), " ",IF(INDEX($O$2:$Q$1001,MATCH(ROWS($H$2:H910),$H$2:$H$1001,0),MATCH(COLUMNS($O$1006:P1006),$O$1006:$Q$1006,0)), HYPERLINK("#",""), HYPERLINK(CONCATENATE("#metadata!", ADDRESS(INDEX($J$2:$J$1001,MATCH(ROWS($H$2:H910),$H$2:$H$1001,0),0), INDEX($O$1004:$Q$1004,1,MATCH(COLUMNS($O$1006:P1006),$O$1006:$Q$1006,0)))),"Fix")))</f>
        <v xml:space="preserve"> </v>
      </c>
      <c r="D910" s="3" t="str">
        <f ca="1">IF(OR(INDEX($I$2:$I$1001,MATCH(ROWS($H$2:H910),$H$2:$H$1001,0),1)&gt;=100000,INDEX($O$1005:$Q$1005,1,MATCH(COLUMNS($O$1006:Q1006),$O$1006:$Q$1006,0))&gt;=100000), " ",IF(INDEX($O$2:$Q$1001,MATCH(ROWS($H$2:H910),$H$2:$H$1001,0),MATCH(COLUMNS($O$1006:Q1006),$O$1006:$Q$1006,0)), HYPERLINK("#",""), HYPERLINK(CONCATENATE("#metadata!", ADDRESS(INDEX($J$2:$J$1001,MATCH(ROWS($H$2:H910),$H$2:$H$1001,0),0), INDEX($O$1004:$Q$1004,1,MATCH(COLUMNS($O$1006:Q1006),$O$1006:$Q$1006,0)))),"Fix")))</f>
        <v xml:space="preserve"> </v>
      </c>
      <c r="H910">
        <v>909</v>
      </c>
      <c r="I910">
        <v>100910</v>
      </c>
      <c r="J910">
        <v>910</v>
      </c>
      <c r="K910" t="b">
        <f t="shared" si="14"/>
        <v>1</v>
      </c>
      <c r="L910" t="b">
        <f>COUNTBLANK(metadata!B910:D910)=COLUMNS(metadata!B910:D910)</f>
        <v>1</v>
      </c>
      <c r="M910" t="str">
        <v/>
      </c>
      <c r="O910" t="b">
        <f ca="1"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P910" t="b">
        <f>AND(IF(metadata!C910="",FALSE,TRUE),EXACT(metadata!C910,"mouse gut metagenome"))</f>
        <v>0</v>
      </c>
      <c r="Q910" t="b">
        <f>AND(IF(metadata!D910="",FALSE,TRUE),EXACT(metadata!D910,"410661"))</f>
        <v>0</v>
      </c>
    </row>
    <row r="911" spans="1:17" x14ac:dyDescent="0.2">
      <c r="A911" s="4" t="str">
        <f ca="1">IF(B911=" "," ",HYPERLINK(CONCATENATE("#metadata!",ADDRESS(INDEX($J$2:$J$1001,MATCH(ROWS($H$2:H911),$H$2:$H$1001,0),0),1)),INDEX($M$2:$M$1001,MATCH(ROWS($H$2:H911),$H$2:$H$1001,0),0)))</f>
        <v xml:space="preserve"> </v>
      </c>
      <c r="B911" s="3" t="str">
        <f ca="1">IF(OR(INDEX($I$2:$I$1001,MATCH(ROWS($H$2:H911),$H$2:$H$1001,0),1)&gt;=100000,INDEX($O$1005:$Q$1005,1,MATCH(COLUMNS($O$1006:O1006),$O$1006:$Q$1006,0))&gt;=100000), " ",IF(INDEX($O$2:$Q$1001,MATCH(ROWS($H$2:H911),$H$2:$H$1001,0),MATCH(COLUMNS($O$1006:O1006),$O$1006:$Q$1006,0)), HYPERLINK("#",""), HYPERLINK(CONCATENATE("#metadata!", ADDRESS(INDEX($J$2:$J$1001,MATCH(ROWS($H$2:H911),$H$2:$H$1001,0),0), INDEX($O$1004:$Q$1004,1,MATCH(COLUMNS($O$1006:O1006),$O$1006:$Q$1006,0)))),"Fix")))</f>
        <v xml:space="preserve"> </v>
      </c>
      <c r="C911" s="3" t="str">
        <f ca="1">IF(OR(INDEX($I$2:$I$1001,MATCH(ROWS($H$2:H911),$H$2:$H$1001,0),1)&gt;=100000,INDEX($O$1005:$Q$1005,1,MATCH(COLUMNS($O$1006:P1006),$O$1006:$Q$1006,0))&gt;=100000), " ",IF(INDEX($O$2:$Q$1001,MATCH(ROWS($H$2:H911),$H$2:$H$1001,0),MATCH(COLUMNS($O$1006:P1006),$O$1006:$Q$1006,0)), HYPERLINK("#",""), HYPERLINK(CONCATENATE("#metadata!", ADDRESS(INDEX($J$2:$J$1001,MATCH(ROWS($H$2:H911),$H$2:$H$1001,0),0), INDEX($O$1004:$Q$1004,1,MATCH(COLUMNS($O$1006:P1006),$O$1006:$Q$1006,0)))),"Fix")))</f>
        <v xml:space="preserve"> </v>
      </c>
      <c r="D911" s="3" t="str">
        <f ca="1">IF(OR(INDEX($I$2:$I$1001,MATCH(ROWS($H$2:H911),$H$2:$H$1001,0),1)&gt;=100000,INDEX($O$1005:$Q$1005,1,MATCH(COLUMNS($O$1006:Q1006),$O$1006:$Q$1006,0))&gt;=100000), " ",IF(INDEX($O$2:$Q$1001,MATCH(ROWS($H$2:H911),$H$2:$H$1001,0),MATCH(COLUMNS($O$1006:Q1006),$O$1006:$Q$1006,0)), HYPERLINK("#",""), HYPERLINK(CONCATENATE("#metadata!", ADDRESS(INDEX($J$2:$J$1001,MATCH(ROWS($H$2:H911),$H$2:$H$1001,0),0), INDEX($O$1004:$Q$1004,1,MATCH(COLUMNS($O$1006:Q1006),$O$1006:$Q$1006,0)))),"Fix")))</f>
        <v xml:space="preserve"> </v>
      </c>
      <c r="H911">
        <v>910</v>
      </c>
      <c r="I911">
        <v>100911</v>
      </c>
      <c r="J911">
        <v>911</v>
      </c>
      <c r="K911" t="b">
        <f t="shared" si="14"/>
        <v>1</v>
      </c>
      <c r="L911" t="b">
        <f>COUNTBLANK(metadata!B911:D911)=COLUMNS(metadata!B911:D911)</f>
        <v>1</v>
      </c>
      <c r="M911" t="str">
        <v/>
      </c>
      <c r="O911" t="b">
        <f ca="1"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P911" t="b">
        <f>AND(IF(metadata!C911="",FALSE,TRUE),EXACT(metadata!C911,"mouse gut metagenome"))</f>
        <v>0</v>
      </c>
      <c r="Q911" t="b">
        <f>AND(IF(metadata!D911="",FALSE,TRUE),EXACT(metadata!D911,"410661"))</f>
        <v>0</v>
      </c>
    </row>
    <row r="912" spans="1:17" x14ac:dyDescent="0.2">
      <c r="A912" s="4" t="str">
        <f ca="1">IF(B912=" "," ",HYPERLINK(CONCATENATE("#metadata!",ADDRESS(INDEX($J$2:$J$1001,MATCH(ROWS($H$2:H912),$H$2:$H$1001,0),0),1)),INDEX($M$2:$M$1001,MATCH(ROWS($H$2:H912),$H$2:$H$1001,0),0)))</f>
        <v xml:space="preserve"> </v>
      </c>
      <c r="B912" s="3" t="str">
        <f ca="1">IF(OR(INDEX($I$2:$I$1001,MATCH(ROWS($H$2:H912),$H$2:$H$1001,0),1)&gt;=100000,INDEX($O$1005:$Q$1005,1,MATCH(COLUMNS($O$1006:O1006),$O$1006:$Q$1006,0))&gt;=100000), " ",IF(INDEX($O$2:$Q$1001,MATCH(ROWS($H$2:H912),$H$2:$H$1001,0),MATCH(COLUMNS($O$1006:O1006),$O$1006:$Q$1006,0)), HYPERLINK("#",""), HYPERLINK(CONCATENATE("#metadata!", ADDRESS(INDEX($J$2:$J$1001,MATCH(ROWS($H$2:H912),$H$2:$H$1001,0),0), INDEX($O$1004:$Q$1004,1,MATCH(COLUMNS($O$1006:O1006),$O$1006:$Q$1006,0)))),"Fix")))</f>
        <v xml:space="preserve"> </v>
      </c>
      <c r="C912" s="3" t="str">
        <f ca="1">IF(OR(INDEX($I$2:$I$1001,MATCH(ROWS($H$2:H912),$H$2:$H$1001,0),1)&gt;=100000,INDEX($O$1005:$Q$1005,1,MATCH(COLUMNS($O$1006:P1006),$O$1006:$Q$1006,0))&gt;=100000), " ",IF(INDEX($O$2:$Q$1001,MATCH(ROWS($H$2:H912),$H$2:$H$1001,0),MATCH(COLUMNS($O$1006:P1006),$O$1006:$Q$1006,0)), HYPERLINK("#",""), HYPERLINK(CONCATENATE("#metadata!", ADDRESS(INDEX($J$2:$J$1001,MATCH(ROWS($H$2:H912),$H$2:$H$1001,0),0), INDEX($O$1004:$Q$1004,1,MATCH(COLUMNS($O$1006:P1006),$O$1006:$Q$1006,0)))),"Fix")))</f>
        <v xml:space="preserve"> </v>
      </c>
      <c r="D912" s="3" t="str">
        <f ca="1">IF(OR(INDEX($I$2:$I$1001,MATCH(ROWS($H$2:H912),$H$2:$H$1001,0),1)&gt;=100000,INDEX($O$1005:$Q$1005,1,MATCH(COLUMNS($O$1006:Q1006),$O$1006:$Q$1006,0))&gt;=100000), " ",IF(INDEX($O$2:$Q$1001,MATCH(ROWS($H$2:H912),$H$2:$H$1001,0),MATCH(COLUMNS($O$1006:Q1006),$O$1006:$Q$1006,0)), HYPERLINK("#",""), HYPERLINK(CONCATENATE("#metadata!", ADDRESS(INDEX($J$2:$J$1001,MATCH(ROWS($H$2:H912),$H$2:$H$1001,0),0), INDEX($O$1004:$Q$1004,1,MATCH(COLUMNS($O$1006:Q1006),$O$1006:$Q$1006,0)))),"Fix")))</f>
        <v xml:space="preserve"> </v>
      </c>
      <c r="H912">
        <v>911</v>
      </c>
      <c r="I912">
        <v>100912</v>
      </c>
      <c r="J912">
        <v>912</v>
      </c>
      <c r="K912" t="b">
        <f t="shared" si="14"/>
        <v>1</v>
      </c>
      <c r="L912" t="b">
        <f>COUNTBLANK(metadata!B912:D912)=COLUMNS(metadata!B912:D912)</f>
        <v>1</v>
      </c>
      <c r="M912" t="str">
        <v/>
      </c>
      <c r="O912" t="b">
        <f ca="1"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P912" t="b">
        <f>AND(IF(metadata!C912="",FALSE,TRUE),EXACT(metadata!C912,"mouse gut metagenome"))</f>
        <v>0</v>
      </c>
      <c r="Q912" t="b">
        <f>AND(IF(metadata!D912="",FALSE,TRUE),EXACT(metadata!D912,"410661"))</f>
        <v>0</v>
      </c>
    </row>
    <row r="913" spans="1:17" x14ac:dyDescent="0.2">
      <c r="A913" s="4" t="str">
        <f ca="1">IF(B913=" "," ",HYPERLINK(CONCATENATE("#metadata!",ADDRESS(INDEX($J$2:$J$1001,MATCH(ROWS($H$2:H913),$H$2:$H$1001,0),0),1)),INDEX($M$2:$M$1001,MATCH(ROWS($H$2:H913),$H$2:$H$1001,0),0)))</f>
        <v xml:space="preserve"> </v>
      </c>
      <c r="B913" s="3" t="str">
        <f ca="1">IF(OR(INDEX($I$2:$I$1001,MATCH(ROWS($H$2:H913),$H$2:$H$1001,0),1)&gt;=100000,INDEX($O$1005:$Q$1005,1,MATCH(COLUMNS($O$1006:O1006),$O$1006:$Q$1006,0))&gt;=100000), " ",IF(INDEX($O$2:$Q$1001,MATCH(ROWS($H$2:H913),$H$2:$H$1001,0),MATCH(COLUMNS($O$1006:O1006),$O$1006:$Q$1006,0)), HYPERLINK("#",""), HYPERLINK(CONCATENATE("#metadata!", ADDRESS(INDEX($J$2:$J$1001,MATCH(ROWS($H$2:H913),$H$2:$H$1001,0),0), INDEX($O$1004:$Q$1004,1,MATCH(COLUMNS($O$1006:O1006),$O$1006:$Q$1006,0)))),"Fix")))</f>
        <v xml:space="preserve"> </v>
      </c>
      <c r="C913" s="3" t="str">
        <f ca="1">IF(OR(INDEX($I$2:$I$1001,MATCH(ROWS($H$2:H913),$H$2:$H$1001,0),1)&gt;=100000,INDEX($O$1005:$Q$1005,1,MATCH(COLUMNS($O$1006:P1006),$O$1006:$Q$1006,0))&gt;=100000), " ",IF(INDEX($O$2:$Q$1001,MATCH(ROWS($H$2:H913),$H$2:$H$1001,0),MATCH(COLUMNS($O$1006:P1006),$O$1006:$Q$1006,0)), HYPERLINK("#",""), HYPERLINK(CONCATENATE("#metadata!", ADDRESS(INDEX($J$2:$J$1001,MATCH(ROWS($H$2:H913),$H$2:$H$1001,0),0), INDEX($O$1004:$Q$1004,1,MATCH(COLUMNS($O$1006:P1006),$O$1006:$Q$1006,0)))),"Fix")))</f>
        <v xml:space="preserve"> </v>
      </c>
      <c r="D913" s="3" t="str">
        <f ca="1">IF(OR(INDEX($I$2:$I$1001,MATCH(ROWS($H$2:H913),$H$2:$H$1001,0),1)&gt;=100000,INDEX($O$1005:$Q$1005,1,MATCH(COLUMNS($O$1006:Q1006),$O$1006:$Q$1006,0))&gt;=100000), " ",IF(INDEX($O$2:$Q$1001,MATCH(ROWS($H$2:H913),$H$2:$H$1001,0),MATCH(COLUMNS($O$1006:Q1006),$O$1006:$Q$1006,0)), HYPERLINK("#",""), HYPERLINK(CONCATENATE("#metadata!", ADDRESS(INDEX($J$2:$J$1001,MATCH(ROWS($H$2:H913),$H$2:$H$1001,0),0), INDEX($O$1004:$Q$1004,1,MATCH(COLUMNS($O$1006:Q1006),$O$1006:$Q$1006,0)))),"Fix")))</f>
        <v xml:space="preserve"> </v>
      </c>
      <c r="H913">
        <v>912</v>
      </c>
      <c r="I913">
        <v>100913</v>
      </c>
      <c r="J913">
        <v>913</v>
      </c>
      <c r="K913" t="b">
        <f t="shared" si="14"/>
        <v>1</v>
      </c>
      <c r="L913" t="b">
        <f>COUNTBLANK(metadata!B913:D913)=COLUMNS(metadata!B913:D913)</f>
        <v>1</v>
      </c>
      <c r="M913" t="str">
        <v/>
      </c>
      <c r="O913" t="b">
        <f ca="1"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P913" t="b">
        <f>AND(IF(metadata!C913="",FALSE,TRUE),EXACT(metadata!C913,"mouse gut metagenome"))</f>
        <v>0</v>
      </c>
      <c r="Q913" t="b">
        <f>AND(IF(metadata!D913="",FALSE,TRUE),EXACT(metadata!D913,"410661"))</f>
        <v>0</v>
      </c>
    </row>
    <row r="914" spans="1:17" x14ac:dyDescent="0.2">
      <c r="A914" s="4" t="str">
        <f ca="1">IF(B914=" "," ",HYPERLINK(CONCATENATE("#metadata!",ADDRESS(INDEX($J$2:$J$1001,MATCH(ROWS($H$2:H914),$H$2:$H$1001,0),0),1)),INDEX($M$2:$M$1001,MATCH(ROWS($H$2:H914),$H$2:$H$1001,0),0)))</f>
        <v xml:space="preserve"> </v>
      </c>
      <c r="B914" s="3" t="str">
        <f ca="1">IF(OR(INDEX($I$2:$I$1001,MATCH(ROWS($H$2:H914),$H$2:$H$1001,0),1)&gt;=100000,INDEX($O$1005:$Q$1005,1,MATCH(COLUMNS($O$1006:O1006),$O$1006:$Q$1006,0))&gt;=100000), " ",IF(INDEX($O$2:$Q$1001,MATCH(ROWS($H$2:H914),$H$2:$H$1001,0),MATCH(COLUMNS($O$1006:O1006),$O$1006:$Q$1006,0)), HYPERLINK("#",""), HYPERLINK(CONCATENATE("#metadata!", ADDRESS(INDEX($J$2:$J$1001,MATCH(ROWS($H$2:H914),$H$2:$H$1001,0),0), INDEX($O$1004:$Q$1004,1,MATCH(COLUMNS($O$1006:O1006),$O$1006:$Q$1006,0)))),"Fix")))</f>
        <v xml:space="preserve"> </v>
      </c>
      <c r="C914" s="3" t="str">
        <f ca="1">IF(OR(INDEX($I$2:$I$1001,MATCH(ROWS($H$2:H914),$H$2:$H$1001,0),1)&gt;=100000,INDEX($O$1005:$Q$1005,1,MATCH(COLUMNS($O$1006:P1006),$O$1006:$Q$1006,0))&gt;=100000), " ",IF(INDEX($O$2:$Q$1001,MATCH(ROWS($H$2:H914),$H$2:$H$1001,0),MATCH(COLUMNS($O$1006:P1006),$O$1006:$Q$1006,0)), HYPERLINK("#",""), HYPERLINK(CONCATENATE("#metadata!", ADDRESS(INDEX($J$2:$J$1001,MATCH(ROWS($H$2:H914),$H$2:$H$1001,0),0), INDEX($O$1004:$Q$1004,1,MATCH(COLUMNS($O$1006:P1006),$O$1006:$Q$1006,0)))),"Fix")))</f>
        <v xml:space="preserve"> </v>
      </c>
      <c r="D914" s="3" t="str">
        <f ca="1">IF(OR(INDEX($I$2:$I$1001,MATCH(ROWS($H$2:H914),$H$2:$H$1001,0),1)&gt;=100000,INDEX($O$1005:$Q$1005,1,MATCH(COLUMNS($O$1006:Q1006),$O$1006:$Q$1006,0))&gt;=100000), " ",IF(INDEX($O$2:$Q$1001,MATCH(ROWS($H$2:H914),$H$2:$H$1001,0),MATCH(COLUMNS($O$1006:Q1006),$O$1006:$Q$1006,0)), HYPERLINK("#",""), HYPERLINK(CONCATENATE("#metadata!", ADDRESS(INDEX($J$2:$J$1001,MATCH(ROWS($H$2:H914),$H$2:$H$1001,0),0), INDEX($O$1004:$Q$1004,1,MATCH(COLUMNS($O$1006:Q1006),$O$1006:$Q$1006,0)))),"Fix")))</f>
        <v xml:space="preserve"> </v>
      </c>
      <c r="H914">
        <v>913</v>
      </c>
      <c r="I914">
        <v>100914</v>
      </c>
      <c r="J914">
        <v>914</v>
      </c>
      <c r="K914" t="b">
        <f t="shared" si="14"/>
        <v>1</v>
      </c>
      <c r="L914" t="b">
        <f>COUNTBLANK(metadata!B914:D914)=COLUMNS(metadata!B914:D914)</f>
        <v>1</v>
      </c>
      <c r="M914" t="str">
        <v/>
      </c>
      <c r="O914" t="b">
        <f ca="1"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P914" t="b">
        <f>AND(IF(metadata!C914="",FALSE,TRUE),EXACT(metadata!C914,"mouse gut metagenome"))</f>
        <v>0</v>
      </c>
      <c r="Q914" t="b">
        <f>AND(IF(metadata!D914="",FALSE,TRUE),EXACT(metadata!D914,"410661"))</f>
        <v>0</v>
      </c>
    </row>
    <row r="915" spans="1:17" x14ac:dyDescent="0.2">
      <c r="A915" s="4" t="str">
        <f ca="1">IF(B915=" "," ",HYPERLINK(CONCATENATE("#metadata!",ADDRESS(INDEX($J$2:$J$1001,MATCH(ROWS($H$2:H915),$H$2:$H$1001,0),0),1)),INDEX($M$2:$M$1001,MATCH(ROWS($H$2:H915),$H$2:$H$1001,0),0)))</f>
        <v xml:space="preserve"> </v>
      </c>
      <c r="B915" s="3" t="str">
        <f ca="1">IF(OR(INDEX($I$2:$I$1001,MATCH(ROWS($H$2:H915),$H$2:$H$1001,0),1)&gt;=100000,INDEX($O$1005:$Q$1005,1,MATCH(COLUMNS($O$1006:O1006),$O$1006:$Q$1006,0))&gt;=100000), " ",IF(INDEX($O$2:$Q$1001,MATCH(ROWS($H$2:H915),$H$2:$H$1001,0),MATCH(COLUMNS($O$1006:O1006),$O$1006:$Q$1006,0)), HYPERLINK("#",""), HYPERLINK(CONCATENATE("#metadata!", ADDRESS(INDEX($J$2:$J$1001,MATCH(ROWS($H$2:H915),$H$2:$H$1001,0),0), INDEX($O$1004:$Q$1004,1,MATCH(COLUMNS($O$1006:O1006),$O$1006:$Q$1006,0)))),"Fix")))</f>
        <v xml:space="preserve"> </v>
      </c>
      <c r="C915" s="3" t="str">
        <f ca="1">IF(OR(INDEX($I$2:$I$1001,MATCH(ROWS($H$2:H915),$H$2:$H$1001,0),1)&gt;=100000,INDEX($O$1005:$Q$1005,1,MATCH(COLUMNS($O$1006:P1006),$O$1006:$Q$1006,0))&gt;=100000), " ",IF(INDEX($O$2:$Q$1001,MATCH(ROWS($H$2:H915),$H$2:$H$1001,0),MATCH(COLUMNS($O$1006:P1006),$O$1006:$Q$1006,0)), HYPERLINK("#",""), HYPERLINK(CONCATENATE("#metadata!", ADDRESS(INDEX($J$2:$J$1001,MATCH(ROWS($H$2:H915),$H$2:$H$1001,0),0), INDEX($O$1004:$Q$1004,1,MATCH(COLUMNS($O$1006:P1006),$O$1006:$Q$1006,0)))),"Fix")))</f>
        <v xml:space="preserve"> </v>
      </c>
      <c r="D915" s="3" t="str">
        <f ca="1">IF(OR(INDEX($I$2:$I$1001,MATCH(ROWS($H$2:H915),$H$2:$H$1001,0),1)&gt;=100000,INDEX($O$1005:$Q$1005,1,MATCH(COLUMNS($O$1006:Q1006),$O$1006:$Q$1006,0))&gt;=100000), " ",IF(INDEX($O$2:$Q$1001,MATCH(ROWS($H$2:H915),$H$2:$H$1001,0),MATCH(COLUMNS($O$1006:Q1006),$O$1006:$Q$1006,0)), HYPERLINK("#",""), HYPERLINK(CONCATENATE("#metadata!", ADDRESS(INDEX($J$2:$J$1001,MATCH(ROWS($H$2:H915),$H$2:$H$1001,0),0), INDEX($O$1004:$Q$1004,1,MATCH(COLUMNS($O$1006:Q1006),$O$1006:$Q$1006,0)))),"Fix")))</f>
        <v xml:space="preserve"> </v>
      </c>
      <c r="H915">
        <v>914</v>
      </c>
      <c r="I915">
        <v>100915</v>
      </c>
      <c r="J915">
        <v>915</v>
      </c>
      <c r="K915" t="b">
        <f t="shared" si="14"/>
        <v>1</v>
      </c>
      <c r="L915" t="b">
        <f>COUNTBLANK(metadata!B915:D915)=COLUMNS(metadata!B915:D915)</f>
        <v>1</v>
      </c>
      <c r="M915" t="str">
        <v/>
      </c>
      <c r="O915" t="b">
        <f ca="1"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P915" t="b">
        <f>AND(IF(metadata!C915="",FALSE,TRUE),EXACT(metadata!C915,"mouse gut metagenome"))</f>
        <v>0</v>
      </c>
      <c r="Q915" t="b">
        <f>AND(IF(metadata!D915="",FALSE,TRUE),EXACT(metadata!D915,"410661"))</f>
        <v>0</v>
      </c>
    </row>
    <row r="916" spans="1:17" x14ac:dyDescent="0.2">
      <c r="A916" s="4" t="str">
        <f ca="1">IF(B916=" "," ",HYPERLINK(CONCATENATE("#metadata!",ADDRESS(INDEX($J$2:$J$1001,MATCH(ROWS($H$2:H916),$H$2:$H$1001,0),0),1)),INDEX($M$2:$M$1001,MATCH(ROWS($H$2:H916),$H$2:$H$1001,0),0)))</f>
        <v xml:space="preserve"> </v>
      </c>
      <c r="B916" s="3" t="str">
        <f ca="1">IF(OR(INDEX($I$2:$I$1001,MATCH(ROWS($H$2:H916),$H$2:$H$1001,0),1)&gt;=100000,INDEX($O$1005:$Q$1005,1,MATCH(COLUMNS($O$1006:O1006),$O$1006:$Q$1006,0))&gt;=100000), " ",IF(INDEX($O$2:$Q$1001,MATCH(ROWS($H$2:H916),$H$2:$H$1001,0),MATCH(COLUMNS($O$1006:O1006),$O$1006:$Q$1006,0)), HYPERLINK("#",""), HYPERLINK(CONCATENATE("#metadata!", ADDRESS(INDEX($J$2:$J$1001,MATCH(ROWS($H$2:H916),$H$2:$H$1001,0),0), INDEX($O$1004:$Q$1004,1,MATCH(COLUMNS($O$1006:O1006),$O$1006:$Q$1006,0)))),"Fix")))</f>
        <v xml:space="preserve"> </v>
      </c>
      <c r="C916" s="3" t="str">
        <f ca="1">IF(OR(INDEX($I$2:$I$1001,MATCH(ROWS($H$2:H916),$H$2:$H$1001,0),1)&gt;=100000,INDEX($O$1005:$Q$1005,1,MATCH(COLUMNS($O$1006:P1006),$O$1006:$Q$1006,0))&gt;=100000), " ",IF(INDEX($O$2:$Q$1001,MATCH(ROWS($H$2:H916),$H$2:$H$1001,0),MATCH(COLUMNS($O$1006:P1006),$O$1006:$Q$1006,0)), HYPERLINK("#",""), HYPERLINK(CONCATENATE("#metadata!", ADDRESS(INDEX($J$2:$J$1001,MATCH(ROWS($H$2:H916),$H$2:$H$1001,0),0), INDEX($O$1004:$Q$1004,1,MATCH(COLUMNS($O$1006:P1006),$O$1006:$Q$1006,0)))),"Fix")))</f>
        <v xml:space="preserve"> </v>
      </c>
      <c r="D916" s="3" t="str">
        <f ca="1">IF(OR(INDEX($I$2:$I$1001,MATCH(ROWS($H$2:H916),$H$2:$H$1001,0),1)&gt;=100000,INDEX($O$1005:$Q$1005,1,MATCH(COLUMNS($O$1006:Q1006),$O$1006:$Q$1006,0))&gt;=100000), " ",IF(INDEX($O$2:$Q$1001,MATCH(ROWS($H$2:H916),$H$2:$H$1001,0),MATCH(COLUMNS($O$1006:Q1006),$O$1006:$Q$1006,0)), HYPERLINK("#",""), HYPERLINK(CONCATENATE("#metadata!", ADDRESS(INDEX($J$2:$J$1001,MATCH(ROWS($H$2:H916),$H$2:$H$1001,0),0), INDEX($O$1004:$Q$1004,1,MATCH(COLUMNS($O$1006:Q1006),$O$1006:$Q$1006,0)))),"Fix")))</f>
        <v xml:space="preserve"> </v>
      </c>
      <c r="H916">
        <v>915</v>
      </c>
      <c r="I916">
        <v>100916</v>
      </c>
      <c r="J916">
        <v>916</v>
      </c>
      <c r="K916" t="b">
        <f t="shared" si="14"/>
        <v>1</v>
      </c>
      <c r="L916" t="b">
        <f>COUNTBLANK(metadata!B916:D916)=COLUMNS(metadata!B916:D916)</f>
        <v>1</v>
      </c>
      <c r="M916" t="str">
        <v/>
      </c>
      <c r="O916" t="b">
        <f ca="1"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P916" t="b">
        <f>AND(IF(metadata!C916="",FALSE,TRUE),EXACT(metadata!C916,"mouse gut metagenome"))</f>
        <v>0</v>
      </c>
      <c r="Q916" t="b">
        <f>AND(IF(metadata!D916="",FALSE,TRUE),EXACT(metadata!D916,"410661"))</f>
        <v>0</v>
      </c>
    </row>
    <row r="917" spans="1:17" x14ac:dyDescent="0.2">
      <c r="A917" s="4" t="str">
        <f ca="1">IF(B917=" "," ",HYPERLINK(CONCATENATE("#metadata!",ADDRESS(INDEX($J$2:$J$1001,MATCH(ROWS($H$2:H917),$H$2:$H$1001,0),0),1)),INDEX($M$2:$M$1001,MATCH(ROWS($H$2:H917),$H$2:$H$1001,0),0)))</f>
        <v xml:space="preserve"> </v>
      </c>
      <c r="B917" s="3" t="str">
        <f ca="1">IF(OR(INDEX($I$2:$I$1001,MATCH(ROWS($H$2:H917),$H$2:$H$1001,0),1)&gt;=100000,INDEX($O$1005:$Q$1005,1,MATCH(COLUMNS($O$1006:O1006),$O$1006:$Q$1006,0))&gt;=100000), " ",IF(INDEX($O$2:$Q$1001,MATCH(ROWS($H$2:H917),$H$2:$H$1001,0),MATCH(COLUMNS($O$1006:O1006),$O$1006:$Q$1006,0)), HYPERLINK("#",""), HYPERLINK(CONCATENATE("#metadata!", ADDRESS(INDEX($J$2:$J$1001,MATCH(ROWS($H$2:H917),$H$2:$H$1001,0),0), INDEX($O$1004:$Q$1004,1,MATCH(COLUMNS($O$1006:O1006),$O$1006:$Q$1006,0)))),"Fix")))</f>
        <v xml:space="preserve"> </v>
      </c>
      <c r="C917" s="3" t="str">
        <f ca="1">IF(OR(INDEX($I$2:$I$1001,MATCH(ROWS($H$2:H917),$H$2:$H$1001,0),1)&gt;=100000,INDEX($O$1005:$Q$1005,1,MATCH(COLUMNS($O$1006:P1006),$O$1006:$Q$1006,0))&gt;=100000), " ",IF(INDEX($O$2:$Q$1001,MATCH(ROWS($H$2:H917),$H$2:$H$1001,0),MATCH(COLUMNS($O$1006:P1006),$O$1006:$Q$1006,0)), HYPERLINK("#",""), HYPERLINK(CONCATENATE("#metadata!", ADDRESS(INDEX($J$2:$J$1001,MATCH(ROWS($H$2:H917),$H$2:$H$1001,0),0), INDEX($O$1004:$Q$1004,1,MATCH(COLUMNS($O$1006:P1006),$O$1006:$Q$1006,0)))),"Fix")))</f>
        <v xml:space="preserve"> </v>
      </c>
      <c r="D917" s="3" t="str">
        <f ca="1">IF(OR(INDEX($I$2:$I$1001,MATCH(ROWS($H$2:H917),$H$2:$H$1001,0),1)&gt;=100000,INDEX($O$1005:$Q$1005,1,MATCH(COLUMNS($O$1006:Q1006),$O$1006:$Q$1006,0))&gt;=100000), " ",IF(INDEX($O$2:$Q$1001,MATCH(ROWS($H$2:H917),$H$2:$H$1001,0),MATCH(COLUMNS($O$1006:Q1006),$O$1006:$Q$1006,0)), HYPERLINK("#",""), HYPERLINK(CONCATENATE("#metadata!", ADDRESS(INDEX($J$2:$J$1001,MATCH(ROWS($H$2:H917),$H$2:$H$1001,0),0), INDEX($O$1004:$Q$1004,1,MATCH(COLUMNS($O$1006:Q1006),$O$1006:$Q$1006,0)))),"Fix")))</f>
        <v xml:space="preserve"> </v>
      </c>
      <c r="H917">
        <v>916</v>
      </c>
      <c r="I917">
        <v>100917</v>
      </c>
      <c r="J917">
        <v>917</v>
      </c>
      <c r="K917" t="b">
        <f t="shared" si="14"/>
        <v>1</v>
      </c>
      <c r="L917" t="b">
        <f>COUNTBLANK(metadata!B917:D917)=COLUMNS(metadata!B917:D917)</f>
        <v>1</v>
      </c>
      <c r="M917" t="str">
        <v/>
      </c>
      <c r="O917" t="b">
        <f ca="1"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P917" t="b">
        <f>AND(IF(metadata!C917="",FALSE,TRUE),EXACT(metadata!C917,"mouse gut metagenome"))</f>
        <v>0</v>
      </c>
      <c r="Q917" t="b">
        <f>AND(IF(metadata!D917="",FALSE,TRUE),EXACT(metadata!D917,"410661"))</f>
        <v>0</v>
      </c>
    </row>
    <row r="918" spans="1:17" x14ac:dyDescent="0.2">
      <c r="A918" s="4" t="str">
        <f ca="1">IF(B918=" "," ",HYPERLINK(CONCATENATE("#metadata!",ADDRESS(INDEX($J$2:$J$1001,MATCH(ROWS($H$2:H918),$H$2:$H$1001,0),0),1)),INDEX($M$2:$M$1001,MATCH(ROWS($H$2:H918),$H$2:$H$1001,0),0)))</f>
        <v xml:space="preserve"> </v>
      </c>
      <c r="B918" s="3" t="str">
        <f ca="1">IF(OR(INDEX($I$2:$I$1001,MATCH(ROWS($H$2:H918),$H$2:$H$1001,0),1)&gt;=100000,INDEX($O$1005:$Q$1005,1,MATCH(COLUMNS($O$1006:O1006),$O$1006:$Q$1006,0))&gt;=100000), " ",IF(INDEX($O$2:$Q$1001,MATCH(ROWS($H$2:H918),$H$2:$H$1001,0),MATCH(COLUMNS($O$1006:O1006),$O$1006:$Q$1006,0)), HYPERLINK("#",""), HYPERLINK(CONCATENATE("#metadata!", ADDRESS(INDEX($J$2:$J$1001,MATCH(ROWS($H$2:H918),$H$2:$H$1001,0),0), INDEX($O$1004:$Q$1004,1,MATCH(COLUMNS($O$1006:O1006),$O$1006:$Q$1006,0)))),"Fix")))</f>
        <v xml:space="preserve"> </v>
      </c>
      <c r="C918" s="3" t="str">
        <f ca="1">IF(OR(INDEX($I$2:$I$1001,MATCH(ROWS($H$2:H918),$H$2:$H$1001,0),1)&gt;=100000,INDEX($O$1005:$Q$1005,1,MATCH(COLUMNS($O$1006:P1006),$O$1006:$Q$1006,0))&gt;=100000), " ",IF(INDEX($O$2:$Q$1001,MATCH(ROWS($H$2:H918),$H$2:$H$1001,0),MATCH(COLUMNS($O$1006:P1006),$O$1006:$Q$1006,0)), HYPERLINK("#",""), HYPERLINK(CONCATENATE("#metadata!", ADDRESS(INDEX($J$2:$J$1001,MATCH(ROWS($H$2:H918),$H$2:$H$1001,0),0), INDEX($O$1004:$Q$1004,1,MATCH(COLUMNS($O$1006:P1006),$O$1006:$Q$1006,0)))),"Fix")))</f>
        <v xml:space="preserve"> </v>
      </c>
      <c r="D918" s="3" t="str">
        <f ca="1">IF(OR(INDEX($I$2:$I$1001,MATCH(ROWS($H$2:H918),$H$2:$H$1001,0),1)&gt;=100000,INDEX($O$1005:$Q$1005,1,MATCH(COLUMNS($O$1006:Q1006),$O$1006:$Q$1006,0))&gt;=100000), " ",IF(INDEX($O$2:$Q$1001,MATCH(ROWS($H$2:H918),$H$2:$H$1001,0),MATCH(COLUMNS($O$1006:Q1006),$O$1006:$Q$1006,0)), HYPERLINK("#",""), HYPERLINK(CONCATENATE("#metadata!", ADDRESS(INDEX($J$2:$J$1001,MATCH(ROWS($H$2:H918),$H$2:$H$1001,0),0), INDEX($O$1004:$Q$1004,1,MATCH(COLUMNS($O$1006:Q1006),$O$1006:$Q$1006,0)))),"Fix")))</f>
        <v xml:space="preserve"> </v>
      </c>
      <c r="H918">
        <v>917</v>
      </c>
      <c r="I918">
        <v>100918</v>
      </c>
      <c r="J918">
        <v>918</v>
      </c>
      <c r="K918" t="b">
        <f t="shared" si="14"/>
        <v>1</v>
      </c>
      <c r="L918" t="b">
        <f>COUNTBLANK(metadata!B918:D918)=COLUMNS(metadata!B918:D918)</f>
        <v>1</v>
      </c>
      <c r="M918" t="str">
        <v/>
      </c>
      <c r="O918" t="b">
        <f ca="1"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P918" t="b">
        <f>AND(IF(metadata!C918="",FALSE,TRUE),EXACT(metadata!C918,"mouse gut metagenome"))</f>
        <v>0</v>
      </c>
      <c r="Q918" t="b">
        <f>AND(IF(metadata!D918="",FALSE,TRUE),EXACT(metadata!D918,"410661"))</f>
        <v>0</v>
      </c>
    </row>
    <row r="919" spans="1:17" x14ac:dyDescent="0.2">
      <c r="A919" s="4" t="str">
        <f ca="1">IF(B919=" "," ",HYPERLINK(CONCATENATE("#metadata!",ADDRESS(INDEX($J$2:$J$1001,MATCH(ROWS($H$2:H919),$H$2:$H$1001,0),0),1)),INDEX($M$2:$M$1001,MATCH(ROWS($H$2:H919),$H$2:$H$1001,0),0)))</f>
        <v xml:space="preserve"> </v>
      </c>
      <c r="B919" s="3" t="str">
        <f ca="1">IF(OR(INDEX($I$2:$I$1001,MATCH(ROWS($H$2:H919),$H$2:$H$1001,0),1)&gt;=100000,INDEX($O$1005:$Q$1005,1,MATCH(COLUMNS($O$1006:O1006),$O$1006:$Q$1006,0))&gt;=100000), " ",IF(INDEX($O$2:$Q$1001,MATCH(ROWS($H$2:H919),$H$2:$H$1001,0),MATCH(COLUMNS($O$1006:O1006),$O$1006:$Q$1006,0)), HYPERLINK("#",""), HYPERLINK(CONCATENATE("#metadata!", ADDRESS(INDEX($J$2:$J$1001,MATCH(ROWS($H$2:H919),$H$2:$H$1001,0),0), INDEX($O$1004:$Q$1004,1,MATCH(COLUMNS($O$1006:O1006),$O$1006:$Q$1006,0)))),"Fix")))</f>
        <v xml:space="preserve"> </v>
      </c>
      <c r="C919" s="3" t="str">
        <f ca="1">IF(OR(INDEX($I$2:$I$1001,MATCH(ROWS($H$2:H919),$H$2:$H$1001,0),1)&gt;=100000,INDEX($O$1005:$Q$1005,1,MATCH(COLUMNS($O$1006:P1006),$O$1006:$Q$1006,0))&gt;=100000), " ",IF(INDEX($O$2:$Q$1001,MATCH(ROWS($H$2:H919),$H$2:$H$1001,0),MATCH(COLUMNS($O$1006:P1006),$O$1006:$Q$1006,0)), HYPERLINK("#",""), HYPERLINK(CONCATENATE("#metadata!", ADDRESS(INDEX($J$2:$J$1001,MATCH(ROWS($H$2:H919),$H$2:$H$1001,0),0), INDEX($O$1004:$Q$1004,1,MATCH(COLUMNS($O$1006:P1006),$O$1006:$Q$1006,0)))),"Fix")))</f>
        <v xml:space="preserve"> </v>
      </c>
      <c r="D919" s="3" t="str">
        <f ca="1">IF(OR(INDEX($I$2:$I$1001,MATCH(ROWS($H$2:H919),$H$2:$H$1001,0),1)&gt;=100000,INDEX($O$1005:$Q$1005,1,MATCH(COLUMNS($O$1006:Q1006),$O$1006:$Q$1006,0))&gt;=100000), " ",IF(INDEX($O$2:$Q$1001,MATCH(ROWS($H$2:H919),$H$2:$H$1001,0),MATCH(COLUMNS($O$1006:Q1006),$O$1006:$Q$1006,0)), HYPERLINK("#",""), HYPERLINK(CONCATENATE("#metadata!", ADDRESS(INDEX($J$2:$J$1001,MATCH(ROWS($H$2:H919),$H$2:$H$1001,0),0), INDEX($O$1004:$Q$1004,1,MATCH(COLUMNS($O$1006:Q1006),$O$1006:$Q$1006,0)))),"Fix")))</f>
        <v xml:space="preserve"> </v>
      </c>
      <c r="H919">
        <v>918</v>
      </c>
      <c r="I919">
        <v>100919</v>
      </c>
      <c r="J919">
        <v>919</v>
      </c>
      <c r="K919" t="b">
        <f t="shared" si="14"/>
        <v>1</v>
      </c>
      <c r="L919" t="b">
        <f>COUNTBLANK(metadata!B919:D919)=COLUMNS(metadata!B919:D919)</f>
        <v>1</v>
      </c>
      <c r="M919" t="str">
        <v/>
      </c>
      <c r="O919" t="b">
        <f ca="1"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P919" t="b">
        <f>AND(IF(metadata!C919="",FALSE,TRUE),EXACT(metadata!C919,"mouse gut metagenome"))</f>
        <v>0</v>
      </c>
      <c r="Q919" t="b">
        <f>AND(IF(metadata!D919="",FALSE,TRUE),EXACT(metadata!D919,"410661"))</f>
        <v>0</v>
      </c>
    </row>
    <row r="920" spans="1:17" x14ac:dyDescent="0.2">
      <c r="A920" s="4" t="str">
        <f ca="1">IF(B920=" "," ",HYPERLINK(CONCATENATE("#metadata!",ADDRESS(INDEX($J$2:$J$1001,MATCH(ROWS($H$2:H920),$H$2:$H$1001,0),0),1)),INDEX($M$2:$M$1001,MATCH(ROWS($H$2:H920),$H$2:$H$1001,0),0)))</f>
        <v xml:space="preserve"> </v>
      </c>
      <c r="B920" s="3" t="str">
        <f ca="1">IF(OR(INDEX($I$2:$I$1001,MATCH(ROWS($H$2:H920),$H$2:$H$1001,0),1)&gt;=100000,INDEX($O$1005:$Q$1005,1,MATCH(COLUMNS($O$1006:O1006),$O$1006:$Q$1006,0))&gt;=100000), " ",IF(INDEX($O$2:$Q$1001,MATCH(ROWS($H$2:H920),$H$2:$H$1001,0),MATCH(COLUMNS($O$1006:O1006),$O$1006:$Q$1006,0)), HYPERLINK("#",""), HYPERLINK(CONCATENATE("#metadata!", ADDRESS(INDEX($J$2:$J$1001,MATCH(ROWS($H$2:H920),$H$2:$H$1001,0),0), INDEX($O$1004:$Q$1004,1,MATCH(COLUMNS($O$1006:O1006),$O$1006:$Q$1006,0)))),"Fix")))</f>
        <v xml:space="preserve"> </v>
      </c>
      <c r="C920" s="3" t="str">
        <f ca="1">IF(OR(INDEX($I$2:$I$1001,MATCH(ROWS($H$2:H920),$H$2:$H$1001,0),1)&gt;=100000,INDEX($O$1005:$Q$1005,1,MATCH(COLUMNS($O$1006:P1006),$O$1006:$Q$1006,0))&gt;=100000), " ",IF(INDEX($O$2:$Q$1001,MATCH(ROWS($H$2:H920),$H$2:$H$1001,0),MATCH(COLUMNS($O$1006:P1006),$O$1006:$Q$1006,0)), HYPERLINK("#",""), HYPERLINK(CONCATENATE("#metadata!", ADDRESS(INDEX($J$2:$J$1001,MATCH(ROWS($H$2:H920),$H$2:$H$1001,0),0), INDEX($O$1004:$Q$1004,1,MATCH(COLUMNS($O$1006:P1006),$O$1006:$Q$1006,0)))),"Fix")))</f>
        <v xml:space="preserve"> </v>
      </c>
      <c r="D920" s="3" t="str">
        <f ca="1">IF(OR(INDEX($I$2:$I$1001,MATCH(ROWS($H$2:H920),$H$2:$H$1001,0),1)&gt;=100000,INDEX($O$1005:$Q$1005,1,MATCH(COLUMNS($O$1006:Q1006),$O$1006:$Q$1006,0))&gt;=100000), " ",IF(INDEX($O$2:$Q$1001,MATCH(ROWS($H$2:H920),$H$2:$H$1001,0),MATCH(COLUMNS($O$1006:Q1006),$O$1006:$Q$1006,0)), HYPERLINK("#",""), HYPERLINK(CONCATENATE("#metadata!", ADDRESS(INDEX($J$2:$J$1001,MATCH(ROWS($H$2:H920),$H$2:$H$1001,0),0), INDEX($O$1004:$Q$1004,1,MATCH(COLUMNS($O$1006:Q1006),$O$1006:$Q$1006,0)))),"Fix")))</f>
        <v xml:space="preserve"> </v>
      </c>
      <c r="H920">
        <v>919</v>
      </c>
      <c r="I920">
        <v>100920</v>
      </c>
      <c r="J920">
        <v>920</v>
      </c>
      <c r="K920" t="b">
        <f t="shared" si="14"/>
        <v>1</v>
      </c>
      <c r="L920" t="b">
        <f>COUNTBLANK(metadata!B920:D920)=COLUMNS(metadata!B920:D920)</f>
        <v>1</v>
      </c>
      <c r="M920" t="str">
        <v/>
      </c>
      <c r="O920" t="b">
        <f ca="1"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P920" t="b">
        <f>AND(IF(metadata!C920="",FALSE,TRUE),EXACT(metadata!C920,"mouse gut metagenome"))</f>
        <v>0</v>
      </c>
      <c r="Q920" t="b">
        <f>AND(IF(metadata!D920="",FALSE,TRUE),EXACT(metadata!D920,"410661"))</f>
        <v>0</v>
      </c>
    </row>
    <row r="921" spans="1:17" x14ac:dyDescent="0.2">
      <c r="A921" s="4" t="str">
        <f ca="1">IF(B921=" "," ",HYPERLINK(CONCATENATE("#metadata!",ADDRESS(INDEX($J$2:$J$1001,MATCH(ROWS($H$2:H921),$H$2:$H$1001,0),0),1)),INDEX($M$2:$M$1001,MATCH(ROWS($H$2:H921),$H$2:$H$1001,0),0)))</f>
        <v xml:space="preserve"> </v>
      </c>
      <c r="B921" s="3" t="str">
        <f ca="1">IF(OR(INDEX($I$2:$I$1001,MATCH(ROWS($H$2:H921),$H$2:$H$1001,0),1)&gt;=100000,INDEX($O$1005:$Q$1005,1,MATCH(COLUMNS($O$1006:O1006),$O$1006:$Q$1006,0))&gt;=100000), " ",IF(INDEX($O$2:$Q$1001,MATCH(ROWS($H$2:H921),$H$2:$H$1001,0),MATCH(COLUMNS($O$1006:O1006),$O$1006:$Q$1006,0)), HYPERLINK("#",""), HYPERLINK(CONCATENATE("#metadata!", ADDRESS(INDEX($J$2:$J$1001,MATCH(ROWS($H$2:H921),$H$2:$H$1001,0),0), INDEX($O$1004:$Q$1004,1,MATCH(COLUMNS($O$1006:O1006),$O$1006:$Q$1006,0)))),"Fix")))</f>
        <v xml:space="preserve"> </v>
      </c>
      <c r="C921" s="3" t="str">
        <f ca="1">IF(OR(INDEX($I$2:$I$1001,MATCH(ROWS($H$2:H921),$H$2:$H$1001,0),1)&gt;=100000,INDEX($O$1005:$Q$1005,1,MATCH(COLUMNS($O$1006:P1006),$O$1006:$Q$1006,0))&gt;=100000), " ",IF(INDEX($O$2:$Q$1001,MATCH(ROWS($H$2:H921),$H$2:$H$1001,0),MATCH(COLUMNS($O$1006:P1006),$O$1006:$Q$1006,0)), HYPERLINK("#",""), HYPERLINK(CONCATENATE("#metadata!", ADDRESS(INDEX($J$2:$J$1001,MATCH(ROWS($H$2:H921),$H$2:$H$1001,0),0), INDEX($O$1004:$Q$1004,1,MATCH(COLUMNS($O$1006:P1006),$O$1006:$Q$1006,0)))),"Fix")))</f>
        <v xml:space="preserve"> </v>
      </c>
      <c r="D921" s="3" t="str">
        <f ca="1">IF(OR(INDEX($I$2:$I$1001,MATCH(ROWS($H$2:H921),$H$2:$H$1001,0),1)&gt;=100000,INDEX($O$1005:$Q$1005,1,MATCH(COLUMNS($O$1006:Q1006),$O$1006:$Q$1006,0))&gt;=100000), " ",IF(INDEX($O$2:$Q$1001,MATCH(ROWS($H$2:H921),$H$2:$H$1001,0),MATCH(COLUMNS($O$1006:Q1006),$O$1006:$Q$1006,0)), HYPERLINK("#",""), HYPERLINK(CONCATENATE("#metadata!", ADDRESS(INDEX($J$2:$J$1001,MATCH(ROWS($H$2:H921),$H$2:$H$1001,0),0), INDEX($O$1004:$Q$1004,1,MATCH(COLUMNS($O$1006:Q1006),$O$1006:$Q$1006,0)))),"Fix")))</f>
        <v xml:space="preserve"> </v>
      </c>
      <c r="H921">
        <v>920</v>
      </c>
      <c r="I921">
        <v>100921</v>
      </c>
      <c r="J921">
        <v>921</v>
      </c>
      <c r="K921" t="b">
        <f t="shared" si="14"/>
        <v>1</v>
      </c>
      <c r="L921" t="b">
        <f>COUNTBLANK(metadata!B921:D921)=COLUMNS(metadata!B921:D921)</f>
        <v>1</v>
      </c>
      <c r="M921" t="str">
        <v/>
      </c>
      <c r="O921" t="b">
        <f ca="1"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P921" t="b">
        <f>AND(IF(metadata!C921="",FALSE,TRUE),EXACT(metadata!C921,"mouse gut metagenome"))</f>
        <v>0</v>
      </c>
      <c r="Q921" t="b">
        <f>AND(IF(metadata!D921="",FALSE,TRUE),EXACT(metadata!D921,"410661"))</f>
        <v>0</v>
      </c>
    </row>
    <row r="922" spans="1:17" x14ac:dyDescent="0.2">
      <c r="A922" s="4" t="str">
        <f ca="1">IF(B922=" "," ",HYPERLINK(CONCATENATE("#metadata!",ADDRESS(INDEX($J$2:$J$1001,MATCH(ROWS($H$2:H922),$H$2:$H$1001,0),0),1)),INDEX($M$2:$M$1001,MATCH(ROWS($H$2:H922),$H$2:$H$1001,0),0)))</f>
        <v xml:space="preserve"> </v>
      </c>
      <c r="B922" s="3" t="str">
        <f ca="1">IF(OR(INDEX($I$2:$I$1001,MATCH(ROWS($H$2:H922),$H$2:$H$1001,0),1)&gt;=100000,INDEX($O$1005:$Q$1005,1,MATCH(COLUMNS($O$1006:O1006),$O$1006:$Q$1006,0))&gt;=100000), " ",IF(INDEX($O$2:$Q$1001,MATCH(ROWS($H$2:H922),$H$2:$H$1001,0),MATCH(COLUMNS($O$1006:O1006),$O$1006:$Q$1006,0)), HYPERLINK("#",""), HYPERLINK(CONCATENATE("#metadata!", ADDRESS(INDEX($J$2:$J$1001,MATCH(ROWS($H$2:H922),$H$2:$H$1001,0),0), INDEX($O$1004:$Q$1004,1,MATCH(COLUMNS($O$1006:O1006),$O$1006:$Q$1006,0)))),"Fix")))</f>
        <v xml:space="preserve"> </v>
      </c>
      <c r="C922" s="3" t="str">
        <f ca="1">IF(OR(INDEX($I$2:$I$1001,MATCH(ROWS($H$2:H922),$H$2:$H$1001,0),1)&gt;=100000,INDEX($O$1005:$Q$1005,1,MATCH(COLUMNS($O$1006:P1006),$O$1006:$Q$1006,0))&gt;=100000), " ",IF(INDEX($O$2:$Q$1001,MATCH(ROWS($H$2:H922),$H$2:$H$1001,0),MATCH(COLUMNS($O$1006:P1006),$O$1006:$Q$1006,0)), HYPERLINK("#",""), HYPERLINK(CONCATENATE("#metadata!", ADDRESS(INDEX($J$2:$J$1001,MATCH(ROWS($H$2:H922),$H$2:$H$1001,0),0), INDEX($O$1004:$Q$1004,1,MATCH(COLUMNS($O$1006:P1006),$O$1006:$Q$1006,0)))),"Fix")))</f>
        <v xml:space="preserve"> </v>
      </c>
      <c r="D922" s="3" t="str">
        <f ca="1">IF(OR(INDEX($I$2:$I$1001,MATCH(ROWS($H$2:H922),$H$2:$H$1001,0),1)&gt;=100000,INDEX($O$1005:$Q$1005,1,MATCH(COLUMNS($O$1006:Q1006),$O$1006:$Q$1006,0))&gt;=100000), " ",IF(INDEX($O$2:$Q$1001,MATCH(ROWS($H$2:H922),$H$2:$H$1001,0),MATCH(COLUMNS($O$1006:Q1006),$O$1006:$Q$1006,0)), HYPERLINK("#",""), HYPERLINK(CONCATENATE("#metadata!", ADDRESS(INDEX($J$2:$J$1001,MATCH(ROWS($H$2:H922),$H$2:$H$1001,0),0), INDEX($O$1004:$Q$1004,1,MATCH(COLUMNS($O$1006:Q1006),$O$1006:$Q$1006,0)))),"Fix")))</f>
        <v xml:space="preserve"> </v>
      </c>
      <c r="H922">
        <v>921</v>
      </c>
      <c r="I922">
        <v>100922</v>
      </c>
      <c r="J922">
        <v>922</v>
      </c>
      <c r="K922" t="b">
        <f t="shared" si="14"/>
        <v>1</v>
      </c>
      <c r="L922" t="b">
        <f>COUNTBLANK(metadata!B922:D922)=COLUMNS(metadata!B922:D922)</f>
        <v>1</v>
      </c>
      <c r="M922" t="str">
        <v/>
      </c>
      <c r="O922" t="b">
        <f ca="1"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P922" t="b">
        <f>AND(IF(metadata!C922="",FALSE,TRUE),EXACT(metadata!C922,"mouse gut metagenome"))</f>
        <v>0</v>
      </c>
      <c r="Q922" t="b">
        <f>AND(IF(metadata!D922="",FALSE,TRUE),EXACT(metadata!D922,"410661"))</f>
        <v>0</v>
      </c>
    </row>
    <row r="923" spans="1:17" x14ac:dyDescent="0.2">
      <c r="A923" s="4" t="str">
        <f ca="1">IF(B923=" "," ",HYPERLINK(CONCATENATE("#metadata!",ADDRESS(INDEX($J$2:$J$1001,MATCH(ROWS($H$2:H923),$H$2:$H$1001,0),0),1)),INDEX($M$2:$M$1001,MATCH(ROWS($H$2:H923),$H$2:$H$1001,0),0)))</f>
        <v xml:space="preserve"> </v>
      </c>
      <c r="B923" s="3" t="str">
        <f ca="1">IF(OR(INDEX($I$2:$I$1001,MATCH(ROWS($H$2:H923),$H$2:$H$1001,0),1)&gt;=100000,INDEX($O$1005:$Q$1005,1,MATCH(COLUMNS($O$1006:O1006),$O$1006:$Q$1006,0))&gt;=100000), " ",IF(INDEX($O$2:$Q$1001,MATCH(ROWS($H$2:H923),$H$2:$H$1001,0),MATCH(COLUMNS($O$1006:O1006),$O$1006:$Q$1006,0)), HYPERLINK("#",""), HYPERLINK(CONCATENATE("#metadata!", ADDRESS(INDEX($J$2:$J$1001,MATCH(ROWS($H$2:H923),$H$2:$H$1001,0),0), INDEX($O$1004:$Q$1004,1,MATCH(COLUMNS($O$1006:O1006),$O$1006:$Q$1006,0)))),"Fix")))</f>
        <v xml:space="preserve"> </v>
      </c>
      <c r="C923" s="3" t="str">
        <f ca="1">IF(OR(INDEX($I$2:$I$1001,MATCH(ROWS($H$2:H923),$H$2:$H$1001,0),1)&gt;=100000,INDEX($O$1005:$Q$1005,1,MATCH(COLUMNS($O$1006:P1006),$O$1006:$Q$1006,0))&gt;=100000), " ",IF(INDEX($O$2:$Q$1001,MATCH(ROWS($H$2:H923),$H$2:$H$1001,0),MATCH(COLUMNS($O$1006:P1006),$O$1006:$Q$1006,0)), HYPERLINK("#",""), HYPERLINK(CONCATENATE("#metadata!", ADDRESS(INDEX($J$2:$J$1001,MATCH(ROWS($H$2:H923),$H$2:$H$1001,0),0), INDEX($O$1004:$Q$1004,1,MATCH(COLUMNS($O$1006:P1006),$O$1006:$Q$1006,0)))),"Fix")))</f>
        <v xml:space="preserve"> </v>
      </c>
      <c r="D923" s="3" t="str">
        <f ca="1">IF(OR(INDEX($I$2:$I$1001,MATCH(ROWS($H$2:H923),$H$2:$H$1001,0),1)&gt;=100000,INDEX($O$1005:$Q$1005,1,MATCH(COLUMNS($O$1006:Q1006),$O$1006:$Q$1006,0))&gt;=100000), " ",IF(INDEX($O$2:$Q$1001,MATCH(ROWS($H$2:H923),$H$2:$H$1001,0),MATCH(COLUMNS($O$1006:Q1006),$O$1006:$Q$1006,0)), HYPERLINK("#",""), HYPERLINK(CONCATENATE("#metadata!", ADDRESS(INDEX($J$2:$J$1001,MATCH(ROWS($H$2:H923),$H$2:$H$1001,0),0), INDEX($O$1004:$Q$1004,1,MATCH(COLUMNS($O$1006:Q1006),$O$1006:$Q$1006,0)))),"Fix")))</f>
        <v xml:space="preserve"> </v>
      </c>
      <c r="H923">
        <v>922</v>
      </c>
      <c r="I923">
        <v>100923</v>
      </c>
      <c r="J923">
        <v>923</v>
      </c>
      <c r="K923" t="b">
        <f t="shared" si="14"/>
        <v>1</v>
      </c>
      <c r="L923" t="b">
        <f>COUNTBLANK(metadata!B923:D923)=COLUMNS(metadata!B923:D923)</f>
        <v>1</v>
      </c>
      <c r="M923" t="str">
        <v/>
      </c>
      <c r="O923" t="b">
        <f ca="1"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P923" t="b">
        <f>AND(IF(metadata!C923="",FALSE,TRUE),EXACT(metadata!C923,"mouse gut metagenome"))</f>
        <v>0</v>
      </c>
      <c r="Q923" t="b">
        <f>AND(IF(metadata!D923="",FALSE,TRUE),EXACT(metadata!D923,"410661"))</f>
        <v>0</v>
      </c>
    </row>
    <row r="924" spans="1:17" x14ac:dyDescent="0.2">
      <c r="A924" s="4" t="str">
        <f ca="1">IF(B924=" "," ",HYPERLINK(CONCATENATE("#metadata!",ADDRESS(INDEX($J$2:$J$1001,MATCH(ROWS($H$2:H924),$H$2:$H$1001,0),0),1)),INDEX($M$2:$M$1001,MATCH(ROWS($H$2:H924),$H$2:$H$1001,0),0)))</f>
        <v xml:space="preserve"> </v>
      </c>
      <c r="B924" s="3" t="str">
        <f ca="1">IF(OR(INDEX($I$2:$I$1001,MATCH(ROWS($H$2:H924),$H$2:$H$1001,0),1)&gt;=100000,INDEX($O$1005:$Q$1005,1,MATCH(COLUMNS($O$1006:O1006),$O$1006:$Q$1006,0))&gt;=100000), " ",IF(INDEX($O$2:$Q$1001,MATCH(ROWS($H$2:H924),$H$2:$H$1001,0),MATCH(COLUMNS($O$1006:O1006),$O$1006:$Q$1006,0)), HYPERLINK("#",""), HYPERLINK(CONCATENATE("#metadata!", ADDRESS(INDEX($J$2:$J$1001,MATCH(ROWS($H$2:H924),$H$2:$H$1001,0),0), INDEX($O$1004:$Q$1004,1,MATCH(COLUMNS($O$1006:O1006),$O$1006:$Q$1006,0)))),"Fix")))</f>
        <v xml:space="preserve"> </v>
      </c>
      <c r="C924" s="3" t="str">
        <f ca="1">IF(OR(INDEX($I$2:$I$1001,MATCH(ROWS($H$2:H924),$H$2:$H$1001,0),1)&gt;=100000,INDEX($O$1005:$Q$1005,1,MATCH(COLUMNS($O$1006:P1006),$O$1006:$Q$1006,0))&gt;=100000), " ",IF(INDEX($O$2:$Q$1001,MATCH(ROWS($H$2:H924),$H$2:$H$1001,0),MATCH(COLUMNS($O$1006:P1006),$O$1006:$Q$1006,0)), HYPERLINK("#",""), HYPERLINK(CONCATENATE("#metadata!", ADDRESS(INDEX($J$2:$J$1001,MATCH(ROWS($H$2:H924),$H$2:$H$1001,0),0), INDEX($O$1004:$Q$1004,1,MATCH(COLUMNS($O$1006:P1006),$O$1006:$Q$1006,0)))),"Fix")))</f>
        <v xml:space="preserve"> </v>
      </c>
      <c r="D924" s="3" t="str">
        <f ca="1">IF(OR(INDEX($I$2:$I$1001,MATCH(ROWS($H$2:H924),$H$2:$H$1001,0),1)&gt;=100000,INDEX($O$1005:$Q$1005,1,MATCH(COLUMNS($O$1006:Q1006),$O$1006:$Q$1006,0))&gt;=100000), " ",IF(INDEX($O$2:$Q$1001,MATCH(ROWS($H$2:H924),$H$2:$H$1001,0),MATCH(COLUMNS($O$1006:Q1006),$O$1006:$Q$1006,0)), HYPERLINK("#",""), HYPERLINK(CONCATENATE("#metadata!", ADDRESS(INDEX($J$2:$J$1001,MATCH(ROWS($H$2:H924),$H$2:$H$1001,0),0), INDEX($O$1004:$Q$1004,1,MATCH(COLUMNS($O$1006:Q1006),$O$1006:$Q$1006,0)))),"Fix")))</f>
        <v xml:space="preserve"> </v>
      </c>
      <c r="H924">
        <v>923</v>
      </c>
      <c r="I924">
        <v>100924</v>
      </c>
      <c r="J924">
        <v>924</v>
      </c>
      <c r="K924" t="b">
        <f t="shared" si="14"/>
        <v>1</v>
      </c>
      <c r="L924" t="b">
        <f>COUNTBLANK(metadata!B924:D924)=COLUMNS(metadata!B924:D924)</f>
        <v>1</v>
      </c>
      <c r="M924" t="str">
        <v/>
      </c>
      <c r="O924" t="b">
        <f ca="1"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P924" t="b">
        <f>AND(IF(metadata!C924="",FALSE,TRUE),EXACT(metadata!C924,"mouse gut metagenome"))</f>
        <v>0</v>
      </c>
      <c r="Q924" t="b">
        <f>AND(IF(metadata!D924="",FALSE,TRUE),EXACT(metadata!D924,"410661"))</f>
        <v>0</v>
      </c>
    </row>
    <row r="925" spans="1:17" x14ac:dyDescent="0.2">
      <c r="A925" s="4" t="str">
        <f ca="1">IF(B925=" "," ",HYPERLINK(CONCATENATE("#metadata!",ADDRESS(INDEX($J$2:$J$1001,MATCH(ROWS($H$2:H925),$H$2:$H$1001,0),0),1)),INDEX($M$2:$M$1001,MATCH(ROWS($H$2:H925),$H$2:$H$1001,0),0)))</f>
        <v xml:space="preserve"> </v>
      </c>
      <c r="B925" s="3" t="str">
        <f ca="1">IF(OR(INDEX($I$2:$I$1001,MATCH(ROWS($H$2:H925),$H$2:$H$1001,0),1)&gt;=100000,INDEX($O$1005:$Q$1005,1,MATCH(COLUMNS($O$1006:O1006),$O$1006:$Q$1006,0))&gt;=100000), " ",IF(INDEX($O$2:$Q$1001,MATCH(ROWS($H$2:H925),$H$2:$H$1001,0),MATCH(COLUMNS($O$1006:O1006),$O$1006:$Q$1006,0)), HYPERLINK("#",""), HYPERLINK(CONCATENATE("#metadata!", ADDRESS(INDEX($J$2:$J$1001,MATCH(ROWS($H$2:H925),$H$2:$H$1001,0),0), INDEX($O$1004:$Q$1004,1,MATCH(COLUMNS($O$1006:O1006),$O$1006:$Q$1006,0)))),"Fix")))</f>
        <v xml:space="preserve"> </v>
      </c>
      <c r="C925" s="3" t="str">
        <f ca="1">IF(OR(INDEX($I$2:$I$1001,MATCH(ROWS($H$2:H925),$H$2:$H$1001,0),1)&gt;=100000,INDEX($O$1005:$Q$1005,1,MATCH(COLUMNS($O$1006:P1006),$O$1006:$Q$1006,0))&gt;=100000), " ",IF(INDEX($O$2:$Q$1001,MATCH(ROWS($H$2:H925),$H$2:$H$1001,0),MATCH(COLUMNS($O$1006:P1006),$O$1006:$Q$1006,0)), HYPERLINK("#",""), HYPERLINK(CONCATENATE("#metadata!", ADDRESS(INDEX($J$2:$J$1001,MATCH(ROWS($H$2:H925),$H$2:$H$1001,0),0), INDEX($O$1004:$Q$1004,1,MATCH(COLUMNS($O$1006:P1006),$O$1006:$Q$1006,0)))),"Fix")))</f>
        <v xml:space="preserve"> </v>
      </c>
      <c r="D925" s="3" t="str">
        <f ca="1">IF(OR(INDEX($I$2:$I$1001,MATCH(ROWS($H$2:H925),$H$2:$H$1001,0),1)&gt;=100000,INDEX($O$1005:$Q$1005,1,MATCH(COLUMNS($O$1006:Q1006),$O$1006:$Q$1006,0))&gt;=100000), " ",IF(INDEX($O$2:$Q$1001,MATCH(ROWS($H$2:H925),$H$2:$H$1001,0),MATCH(COLUMNS($O$1006:Q1006),$O$1006:$Q$1006,0)), HYPERLINK("#",""), HYPERLINK(CONCATENATE("#metadata!", ADDRESS(INDEX($J$2:$J$1001,MATCH(ROWS($H$2:H925),$H$2:$H$1001,0),0), INDEX($O$1004:$Q$1004,1,MATCH(COLUMNS($O$1006:Q1006),$O$1006:$Q$1006,0)))),"Fix")))</f>
        <v xml:space="preserve"> </v>
      </c>
      <c r="H925">
        <v>924</v>
      </c>
      <c r="I925">
        <v>100925</v>
      </c>
      <c r="J925">
        <v>925</v>
      </c>
      <c r="K925" t="b">
        <f t="shared" si="14"/>
        <v>1</v>
      </c>
      <c r="L925" t="b">
        <f>COUNTBLANK(metadata!B925:D925)=COLUMNS(metadata!B925:D925)</f>
        <v>1</v>
      </c>
      <c r="M925" t="str">
        <v/>
      </c>
      <c r="O925" t="b">
        <f ca="1"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P925" t="b">
        <f>AND(IF(metadata!C925="",FALSE,TRUE),EXACT(metadata!C925,"mouse gut metagenome"))</f>
        <v>0</v>
      </c>
      <c r="Q925" t="b">
        <f>AND(IF(metadata!D925="",FALSE,TRUE),EXACT(metadata!D925,"410661"))</f>
        <v>0</v>
      </c>
    </row>
    <row r="926" spans="1:17" x14ac:dyDescent="0.2">
      <c r="A926" s="4" t="str">
        <f ca="1">IF(B926=" "," ",HYPERLINK(CONCATENATE("#metadata!",ADDRESS(INDEX($J$2:$J$1001,MATCH(ROWS($H$2:H926),$H$2:$H$1001,0),0),1)),INDEX($M$2:$M$1001,MATCH(ROWS($H$2:H926),$H$2:$H$1001,0),0)))</f>
        <v xml:space="preserve"> </v>
      </c>
      <c r="B926" s="3" t="str">
        <f ca="1">IF(OR(INDEX($I$2:$I$1001,MATCH(ROWS($H$2:H926),$H$2:$H$1001,0),1)&gt;=100000,INDEX($O$1005:$Q$1005,1,MATCH(COLUMNS($O$1006:O1006),$O$1006:$Q$1006,0))&gt;=100000), " ",IF(INDEX($O$2:$Q$1001,MATCH(ROWS($H$2:H926),$H$2:$H$1001,0),MATCH(COLUMNS($O$1006:O1006),$O$1006:$Q$1006,0)), HYPERLINK("#",""), HYPERLINK(CONCATENATE("#metadata!", ADDRESS(INDEX($J$2:$J$1001,MATCH(ROWS($H$2:H926),$H$2:$H$1001,0),0), INDEX($O$1004:$Q$1004,1,MATCH(COLUMNS($O$1006:O1006),$O$1006:$Q$1006,0)))),"Fix")))</f>
        <v xml:space="preserve"> </v>
      </c>
      <c r="C926" s="3" t="str">
        <f ca="1">IF(OR(INDEX($I$2:$I$1001,MATCH(ROWS($H$2:H926),$H$2:$H$1001,0),1)&gt;=100000,INDEX($O$1005:$Q$1005,1,MATCH(COLUMNS($O$1006:P1006),$O$1006:$Q$1006,0))&gt;=100000), " ",IF(INDEX($O$2:$Q$1001,MATCH(ROWS($H$2:H926),$H$2:$H$1001,0),MATCH(COLUMNS($O$1006:P1006),$O$1006:$Q$1006,0)), HYPERLINK("#",""), HYPERLINK(CONCATENATE("#metadata!", ADDRESS(INDEX($J$2:$J$1001,MATCH(ROWS($H$2:H926),$H$2:$H$1001,0),0), INDEX($O$1004:$Q$1004,1,MATCH(COLUMNS($O$1006:P1006),$O$1006:$Q$1006,0)))),"Fix")))</f>
        <v xml:space="preserve"> </v>
      </c>
      <c r="D926" s="3" t="str">
        <f ca="1">IF(OR(INDEX($I$2:$I$1001,MATCH(ROWS($H$2:H926),$H$2:$H$1001,0),1)&gt;=100000,INDEX($O$1005:$Q$1005,1,MATCH(COLUMNS($O$1006:Q1006),$O$1006:$Q$1006,0))&gt;=100000), " ",IF(INDEX($O$2:$Q$1001,MATCH(ROWS($H$2:H926),$H$2:$H$1001,0),MATCH(COLUMNS($O$1006:Q1006),$O$1006:$Q$1006,0)), HYPERLINK("#",""), HYPERLINK(CONCATENATE("#metadata!", ADDRESS(INDEX($J$2:$J$1001,MATCH(ROWS($H$2:H926),$H$2:$H$1001,0),0), INDEX($O$1004:$Q$1004,1,MATCH(COLUMNS($O$1006:Q1006),$O$1006:$Q$1006,0)))),"Fix")))</f>
        <v xml:space="preserve"> </v>
      </c>
      <c r="H926">
        <v>925</v>
      </c>
      <c r="I926">
        <v>100926</v>
      </c>
      <c r="J926">
        <v>926</v>
      </c>
      <c r="K926" t="b">
        <f t="shared" si="14"/>
        <v>1</v>
      </c>
      <c r="L926" t="b">
        <f>COUNTBLANK(metadata!B926:D926)=COLUMNS(metadata!B926:D926)</f>
        <v>1</v>
      </c>
      <c r="M926" t="str">
        <v/>
      </c>
      <c r="O926" t="b">
        <f ca="1"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P926" t="b">
        <f>AND(IF(metadata!C926="",FALSE,TRUE),EXACT(metadata!C926,"mouse gut metagenome"))</f>
        <v>0</v>
      </c>
      <c r="Q926" t="b">
        <f>AND(IF(metadata!D926="",FALSE,TRUE),EXACT(metadata!D926,"410661"))</f>
        <v>0</v>
      </c>
    </row>
    <row r="927" spans="1:17" x14ac:dyDescent="0.2">
      <c r="A927" s="4" t="str">
        <f ca="1">IF(B927=" "," ",HYPERLINK(CONCATENATE("#metadata!",ADDRESS(INDEX($J$2:$J$1001,MATCH(ROWS($H$2:H927),$H$2:$H$1001,0),0),1)),INDEX($M$2:$M$1001,MATCH(ROWS($H$2:H927),$H$2:$H$1001,0),0)))</f>
        <v xml:space="preserve"> </v>
      </c>
      <c r="B927" s="3" t="str">
        <f ca="1">IF(OR(INDEX($I$2:$I$1001,MATCH(ROWS($H$2:H927),$H$2:$H$1001,0),1)&gt;=100000,INDEX($O$1005:$Q$1005,1,MATCH(COLUMNS($O$1006:O1006),$O$1006:$Q$1006,0))&gt;=100000), " ",IF(INDEX($O$2:$Q$1001,MATCH(ROWS($H$2:H927),$H$2:$H$1001,0),MATCH(COLUMNS($O$1006:O1006),$O$1006:$Q$1006,0)), HYPERLINK("#",""), HYPERLINK(CONCATENATE("#metadata!", ADDRESS(INDEX($J$2:$J$1001,MATCH(ROWS($H$2:H927),$H$2:$H$1001,0),0), INDEX($O$1004:$Q$1004,1,MATCH(COLUMNS($O$1006:O1006),$O$1006:$Q$1006,0)))),"Fix")))</f>
        <v xml:space="preserve"> </v>
      </c>
      <c r="C927" s="3" t="str">
        <f ca="1">IF(OR(INDEX($I$2:$I$1001,MATCH(ROWS($H$2:H927),$H$2:$H$1001,0),1)&gt;=100000,INDEX($O$1005:$Q$1005,1,MATCH(COLUMNS($O$1006:P1006),$O$1006:$Q$1006,0))&gt;=100000), " ",IF(INDEX($O$2:$Q$1001,MATCH(ROWS($H$2:H927),$H$2:$H$1001,0),MATCH(COLUMNS($O$1006:P1006),$O$1006:$Q$1006,0)), HYPERLINK("#",""), HYPERLINK(CONCATENATE("#metadata!", ADDRESS(INDEX($J$2:$J$1001,MATCH(ROWS($H$2:H927),$H$2:$H$1001,0),0), INDEX($O$1004:$Q$1004,1,MATCH(COLUMNS($O$1006:P1006),$O$1006:$Q$1006,0)))),"Fix")))</f>
        <v xml:space="preserve"> </v>
      </c>
      <c r="D927" s="3" t="str">
        <f ca="1">IF(OR(INDEX($I$2:$I$1001,MATCH(ROWS($H$2:H927),$H$2:$H$1001,0),1)&gt;=100000,INDEX($O$1005:$Q$1005,1,MATCH(COLUMNS($O$1006:Q1006),$O$1006:$Q$1006,0))&gt;=100000), " ",IF(INDEX($O$2:$Q$1001,MATCH(ROWS($H$2:H927),$H$2:$H$1001,0),MATCH(COLUMNS($O$1006:Q1006),$O$1006:$Q$1006,0)), HYPERLINK("#",""), HYPERLINK(CONCATENATE("#metadata!", ADDRESS(INDEX($J$2:$J$1001,MATCH(ROWS($H$2:H927),$H$2:$H$1001,0),0), INDEX($O$1004:$Q$1004,1,MATCH(COLUMNS($O$1006:Q1006),$O$1006:$Q$1006,0)))),"Fix")))</f>
        <v xml:space="preserve"> </v>
      </c>
      <c r="H927">
        <v>926</v>
      </c>
      <c r="I927">
        <v>100927</v>
      </c>
      <c r="J927">
        <v>927</v>
      </c>
      <c r="K927" t="b">
        <f t="shared" si="14"/>
        <v>1</v>
      </c>
      <c r="L927" t="b">
        <f>COUNTBLANK(metadata!B927:D927)=COLUMNS(metadata!B927:D927)</f>
        <v>1</v>
      </c>
      <c r="M927" t="str">
        <v/>
      </c>
      <c r="O927" t="b">
        <f ca="1"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P927" t="b">
        <f>AND(IF(metadata!C927="",FALSE,TRUE),EXACT(metadata!C927,"mouse gut metagenome"))</f>
        <v>0</v>
      </c>
      <c r="Q927" t="b">
        <f>AND(IF(metadata!D927="",FALSE,TRUE),EXACT(metadata!D927,"410661"))</f>
        <v>0</v>
      </c>
    </row>
    <row r="928" spans="1:17" x14ac:dyDescent="0.2">
      <c r="A928" s="4" t="str">
        <f ca="1">IF(B928=" "," ",HYPERLINK(CONCATENATE("#metadata!",ADDRESS(INDEX($J$2:$J$1001,MATCH(ROWS($H$2:H928),$H$2:$H$1001,0),0),1)),INDEX($M$2:$M$1001,MATCH(ROWS($H$2:H928),$H$2:$H$1001,0),0)))</f>
        <v xml:space="preserve"> </v>
      </c>
      <c r="B928" s="3" t="str">
        <f ca="1">IF(OR(INDEX($I$2:$I$1001,MATCH(ROWS($H$2:H928),$H$2:$H$1001,0),1)&gt;=100000,INDEX($O$1005:$Q$1005,1,MATCH(COLUMNS($O$1006:O1006),$O$1006:$Q$1006,0))&gt;=100000), " ",IF(INDEX($O$2:$Q$1001,MATCH(ROWS($H$2:H928),$H$2:$H$1001,0),MATCH(COLUMNS($O$1006:O1006),$O$1006:$Q$1006,0)), HYPERLINK("#",""), HYPERLINK(CONCATENATE("#metadata!", ADDRESS(INDEX($J$2:$J$1001,MATCH(ROWS($H$2:H928),$H$2:$H$1001,0),0), INDEX($O$1004:$Q$1004,1,MATCH(COLUMNS($O$1006:O1006),$O$1006:$Q$1006,0)))),"Fix")))</f>
        <v xml:space="preserve"> </v>
      </c>
      <c r="C928" s="3" t="str">
        <f ca="1">IF(OR(INDEX($I$2:$I$1001,MATCH(ROWS($H$2:H928),$H$2:$H$1001,0),1)&gt;=100000,INDEX($O$1005:$Q$1005,1,MATCH(COLUMNS($O$1006:P1006),$O$1006:$Q$1006,0))&gt;=100000), " ",IF(INDEX($O$2:$Q$1001,MATCH(ROWS($H$2:H928),$H$2:$H$1001,0),MATCH(COLUMNS($O$1006:P1006),$O$1006:$Q$1006,0)), HYPERLINK("#",""), HYPERLINK(CONCATENATE("#metadata!", ADDRESS(INDEX($J$2:$J$1001,MATCH(ROWS($H$2:H928),$H$2:$H$1001,0),0), INDEX($O$1004:$Q$1004,1,MATCH(COLUMNS($O$1006:P1006),$O$1006:$Q$1006,0)))),"Fix")))</f>
        <v xml:space="preserve"> </v>
      </c>
      <c r="D928" s="3" t="str">
        <f ca="1">IF(OR(INDEX($I$2:$I$1001,MATCH(ROWS($H$2:H928),$H$2:$H$1001,0),1)&gt;=100000,INDEX($O$1005:$Q$1005,1,MATCH(COLUMNS($O$1006:Q1006),$O$1006:$Q$1006,0))&gt;=100000), " ",IF(INDEX($O$2:$Q$1001,MATCH(ROWS($H$2:H928),$H$2:$H$1001,0),MATCH(COLUMNS($O$1006:Q1006),$O$1006:$Q$1006,0)), HYPERLINK("#",""), HYPERLINK(CONCATENATE("#metadata!", ADDRESS(INDEX($J$2:$J$1001,MATCH(ROWS($H$2:H928),$H$2:$H$1001,0),0), INDEX($O$1004:$Q$1004,1,MATCH(COLUMNS($O$1006:Q1006),$O$1006:$Q$1006,0)))),"Fix")))</f>
        <v xml:space="preserve"> </v>
      </c>
      <c r="H928">
        <v>927</v>
      </c>
      <c r="I928">
        <v>100928</v>
      </c>
      <c r="J928">
        <v>928</v>
      </c>
      <c r="K928" t="b">
        <f t="shared" si="14"/>
        <v>1</v>
      </c>
      <c r="L928" t="b">
        <f>COUNTBLANK(metadata!B928:D928)=COLUMNS(metadata!B928:D928)</f>
        <v>1</v>
      </c>
      <c r="M928" t="str">
        <v/>
      </c>
      <c r="O928" t="b">
        <f ca="1"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P928" t="b">
        <f>AND(IF(metadata!C928="",FALSE,TRUE),EXACT(metadata!C928,"mouse gut metagenome"))</f>
        <v>0</v>
      </c>
      <c r="Q928" t="b">
        <f>AND(IF(metadata!D928="",FALSE,TRUE),EXACT(metadata!D928,"410661"))</f>
        <v>0</v>
      </c>
    </row>
    <row r="929" spans="1:17" x14ac:dyDescent="0.2">
      <c r="A929" s="4" t="str">
        <f ca="1">IF(B929=" "," ",HYPERLINK(CONCATENATE("#metadata!",ADDRESS(INDEX($J$2:$J$1001,MATCH(ROWS($H$2:H929),$H$2:$H$1001,0),0),1)),INDEX($M$2:$M$1001,MATCH(ROWS($H$2:H929),$H$2:$H$1001,0),0)))</f>
        <v xml:space="preserve"> </v>
      </c>
      <c r="B929" s="3" t="str">
        <f ca="1">IF(OR(INDEX($I$2:$I$1001,MATCH(ROWS($H$2:H929),$H$2:$H$1001,0),1)&gt;=100000,INDEX($O$1005:$Q$1005,1,MATCH(COLUMNS($O$1006:O1006),$O$1006:$Q$1006,0))&gt;=100000), " ",IF(INDEX($O$2:$Q$1001,MATCH(ROWS($H$2:H929),$H$2:$H$1001,0),MATCH(COLUMNS($O$1006:O1006),$O$1006:$Q$1006,0)), HYPERLINK("#",""), HYPERLINK(CONCATENATE("#metadata!", ADDRESS(INDEX($J$2:$J$1001,MATCH(ROWS($H$2:H929),$H$2:$H$1001,0),0), INDEX($O$1004:$Q$1004,1,MATCH(COLUMNS($O$1006:O1006),$O$1006:$Q$1006,0)))),"Fix")))</f>
        <v xml:space="preserve"> </v>
      </c>
      <c r="C929" s="3" t="str">
        <f ca="1">IF(OR(INDEX($I$2:$I$1001,MATCH(ROWS($H$2:H929),$H$2:$H$1001,0),1)&gt;=100000,INDEX($O$1005:$Q$1005,1,MATCH(COLUMNS($O$1006:P1006),$O$1006:$Q$1006,0))&gt;=100000), " ",IF(INDEX($O$2:$Q$1001,MATCH(ROWS($H$2:H929),$H$2:$H$1001,0),MATCH(COLUMNS($O$1006:P1006),$O$1006:$Q$1006,0)), HYPERLINK("#",""), HYPERLINK(CONCATENATE("#metadata!", ADDRESS(INDEX($J$2:$J$1001,MATCH(ROWS($H$2:H929),$H$2:$H$1001,0),0), INDEX($O$1004:$Q$1004,1,MATCH(COLUMNS($O$1006:P1006),$O$1006:$Q$1006,0)))),"Fix")))</f>
        <v xml:space="preserve"> </v>
      </c>
      <c r="D929" s="3" t="str">
        <f ca="1">IF(OR(INDEX($I$2:$I$1001,MATCH(ROWS($H$2:H929),$H$2:$H$1001,0),1)&gt;=100000,INDEX($O$1005:$Q$1005,1,MATCH(COLUMNS($O$1006:Q1006),$O$1006:$Q$1006,0))&gt;=100000), " ",IF(INDEX($O$2:$Q$1001,MATCH(ROWS($H$2:H929),$H$2:$H$1001,0),MATCH(COLUMNS($O$1006:Q1006),$O$1006:$Q$1006,0)), HYPERLINK("#",""), HYPERLINK(CONCATENATE("#metadata!", ADDRESS(INDEX($J$2:$J$1001,MATCH(ROWS($H$2:H929),$H$2:$H$1001,0),0), INDEX($O$1004:$Q$1004,1,MATCH(COLUMNS($O$1006:Q1006),$O$1006:$Q$1006,0)))),"Fix")))</f>
        <v xml:space="preserve"> </v>
      </c>
      <c r="H929">
        <v>928</v>
      </c>
      <c r="I929">
        <v>100929</v>
      </c>
      <c r="J929">
        <v>929</v>
      </c>
      <c r="K929" t="b">
        <f t="shared" si="14"/>
        <v>1</v>
      </c>
      <c r="L929" t="b">
        <f>COUNTBLANK(metadata!B929:D929)=COLUMNS(metadata!B929:D929)</f>
        <v>1</v>
      </c>
      <c r="M929" t="str">
        <v/>
      </c>
      <c r="O929" t="b">
        <f ca="1"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P929" t="b">
        <f>AND(IF(metadata!C929="",FALSE,TRUE),EXACT(metadata!C929,"mouse gut metagenome"))</f>
        <v>0</v>
      </c>
      <c r="Q929" t="b">
        <f>AND(IF(metadata!D929="",FALSE,TRUE),EXACT(metadata!D929,"410661"))</f>
        <v>0</v>
      </c>
    </row>
    <row r="930" spans="1:17" x14ac:dyDescent="0.2">
      <c r="A930" s="4" t="str">
        <f ca="1">IF(B930=" "," ",HYPERLINK(CONCATENATE("#metadata!",ADDRESS(INDEX($J$2:$J$1001,MATCH(ROWS($H$2:H930),$H$2:$H$1001,0),0),1)),INDEX($M$2:$M$1001,MATCH(ROWS($H$2:H930),$H$2:$H$1001,0),0)))</f>
        <v xml:space="preserve"> </v>
      </c>
      <c r="B930" s="3" t="str">
        <f ca="1">IF(OR(INDEX($I$2:$I$1001,MATCH(ROWS($H$2:H930),$H$2:$H$1001,0),1)&gt;=100000,INDEX($O$1005:$Q$1005,1,MATCH(COLUMNS($O$1006:O1006),$O$1006:$Q$1006,0))&gt;=100000), " ",IF(INDEX($O$2:$Q$1001,MATCH(ROWS($H$2:H930),$H$2:$H$1001,0),MATCH(COLUMNS($O$1006:O1006),$O$1006:$Q$1006,0)), HYPERLINK("#",""), HYPERLINK(CONCATENATE("#metadata!", ADDRESS(INDEX($J$2:$J$1001,MATCH(ROWS($H$2:H930),$H$2:$H$1001,0),0), INDEX($O$1004:$Q$1004,1,MATCH(COLUMNS($O$1006:O1006),$O$1006:$Q$1006,0)))),"Fix")))</f>
        <v xml:space="preserve"> </v>
      </c>
      <c r="C930" s="3" t="str">
        <f ca="1">IF(OR(INDEX($I$2:$I$1001,MATCH(ROWS($H$2:H930),$H$2:$H$1001,0),1)&gt;=100000,INDEX($O$1005:$Q$1005,1,MATCH(COLUMNS($O$1006:P1006),$O$1006:$Q$1006,0))&gt;=100000), " ",IF(INDEX($O$2:$Q$1001,MATCH(ROWS($H$2:H930),$H$2:$H$1001,0),MATCH(COLUMNS($O$1006:P1006),$O$1006:$Q$1006,0)), HYPERLINK("#",""), HYPERLINK(CONCATENATE("#metadata!", ADDRESS(INDEX($J$2:$J$1001,MATCH(ROWS($H$2:H930),$H$2:$H$1001,0),0), INDEX($O$1004:$Q$1004,1,MATCH(COLUMNS($O$1006:P1006),$O$1006:$Q$1006,0)))),"Fix")))</f>
        <v xml:space="preserve"> </v>
      </c>
      <c r="D930" s="3" t="str">
        <f ca="1">IF(OR(INDEX($I$2:$I$1001,MATCH(ROWS($H$2:H930),$H$2:$H$1001,0),1)&gt;=100000,INDEX($O$1005:$Q$1005,1,MATCH(COLUMNS($O$1006:Q1006),$O$1006:$Q$1006,0))&gt;=100000), " ",IF(INDEX($O$2:$Q$1001,MATCH(ROWS($H$2:H930),$H$2:$H$1001,0),MATCH(COLUMNS($O$1006:Q1006),$O$1006:$Q$1006,0)), HYPERLINK("#",""), HYPERLINK(CONCATENATE("#metadata!", ADDRESS(INDEX($J$2:$J$1001,MATCH(ROWS($H$2:H930),$H$2:$H$1001,0),0), INDEX($O$1004:$Q$1004,1,MATCH(COLUMNS($O$1006:Q1006),$O$1006:$Q$1006,0)))),"Fix")))</f>
        <v xml:space="preserve"> </v>
      </c>
      <c r="H930">
        <v>929</v>
      </c>
      <c r="I930">
        <v>100930</v>
      </c>
      <c r="J930">
        <v>930</v>
      </c>
      <c r="K930" t="b">
        <f t="shared" si="14"/>
        <v>1</v>
      </c>
      <c r="L930" t="b">
        <f>COUNTBLANK(metadata!B930:D930)=COLUMNS(metadata!B930:D930)</f>
        <v>1</v>
      </c>
      <c r="M930" t="str">
        <v/>
      </c>
      <c r="O930" t="b">
        <f ca="1"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P930" t="b">
        <f>AND(IF(metadata!C930="",FALSE,TRUE),EXACT(metadata!C930,"mouse gut metagenome"))</f>
        <v>0</v>
      </c>
      <c r="Q930" t="b">
        <f>AND(IF(metadata!D930="",FALSE,TRUE),EXACT(metadata!D930,"410661"))</f>
        <v>0</v>
      </c>
    </row>
    <row r="931" spans="1:17" x14ac:dyDescent="0.2">
      <c r="A931" s="4" t="str">
        <f ca="1">IF(B931=" "," ",HYPERLINK(CONCATENATE("#metadata!",ADDRESS(INDEX($J$2:$J$1001,MATCH(ROWS($H$2:H931),$H$2:$H$1001,0),0),1)),INDEX($M$2:$M$1001,MATCH(ROWS($H$2:H931),$H$2:$H$1001,0),0)))</f>
        <v xml:space="preserve"> </v>
      </c>
      <c r="B931" s="3" t="str">
        <f ca="1">IF(OR(INDEX($I$2:$I$1001,MATCH(ROWS($H$2:H931),$H$2:$H$1001,0),1)&gt;=100000,INDEX($O$1005:$Q$1005,1,MATCH(COLUMNS($O$1006:O1006),$O$1006:$Q$1006,0))&gt;=100000), " ",IF(INDEX($O$2:$Q$1001,MATCH(ROWS($H$2:H931),$H$2:$H$1001,0),MATCH(COLUMNS($O$1006:O1006),$O$1006:$Q$1006,0)), HYPERLINK("#",""), HYPERLINK(CONCATENATE("#metadata!", ADDRESS(INDEX($J$2:$J$1001,MATCH(ROWS($H$2:H931),$H$2:$H$1001,0),0), INDEX($O$1004:$Q$1004,1,MATCH(COLUMNS($O$1006:O1006),$O$1006:$Q$1006,0)))),"Fix")))</f>
        <v xml:space="preserve"> </v>
      </c>
      <c r="C931" s="3" t="str">
        <f ca="1">IF(OR(INDEX($I$2:$I$1001,MATCH(ROWS($H$2:H931),$H$2:$H$1001,0),1)&gt;=100000,INDEX($O$1005:$Q$1005,1,MATCH(COLUMNS($O$1006:P1006),$O$1006:$Q$1006,0))&gt;=100000), " ",IF(INDEX($O$2:$Q$1001,MATCH(ROWS($H$2:H931),$H$2:$H$1001,0),MATCH(COLUMNS($O$1006:P1006),$O$1006:$Q$1006,0)), HYPERLINK("#",""), HYPERLINK(CONCATENATE("#metadata!", ADDRESS(INDEX($J$2:$J$1001,MATCH(ROWS($H$2:H931),$H$2:$H$1001,0),0), INDEX($O$1004:$Q$1004,1,MATCH(COLUMNS($O$1006:P1006),$O$1006:$Q$1006,0)))),"Fix")))</f>
        <v xml:space="preserve"> </v>
      </c>
      <c r="D931" s="3" t="str">
        <f ca="1">IF(OR(INDEX($I$2:$I$1001,MATCH(ROWS($H$2:H931),$H$2:$H$1001,0),1)&gt;=100000,INDEX($O$1005:$Q$1005,1,MATCH(COLUMNS($O$1006:Q1006),$O$1006:$Q$1006,0))&gt;=100000), " ",IF(INDEX($O$2:$Q$1001,MATCH(ROWS($H$2:H931),$H$2:$H$1001,0),MATCH(COLUMNS($O$1006:Q1006),$O$1006:$Q$1006,0)), HYPERLINK("#",""), HYPERLINK(CONCATENATE("#metadata!", ADDRESS(INDEX($J$2:$J$1001,MATCH(ROWS($H$2:H931),$H$2:$H$1001,0),0), INDEX($O$1004:$Q$1004,1,MATCH(COLUMNS($O$1006:Q1006),$O$1006:$Q$1006,0)))),"Fix")))</f>
        <v xml:space="preserve"> </v>
      </c>
      <c r="H931">
        <v>930</v>
      </c>
      <c r="I931">
        <v>100931</v>
      </c>
      <c r="J931">
        <v>931</v>
      </c>
      <c r="K931" t="b">
        <f t="shared" si="14"/>
        <v>1</v>
      </c>
      <c r="L931" t="b">
        <f>COUNTBLANK(metadata!B931:D931)=COLUMNS(metadata!B931:D931)</f>
        <v>1</v>
      </c>
      <c r="M931" t="str">
        <v/>
      </c>
      <c r="O931" t="b">
        <f ca="1"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P931" t="b">
        <f>AND(IF(metadata!C931="",FALSE,TRUE),EXACT(metadata!C931,"mouse gut metagenome"))</f>
        <v>0</v>
      </c>
      <c r="Q931" t="b">
        <f>AND(IF(metadata!D931="",FALSE,TRUE),EXACT(metadata!D931,"410661"))</f>
        <v>0</v>
      </c>
    </row>
    <row r="932" spans="1:17" x14ac:dyDescent="0.2">
      <c r="A932" s="4" t="str">
        <f ca="1">IF(B932=" "," ",HYPERLINK(CONCATENATE("#metadata!",ADDRESS(INDEX($J$2:$J$1001,MATCH(ROWS($H$2:H932),$H$2:$H$1001,0),0),1)),INDEX($M$2:$M$1001,MATCH(ROWS($H$2:H932),$H$2:$H$1001,0),0)))</f>
        <v xml:space="preserve"> </v>
      </c>
      <c r="B932" s="3" t="str">
        <f ca="1">IF(OR(INDEX($I$2:$I$1001,MATCH(ROWS($H$2:H932),$H$2:$H$1001,0),1)&gt;=100000,INDEX($O$1005:$Q$1005,1,MATCH(COLUMNS($O$1006:O1006),$O$1006:$Q$1006,0))&gt;=100000), " ",IF(INDEX($O$2:$Q$1001,MATCH(ROWS($H$2:H932),$H$2:$H$1001,0),MATCH(COLUMNS($O$1006:O1006),$O$1006:$Q$1006,0)), HYPERLINK("#",""), HYPERLINK(CONCATENATE("#metadata!", ADDRESS(INDEX($J$2:$J$1001,MATCH(ROWS($H$2:H932),$H$2:$H$1001,0),0), INDEX($O$1004:$Q$1004,1,MATCH(COLUMNS($O$1006:O1006),$O$1006:$Q$1006,0)))),"Fix")))</f>
        <v xml:space="preserve"> </v>
      </c>
      <c r="C932" s="3" t="str">
        <f ca="1">IF(OR(INDEX($I$2:$I$1001,MATCH(ROWS($H$2:H932),$H$2:$H$1001,0),1)&gt;=100000,INDEX($O$1005:$Q$1005,1,MATCH(COLUMNS($O$1006:P1006),$O$1006:$Q$1006,0))&gt;=100000), " ",IF(INDEX($O$2:$Q$1001,MATCH(ROWS($H$2:H932),$H$2:$H$1001,0),MATCH(COLUMNS($O$1006:P1006),$O$1006:$Q$1006,0)), HYPERLINK("#",""), HYPERLINK(CONCATENATE("#metadata!", ADDRESS(INDEX($J$2:$J$1001,MATCH(ROWS($H$2:H932),$H$2:$H$1001,0),0), INDEX($O$1004:$Q$1004,1,MATCH(COLUMNS($O$1006:P1006),$O$1006:$Q$1006,0)))),"Fix")))</f>
        <v xml:space="preserve"> </v>
      </c>
      <c r="D932" s="3" t="str">
        <f ca="1">IF(OR(INDEX($I$2:$I$1001,MATCH(ROWS($H$2:H932),$H$2:$H$1001,0),1)&gt;=100000,INDEX($O$1005:$Q$1005,1,MATCH(COLUMNS($O$1006:Q1006),$O$1006:$Q$1006,0))&gt;=100000), " ",IF(INDEX($O$2:$Q$1001,MATCH(ROWS($H$2:H932),$H$2:$H$1001,0),MATCH(COLUMNS($O$1006:Q1006),$O$1006:$Q$1006,0)), HYPERLINK("#",""), HYPERLINK(CONCATENATE("#metadata!", ADDRESS(INDEX($J$2:$J$1001,MATCH(ROWS($H$2:H932),$H$2:$H$1001,0),0), INDEX($O$1004:$Q$1004,1,MATCH(COLUMNS($O$1006:Q1006),$O$1006:$Q$1006,0)))),"Fix")))</f>
        <v xml:space="preserve"> </v>
      </c>
      <c r="H932">
        <v>931</v>
      </c>
      <c r="I932">
        <v>100932</v>
      </c>
      <c r="J932">
        <v>932</v>
      </c>
      <c r="K932" t="b">
        <f t="shared" si="14"/>
        <v>1</v>
      </c>
      <c r="L932" t="b">
        <f>COUNTBLANK(metadata!B932:D932)=COLUMNS(metadata!B932:D932)</f>
        <v>1</v>
      </c>
      <c r="M932" t="str">
        <v/>
      </c>
      <c r="O932" t="b">
        <f ca="1"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P932" t="b">
        <f>AND(IF(metadata!C932="",FALSE,TRUE),EXACT(metadata!C932,"mouse gut metagenome"))</f>
        <v>0</v>
      </c>
      <c r="Q932" t="b">
        <f>AND(IF(metadata!D932="",FALSE,TRUE),EXACT(metadata!D932,"410661"))</f>
        <v>0</v>
      </c>
    </row>
    <row r="933" spans="1:17" x14ac:dyDescent="0.2">
      <c r="A933" s="4" t="str">
        <f ca="1">IF(B933=" "," ",HYPERLINK(CONCATENATE("#metadata!",ADDRESS(INDEX($J$2:$J$1001,MATCH(ROWS($H$2:H933),$H$2:$H$1001,0),0),1)),INDEX($M$2:$M$1001,MATCH(ROWS($H$2:H933),$H$2:$H$1001,0),0)))</f>
        <v xml:space="preserve"> </v>
      </c>
      <c r="B933" s="3" t="str">
        <f ca="1">IF(OR(INDEX($I$2:$I$1001,MATCH(ROWS($H$2:H933),$H$2:$H$1001,0),1)&gt;=100000,INDEX($O$1005:$Q$1005,1,MATCH(COLUMNS($O$1006:O1006),$O$1006:$Q$1006,0))&gt;=100000), " ",IF(INDEX($O$2:$Q$1001,MATCH(ROWS($H$2:H933),$H$2:$H$1001,0),MATCH(COLUMNS($O$1006:O1006),$O$1006:$Q$1006,0)), HYPERLINK("#",""), HYPERLINK(CONCATENATE("#metadata!", ADDRESS(INDEX($J$2:$J$1001,MATCH(ROWS($H$2:H933),$H$2:$H$1001,0),0), INDEX($O$1004:$Q$1004,1,MATCH(COLUMNS($O$1006:O1006),$O$1006:$Q$1006,0)))),"Fix")))</f>
        <v xml:space="preserve"> </v>
      </c>
      <c r="C933" s="3" t="str">
        <f ca="1">IF(OR(INDEX($I$2:$I$1001,MATCH(ROWS($H$2:H933),$H$2:$H$1001,0),1)&gt;=100000,INDEX($O$1005:$Q$1005,1,MATCH(COLUMNS($O$1006:P1006),$O$1006:$Q$1006,0))&gt;=100000), " ",IF(INDEX($O$2:$Q$1001,MATCH(ROWS($H$2:H933),$H$2:$H$1001,0),MATCH(COLUMNS($O$1006:P1006),$O$1006:$Q$1006,0)), HYPERLINK("#",""), HYPERLINK(CONCATENATE("#metadata!", ADDRESS(INDEX($J$2:$J$1001,MATCH(ROWS($H$2:H933),$H$2:$H$1001,0),0), INDEX($O$1004:$Q$1004,1,MATCH(COLUMNS($O$1006:P1006),$O$1006:$Q$1006,0)))),"Fix")))</f>
        <v xml:space="preserve"> </v>
      </c>
      <c r="D933" s="3" t="str">
        <f ca="1">IF(OR(INDEX($I$2:$I$1001,MATCH(ROWS($H$2:H933),$H$2:$H$1001,0),1)&gt;=100000,INDEX($O$1005:$Q$1005,1,MATCH(COLUMNS($O$1006:Q1006),$O$1006:$Q$1006,0))&gt;=100000), " ",IF(INDEX($O$2:$Q$1001,MATCH(ROWS($H$2:H933),$H$2:$H$1001,0),MATCH(COLUMNS($O$1006:Q1006),$O$1006:$Q$1006,0)), HYPERLINK("#",""), HYPERLINK(CONCATENATE("#metadata!", ADDRESS(INDEX($J$2:$J$1001,MATCH(ROWS($H$2:H933),$H$2:$H$1001,0),0), INDEX($O$1004:$Q$1004,1,MATCH(COLUMNS($O$1006:Q1006),$O$1006:$Q$1006,0)))),"Fix")))</f>
        <v xml:space="preserve"> </v>
      </c>
      <c r="H933">
        <v>932</v>
      </c>
      <c r="I933">
        <v>100933</v>
      </c>
      <c r="J933">
        <v>933</v>
      </c>
      <c r="K933" t="b">
        <f t="shared" si="14"/>
        <v>1</v>
      </c>
      <c r="L933" t="b">
        <f>COUNTBLANK(metadata!B933:D933)=COLUMNS(metadata!B933:D933)</f>
        <v>1</v>
      </c>
      <c r="M933" t="str">
        <v/>
      </c>
      <c r="O933" t="b">
        <f ca="1"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P933" t="b">
        <f>AND(IF(metadata!C933="",FALSE,TRUE),EXACT(metadata!C933,"mouse gut metagenome"))</f>
        <v>0</v>
      </c>
      <c r="Q933" t="b">
        <f>AND(IF(metadata!D933="",FALSE,TRUE),EXACT(metadata!D933,"410661"))</f>
        <v>0</v>
      </c>
    </row>
    <row r="934" spans="1:17" x14ac:dyDescent="0.2">
      <c r="A934" s="4" t="str">
        <f ca="1">IF(B934=" "," ",HYPERLINK(CONCATENATE("#metadata!",ADDRESS(INDEX($J$2:$J$1001,MATCH(ROWS($H$2:H934),$H$2:$H$1001,0),0),1)),INDEX($M$2:$M$1001,MATCH(ROWS($H$2:H934),$H$2:$H$1001,0),0)))</f>
        <v xml:space="preserve"> </v>
      </c>
      <c r="B934" s="3" t="str">
        <f ca="1">IF(OR(INDEX($I$2:$I$1001,MATCH(ROWS($H$2:H934),$H$2:$H$1001,0),1)&gt;=100000,INDEX($O$1005:$Q$1005,1,MATCH(COLUMNS($O$1006:O1006),$O$1006:$Q$1006,0))&gt;=100000), " ",IF(INDEX($O$2:$Q$1001,MATCH(ROWS($H$2:H934),$H$2:$H$1001,0),MATCH(COLUMNS($O$1006:O1006),$O$1006:$Q$1006,0)), HYPERLINK("#",""), HYPERLINK(CONCATENATE("#metadata!", ADDRESS(INDEX($J$2:$J$1001,MATCH(ROWS($H$2:H934),$H$2:$H$1001,0),0), INDEX($O$1004:$Q$1004,1,MATCH(COLUMNS($O$1006:O1006),$O$1006:$Q$1006,0)))),"Fix")))</f>
        <v xml:space="preserve"> </v>
      </c>
      <c r="C934" s="3" t="str">
        <f ca="1">IF(OR(INDEX($I$2:$I$1001,MATCH(ROWS($H$2:H934),$H$2:$H$1001,0),1)&gt;=100000,INDEX($O$1005:$Q$1005,1,MATCH(COLUMNS($O$1006:P1006),$O$1006:$Q$1006,0))&gt;=100000), " ",IF(INDEX($O$2:$Q$1001,MATCH(ROWS($H$2:H934),$H$2:$H$1001,0),MATCH(COLUMNS($O$1006:P1006),$O$1006:$Q$1006,0)), HYPERLINK("#",""), HYPERLINK(CONCATENATE("#metadata!", ADDRESS(INDEX($J$2:$J$1001,MATCH(ROWS($H$2:H934),$H$2:$H$1001,0),0), INDEX($O$1004:$Q$1004,1,MATCH(COLUMNS($O$1006:P1006),$O$1006:$Q$1006,0)))),"Fix")))</f>
        <v xml:space="preserve"> </v>
      </c>
      <c r="D934" s="3" t="str">
        <f ca="1">IF(OR(INDEX($I$2:$I$1001,MATCH(ROWS($H$2:H934),$H$2:$H$1001,0),1)&gt;=100000,INDEX($O$1005:$Q$1005,1,MATCH(COLUMNS($O$1006:Q1006),$O$1006:$Q$1006,0))&gt;=100000), " ",IF(INDEX($O$2:$Q$1001,MATCH(ROWS($H$2:H934),$H$2:$H$1001,0),MATCH(COLUMNS($O$1006:Q1006),$O$1006:$Q$1006,0)), HYPERLINK("#",""), HYPERLINK(CONCATENATE("#metadata!", ADDRESS(INDEX($J$2:$J$1001,MATCH(ROWS($H$2:H934),$H$2:$H$1001,0),0), INDEX($O$1004:$Q$1004,1,MATCH(COLUMNS($O$1006:Q1006),$O$1006:$Q$1006,0)))),"Fix")))</f>
        <v xml:space="preserve"> </v>
      </c>
      <c r="H934">
        <v>933</v>
      </c>
      <c r="I934">
        <v>100934</v>
      </c>
      <c r="J934">
        <v>934</v>
      </c>
      <c r="K934" t="b">
        <f t="shared" si="14"/>
        <v>1</v>
      </c>
      <c r="L934" t="b">
        <f>COUNTBLANK(metadata!B934:D934)=COLUMNS(metadata!B934:D934)</f>
        <v>1</v>
      </c>
      <c r="M934" t="str">
        <v/>
      </c>
      <c r="O934" t="b">
        <f ca="1"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P934" t="b">
        <f>AND(IF(metadata!C934="",FALSE,TRUE),EXACT(metadata!C934,"mouse gut metagenome"))</f>
        <v>0</v>
      </c>
      <c r="Q934" t="b">
        <f>AND(IF(metadata!D934="",FALSE,TRUE),EXACT(metadata!D934,"410661"))</f>
        <v>0</v>
      </c>
    </row>
    <row r="935" spans="1:17" x14ac:dyDescent="0.2">
      <c r="A935" s="4" t="str">
        <f ca="1">IF(B935=" "," ",HYPERLINK(CONCATENATE("#metadata!",ADDRESS(INDEX($J$2:$J$1001,MATCH(ROWS($H$2:H935),$H$2:$H$1001,0),0),1)),INDEX($M$2:$M$1001,MATCH(ROWS($H$2:H935),$H$2:$H$1001,0),0)))</f>
        <v xml:space="preserve"> </v>
      </c>
      <c r="B935" s="3" t="str">
        <f ca="1">IF(OR(INDEX($I$2:$I$1001,MATCH(ROWS($H$2:H935),$H$2:$H$1001,0),1)&gt;=100000,INDEX($O$1005:$Q$1005,1,MATCH(COLUMNS($O$1006:O1006),$O$1006:$Q$1006,0))&gt;=100000), " ",IF(INDEX($O$2:$Q$1001,MATCH(ROWS($H$2:H935),$H$2:$H$1001,0),MATCH(COLUMNS($O$1006:O1006),$O$1006:$Q$1006,0)), HYPERLINK("#",""), HYPERLINK(CONCATENATE("#metadata!", ADDRESS(INDEX($J$2:$J$1001,MATCH(ROWS($H$2:H935),$H$2:$H$1001,0),0), INDEX($O$1004:$Q$1004,1,MATCH(COLUMNS($O$1006:O1006),$O$1006:$Q$1006,0)))),"Fix")))</f>
        <v xml:space="preserve"> </v>
      </c>
      <c r="C935" s="3" t="str">
        <f ca="1">IF(OR(INDEX($I$2:$I$1001,MATCH(ROWS($H$2:H935),$H$2:$H$1001,0),1)&gt;=100000,INDEX($O$1005:$Q$1005,1,MATCH(COLUMNS($O$1006:P1006),$O$1006:$Q$1006,0))&gt;=100000), " ",IF(INDEX($O$2:$Q$1001,MATCH(ROWS($H$2:H935),$H$2:$H$1001,0),MATCH(COLUMNS($O$1006:P1006),$O$1006:$Q$1006,0)), HYPERLINK("#",""), HYPERLINK(CONCATENATE("#metadata!", ADDRESS(INDEX($J$2:$J$1001,MATCH(ROWS($H$2:H935),$H$2:$H$1001,0),0), INDEX($O$1004:$Q$1004,1,MATCH(COLUMNS($O$1006:P1006),$O$1006:$Q$1006,0)))),"Fix")))</f>
        <v xml:space="preserve"> </v>
      </c>
      <c r="D935" s="3" t="str">
        <f ca="1">IF(OR(INDEX($I$2:$I$1001,MATCH(ROWS($H$2:H935),$H$2:$H$1001,0),1)&gt;=100000,INDEX($O$1005:$Q$1005,1,MATCH(COLUMNS($O$1006:Q1006),$O$1006:$Q$1006,0))&gt;=100000), " ",IF(INDEX($O$2:$Q$1001,MATCH(ROWS($H$2:H935),$H$2:$H$1001,0),MATCH(COLUMNS($O$1006:Q1006),$O$1006:$Q$1006,0)), HYPERLINK("#",""), HYPERLINK(CONCATENATE("#metadata!", ADDRESS(INDEX($J$2:$J$1001,MATCH(ROWS($H$2:H935),$H$2:$H$1001,0),0), INDEX($O$1004:$Q$1004,1,MATCH(COLUMNS($O$1006:Q1006),$O$1006:$Q$1006,0)))),"Fix")))</f>
        <v xml:space="preserve"> </v>
      </c>
      <c r="H935">
        <v>934</v>
      </c>
      <c r="I935">
        <v>100935</v>
      </c>
      <c r="J935">
        <v>935</v>
      </c>
      <c r="K935" t="b">
        <f t="shared" si="14"/>
        <v>1</v>
      </c>
      <c r="L935" t="b">
        <f>COUNTBLANK(metadata!B935:D935)=COLUMNS(metadata!B935:D935)</f>
        <v>1</v>
      </c>
      <c r="M935" t="str">
        <v/>
      </c>
      <c r="O935" t="b">
        <f ca="1"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P935" t="b">
        <f>AND(IF(metadata!C935="",FALSE,TRUE),EXACT(metadata!C935,"mouse gut metagenome"))</f>
        <v>0</v>
      </c>
      <c r="Q935" t="b">
        <f>AND(IF(metadata!D935="",FALSE,TRUE),EXACT(metadata!D935,"410661"))</f>
        <v>0</v>
      </c>
    </row>
    <row r="936" spans="1:17" x14ac:dyDescent="0.2">
      <c r="A936" s="4" t="str">
        <f ca="1">IF(B936=" "," ",HYPERLINK(CONCATENATE("#metadata!",ADDRESS(INDEX($J$2:$J$1001,MATCH(ROWS($H$2:H936),$H$2:$H$1001,0),0),1)),INDEX($M$2:$M$1001,MATCH(ROWS($H$2:H936),$H$2:$H$1001,0),0)))</f>
        <v xml:space="preserve"> </v>
      </c>
      <c r="B936" s="3" t="str">
        <f ca="1">IF(OR(INDEX($I$2:$I$1001,MATCH(ROWS($H$2:H936),$H$2:$H$1001,0),1)&gt;=100000,INDEX($O$1005:$Q$1005,1,MATCH(COLUMNS($O$1006:O1006),$O$1006:$Q$1006,0))&gt;=100000), " ",IF(INDEX($O$2:$Q$1001,MATCH(ROWS($H$2:H936),$H$2:$H$1001,0),MATCH(COLUMNS($O$1006:O1006),$O$1006:$Q$1006,0)), HYPERLINK("#",""), HYPERLINK(CONCATENATE("#metadata!", ADDRESS(INDEX($J$2:$J$1001,MATCH(ROWS($H$2:H936),$H$2:$H$1001,0),0), INDEX($O$1004:$Q$1004,1,MATCH(COLUMNS($O$1006:O1006),$O$1006:$Q$1006,0)))),"Fix")))</f>
        <v xml:space="preserve"> </v>
      </c>
      <c r="C936" s="3" t="str">
        <f ca="1">IF(OR(INDEX($I$2:$I$1001,MATCH(ROWS($H$2:H936),$H$2:$H$1001,0),1)&gt;=100000,INDEX($O$1005:$Q$1005,1,MATCH(COLUMNS($O$1006:P1006),$O$1006:$Q$1006,0))&gt;=100000), " ",IF(INDEX($O$2:$Q$1001,MATCH(ROWS($H$2:H936),$H$2:$H$1001,0),MATCH(COLUMNS($O$1006:P1006),$O$1006:$Q$1006,0)), HYPERLINK("#",""), HYPERLINK(CONCATENATE("#metadata!", ADDRESS(INDEX($J$2:$J$1001,MATCH(ROWS($H$2:H936),$H$2:$H$1001,0),0), INDEX($O$1004:$Q$1004,1,MATCH(COLUMNS($O$1006:P1006),$O$1006:$Q$1006,0)))),"Fix")))</f>
        <v xml:space="preserve"> </v>
      </c>
      <c r="D936" s="3" t="str">
        <f ca="1">IF(OR(INDEX($I$2:$I$1001,MATCH(ROWS($H$2:H936),$H$2:$H$1001,0),1)&gt;=100000,INDEX($O$1005:$Q$1005,1,MATCH(COLUMNS($O$1006:Q1006),$O$1006:$Q$1006,0))&gt;=100000), " ",IF(INDEX($O$2:$Q$1001,MATCH(ROWS($H$2:H936),$H$2:$H$1001,0),MATCH(COLUMNS($O$1006:Q1006),$O$1006:$Q$1006,0)), HYPERLINK("#",""), HYPERLINK(CONCATENATE("#metadata!", ADDRESS(INDEX($J$2:$J$1001,MATCH(ROWS($H$2:H936),$H$2:$H$1001,0),0), INDEX($O$1004:$Q$1004,1,MATCH(COLUMNS($O$1006:Q1006),$O$1006:$Q$1006,0)))),"Fix")))</f>
        <v xml:space="preserve"> </v>
      </c>
      <c r="H936">
        <v>935</v>
      </c>
      <c r="I936">
        <v>100936</v>
      </c>
      <c r="J936">
        <v>936</v>
      </c>
      <c r="K936" t="b">
        <f t="shared" si="14"/>
        <v>1</v>
      </c>
      <c r="L936" t="b">
        <f>COUNTBLANK(metadata!B936:D936)=COLUMNS(metadata!B936:D936)</f>
        <v>1</v>
      </c>
      <c r="M936" t="str">
        <v/>
      </c>
      <c r="O936" t="b">
        <f ca="1"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P936" t="b">
        <f>AND(IF(metadata!C936="",FALSE,TRUE),EXACT(metadata!C936,"mouse gut metagenome"))</f>
        <v>0</v>
      </c>
      <c r="Q936" t="b">
        <f>AND(IF(metadata!D936="",FALSE,TRUE),EXACT(metadata!D936,"410661"))</f>
        <v>0</v>
      </c>
    </row>
    <row r="937" spans="1:17" x14ac:dyDescent="0.2">
      <c r="A937" s="4" t="str">
        <f ca="1">IF(B937=" "," ",HYPERLINK(CONCATENATE("#metadata!",ADDRESS(INDEX($J$2:$J$1001,MATCH(ROWS($H$2:H937),$H$2:$H$1001,0),0),1)),INDEX($M$2:$M$1001,MATCH(ROWS($H$2:H937),$H$2:$H$1001,0),0)))</f>
        <v xml:space="preserve"> </v>
      </c>
      <c r="B937" s="3" t="str">
        <f ca="1">IF(OR(INDEX($I$2:$I$1001,MATCH(ROWS($H$2:H937),$H$2:$H$1001,0),1)&gt;=100000,INDEX($O$1005:$Q$1005,1,MATCH(COLUMNS($O$1006:O1006),$O$1006:$Q$1006,0))&gt;=100000), " ",IF(INDEX($O$2:$Q$1001,MATCH(ROWS($H$2:H937),$H$2:$H$1001,0),MATCH(COLUMNS($O$1006:O1006),$O$1006:$Q$1006,0)), HYPERLINK("#",""), HYPERLINK(CONCATENATE("#metadata!", ADDRESS(INDEX($J$2:$J$1001,MATCH(ROWS($H$2:H937),$H$2:$H$1001,0),0), INDEX($O$1004:$Q$1004,1,MATCH(COLUMNS($O$1006:O1006),$O$1006:$Q$1006,0)))),"Fix")))</f>
        <v xml:space="preserve"> </v>
      </c>
      <c r="C937" s="3" t="str">
        <f ca="1">IF(OR(INDEX($I$2:$I$1001,MATCH(ROWS($H$2:H937),$H$2:$H$1001,0),1)&gt;=100000,INDEX($O$1005:$Q$1005,1,MATCH(COLUMNS($O$1006:P1006),$O$1006:$Q$1006,0))&gt;=100000), " ",IF(INDEX($O$2:$Q$1001,MATCH(ROWS($H$2:H937),$H$2:$H$1001,0),MATCH(COLUMNS($O$1006:P1006),$O$1006:$Q$1006,0)), HYPERLINK("#",""), HYPERLINK(CONCATENATE("#metadata!", ADDRESS(INDEX($J$2:$J$1001,MATCH(ROWS($H$2:H937),$H$2:$H$1001,0),0), INDEX($O$1004:$Q$1004,1,MATCH(COLUMNS($O$1006:P1006),$O$1006:$Q$1006,0)))),"Fix")))</f>
        <v xml:space="preserve"> </v>
      </c>
      <c r="D937" s="3" t="str">
        <f ca="1">IF(OR(INDEX($I$2:$I$1001,MATCH(ROWS($H$2:H937),$H$2:$H$1001,0),1)&gt;=100000,INDEX($O$1005:$Q$1005,1,MATCH(COLUMNS($O$1006:Q1006),$O$1006:$Q$1006,0))&gt;=100000), " ",IF(INDEX($O$2:$Q$1001,MATCH(ROWS($H$2:H937),$H$2:$H$1001,0),MATCH(COLUMNS($O$1006:Q1006),$O$1006:$Q$1006,0)), HYPERLINK("#",""), HYPERLINK(CONCATENATE("#metadata!", ADDRESS(INDEX($J$2:$J$1001,MATCH(ROWS($H$2:H937),$H$2:$H$1001,0),0), INDEX($O$1004:$Q$1004,1,MATCH(COLUMNS($O$1006:Q1006),$O$1006:$Q$1006,0)))),"Fix")))</f>
        <v xml:space="preserve"> </v>
      </c>
      <c r="H937">
        <v>936</v>
      </c>
      <c r="I937">
        <v>100937</v>
      </c>
      <c r="J937">
        <v>937</v>
      </c>
      <c r="K937" t="b">
        <f t="shared" si="14"/>
        <v>1</v>
      </c>
      <c r="L937" t="b">
        <f>COUNTBLANK(metadata!B937:D937)=COLUMNS(metadata!B937:D937)</f>
        <v>1</v>
      </c>
      <c r="M937" t="str">
        <v/>
      </c>
      <c r="O937" t="b">
        <f ca="1"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P937" t="b">
        <f>AND(IF(metadata!C937="",FALSE,TRUE),EXACT(metadata!C937,"mouse gut metagenome"))</f>
        <v>0</v>
      </c>
      <c r="Q937" t="b">
        <f>AND(IF(metadata!D937="",FALSE,TRUE),EXACT(metadata!D937,"410661"))</f>
        <v>0</v>
      </c>
    </row>
    <row r="938" spans="1:17" x14ac:dyDescent="0.2">
      <c r="A938" s="4" t="str">
        <f ca="1">IF(B938=" "," ",HYPERLINK(CONCATENATE("#metadata!",ADDRESS(INDEX($J$2:$J$1001,MATCH(ROWS($H$2:H938),$H$2:$H$1001,0),0),1)),INDEX($M$2:$M$1001,MATCH(ROWS($H$2:H938),$H$2:$H$1001,0),0)))</f>
        <v xml:space="preserve"> </v>
      </c>
      <c r="B938" s="3" t="str">
        <f ca="1">IF(OR(INDEX($I$2:$I$1001,MATCH(ROWS($H$2:H938),$H$2:$H$1001,0),1)&gt;=100000,INDEX($O$1005:$Q$1005,1,MATCH(COLUMNS($O$1006:O1006),$O$1006:$Q$1006,0))&gt;=100000), " ",IF(INDEX($O$2:$Q$1001,MATCH(ROWS($H$2:H938),$H$2:$H$1001,0),MATCH(COLUMNS($O$1006:O1006),$O$1006:$Q$1006,0)), HYPERLINK("#",""), HYPERLINK(CONCATENATE("#metadata!", ADDRESS(INDEX($J$2:$J$1001,MATCH(ROWS($H$2:H938),$H$2:$H$1001,0),0), INDEX($O$1004:$Q$1004,1,MATCH(COLUMNS($O$1006:O1006),$O$1006:$Q$1006,0)))),"Fix")))</f>
        <v xml:space="preserve"> </v>
      </c>
      <c r="C938" s="3" t="str">
        <f ca="1">IF(OR(INDEX($I$2:$I$1001,MATCH(ROWS($H$2:H938),$H$2:$H$1001,0),1)&gt;=100000,INDEX($O$1005:$Q$1005,1,MATCH(COLUMNS($O$1006:P1006),$O$1006:$Q$1006,0))&gt;=100000), " ",IF(INDEX($O$2:$Q$1001,MATCH(ROWS($H$2:H938),$H$2:$H$1001,0),MATCH(COLUMNS($O$1006:P1006),$O$1006:$Q$1006,0)), HYPERLINK("#",""), HYPERLINK(CONCATENATE("#metadata!", ADDRESS(INDEX($J$2:$J$1001,MATCH(ROWS($H$2:H938),$H$2:$H$1001,0),0), INDEX($O$1004:$Q$1004,1,MATCH(COLUMNS($O$1006:P1006),$O$1006:$Q$1006,0)))),"Fix")))</f>
        <v xml:space="preserve"> </v>
      </c>
      <c r="D938" s="3" t="str">
        <f ca="1">IF(OR(INDEX($I$2:$I$1001,MATCH(ROWS($H$2:H938),$H$2:$H$1001,0),1)&gt;=100000,INDEX($O$1005:$Q$1005,1,MATCH(COLUMNS($O$1006:Q1006),$O$1006:$Q$1006,0))&gt;=100000), " ",IF(INDEX($O$2:$Q$1001,MATCH(ROWS($H$2:H938),$H$2:$H$1001,0),MATCH(COLUMNS($O$1006:Q1006),$O$1006:$Q$1006,0)), HYPERLINK("#",""), HYPERLINK(CONCATENATE("#metadata!", ADDRESS(INDEX($J$2:$J$1001,MATCH(ROWS($H$2:H938),$H$2:$H$1001,0),0), INDEX($O$1004:$Q$1004,1,MATCH(COLUMNS($O$1006:Q1006),$O$1006:$Q$1006,0)))),"Fix")))</f>
        <v xml:space="preserve"> </v>
      </c>
      <c r="H938">
        <v>937</v>
      </c>
      <c r="I938">
        <v>100938</v>
      </c>
      <c r="J938">
        <v>938</v>
      </c>
      <c r="K938" t="b">
        <f t="shared" si="14"/>
        <v>1</v>
      </c>
      <c r="L938" t="b">
        <f>COUNTBLANK(metadata!B938:D938)=COLUMNS(metadata!B938:D938)</f>
        <v>1</v>
      </c>
      <c r="M938" t="str">
        <v/>
      </c>
      <c r="O938" t="b">
        <f ca="1"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P938" t="b">
        <f>AND(IF(metadata!C938="",FALSE,TRUE),EXACT(metadata!C938,"mouse gut metagenome"))</f>
        <v>0</v>
      </c>
      <c r="Q938" t="b">
        <f>AND(IF(metadata!D938="",FALSE,TRUE),EXACT(metadata!D938,"410661"))</f>
        <v>0</v>
      </c>
    </row>
    <row r="939" spans="1:17" x14ac:dyDescent="0.2">
      <c r="A939" s="4" t="str">
        <f ca="1">IF(B939=" "," ",HYPERLINK(CONCATENATE("#metadata!",ADDRESS(INDEX($J$2:$J$1001,MATCH(ROWS($H$2:H939),$H$2:$H$1001,0),0),1)),INDEX($M$2:$M$1001,MATCH(ROWS($H$2:H939),$H$2:$H$1001,0),0)))</f>
        <v xml:space="preserve"> </v>
      </c>
      <c r="B939" s="3" t="str">
        <f ca="1">IF(OR(INDEX($I$2:$I$1001,MATCH(ROWS($H$2:H939),$H$2:$H$1001,0),1)&gt;=100000,INDEX($O$1005:$Q$1005,1,MATCH(COLUMNS($O$1006:O1006),$O$1006:$Q$1006,0))&gt;=100000), " ",IF(INDEX($O$2:$Q$1001,MATCH(ROWS($H$2:H939),$H$2:$H$1001,0),MATCH(COLUMNS($O$1006:O1006),$O$1006:$Q$1006,0)), HYPERLINK("#",""), HYPERLINK(CONCATENATE("#metadata!", ADDRESS(INDEX($J$2:$J$1001,MATCH(ROWS($H$2:H939),$H$2:$H$1001,0),0), INDEX($O$1004:$Q$1004,1,MATCH(COLUMNS($O$1006:O1006),$O$1006:$Q$1006,0)))),"Fix")))</f>
        <v xml:space="preserve"> </v>
      </c>
      <c r="C939" s="3" t="str">
        <f ca="1">IF(OR(INDEX($I$2:$I$1001,MATCH(ROWS($H$2:H939),$H$2:$H$1001,0),1)&gt;=100000,INDEX($O$1005:$Q$1005,1,MATCH(COLUMNS($O$1006:P1006),$O$1006:$Q$1006,0))&gt;=100000), " ",IF(INDEX($O$2:$Q$1001,MATCH(ROWS($H$2:H939),$H$2:$H$1001,0),MATCH(COLUMNS($O$1006:P1006),$O$1006:$Q$1006,0)), HYPERLINK("#",""), HYPERLINK(CONCATENATE("#metadata!", ADDRESS(INDEX($J$2:$J$1001,MATCH(ROWS($H$2:H939),$H$2:$H$1001,0),0), INDEX($O$1004:$Q$1004,1,MATCH(COLUMNS($O$1006:P1006),$O$1006:$Q$1006,0)))),"Fix")))</f>
        <v xml:space="preserve"> </v>
      </c>
      <c r="D939" s="3" t="str">
        <f ca="1">IF(OR(INDEX($I$2:$I$1001,MATCH(ROWS($H$2:H939),$H$2:$H$1001,0),1)&gt;=100000,INDEX($O$1005:$Q$1005,1,MATCH(COLUMNS($O$1006:Q1006),$O$1006:$Q$1006,0))&gt;=100000), " ",IF(INDEX($O$2:$Q$1001,MATCH(ROWS($H$2:H939),$H$2:$H$1001,0),MATCH(COLUMNS($O$1006:Q1006),$O$1006:$Q$1006,0)), HYPERLINK("#",""), HYPERLINK(CONCATENATE("#metadata!", ADDRESS(INDEX($J$2:$J$1001,MATCH(ROWS($H$2:H939),$H$2:$H$1001,0),0), INDEX($O$1004:$Q$1004,1,MATCH(COLUMNS($O$1006:Q1006),$O$1006:$Q$1006,0)))),"Fix")))</f>
        <v xml:space="preserve"> </v>
      </c>
      <c r="H939">
        <v>938</v>
      </c>
      <c r="I939">
        <v>100939</v>
      </c>
      <c r="J939">
        <v>939</v>
      </c>
      <c r="K939" t="b">
        <f t="shared" si="14"/>
        <v>1</v>
      </c>
      <c r="L939" t="b">
        <f>COUNTBLANK(metadata!B939:D939)=COLUMNS(metadata!B939:D939)</f>
        <v>1</v>
      </c>
      <c r="M939" t="str">
        <v/>
      </c>
      <c r="O939" t="b">
        <f ca="1"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P939" t="b">
        <f>AND(IF(metadata!C939="",FALSE,TRUE),EXACT(metadata!C939,"mouse gut metagenome"))</f>
        <v>0</v>
      </c>
      <c r="Q939" t="b">
        <f>AND(IF(metadata!D939="",FALSE,TRUE),EXACT(metadata!D939,"410661"))</f>
        <v>0</v>
      </c>
    </row>
    <row r="940" spans="1:17" x14ac:dyDescent="0.2">
      <c r="A940" s="4" t="str">
        <f ca="1">IF(B940=" "," ",HYPERLINK(CONCATENATE("#metadata!",ADDRESS(INDEX($J$2:$J$1001,MATCH(ROWS($H$2:H940),$H$2:$H$1001,0),0),1)),INDEX($M$2:$M$1001,MATCH(ROWS($H$2:H940),$H$2:$H$1001,0),0)))</f>
        <v xml:space="preserve"> </v>
      </c>
      <c r="B940" s="3" t="str">
        <f ca="1">IF(OR(INDEX($I$2:$I$1001,MATCH(ROWS($H$2:H940),$H$2:$H$1001,0),1)&gt;=100000,INDEX($O$1005:$Q$1005,1,MATCH(COLUMNS($O$1006:O1006),$O$1006:$Q$1006,0))&gt;=100000), " ",IF(INDEX($O$2:$Q$1001,MATCH(ROWS($H$2:H940),$H$2:$H$1001,0),MATCH(COLUMNS($O$1006:O1006),$O$1006:$Q$1006,0)), HYPERLINK("#",""), HYPERLINK(CONCATENATE("#metadata!", ADDRESS(INDEX($J$2:$J$1001,MATCH(ROWS($H$2:H940),$H$2:$H$1001,0),0), INDEX($O$1004:$Q$1004,1,MATCH(COLUMNS($O$1006:O1006),$O$1006:$Q$1006,0)))),"Fix")))</f>
        <v xml:space="preserve"> </v>
      </c>
      <c r="C940" s="3" t="str">
        <f ca="1">IF(OR(INDEX($I$2:$I$1001,MATCH(ROWS($H$2:H940),$H$2:$H$1001,0),1)&gt;=100000,INDEX($O$1005:$Q$1005,1,MATCH(COLUMNS($O$1006:P1006),$O$1006:$Q$1006,0))&gt;=100000), " ",IF(INDEX($O$2:$Q$1001,MATCH(ROWS($H$2:H940),$H$2:$H$1001,0),MATCH(COLUMNS($O$1006:P1006),$O$1006:$Q$1006,0)), HYPERLINK("#",""), HYPERLINK(CONCATENATE("#metadata!", ADDRESS(INDEX($J$2:$J$1001,MATCH(ROWS($H$2:H940),$H$2:$H$1001,0),0), INDEX($O$1004:$Q$1004,1,MATCH(COLUMNS($O$1006:P1006),$O$1006:$Q$1006,0)))),"Fix")))</f>
        <v xml:space="preserve"> </v>
      </c>
      <c r="D940" s="3" t="str">
        <f ca="1">IF(OR(INDEX($I$2:$I$1001,MATCH(ROWS($H$2:H940),$H$2:$H$1001,0),1)&gt;=100000,INDEX($O$1005:$Q$1005,1,MATCH(COLUMNS($O$1006:Q1006),$O$1006:$Q$1006,0))&gt;=100000), " ",IF(INDEX($O$2:$Q$1001,MATCH(ROWS($H$2:H940),$H$2:$H$1001,0),MATCH(COLUMNS($O$1006:Q1006),$O$1006:$Q$1006,0)), HYPERLINK("#",""), HYPERLINK(CONCATENATE("#metadata!", ADDRESS(INDEX($J$2:$J$1001,MATCH(ROWS($H$2:H940),$H$2:$H$1001,0),0), INDEX($O$1004:$Q$1004,1,MATCH(COLUMNS($O$1006:Q1006),$O$1006:$Q$1006,0)))),"Fix")))</f>
        <v xml:space="preserve"> </v>
      </c>
      <c r="H940">
        <v>939</v>
      </c>
      <c r="I940">
        <v>100940</v>
      </c>
      <c r="J940">
        <v>940</v>
      </c>
      <c r="K940" t="b">
        <f t="shared" si="14"/>
        <v>1</v>
      </c>
      <c r="L940" t="b">
        <f>COUNTBLANK(metadata!B940:D940)=COLUMNS(metadata!B940:D940)</f>
        <v>1</v>
      </c>
      <c r="M940" t="str">
        <v/>
      </c>
      <c r="O940" t="b">
        <f ca="1"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P940" t="b">
        <f>AND(IF(metadata!C940="",FALSE,TRUE),EXACT(metadata!C940,"mouse gut metagenome"))</f>
        <v>0</v>
      </c>
      <c r="Q940" t="b">
        <f>AND(IF(metadata!D940="",FALSE,TRUE),EXACT(metadata!D940,"410661"))</f>
        <v>0</v>
      </c>
    </row>
    <row r="941" spans="1:17" x14ac:dyDescent="0.2">
      <c r="A941" s="4" t="str">
        <f ca="1">IF(B941=" "," ",HYPERLINK(CONCATENATE("#metadata!",ADDRESS(INDEX($J$2:$J$1001,MATCH(ROWS($H$2:H941),$H$2:$H$1001,0),0),1)),INDEX($M$2:$M$1001,MATCH(ROWS($H$2:H941),$H$2:$H$1001,0),0)))</f>
        <v xml:space="preserve"> </v>
      </c>
      <c r="B941" s="3" t="str">
        <f ca="1">IF(OR(INDEX($I$2:$I$1001,MATCH(ROWS($H$2:H941),$H$2:$H$1001,0),1)&gt;=100000,INDEX($O$1005:$Q$1005,1,MATCH(COLUMNS($O$1006:O1006),$O$1006:$Q$1006,0))&gt;=100000), " ",IF(INDEX($O$2:$Q$1001,MATCH(ROWS($H$2:H941),$H$2:$H$1001,0),MATCH(COLUMNS($O$1006:O1006),$O$1006:$Q$1006,0)), HYPERLINK("#",""), HYPERLINK(CONCATENATE("#metadata!", ADDRESS(INDEX($J$2:$J$1001,MATCH(ROWS($H$2:H941),$H$2:$H$1001,0),0), INDEX($O$1004:$Q$1004,1,MATCH(COLUMNS($O$1006:O1006),$O$1006:$Q$1006,0)))),"Fix")))</f>
        <v xml:space="preserve"> </v>
      </c>
      <c r="C941" s="3" t="str">
        <f ca="1">IF(OR(INDEX($I$2:$I$1001,MATCH(ROWS($H$2:H941),$H$2:$H$1001,0),1)&gt;=100000,INDEX($O$1005:$Q$1005,1,MATCH(COLUMNS($O$1006:P1006),$O$1006:$Q$1006,0))&gt;=100000), " ",IF(INDEX($O$2:$Q$1001,MATCH(ROWS($H$2:H941),$H$2:$H$1001,0),MATCH(COLUMNS($O$1006:P1006),$O$1006:$Q$1006,0)), HYPERLINK("#",""), HYPERLINK(CONCATENATE("#metadata!", ADDRESS(INDEX($J$2:$J$1001,MATCH(ROWS($H$2:H941),$H$2:$H$1001,0),0), INDEX($O$1004:$Q$1004,1,MATCH(COLUMNS($O$1006:P1006),$O$1006:$Q$1006,0)))),"Fix")))</f>
        <v xml:space="preserve"> </v>
      </c>
      <c r="D941" s="3" t="str">
        <f ca="1">IF(OR(INDEX($I$2:$I$1001,MATCH(ROWS($H$2:H941),$H$2:$H$1001,0),1)&gt;=100000,INDEX($O$1005:$Q$1005,1,MATCH(COLUMNS($O$1006:Q1006),$O$1006:$Q$1006,0))&gt;=100000), " ",IF(INDEX($O$2:$Q$1001,MATCH(ROWS($H$2:H941),$H$2:$H$1001,0),MATCH(COLUMNS($O$1006:Q1006),$O$1006:$Q$1006,0)), HYPERLINK("#",""), HYPERLINK(CONCATENATE("#metadata!", ADDRESS(INDEX($J$2:$J$1001,MATCH(ROWS($H$2:H941),$H$2:$H$1001,0),0), INDEX($O$1004:$Q$1004,1,MATCH(COLUMNS($O$1006:Q1006),$O$1006:$Q$1006,0)))),"Fix")))</f>
        <v xml:space="preserve"> </v>
      </c>
      <c r="H941">
        <v>940</v>
      </c>
      <c r="I941">
        <v>100941</v>
      </c>
      <c r="J941">
        <v>941</v>
      </c>
      <c r="K941" t="b">
        <f t="shared" si="14"/>
        <v>1</v>
      </c>
      <c r="L941" t="b">
        <f>COUNTBLANK(metadata!B941:D941)=COLUMNS(metadata!B941:D941)</f>
        <v>1</v>
      </c>
      <c r="M941" t="str">
        <v/>
      </c>
      <c r="O941" t="b">
        <f ca="1"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P941" t="b">
        <f>AND(IF(metadata!C941="",FALSE,TRUE),EXACT(metadata!C941,"mouse gut metagenome"))</f>
        <v>0</v>
      </c>
      <c r="Q941" t="b">
        <f>AND(IF(metadata!D941="",FALSE,TRUE),EXACT(metadata!D941,"410661"))</f>
        <v>0</v>
      </c>
    </row>
    <row r="942" spans="1:17" x14ac:dyDescent="0.2">
      <c r="A942" s="4" t="str">
        <f ca="1">IF(B942=" "," ",HYPERLINK(CONCATENATE("#metadata!",ADDRESS(INDEX($J$2:$J$1001,MATCH(ROWS($H$2:H942),$H$2:$H$1001,0),0),1)),INDEX($M$2:$M$1001,MATCH(ROWS($H$2:H942),$H$2:$H$1001,0),0)))</f>
        <v xml:space="preserve"> </v>
      </c>
      <c r="B942" s="3" t="str">
        <f ca="1">IF(OR(INDEX($I$2:$I$1001,MATCH(ROWS($H$2:H942),$H$2:$H$1001,0),1)&gt;=100000,INDEX($O$1005:$Q$1005,1,MATCH(COLUMNS($O$1006:O1006),$O$1006:$Q$1006,0))&gt;=100000), " ",IF(INDEX($O$2:$Q$1001,MATCH(ROWS($H$2:H942),$H$2:$H$1001,0),MATCH(COLUMNS($O$1006:O1006),$O$1006:$Q$1006,0)), HYPERLINK("#",""), HYPERLINK(CONCATENATE("#metadata!", ADDRESS(INDEX($J$2:$J$1001,MATCH(ROWS($H$2:H942),$H$2:$H$1001,0),0), INDEX($O$1004:$Q$1004,1,MATCH(COLUMNS($O$1006:O1006),$O$1006:$Q$1006,0)))),"Fix")))</f>
        <v xml:space="preserve"> </v>
      </c>
      <c r="C942" s="3" t="str">
        <f ca="1">IF(OR(INDEX($I$2:$I$1001,MATCH(ROWS($H$2:H942),$H$2:$H$1001,0),1)&gt;=100000,INDEX($O$1005:$Q$1005,1,MATCH(COLUMNS($O$1006:P1006),$O$1006:$Q$1006,0))&gt;=100000), " ",IF(INDEX($O$2:$Q$1001,MATCH(ROWS($H$2:H942),$H$2:$H$1001,0),MATCH(COLUMNS($O$1006:P1006),$O$1006:$Q$1006,0)), HYPERLINK("#",""), HYPERLINK(CONCATENATE("#metadata!", ADDRESS(INDEX($J$2:$J$1001,MATCH(ROWS($H$2:H942),$H$2:$H$1001,0),0), INDEX($O$1004:$Q$1004,1,MATCH(COLUMNS($O$1006:P1006),$O$1006:$Q$1006,0)))),"Fix")))</f>
        <v xml:space="preserve"> </v>
      </c>
      <c r="D942" s="3" t="str">
        <f ca="1">IF(OR(INDEX($I$2:$I$1001,MATCH(ROWS($H$2:H942),$H$2:$H$1001,0),1)&gt;=100000,INDEX($O$1005:$Q$1005,1,MATCH(COLUMNS($O$1006:Q1006),$O$1006:$Q$1006,0))&gt;=100000), " ",IF(INDEX($O$2:$Q$1001,MATCH(ROWS($H$2:H942),$H$2:$H$1001,0),MATCH(COLUMNS($O$1006:Q1006),$O$1006:$Q$1006,0)), HYPERLINK("#",""), HYPERLINK(CONCATENATE("#metadata!", ADDRESS(INDEX($J$2:$J$1001,MATCH(ROWS($H$2:H942),$H$2:$H$1001,0),0), INDEX($O$1004:$Q$1004,1,MATCH(COLUMNS($O$1006:Q1006),$O$1006:$Q$1006,0)))),"Fix")))</f>
        <v xml:space="preserve"> </v>
      </c>
      <c r="H942">
        <v>941</v>
      </c>
      <c r="I942">
        <v>100942</v>
      </c>
      <c r="J942">
        <v>942</v>
      </c>
      <c r="K942" t="b">
        <f t="shared" si="14"/>
        <v>1</v>
      </c>
      <c r="L942" t="b">
        <f>COUNTBLANK(metadata!B942:D942)=COLUMNS(metadata!B942:D942)</f>
        <v>1</v>
      </c>
      <c r="M942" t="str">
        <v/>
      </c>
      <c r="O942" t="b">
        <f ca="1"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P942" t="b">
        <f>AND(IF(metadata!C942="",FALSE,TRUE),EXACT(metadata!C942,"mouse gut metagenome"))</f>
        <v>0</v>
      </c>
      <c r="Q942" t="b">
        <f>AND(IF(metadata!D942="",FALSE,TRUE),EXACT(metadata!D942,"410661"))</f>
        <v>0</v>
      </c>
    </row>
    <row r="943" spans="1:17" x14ac:dyDescent="0.2">
      <c r="A943" s="4" t="str">
        <f ca="1">IF(B943=" "," ",HYPERLINK(CONCATENATE("#metadata!",ADDRESS(INDEX($J$2:$J$1001,MATCH(ROWS($H$2:H943),$H$2:$H$1001,0),0),1)),INDEX($M$2:$M$1001,MATCH(ROWS($H$2:H943),$H$2:$H$1001,0),0)))</f>
        <v xml:space="preserve"> </v>
      </c>
      <c r="B943" s="3" t="str">
        <f ca="1">IF(OR(INDEX($I$2:$I$1001,MATCH(ROWS($H$2:H943),$H$2:$H$1001,0),1)&gt;=100000,INDEX($O$1005:$Q$1005,1,MATCH(COLUMNS($O$1006:O1006),$O$1006:$Q$1006,0))&gt;=100000), " ",IF(INDEX($O$2:$Q$1001,MATCH(ROWS($H$2:H943),$H$2:$H$1001,0),MATCH(COLUMNS($O$1006:O1006),$O$1006:$Q$1006,0)), HYPERLINK("#",""), HYPERLINK(CONCATENATE("#metadata!", ADDRESS(INDEX($J$2:$J$1001,MATCH(ROWS($H$2:H943),$H$2:$H$1001,0),0), INDEX($O$1004:$Q$1004,1,MATCH(COLUMNS($O$1006:O1006),$O$1006:$Q$1006,0)))),"Fix")))</f>
        <v xml:space="preserve"> </v>
      </c>
      <c r="C943" s="3" t="str">
        <f ca="1">IF(OR(INDEX($I$2:$I$1001,MATCH(ROWS($H$2:H943),$H$2:$H$1001,0),1)&gt;=100000,INDEX($O$1005:$Q$1005,1,MATCH(COLUMNS($O$1006:P1006),$O$1006:$Q$1006,0))&gt;=100000), " ",IF(INDEX($O$2:$Q$1001,MATCH(ROWS($H$2:H943),$H$2:$H$1001,0),MATCH(COLUMNS($O$1006:P1006),$O$1006:$Q$1006,0)), HYPERLINK("#",""), HYPERLINK(CONCATENATE("#metadata!", ADDRESS(INDEX($J$2:$J$1001,MATCH(ROWS($H$2:H943),$H$2:$H$1001,0),0), INDEX($O$1004:$Q$1004,1,MATCH(COLUMNS($O$1006:P1006),$O$1006:$Q$1006,0)))),"Fix")))</f>
        <v xml:space="preserve"> </v>
      </c>
      <c r="D943" s="3" t="str">
        <f ca="1">IF(OR(INDEX($I$2:$I$1001,MATCH(ROWS($H$2:H943),$H$2:$H$1001,0),1)&gt;=100000,INDEX($O$1005:$Q$1005,1,MATCH(COLUMNS($O$1006:Q1006),$O$1006:$Q$1006,0))&gt;=100000), " ",IF(INDEX($O$2:$Q$1001,MATCH(ROWS($H$2:H943),$H$2:$H$1001,0),MATCH(COLUMNS($O$1006:Q1006),$O$1006:$Q$1006,0)), HYPERLINK("#",""), HYPERLINK(CONCATENATE("#metadata!", ADDRESS(INDEX($J$2:$J$1001,MATCH(ROWS($H$2:H943),$H$2:$H$1001,0),0), INDEX($O$1004:$Q$1004,1,MATCH(COLUMNS($O$1006:Q1006),$O$1006:$Q$1006,0)))),"Fix")))</f>
        <v xml:space="preserve"> </v>
      </c>
      <c r="H943">
        <v>942</v>
      </c>
      <c r="I943">
        <v>100943</v>
      </c>
      <c r="J943">
        <v>943</v>
      </c>
      <c r="K943" t="b">
        <f t="shared" si="14"/>
        <v>1</v>
      </c>
      <c r="L943" t="b">
        <f>COUNTBLANK(metadata!B943:D943)=COLUMNS(metadata!B943:D943)</f>
        <v>1</v>
      </c>
      <c r="M943" t="str">
        <v/>
      </c>
      <c r="O943" t="b">
        <f ca="1"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P943" t="b">
        <f>AND(IF(metadata!C943="",FALSE,TRUE),EXACT(metadata!C943,"mouse gut metagenome"))</f>
        <v>0</v>
      </c>
      <c r="Q943" t="b">
        <f>AND(IF(metadata!D943="",FALSE,TRUE),EXACT(metadata!D943,"410661"))</f>
        <v>0</v>
      </c>
    </row>
    <row r="944" spans="1:17" x14ac:dyDescent="0.2">
      <c r="A944" s="4" t="str">
        <f ca="1">IF(B944=" "," ",HYPERLINK(CONCATENATE("#metadata!",ADDRESS(INDEX($J$2:$J$1001,MATCH(ROWS($H$2:H944),$H$2:$H$1001,0),0),1)),INDEX($M$2:$M$1001,MATCH(ROWS($H$2:H944),$H$2:$H$1001,0),0)))</f>
        <v xml:space="preserve"> </v>
      </c>
      <c r="B944" s="3" t="str">
        <f ca="1">IF(OR(INDEX($I$2:$I$1001,MATCH(ROWS($H$2:H944),$H$2:$H$1001,0),1)&gt;=100000,INDEX($O$1005:$Q$1005,1,MATCH(COLUMNS($O$1006:O1006),$O$1006:$Q$1006,0))&gt;=100000), " ",IF(INDEX($O$2:$Q$1001,MATCH(ROWS($H$2:H944),$H$2:$H$1001,0),MATCH(COLUMNS($O$1006:O1006),$O$1006:$Q$1006,0)), HYPERLINK("#",""), HYPERLINK(CONCATENATE("#metadata!", ADDRESS(INDEX($J$2:$J$1001,MATCH(ROWS($H$2:H944),$H$2:$H$1001,0),0), INDEX($O$1004:$Q$1004,1,MATCH(COLUMNS($O$1006:O1006),$O$1006:$Q$1006,0)))),"Fix")))</f>
        <v xml:space="preserve"> </v>
      </c>
      <c r="C944" s="3" t="str">
        <f ca="1">IF(OR(INDEX($I$2:$I$1001,MATCH(ROWS($H$2:H944),$H$2:$H$1001,0),1)&gt;=100000,INDEX($O$1005:$Q$1005,1,MATCH(COLUMNS($O$1006:P1006),$O$1006:$Q$1006,0))&gt;=100000), " ",IF(INDEX($O$2:$Q$1001,MATCH(ROWS($H$2:H944),$H$2:$H$1001,0),MATCH(COLUMNS($O$1006:P1006),$O$1006:$Q$1006,0)), HYPERLINK("#",""), HYPERLINK(CONCATENATE("#metadata!", ADDRESS(INDEX($J$2:$J$1001,MATCH(ROWS($H$2:H944),$H$2:$H$1001,0),0), INDEX($O$1004:$Q$1004,1,MATCH(COLUMNS($O$1006:P1006),$O$1006:$Q$1006,0)))),"Fix")))</f>
        <v xml:space="preserve"> </v>
      </c>
      <c r="D944" s="3" t="str">
        <f ca="1">IF(OR(INDEX($I$2:$I$1001,MATCH(ROWS($H$2:H944),$H$2:$H$1001,0),1)&gt;=100000,INDEX($O$1005:$Q$1005,1,MATCH(COLUMNS($O$1006:Q1006),$O$1006:$Q$1006,0))&gt;=100000), " ",IF(INDEX($O$2:$Q$1001,MATCH(ROWS($H$2:H944),$H$2:$H$1001,0),MATCH(COLUMNS($O$1006:Q1006),$O$1006:$Q$1006,0)), HYPERLINK("#",""), HYPERLINK(CONCATENATE("#metadata!", ADDRESS(INDEX($J$2:$J$1001,MATCH(ROWS($H$2:H944),$H$2:$H$1001,0),0), INDEX($O$1004:$Q$1004,1,MATCH(COLUMNS($O$1006:Q1006),$O$1006:$Q$1006,0)))),"Fix")))</f>
        <v xml:space="preserve"> </v>
      </c>
      <c r="H944">
        <v>943</v>
      </c>
      <c r="I944">
        <v>100944</v>
      </c>
      <c r="J944">
        <v>944</v>
      </c>
      <c r="K944" t="b">
        <f t="shared" si="14"/>
        <v>1</v>
      </c>
      <c r="L944" t="b">
        <f>COUNTBLANK(metadata!B944:D944)=COLUMNS(metadata!B944:D944)</f>
        <v>1</v>
      </c>
      <c r="M944" t="str">
        <v/>
      </c>
      <c r="O944" t="b">
        <f ca="1"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P944" t="b">
        <f>AND(IF(metadata!C944="",FALSE,TRUE),EXACT(metadata!C944,"mouse gut metagenome"))</f>
        <v>0</v>
      </c>
      <c r="Q944" t="b">
        <f>AND(IF(metadata!D944="",FALSE,TRUE),EXACT(metadata!D944,"410661"))</f>
        <v>0</v>
      </c>
    </row>
    <row r="945" spans="1:17" x14ac:dyDescent="0.2">
      <c r="A945" s="4" t="str">
        <f ca="1">IF(B945=" "," ",HYPERLINK(CONCATENATE("#metadata!",ADDRESS(INDEX($J$2:$J$1001,MATCH(ROWS($H$2:H945),$H$2:$H$1001,0),0),1)),INDEX($M$2:$M$1001,MATCH(ROWS($H$2:H945),$H$2:$H$1001,0),0)))</f>
        <v xml:space="preserve"> </v>
      </c>
      <c r="B945" s="3" t="str">
        <f ca="1">IF(OR(INDEX($I$2:$I$1001,MATCH(ROWS($H$2:H945),$H$2:$H$1001,0),1)&gt;=100000,INDEX($O$1005:$Q$1005,1,MATCH(COLUMNS($O$1006:O1006),$O$1006:$Q$1006,0))&gt;=100000), " ",IF(INDEX($O$2:$Q$1001,MATCH(ROWS($H$2:H945),$H$2:$H$1001,0),MATCH(COLUMNS($O$1006:O1006),$O$1006:$Q$1006,0)), HYPERLINK("#",""), HYPERLINK(CONCATENATE("#metadata!", ADDRESS(INDEX($J$2:$J$1001,MATCH(ROWS($H$2:H945),$H$2:$H$1001,0),0), INDEX($O$1004:$Q$1004,1,MATCH(COLUMNS($O$1006:O1006),$O$1006:$Q$1006,0)))),"Fix")))</f>
        <v xml:space="preserve"> </v>
      </c>
      <c r="C945" s="3" t="str">
        <f ca="1">IF(OR(INDEX($I$2:$I$1001,MATCH(ROWS($H$2:H945),$H$2:$H$1001,0),1)&gt;=100000,INDEX($O$1005:$Q$1005,1,MATCH(COLUMNS($O$1006:P1006),$O$1006:$Q$1006,0))&gt;=100000), " ",IF(INDEX($O$2:$Q$1001,MATCH(ROWS($H$2:H945),$H$2:$H$1001,0),MATCH(COLUMNS($O$1006:P1006),$O$1006:$Q$1006,0)), HYPERLINK("#",""), HYPERLINK(CONCATENATE("#metadata!", ADDRESS(INDEX($J$2:$J$1001,MATCH(ROWS($H$2:H945),$H$2:$H$1001,0),0), INDEX($O$1004:$Q$1004,1,MATCH(COLUMNS($O$1006:P1006),$O$1006:$Q$1006,0)))),"Fix")))</f>
        <v xml:space="preserve"> </v>
      </c>
      <c r="D945" s="3" t="str">
        <f ca="1">IF(OR(INDEX($I$2:$I$1001,MATCH(ROWS($H$2:H945),$H$2:$H$1001,0),1)&gt;=100000,INDEX($O$1005:$Q$1005,1,MATCH(COLUMNS($O$1006:Q1006),$O$1006:$Q$1006,0))&gt;=100000), " ",IF(INDEX($O$2:$Q$1001,MATCH(ROWS($H$2:H945),$H$2:$H$1001,0),MATCH(COLUMNS($O$1006:Q1006),$O$1006:$Q$1006,0)), HYPERLINK("#",""), HYPERLINK(CONCATENATE("#metadata!", ADDRESS(INDEX($J$2:$J$1001,MATCH(ROWS($H$2:H945),$H$2:$H$1001,0),0), INDEX($O$1004:$Q$1004,1,MATCH(COLUMNS($O$1006:Q1006),$O$1006:$Q$1006,0)))),"Fix")))</f>
        <v xml:space="preserve"> </v>
      </c>
      <c r="H945">
        <v>944</v>
      </c>
      <c r="I945">
        <v>100945</v>
      </c>
      <c r="J945">
        <v>945</v>
      </c>
      <c r="K945" t="b">
        <f t="shared" si="14"/>
        <v>1</v>
      </c>
      <c r="L945" t="b">
        <f>COUNTBLANK(metadata!B945:D945)=COLUMNS(metadata!B945:D945)</f>
        <v>1</v>
      </c>
      <c r="M945" t="str">
        <v/>
      </c>
      <c r="O945" t="b">
        <f ca="1"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P945" t="b">
        <f>AND(IF(metadata!C945="",FALSE,TRUE),EXACT(metadata!C945,"mouse gut metagenome"))</f>
        <v>0</v>
      </c>
      <c r="Q945" t="b">
        <f>AND(IF(metadata!D945="",FALSE,TRUE),EXACT(metadata!D945,"410661"))</f>
        <v>0</v>
      </c>
    </row>
    <row r="946" spans="1:17" x14ac:dyDescent="0.2">
      <c r="A946" s="4" t="str">
        <f ca="1">IF(B946=" "," ",HYPERLINK(CONCATENATE("#metadata!",ADDRESS(INDEX($J$2:$J$1001,MATCH(ROWS($H$2:H946),$H$2:$H$1001,0),0),1)),INDEX($M$2:$M$1001,MATCH(ROWS($H$2:H946),$H$2:$H$1001,0),0)))</f>
        <v xml:space="preserve"> </v>
      </c>
      <c r="B946" s="3" t="str">
        <f ca="1">IF(OR(INDEX($I$2:$I$1001,MATCH(ROWS($H$2:H946),$H$2:$H$1001,0),1)&gt;=100000,INDEX($O$1005:$Q$1005,1,MATCH(COLUMNS($O$1006:O1006),$O$1006:$Q$1006,0))&gt;=100000), " ",IF(INDEX($O$2:$Q$1001,MATCH(ROWS($H$2:H946),$H$2:$H$1001,0),MATCH(COLUMNS($O$1006:O1006),$O$1006:$Q$1006,0)), HYPERLINK("#",""), HYPERLINK(CONCATENATE("#metadata!", ADDRESS(INDEX($J$2:$J$1001,MATCH(ROWS($H$2:H946),$H$2:$H$1001,0),0), INDEX($O$1004:$Q$1004,1,MATCH(COLUMNS($O$1006:O1006),$O$1006:$Q$1006,0)))),"Fix")))</f>
        <v xml:space="preserve"> </v>
      </c>
      <c r="C946" s="3" t="str">
        <f ca="1">IF(OR(INDEX($I$2:$I$1001,MATCH(ROWS($H$2:H946),$H$2:$H$1001,0),1)&gt;=100000,INDEX($O$1005:$Q$1005,1,MATCH(COLUMNS($O$1006:P1006),$O$1006:$Q$1006,0))&gt;=100000), " ",IF(INDEX($O$2:$Q$1001,MATCH(ROWS($H$2:H946),$H$2:$H$1001,0),MATCH(COLUMNS($O$1006:P1006),$O$1006:$Q$1006,0)), HYPERLINK("#",""), HYPERLINK(CONCATENATE("#metadata!", ADDRESS(INDEX($J$2:$J$1001,MATCH(ROWS($H$2:H946),$H$2:$H$1001,0),0), INDEX($O$1004:$Q$1004,1,MATCH(COLUMNS($O$1006:P1006),$O$1006:$Q$1006,0)))),"Fix")))</f>
        <v xml:space="preserve"> </v>
      </c>
      <c r="D946" s="3" t="str">
        <f ca="1">IF(OR(INDEX($I$2:$I$1001,MATCH(ROWS($H$2:H946),$H$2:$H$1001,0),1)&gt;=100000,INDEX($O$1005:$Q$1005,1,MATCH(COLUMNS($O$1006:Q1006),$O$1006:$Q$1006,0))&gt;=100000), " ",IF(INDEX($O$2:$Q$1001,MATCH(ROWS($H$2:H946),$H$2:$H$1001,0),MATCH(COLUMNS($O$1006:Q1006),$O$1006:$Q$1006,0)), HYPERLINK("#",""), HYPERLINK(CONCATENATE("#metadata!", ADDRESS(INDEX($J$2:$J$1001,MATCH(ROWS($H$2:H946),$H$2:$H$1001,0),0), INDEX($O$1004:$Q$1004,1,MATCH(COLUMNS($O$1006:Q1006),$O$1006:$Q$1006,0)))),"Fix")))</f>
        <v xml:space="preserve"> </v>
      </c>
      <c r="H946">
        <v>945</v>
      </c>
      <c r="I946">
        <v>100946</v>
      </c>
      <c r="J946">
        <v>946</v>
      </c>
      <c r="K946" t="b">
        <f t="shared" si="14"/>
        <v>1</v>
      </c>
      <c r="L946" t="b">
        <f>COUNTBLANK(metadata!B946:D946)=COLUMNS(metadata!B946:D946)</f>
        <v>1</v>
      </c>
      <c r="M946" t="str">
        <v/>
      </c>
      <c r="O946" t="b">
        <f ca="1"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P946" t="b">
        <f>AND(IF(metadata!C946="",FALSE,TRUE),EXACT(metadata!C946,"mouse gut metagenome"))</f>
        <v>0</v>
      </c>
      <c r="Q946" t="b">
        <f>AND(IF(metadata!D946="",FALSE,TRUE),EXACT(metadata!D946,"410661"))</f>
        <v>0</v>
      </c>
    </row>
    <row r="947" spans="1:17" x14ac:dyDescent="0.2">
      <c r="A947" s="4" t="str">
        <f ca="1">IF(B947=" "," ",HYPERLINK(CONCATENATE("#metadata!",ADDRESS(INDEX($J$2:$J$1001,MATCH(ROWS($H$2:H947),$H$2:$H$1001,0),0),1)),INDEX($M$2:$M$1001,MATCH(ROWS($H$2:H947),$H$2:$H$1001,0),0)))</f>
        <v xml:space="preserve"> </v>
      </c>
      <c r="B947" s="3" t="str">
        <f ca="1">IF(OR(INDEX($I$2:$I$1001,MATCH(ROWS($H$2:H947),$H$2:$H$1001,0),1)&gt;=100000,INDEX($O$1005:$Q$1005,1,MATCH(COLUMNS($O$1006:O1006),$O$1006:$Q$1006,0))&gt;=100000), " ",IF(INDEX($O$2:$Q$1001,MATCH(ROWS($H$2:H947),$H$2:$H$1001,0),MATCH(COLUMNS($O$1006:O1006),$O$1006:$Q$1006,0)), HYPERLINK("#",""), HYPERLINK(CONCATENATE("#metadata!", ADDRESS(INDEX($J$2:$J$1001,MATCH(ROWS($H$2:H947),$H$2:$H$1001,0),0), INDEX($O$1004:$Q$1004,1,MATCH(COLUMNS($O$1006:O1006),$O$1006:$Q$1006,0)))),"Fix")))</f>
        <v xml:space="preserve"> </v>
      </c>
      <c r="C947" s="3" t="str">
        <f ca="1">IF(OR(INDEX($I$2:$I$1001,MATCH(ROWS($H$2:H947),$H$2:$H$1001,0),1)&gt;=100000,INDEX($O$1005:$Q$1005,1,MATCH(COLUMNS($O$1006:P1006),$O$1006:$Q$1006,0))&gt;=100000), " ",IF(INDEX($O$2:$Q$1001,MATCH(ROWS($H$2:H947),$H$2:$H$1001,0),MATCH(COLUMNS($O$1006:P1006),$O$1006:$Q$1006,0)), HYPERLINK("#",""), HYPERLINK(CONCATENATE("#metadata!", ADDRESS(INDEX($J$2:$J$1001,MATCH(ROWS($H$2:H947),$H$2:$H$1001,0),0), INDEX($O$1004:$Q$1004,1,MATCH(COLUMNS($O$1006:P1006),$O$1006:$Q$1006,0)))),"Fix")))</f>
        <v xml:space="preserve"> </v>
      </c>
      <c r="D947" s="3" t="str">
        <f ca="1">IF(OR(INDEX($I$2:$I$1001,MATCH(ROWS($H$2:H947),$H$2:$H$1001,0),1)&gt;=100000,INDEX($O$1005:$Q$1005,1,MATCH(COLUMNS($O$1006:Q1006),$O$1006:$Q$1006,0))&gt;=100000), " ",IF(INDEX($O$2:$Q$1001,MATCH(ROWS($H$2:H947),$H$2:$H$1001,0),MATCH(COLUMNS($O$1006:Q1006),$O$1006:$Q$1006,0)), HYPERLINK("#",""), HYPERLINK(CONCATENATE("#metadata!", ADDRESS(INDEX($J$2:$J$1001,MATCH(ROWS($H$2:H947),$H$2:$H$1001,0),0), INDEX($O$1004:$Q$1004,1,MATCH(COLUMNS($O$1006:Q1006),$O$1006:$Q$1006,0)))),"Fix")))</f>
        <v xml:space="preserve"> </v>
      </c>
      <c r="H947">
        <v>946</v>
      </c>
      <c r="I947">
        <v>100947</v>
      </c>
      <c r="J947">
        <v>947</v>
      </c>
      <c r="K947" t="b">
        <f t="shared" si="14"/>
        <v>1</v>
      </c>
      <c r="L947" t="b">
        <f>COUNTBLANK(metadata!B947:D947)=COLUMNS(metadata!B947:D947)</f>
        <v>1</v>
      </c>
      <c r="M947" t="str">
        <v/>
      </c>
      <c r="O947" t="b">
        <f ca="1"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P947" t="b">
        <f>AND(IF(metadata!C947="",FALSE,TRUE),EXACT(metadata!C947,"mouse gut metagenome"))</f>
        <v>0</v>
      </c>
      <c r="Q947" t="b">
        <f>AND(IF(metadata!D947="",FALSE,TRUE),EXACT(metadata!D947,"410661"))</f>
        <v>0</v>
      </c>
    </row>
    <row r="948" spans="1:17" x14ac:dyDescent="0.2">
      <c r="A948" s="4" t="str">
        <f ca="1">IF(B948=" "," ",HYPERLINK(CONCATENATE("#metadata!",ADDRESS(INDEX($J$2:$J$1001,MATCH(ROWS($H$2:H948),$H$2:$H$1001,0),0),1)),INDEX($M$2:$M$1001,MATCH(ROWS($H$2:H948),$H$2:$H$1001,0),0)))</f>
        <v xml:space="preserve"> </v>
      </c>
      <c r="B948" s="3" t="str">
        <f ca="1">IF(OR(INDEX($I$2:$I$1001,MATCH(ROWS($H$2:H948),$H$2:$H$1001,0),1)&gt;=100000,INDEX($O$1005:$Q$1005,1,MATCH(COLUMNS($O$1006:O1006),$O$1006:$Q$1006,0))&gt;=100000), " ",IF(INDEX($O$2:$Q$1001,MATCH(ROWS($H$2:H948),$H$2:$H$1001,0),MATCH(COLUMNS($O$1006:O1006),$O$1006:$Q$1006,0)), HYPERLINK("#",""), HYPERLINK(CONCATENATE("#metadata!", ADDRESS(INDEX($J$2:$J$1001,MATCH(ROWS($H$2:H948),$H$2:$H$1001,0),0), INDEX($O$1004:$Q$1004,1,MATCH(COLUMNS($O$1006:O1006),$O$1006:$Q$1006,0)))),"Fix")))</f>
        <v xml:space="preserve"> </v>
      </c>
      <c r="C948" s="3" t="str">
        <f ca="1">IF(OR(INDEX($I$2:$I$1001,MATCH(ROWS($H$2:H948),$H$2:$H$1001,0),1)&gt;=100000,INDEX($O$1005:$Q$1005,1,MATCH(COLUMNS($O$1006:P1006),$O$1006:$Q$1006,0))&gt;=100000), " ",IF(INDEX($O$2:$Q$1001,MATCH(ROWS($H$2:H948),$H$2:$H$1001,0),MATCH(COLUMNS($O$1006:P1006),$O$1006:$Q$1006,0)), HYPERLINK("#",""), HYPERLINK(CONCATENATE("#metadata!", ADDRESS(INDEX($J$2:$J$1001,MATCH(ROWS($H$2:H948),$H$2:$H$1001,0),0), INDEX($O$1004:$Q$1004,1,MATCH(COLUMNS($O$1006:P1006),$O$1006:$Q$1006,0)))),"Fix")))</f>
        <v xml:space="preserve"> </v>
      </c>
      <c r="D948" s="3" t="str">
        <f ca="1">IF(OR(INDEX($I$2:$I$1001,MATCH(ROWS($H$2:H948),$H$2:$H$1001,0),1)&gt;=100000,INDEX($O$1005:$Q$1005,1,MATCH(COLUMNS($O$1006:Q1006),$O$1006:$Q$1006,0))&gt;=100000), " ",IF(INDEX($O$2:$Q$1001,MATCH(ROWS($H$2:H948),$H$2:$H$1001,0),MATCH(COLUMNS($O$1006:Q1006),$O$1006:$Q$1006,0)), HYPERLINK("#",""), HYPERLINK(CONCATENATE("#metadata!", ADDRESS(INDEX($J$2:$J$1001,MATCH(ROWS($H$2:H948),$H$2:$H$1001,0),0), INDEX($O$1004:$Q$1004,1,MATCH(COLUMNS($O$1006:Q1006),$O$1006:$Q$1006,0)))),"Fix")))</f>
        <v xml:space="preserve"> </v>
      </c>
      <c r="H948">
        <v>947</v>
      </c>
      <c r="I948">
        <v>100948</v>
      </c>
      <c r="J948">
        <v>948</v>
      </c>
      <c r="K948" t="b">
        <f t="shared" si="14"/>
        <v>1</v>
      </c>
      <c r="L948" t="b">
        <f>COUNTBLANK(metadata!B948:D948)=COLUMNS(metadata!B948:D948)</f>
        <v>1</v>
      </c>
      <c r="M948" t="str">
        <v/>
      </c>
      <c r="O948" t="b">
        <f ca="1"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P948" t="b">
        <f>AND(IF(metadata!C948="",FALSE,TRUE),EXACT(metadata!C948,"mouse gut metagenome"))</f>
        <v>0</v>
      </c>
      <c r="Q948" t="b">
        <f>AND(IF(metadata!D948="",FALSE,TRUE),EXACT(metadata!D948,"410661"))</f>
        <v>0</v>
      </c>
    </row>
    <row r="949" spans="1:17" x14ac:dyDescent="0.2">
      <c r="A949" s="4" t="str">
        <f ca="1">IF(B949=" "," ",HYPERLINK(CONCATENATE("#metadata!",ADDRESS(INDEX($J$2:$J$1001,MATCH(ROWS($H$2:H949),$H$2:$H$1001,0),0),1)),INDEX($M$2:$M$1001,MATCH(ROWS($H$2:H949),$H$2:$H$1001,0),0)))</f>
        <v xml:space="preserve"> </v>
      </c>
      <c r="B949" s="3" t="str">
        <f ca="1">IF(OR(INDEX($I$2:$I$1001,MATCH(ROWS($H$2:H949),$H$2:$H$1001,0),1)&gt;=100000,INDEX($O$1005:$Q$1005,1,MATCH(COLUMNS($O$1006:O1006),$O$1006:$Q$1006,0))&gt;=100000), " ",IF(INDEX($O$2:$Q$1001,MATCH(ROWS($H$2:H949),$H$2:$H$1001,0),MATCH(COLUMNS($O$1006:O1006),$O$1006:$Q$1006,0)), HYPERLINK("#",""), HYPERLINK(CONCATENATE("#metadata!", ADDRESS(INDEX($J$2:$J$1001,MATCH(ROWS($H$2:H949),$H$2:$H$1001,0),0), INDEX($O$1004:$Q$1004,1,MATCH(COLUMNS($O$1006:O1006),$O$1006:$Q$1006,0)))),"Fix")))</f>
        <v xml:space="preserve"> </v>
      </c>
      <c r="C949" s="3" t="str">
        <f ca="1">IF(OR(INDEX($I$2:$I$1001,MATCH(ROWS($H$2:H949),$H$2:$H$1001,0),1)&gt;=100000,INDEX($O$1005:$Q$1005,1,MATCH(COLUMNS($O$1006:P1006),$O$1006:$Q$1006,0))&gt;=100000), " ",IF(INDEX($O$2:$Q$1001,MATCH(ROWS($H$2:H949),$H$2:$H$1001,0),MATCH(COLUMNS($O$1006:P1006),$O$1006:$Q$1006,0)), HYPERLINK("#",""), HYPERLINK(CONCATENATE("#metadata!", ADDRESS(INDEX($J$2:$J$1001,MATCH(ROWS($H$2:H949),$H$2:$H$1001,0),0), INDEX($O$1004:$Q$1004,1,MATCH(COLUMNS($O$1006:P1006),$O$1006:$Q$1006,0)))),"Fix")))</f>
        <v xml:space="preserve"> </v>
      </c>
      <c r="D949" s="3" t="str">
        <f ca="1">IF(OR(INDEX($I$2:$I$1001,MATCH(ROWS($H$2:H949),$H$2:$H$1001,0),1)&gt;=100000,INDEX($O$1005:$Q$1005,1,MATCH(COLUMNS($O$1006:Q1006),$O$1006:$Q$1006,0))&gt;=100000), " ",IF(INDEX($O$2:$Q$1001,MATCH(ROWS($H$2:H949),$H$2:$H$1001,0),MATCH(COLUMNS($O$1006:Q1006),$O$1006:$Q$1006,0)), HYPERLINK("#",""), HYPERLINK(CONCATENATE("#metadata!", ADDRESS(INDEX($J$2:$J$1001,MATCH(ROWS($H$2:H949),$H$2:$H$1001,0),0), INDEX($O$1004:$Q$1004,1,MATCH(COLUMNS($O$1006:Q1006),$O$1006:$Q$1006,0)))),"Fix")))</f>
        <v xml:space="preserve"> </v>
      </c>
      <c r="H949">
        <v>948</v>
      </c>
      <c r="I949">
        <v>100949</v>
      </c>
      <c r="J949">
        <v>949</v>
      </c>
      <c r="K949" t="b">
        <f t="shared" si="14"/>
        <v>1</v>
      </c>
      <c r="L949" t="b">
        <f>COUNTBLANK(metadata!B949:D949)=COLUMNS(metadata!B949:D949)</f>
        <v>1</v>
      </c>
      <c r="M949" t="str">
        <v/>
      </c>
      <c r="O949" t="b">
        <f ca="1"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P949" t="b">
        <f>AND(IF(metadata!C949="",FALSE,TRUE),EXACT(metadata!C949,"mouse gut metagenome"))</f>
        <v>0</v>
      </c>
      <c r="Q949" t="b">
        <f>AND(IF(metadata!D949="",FALSE,TRUE),EXACT(metadata!D949,"410661"))</f>
        <v>0</v>
      </c>
    </row>
    <row r="950" spans="1:17" x14ac:dyDescent="0.2">
      <c r="A950" s="4" t="str">
        <f ca="1">IF(B950=" "," ",HYPERLINK(CONCATENATE("#metadata!",ADDRESS(INDEX($J$2:$J$1001,MATCH(ROWS($H$2:H950),$H$2:$H$1001,0),0),1)),INDEX($M$2:$M$1001,MATCH(ROWS($H$2:H950),$H$2:$H$1001,0),0)))</f>
        <v xml:space="preserve"> </v>
      </c>
      <c r="B950" s="3" t="str">
        <f ca="1">IF(OR(INDEX($I$2:$I$1001,MATCH(ROWS($H$2:H950),$H$2:$H$1001,0),1)&gt;=100000,INDEX($O$1005:$Q$1005,1,MATCH(COLUMNS($O$1006:O1006),$O$1006:$Q$1006,0))&gt;=100000), " ",IF(INDEX($O$2:$Q$1001,MATCH(ROWS($H$2:H950),$H$2:$H$1001,0),MATCH(COLUMNS($O$1006:O1006),$O$1006:$Q$1006,0)), HYPERLINK("#",""), HYPERLINK(CONCATENATE("#metadata!", ADDRESS(INDEX($J$2:$J$1001,MATCH(ROWS($H$2:H950),$H$2:$H$1001,0),0), INDEX($O$1004:$Q$1004,1,MATCH(COLUMNS($O$1006:O1006),$O$1006:$Q$1006,0)))),"Fix")))</f>
        <v xml:space="preserve"> </v>
      </c>
      <c r="C950" s="3" t="str">
        <f ca="1">IF(OR(INDEX($I$2:$I$1001,MATCH(ROWS($H$2:H950),$H$2:$H$1001,0),1)&gt;=100000,INDEX($O$1005:$Q$1005,1,MATCH(COLUMNS($O$1006:P1006),$O$1006:$Q$1006,0))&gt;=100000), " ",IF(INDEX($O$2:$Q$1001,MATCH(ROWS($H$2:H950),$H$2:$H$1001,0),MATCH(COLUMNS($O$1006:P1006),$O$1006:$Q$1006,0)), HYPERLINK("#",""), HYPERLINK(CONCATENATE("#metadata!", ADDRESS(INDEX($J$2:$J$1001,MATCH(ROWS($H$2:H950),$H$2:$H$1001,0),0), INDEX($O$1004:$Q$1004,1,MATCH(COLUMNS($O$1006:P1006),$O$1006:$Q$1006,0)))),"Fix")))</f>
        <v xml:space="preserve"> </v>
      </c>
      <c r="D950" s="3" t="str">
        <f ca="1">IF(OR(INDEX($I$2:$I$1001,MATCH(ROWS($H$2:H950),$H$2:$H$1001,0),1)&gt;=100000,INDEX($O$1005:$Q$1005,1,MATCH(COLUMNS($O$1006:Q1006),$O$1006:$Q$1006,0))&gt;=100000), " ",IF(INDEX($O$2:$Q$1001,MATCH(ROWS($H$2:H950),$H$2:$H$1001,0),MATCH(COLUMNS($O$1006:Q1006),$O$1006:$Q$1006,0)), HYPERLINK("#",""), HYPERLINK(CONCATENATE("#metadata!", ADDRESS(INDEX($J$2:$J$1001,MATCH(ROWS($H$2:H950),$H$2:$H$1001,0),0), INDEX($O$1004:$Q$1004,1,MATCH(COLUMNS($O$1006:Q1006),$O$1006:$Q$1006,0)))),"Fix")))</f>
        <v xml:space="preserve"> </v>
      </c>
      <c r="H950">
        <v>949</v>
      </c>
      <c r="I950">
        <v>100950</v>
      </c>
      <c r="J950">
        <v>950</v>
      </c>
      <c r="K950" t="b">
        <f t="shared" si="14"/>
        <v>1</v>
      </c>
      <c r="L950" t="b">
        <f>COUNTBLANK(metadata!B950:D950)=COLUMNS(metadata!B950:D950)</f>
        <v>1</v>
      </c>
      <c r="M950" t="str">
        <v/>
      </c>
      <c r="O950" t="b">
        <f ca="1"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P950" t="b">
        <f>AND(IF(metadata!C950="",FALSE,TRUE),EXACT(metadata!C950,"mouse gut metagenome"))</f>
        <v>0</v>
      </c>
      <c r="Q950" t="b">
        <f>AND(IF(metadata!D950="",FALSE,TRUE),EXACT(metadata!D950,"410661"))</f>
        <v>0</v>
      </c>
    </row>
    <row r="951" spans="1:17" x14ac:dyDescent="0.2">
      <c r="A951" s="4" t="str">
        <f ca="1">IF(B951=" "," ",HYPERLINK(CONCATENATE("#metadata!",ADDRESS(INDEX($J$2:$J$1001,MATCH(ROWS($H$2:H951),$H$2:$H$1001,0),0),1)),INDEX($M$2:$M$1001,MATCH(ROWS($H$2:H951),$H$2:$H$1001,0),0)))</f>
        <v xml:space="preserve"> </v>
      </c>
      <c r="B951" s="3" t="str">
        <f ca="1">IF(OR(INDEX($I$2:$I$1001,MATCH(ROWS($H$2:H951),$H$2:$H$1001,0),1)&gt;=100000,INDEX($O$1005:$Q$1005,1,MATCH(COLUMNS($O$1006:O1006),$O$1006:$Q$1006,0))&gt;=100000), " ",IF(INDEX($O$2:$Q$1001,MATCH(ROWS($H$2:H951),$H$2:$H$1001,0),MATCH(COLUMNS($O$1006:O1006),$O$1006:$Q$1006,0)), HYPERLINK("#",""), HYPERLINK(CONCATENATE("#metadata!", ADDRESS(INDEX($J$2:$J$1001,MATCH(ROWS($H$2:H951),$H$2:$H$1001,0),0), INDEX($O$1004:$Q$1004,1,MATCH(COLUMNS($O$1006:O1006),$O$1006:$Q$1006,0)))),"Fix")))</f>
        <v xml:space="preserve"> </v>
      </c>
      <c r="C951" s="3" t="str">
        <f ca="1">IF(OR(INDEX($I$2:$I$1001,MATCH(ROWS($H$2:H951),$H$2:$H$1001,0),1)&gt;=100000,INDEX($O$1005:$Q$1005,1,MATCH(COLUMNS($O$1006:P1006),$O$1006:$Q$1006,0))&gt;=100000), " ",IF(INDEX($O$2:$Q$1001,MATCH(ROWS($H$2:H951),$H$2:$H$1001,0),MATCH(COLUMNS($O$1006:P1006),$O$1006:$Q$1006,0)), HYPERLINK("#",""), HYPERLINK(CONCATENATE("#metadata!", ADDRESS(INDEX($J$2:$J$1001,MATCH(ROWS($H$2:H951),$H$2:$H$1001,0),0), INDEX($O$1004:$Q$1004,1,MATCH(COLUMNS($O$1006:P1006),$O$1006:$Q$1006,0)))),"Fix")))</f>
        <v xml:space="preserve"> </v>
      </c>
      <c r="D951" s="3" t="str">
        <f ca="1">IF(OR(INDEX($I$2:$I$1001,MATCH(ROWS($H$2:H951),$H$2:$H$1001,0),1)&gt;=100000,INDEX($O$1005:$Q$1005,1,MATCH(COLUMNS($O$1006:Q1006),$O$1006:$Q$1006,0))&gt;=100000), " ",IF(INDEX($O$2:$Q$1001,MATCH(ROWS($H$2:H951),$H$2:$H$1001,0),MATCH(COLUMNS($O$1006:Q1006),$O$1006:$Q$1006,0)), HYPERLINK("#",""), HYPERLINK(CONCATENATE("#metadata!", ADDRESS(INDEX($J$2:$J$1001,MATCH(ROWS($H$2:H951),$H$2:$H$1001,0),0), INDEX($O$1004:$Q$1004,1,MATCH(COLUMNS($O$1006:Q1006),$O$1006:$Q$1006,0)))),"Fix")))</f>
        <v xml:space="preserve"> </v>
      </c>
      <c r="H951">
        <v>950</v>
      </c>
      <c r="I951">
        <v>100951</v>
      </c>
      <c r="J951">
        <v>951</v>
      </c>
      <c r="K951" t="b">
        <f t="shared" si="14"/>
        <v>1</v>
      </c>
      <c r="L951" t="b">
        <f>COUNTBLANK(metadata!B951:D951)=COLUMNS(metadata!B951:D951)</f>
        <v>1</v>
      </c>
      <c r="M951" t="str">
        <v/>
      </c>
      <c r="O951" t="b">
        <f ca="1"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P951" t="b">
        <f>AND(IF(metadata!C951="",FALSE,TRUE),EXACT(metadata!C951,"mouse gut metagenome"))</f>
        <v>0</v>
      </c>
      <c r="Q951" t="b">
        <f>AND(IF(metadata!D951="",FALSE,TRUE),EXACT(metadata!D951,"410661"))</f>
        <v>0</v>
      </c>
    </row>
    <row r="952" spans="1:17" x14ac:dyDescent="0.2">
      <c r="A952" s="4" t="str">
        <f ca="1">IF(B952=" "," ",HYPERLINK(CONCATENATE("#metadata!",ADDRESS(INDEX($J$2:$J$1001,MATCH(ROWS($H$2:H952),$H$2:$H$1001,0),0),1)),INDEX($M$2:$M$1001,MATCH(ROWS($H$2:H952),$H$2:$H$1001,0),0)))</f>
        <v xml:space="preserve"> </v>
      </c>
      <c r="B952" s="3" t="str">
        <f ca="1">IF(OR(INDEX($I$2:$I$1001,MATCH(ROWS($H$2:H952),$H$2:$H$1001,0),1)&gt;=100000,INDEX($O$1005:$Q$1005,1,MATCH(COLUMNS($O$1006:O1006),$O$1006:$Q$1006,0))&gt;=100000), " ",IF(INDEX($O$2:$Q$1001,MATCH(ROWS($H$2:H952),$H$2:$H$1001,0),MATCH(COLUMNS($O$1006:O1006),$O$1006:$Q$1006,0)), HYPERLINK("#",""), HYPERLINK(CONCATENATE("#metadata!", ADDRESS(INDEX($J$2:$J$1001,MATCH(ROWS($H$2:H952),$H$2:$H$1001,0),0), INDEX($O$1004:$Q$1004,1,MATCH(COLUMNS($O$1006:O1006),$O$1006:$Q$1006,0)))),"Fix")))</f>
        <v xml:space="preserve"> </v>
      </c>
      <c r="C952" s="3" t="str">
        <f ca="1">IF(OR(INDEX($I$2:$I$1001,MATCH(ROWS($H$2:H952),$H$2:$H$1001,0),1)&gt;=100000,INDEX($O$1005:$Q$1005,1,MATCH(COLUMNS($O$1006:P1006),$O$1006:$Q$1006,0))&gt;=100000), " ",IF(INDEX($O$2:$Q$1001,MATCH(ROWS($H$2:H952),$H$2:$H$1001,0),MATCH(COLUMNS($O$1006:P1006),$O$1006:$Q$1006,0)), HYPERLINK("#",""), HYPERLINK(CONCATENATE("#metadata!", ADDRESS(INDEX($J$2:$J$1001,MATCH(ROWS($H$2:H952),$H$2:$H$1001,0),0), INDEX($O$1004:$Q$1004,1,MATCH(COLUMNS($O$1006:P1006),$O$1006:$Q$1006,0)))),"Fix")))</f>
        <v xml:space="preserve"> </v>
      </c>
      <c r="D952" s="3" t="str">
        <f ca="1">IF(OR(INDEX($I$2:$I$1001,MATCH(ROWS($H$2:H952),$H$2:$H$1001,0),1)&gt;=100000,INDEX($O$1005:$Q$1005,1,MATCH(COLUMNS($O$1006:Q1006),$O$1006:$Q$1006,0))&gt;=100000), " ",IF(INDEX($O$2:$Q$1001,MATCH(ROWS($H$2:H952),$H$2:$H$1001,0),MATCH(COLUMNS($O$1006:Q1006),$O$1006:$Q$1006,0)), HYPERLINK("#",""), HYPERLINK(CONCATENATE("#metadata!", ADDRESS(INDEX($J$2:$J$1001,MATCH(ROWS($H$2:H952),$H$2:$H$1001,0),0), INDEX($O$1004:$Q$1004,1,MATCH(COLUMNS($O$1006:Q1006),$O$1006:$Q$1006,0)))),"Fix")))</f>
        <v xml:space="preserve"> </v>
      </c>
      <c r="H952">
        <v>951</v>
      </c>
      <c r="I952">
        <v>100952</v>
      </c>
      <c r="J952">
        <v>952</v>
      </c>
      <c r="K952" t="b">
        <f t="shared" si="14"/>
        <v>1</v>
      </c>
      <c r="L952" t="b">
        <f>COUNTBLANK(metadata!B952:D952)=COLUMNS(metadata!B952:D952)</f>
        <v>1</v>
      </c>
      <c r="M952" t="str">
        <v/>
      </c>
      <c r="O952" t="b">
        <f ca="1"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P952" t="b">
        <f>AND(IF(metadata!C952="",FALSE,TRUE),EXACT(metadata!C952,"mouse gut metagenome"))</f>
        <v>0</v>
      </c>
      <c r="Q952" t="b">
        <f>AND(IF(metadata!D952="",FALSE,TRUE),EXACT(metadata!D952,"410661"))</f>
        <v>0</v>
      </c>
    </row>
    <row r="953" spans="1:17" x14ac:dyDescent="0.2">
      <c r="A953" s="4" t="str">
        <f ca="1">IF(B953=" "," ",HYPERLINK(CONCATENATE("#metadata!",ADDRESS(INDEX($J$2:$J$1001,MATCH(ROWS($H$2:H953),$H$2:$H$1001,0),0),1)),INDEX($M$2:$M$1001,MATCH(ROWS($H$2:H953),$H$2:$H$1001,0),0)))</f>
        <v xml:space="preserve"> </v>
      </c>
      <c r="B953" s="3" t="str">
        <f ca="1">IF(OR(INDEX($I$2:$I$1001,MATCH(ROWS($H$2:H953),$H$2:$H$1001,0),1)&gt;=100000,INDEX($O$1005:$Q$1005,1,MATCH(COLUMNS($O$1006:O1006),$O$1006:$Q$1006,0))&gt;=100000), " ",IF(INDEX($O$2:$Q$1001,MATCH(ROWS($H$2:H953),$H$2:$H$1001,0),MATCH(COLUMNS($O$1006:O1006),$O$1006:$Q$1006,0)), HYPERLINK("#",""), HYPERLINK(CONCATENATE("#metadata!", ADDRESS(INDEX($J$2:$J$1001,MATCH(ROWS($H$2:H953),$H$2:$H$1001,0),0), INDEX($O$1004:$Q$1004,1,MATCH(COLUMNS($O$1006:O1006),$O$1006:$Q$1006,0)))),"Fix")))</f>
        <v xml:space="preserve"> </v>
      </c>
      <c r="C953" s="3" t="str">
        <f ca="1">IF(OR(INDEX($I$2:$I$1001,MATCH(ROWS($H$2:H953),$H$2:$H$1001,0),1)&gt;=100000,INDEX($O$1005:$Q$1005,1,MATCH(COLUMNS($O$1006:P1006),$O$1006:$Q$1006,0))&gt;=100000), " ",IF(INDEX($O$2:$Q$1001,MATCH(ROWS($H$2:H953),$H$2:$H$1001,0),MATCH(COLUMNS($O$1006:P1006),$O$1006:$Q$1006,0)), HYPERLINK("#",""), HYPERLINK(CONCATENATE("#metadata!", ADDRESS(INDEX($J$2:$J$1001,MATCH(ROWS($H$2:H953),$H$2:$H$1001,0),0), INDEX($O$1004:$Q$1004,1,MATCH(COLUMNS($O$1006:P1006),$O$1006:$Q$1006,0)))),"Fix")))</f>
        <v xml:space="preserve"> </v>
      </c>
      <c r="D953" s="3" t="str">
        <f ca="1">IF(OR(INDEX($I$2:$I$1001,MATCH(ROWS($H$2:H953),$H$2:$H$1001,0),1)&gt;=100000,INDEX($O$1005:$Q$1005,1,MATCH(COLUMNS($O$1006:Q1006),$O$1006:$Q$1006,0))&gt;=100000), " ",IF(INDEX($O$2:$Q$1001,MATCH(ROWS($H$2:H953),$H$2:$H$1001,0),MATCH(COLUMNS($O$1006:Q1006),$O$1006:$Q$1006,0)), HYPERLINK("#",""), HYPERLINK(CONCATENATE("#metadata!", ADDRESS(INDEX($J$2:$J$1001,MATCH(ROWS($H$2:H953),$H$2:$H$1001,0),0), INDEX($O$1004:$Q$1004,1,MATCH(COLUMNS($O$1006:Q1006),$O$1006:$Q$1006,0)))),"Fix")))</f>
        <v xml:space="preserve"> </v>
      </c>
      <c r="H953">
        <v>952</v>
      </c>
      <c r="I953">
        <v>100953</v>
      </c>
      <c r="J953">
        <v>953</v>
      </c>
      <c r="K953" t="b">
        <f t="shared" si="14"/>
        <v>1</v>
      </c>
      <c r="L953" t="b">
        <f>COUNTBLANK(metadata!B953:D953)=COLUMNS(metadata!B953:D953)</f>
        <v>1</v>
      </c>
      <c r="M953" t="str">
        <v/>
      </c>
      <c r="O953" t="b">
        <f ca="1"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P953" t="b">
        <f>AND(IF(metadata!C953="",FALSE,TRUE),EXACT(metadata!C953,"mouse gut metagenome"))</f>
        <v>0</v>
      </c>
      <c r="Q953" t="b">
        <f>AND(IF(metadata!D953="",FALSE,TRUE),EXACT(metadata!D953,"410661"))</f>
        <v>0</v>
      </c>
    </row>
    <row r="954" spans="1:17" x14ac:dyDescent="0.2">
      <c r="A954" s="4" t="str">
        <f ca="1">IF(B954=" "," ",HYPERLINK(CONCATENATE("#metadata!",ADDRESS(INDEX($J$2:$J$1001,MATCH(ROWS($H$2:H954),$H$2:$H$1001,0),0),1)),INDEX($M$2:$M$1001,MATCH(ROWS($H$2:H954),$H$2:$H$1001,0),0)))</f>
        <v xml:space="preserve"> </v>
      </c>
      <c r="B954" s="3" t="str">
        <f ca="1">IF(OR(INDEX($I$2:$I$1001,MATCH(ROWS($H$2:H954),$H$2:$H$1001,0),1)&gt;=100000,INDEX($O$1005:$Q$1005,1,MATCH(COLUMNS($O$1006:O1006),$O$1006:$Q$1006,0))&gt;=100000), " ",IF(INDEX($O$2:$Q$1001,MATCH(ROWS($H$2:H954),$H$2:$H$1001,0),MATCH(COLUMNS($O$1006:O1006),$O$1006:$Q$1006,0)), HYPERLINK("#",""), HYPERLINK(CONCATENATE("#metadata!", ADDRESS(INDEX($J$2:$J$1001,MATCH(ROWS($H$2:H954),$H$2:$H$1001,0),0), INDEX($O$1004:$Q$1004,1,MATCH(COLUMNS($O$1006:O1006),$O$1006:$Q$1006,0)))),"Fix")))</f>
        <v xml:space="preserve"> </v>
      </c>
      <c r="C954" s="3" t="str">
        <f ca="1">IF(OR(INDEX($I$2:$I$1001,MATCH(ROWS($H$2:H954),$H$2:$H$1001,0),1)&gt;=100000,INDEX($O$1005:$Q$1005,1,MATCH(COLUMNS($O$1006:P1006),$O$1006:$Q$1006,0))&gt;=100000), " ",IF(INDEX($O$2:$Q$1001,MATCH(ROWS($H$2:H954),$H$2:$H$1001,0),MATCH(COLUMNS($O$1006:P1006),$O$1006:$Q$1006,0)), HYPERLINK("#",""), HYPERLINK(CONCATENATE("#metadata!", ADDRESS(INDEX($J$2:$J$1001,MATCH(ROWS($H$2:H954),$H$2:$H$1001,0),0), INDEX($O$1004:$Q$1004,1,MATCH(COLUMNS($O$1006:P1006),$O$1006:$Q$1006,0)))),"Fix")))</f>
        <v xml:space="preserve"> </v>
      </c>
      <c r="D954" s="3" t="str">
        <f ca="1">IF(OR(INDEX($I$2:$I$1001,MATCH(ROWS($H$2:H954),$H$2:$H$1001,0),1)&gt;=100000,INDEX($O$1005:$Q$1005,1,MATCH(COLUMNS($O$1006:Q1006),$O$1006:$Q$1006,0))&gt;=100000), " ",IF(INDEX($O$2:$Q$1001,MATCH(ROWS($H$2:H954),$H$2:$H$1001,0),MATCH(COLUMNS($O$1006:Q1006),$O$1006:$Q$1006,0)), HYPERLINK("#",""), HYPERLINK(CONCATENATE("#metadata!", ADDRESS(INDEX($J$2:$J$1001,MATCH(ROWS($H$2:H954),$H$2:$H$1001,0),0), INDEX($O$1004:$Q$1004,1,MATCH(COLUMNS($O$1006:Q1006),$O$1006:$Q$1006,0)))),"Fix")))</f>
        <v xml:space="preserve"> </v>
      </c>
      <c r="H954">
        <v>953</v>
      </c>
      <c r="I954">
        <v>100954</v>
      </c>
      <c r="J954">
        <v>954</v>
      </c>
      <c r="K954" t="b">
        <f t="shared" si="14"/>
        <v>1</v>
      </c>
      <c r="L954" t="b">
        <f>COUNTBLANK(metadata!B954:D954)=COLUMNS(metadata!B954:D954)</f>
        <v>1</v>
      </c>
      <c r="M954" t="str">
        <v/>
      </c>
      <c r="O954" t="b">
        <f ca="1"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P954" t="b">
        <f>AND(IF(metadata!C954="",FALSE,TRUE),EXACT(metadata!C954,"mouse gut metagenome"))</f>
        <v>0</v>
      </c>
      <c r="Q954" t="b">
        <f>AND(IF(metadata!D954="",FALSE,TRUE),EXACT(metadata!D954,"410661"))</f>
        <v>0</v>
      </c>
    </row>
    <row r="955" spans="1:17" x14ac:dyDescent="0.2">
      <c r="A955" s="4" t="str">
        <f ca="1">IF(B955=" "," ",HYPERLINK(CONCATENATE("#metadata!",ADDRESS(INDEX($J$2:$J$1001,MATCH(ROWS($H$2:H955),$H$2:$H$1001,0),0),1)),INDEX($M$2:$M$1001,MATCH(ROWS($H$2:H955),$H$2:$H$1001,0),0)))</f>
        <v xml:space="preserve"> </v>
      </c>
      <c r="B955" s="3" t="str">
        <f ca="1">IF(OR(INDEX($I$2:$I$1001,MATCH(ROWS($H$2:H955),$H$2:$H$1001,0),1)&gt;=100000,INDEX($O$1005:$Q$1005,1,MATCH(COLUMNS($O$1006:O1006),$O$1006:$Q$1006,0))&gt;=100000), " ",IF(INDEX($O$2:$Q$1001,MATCH(ROWS($H$2:H955),$H$2:$H$1001,0),MATCH(COLUMNS($O$1006:O1006),$O$1006:$Q$1006,0)), HYPERLINK("#",""), HYPERLINK(CONCATENATE("#metadata!", ADDRESS(INDEX($J$2:$J$1001,MATCH(ROWS($H$2:H955),$H$2:$H$1001,0),0), INDEX($O$1004:$Q$1004,1,MATCH(COLUMNS($O$1006:O1006),$O$1006:$Q$1006,0)))),"Fix")))</f>
        <v xml:space="preserve"> </v>
      </c>
      <c r="C955" s="3" t="str">
        <f ca="1">IF(OR(INDEX($I$2:$I$1001,MATCH(ROWS($H$2:H955),$H$2:$H$1001,0),1)&gt;=100000,INDEX($O$1005:$Q$1005,1,MATCH(COLUMNS($O$1006:P1006),$O$1006:$Q$1006,0))&gt;=100000), " ",IF(INDEX($O$2:$Q$1001,MATCH(ROWS($H$2:H955),$H$2:$H$1001,0),MATCH(COLUMNS($O$1006:P1006),$O$1006:$Q$1006,0)), HYPERLINK("#",""), HYPERLINK(CONCATENATE("#metadata!", ADDRESS(INDEX($J$2:$J$1001,MATCH(ROWS($H$2:H955),$H$2:$H$1001,0),0), INDEX($O$1004:$Q$1004,1,MATCH(COLUMNS($O$1006:P1006),$O$1006:$Q$1006,0)))),"Fix")))</f>
        <v xml:space="preserve"> </v>
      </c>
      <c r="D955" s="3" t="str">
        <f ca="1">IF(OR(INDEX($I$2:$I$1001,MATCH(ROWS($H$2:H955),$H$2:$H$1001,0),1)&gt;=100000,INDEX($O$1005:$Q$1005,1,MATCH(COLUMNS($O$1006:Q1006),$O$1006:$Q$1006,0))&gt;=100000), " ",IF(INDEX($O$2:$Q$1001,MATCH(ROWS($H$2:H955),$H$2:$H$1001,0),MATCH(COLUMNS($O$1006:Q1006),$O$1006:$Q$1006,0)), HYPERLINK("#",""), HYPERLINK(CONCATENATE("#metadata!", ADDRESS(INDEX($J$2:$J$1001,MATCH(ROWS($H$2:H955),$H$2:$H$1001,0),0), INDEX($O$1004:$Q$1004,1,MATCH(COLUMNS($O$1006:Q1006),$O$1006:$Q$1006,0)))),"Fix")))</f>
        <v xml:space="preserve"> </v>
      </c>
      <c r="H955">
        <v>954</v>
      </c>
      <c r="I955">
        <v>100955</v>
      </c>
      <c r="J955">
        <v>955</v>
      </c>
      <c r="K955" t="b">
        <f t="shared" si="14"/>
        <v>1</v>
      </c>
      <c r="L955" t="b">
        <f>COUNTBLANK(metadata!B955:D955)=COLUMNS(metadata!B955:D955)</f>
        <v>1</v>
      </c>
      <c r="M955" t="str">
        <v/>
      </c>
      <c r="O955" t="b">
        <f ca="1"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P955" t="b">
        <f>AND(IF(metadata!C955="",FALSE,TRUE),EXACT(metadata!C955,"mouse gut metagenome"))</f>
        <v>0</v>
      </c>
      <c r="Q955" t="b">
        <f>AND(IF(metadata!D955="",FALSE,TRUE),EXACT(metadata!D955,"410661"))</f>
        <v>0</v>
      </c>
    </row>
    <row r="956" spans="1:17" x14ac:dyDescent="0.2">
      <c r="A956" s="4" t="str">
        <f ca="1">IF(B956=" "," ",HYPERLINK(CONCATENATE("#metadata!",ADDRESS(INDEX($J$2:$J$1001,MATCH(ROWS($H$2:H956),$H$2:$H$1001,0),0),1)),INDEX($M$2:$M$1001,MATCH(ROWS($H$2:H956),$H$2:$H$1001,0),0)))</f>
        <v xml:space="preserve"> </v>
      </c>
      <c r="B956" s="3" t="str">
        <f ca="1">IF(OR(INDEX($I$2:$I$1001,MATCH(ROWS($H$2:H956),$H$2:$H$1001,0),1)&gt;=100000,INDEX($O$1005:$Q$1005,1,MATCH(COLUMNS($O$1006:O1006),$O$1006:$Q$1006,0))&gt;=100000), " ",IF(INDEX($O$2:$Q$1001,MATCH(ROWS($H$2:H956),$H$2:$H$1001,0),MATCH(COLUMNS($O$1006:O1006),$O$1006:$Q$1006,0)), HYPERLINK("#",""), HYPERLINK(CONCATENATE("#metadata!", ADDRESS(INDEX($J$2:$J$1001,MATCH(ROWS($H$2:H956),$H$2:$H$1001,0),0), INDEX($O$1004:$Q$1004,1,MATCH(COLUMNS($O$1006:O1006),$O$1006:$Q$1006,0)))),"Fix")))</f>
        <v xml:space="preserve"> </v>
      </c>
      <c r="C956" s="3" t="str">
        <f ca="1">IF(OR(INDEX($I$2:$I$1001,MATCH(ROWS($H$2:H956),$H$2:$H$1001,0),1)&gt;=100000,INDEX($O$1005:$Q$1005,1,MATCH(COLUMNS($O$1006:P1006),$O$1006:$Q$1006,0))&gt;=100000), " ",IF(INDEX($O$2:$Q$1001,MATCH(ROWS($H$2:H956),$H$2:$H$1001,0),MATCH(COLUMNS($O$1006:P1006),$O$1006:$Q$1006,0)), HYPERLINK("#",""), HYPERLINK(CONCATENATE("#metadata!", ADDRESS(INDEX($J$2:$J$1001,MATCH(ROWS($H$2:H956),$H$2:$H$1001,0),0), INDEX($O$1004:$Q$1004,1,MATCH(COLUMNS($O$1006:P1006),$O$1006:$Q$1006,0)))),"Fix")))</f>
        <v xml:space="preserve"> </v>
      </c>
      <c r="D956" s="3" t="str">
        <f ca="1">IF(OR(INDEX($I$2:$I$1001,MATCH(ROWS($H$2:H956),$H$2:$H$1001,0),1)&gt;=100000,INDEX($O$1005:$Q$1005,1,MATCH(COLUMNS($O$1006:Q1006),$O$1006:$Q$1006,0))&gt;=100000), " ",IF(INDEX($O$2:$Q$1001,MATCH(ROWS($H$2:H956),$H$2:$H$1001,0),MATCH(COLUMNS($O$1006:Q1006),$O$1006:$Q$1006,0)), HYPERLINK("#",""), HYPERLINK(CONCATENATE("#metadata!", ADDRESS(INDEX($J$2:$J$1001,MATCH(ROWS($H$2:H956),$H$2:$H$1001,0),0), INDEX($O$1004:$Q$1004,1,MATCH(COLUMNS($O$1006:Q1006),$O$1006:$Q$1006,0)))),"Fix")))</f>
        <v xml:space="preserve"> </v>
      </c>
      <c r="H956">
        <v>955</v>
      </c>
      <c r="I956">
        <v>100956</v>
      </c>
      <c r="J956">
        <v>956</v>
      </c>
      <c r="K956" t="b">
        <f t="shared" si="14"/>
        <v>1</v>
      </c>
      <c r="L956" t="b">
        <f>COUNTBLANK(metadata!B956:D956)=COLUMNS(metadata!B956:D956)</f>
        <v>1</v>
      </c>
      <c r="M956" t="str">
        <v/>
      </c>
      <c r="O956" t="b">
        <f ca="1"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P956" t="b">
        <f>AND(IF(metadata!C956="",FALSE,TRUE),EXACT(metadata!C956,"mouse gut metagenome"))</f>
        <v>0</v>
      </c>
      <c r="Q956" t="b">
        <f>AND(IF(metadata!D956="",FALSE,TRUE),EXACT(metadata!D956,"410661"))</f>
        <v>0</v>
      </c>
    </row>
    <row r="957" spans="1:17" x14ac:dyDescent="0.2">
      <c r="A957" s="4" t="str">
        <f ca="1">IF(B957=" "," ",HYPERLINK(CONCATENATE("#metadata!",ADDRESS(INDEX($J$2:$J$1001,MATCH(ROWS($H$2:H957),$H$2:$H$1001,0),0),1)),INDEX($M$2:$M$1001,MATCH(ROWS($H$2:H957),$H$2:$H$1001,0),0)))</f>
        <v xml:space="preserve"> </v>
      </c>
      <c r="B957" s="3" t="str">
        <f ca="1">IF(OR(INDEX($I$2:$I$1001,MATCH(ROWS($H$2:H957),$H$2:$H$1001,0),1)&gt;=100000,INDEX($O$1005:$Q$1005,1,MATCH(COLUMNS($O$1006:O1006),$O$1006:$Q$1006,0))&gt;=100000), " ",IF(INDEX($O$2:$Q$1001,MATCH(ROWS($H$2:H957),$H$2:$H$1001,0),MATCH(COLUMNS($O$1006:O1006),$O$1006:$Q$1006,0)), HYPERLINK("#",""), HYPERLINK(CONCATENATE("#metadata!", ADDRESS(INDEX($J$2:$J$1001,MATCH(ROWS($H$2:H957),$H$2:$H$1001,0),0), INDEX($O$1004:$Q$1004,1,MATCH(COLUMNS($O$1006:O1006),$O$1006:$Q$1006,0)))),"Fix")))</f>
        <v xml:space="preserve"> </v>
      </c>
      <c r="C957" s="3" t="str">
        <f ca="1">IF(OR(INDEX($I$2:$I$1001,MATCH(ROWS($H$2:H957),$H$2:$H$1001,0),1)&gt;=100000,INDEX($O$1005:$Q$1005,1,MATCH(COLUMNS($O$1006:P1006),$O$1006:$Q$1006,0))&gt;=100000), " ",IF(INDEX($O$2:$Q$1001,MATCH(ROWS($H$2:H957),$H$2:$H$1001,0),MATCH(COLUMNS($O$1006:P1006),$O$1006:$Q$1006,0)), HYPERLINK("#",""), HYPERLINK(CONCATENATE("#metadata!", ADDRESS(INDEX($J$2:$J$1001,MATCH(ROWS($H$2:H957),$H$2:$H$1001,0),0), INDEX($O$1004:$Q$1004,1,MATCH(COLUMNS($O$1006:P1006),$O$1006:$Q$1006,0)))),"Fix")))</f>
        <v xml:space="preserve"> </v>
      </c>
      <c r="D957" s="3" t="str">
        <f ca="1">IF(OR(INDEX($I$2:$I$1001,MATCH(ROWS($H$2:H957),$H$2:$H$1001,0),1)&gt;=100000,INDEX($O$1005:$Q$1005,1,MATCH(COLUMNS($O$1006:Q1006),$O$1006:$Q$1006,0))&gt;=100000), " ",IF(INDEX($O$2:$Q$1001,MATCH(ROWS($H$2:H957),$H$2:$H$1001,0),MATCH(COLUMNS($O$1006:Q1006),$O$1006:$Q$1006,0)), HYPERLINK("#",""), HYPERLINK(CONCATENATE("#metadata!", ADDRESS(INDEX($J$2:$J$1001,MATCH(ROWS($H$2:H957),$H$2:$H$1001,0),0), INDEX($O$1004:$Q$1004,1,MATCH(COLUMNS($O$1006:Q1006),$O$1006:$Q$1006,0)))),"Fix")))</f>
        <v xml:space="preserve"> </v>
      </c>
      <c r="H957">
        <v>956</v>
      </c>
      <c r="I957">
        <v>100957</v>
      </c>
      <c r="J957">
        <v>957</v>
      </c>
      <c r="K957" t="b">
        <f t="shared" si="14"/>
        <v>1</v>
      </c>
      <c r="L957" t="b">
        <f>COUNTBLANK(metadata!B957:D957)=COLUMNS(metadata!B957:D957)</f>
        <v>1</v>
      </c>
      <c r="M957" t="str">
        <v/>
      </c>
      <c r="O957" t="b">
        <f ca="1"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P957" t="b">
        <f>AND(IF(metadata!C957="",FALSE,TRUE),EXACT(metadata!C957,"mouse gut metagenome"))</f>
        <v>0</v>
      </c>
      <c r="Q957" t="b">
        <f>AND(IF(metadata!D957="",FALSE,TRUE),EXACT(metadata!D957,"410661"))</f>
        <v>0</v>
      </c>
    </row>
    <row r="958" spans="1:17" x14ac:dyDescent="0.2">
      <c r="A958" s="4" t="str">
        <f ca="1">IF(B958=" "," ",HYPERLINK(CONCATENATE("#metadata!",ADDRESS(INDEX($J$2:$J$1001,MATCH(ROWS($H$2:H958),$H$2:$H$1001,0),0),1)),INDEX($M$2:$M$1001,MATCH(ROWS($H$2:H958),$H$2:$H$1001,0),0)))</f>
        <v xml:space="preserve"> </v>
      </c>
      <c r="B958" s="3" t="str">
        <f ca="1">IF(OR(INDEX($I$2:$I$1001,MATCH(ROWS($H$2:H958),$H$2:$H$1001,0),1)&gt;=100000,INDEX($O$1005:$Q$1005,1,MATCH(COLUMNS($O$1006:O1006),$O$1006:$Q$1006,0))&gt;=100000), " ",IF(INDEX($O$2:$Q$1001,MATCH(ROWS($H$2:H958),$H$2:$H$1001,0),MATCH(COLUMNS($O$1006:O1006),$O$1006:$Q$1006,0)), HYPERLINK("#",""), HYPERLINK(CONCATENATE("#metadata!", ADDRESS(INDEX($J$2:$J$1001,MATCH(ROWS($H$2:H958),$H$2:$H$1001,0),0), INDEX($O$1004:$Q$1004,1,MATCH(COLUMNS($O$1006:O1006),$O$1006:$Q$1006,0)))),"Fix")))</f>
        <v xml:space="preserve"> </v>
      </c>
      <c r="C958" s="3" t="str">
        <f ca="1">IF(OR(INDEX($I$2:$I$1001,MATCH(ROWS($H$2:H958),$H$2:$H$1001,0),1)&gt;=100000,INDEX($O$1005:$Q$1005,1,MATCH(COLUMNS($O$1006:P1006),$O$1006:$Q$1006,0))&gt;=100000), " ",IF(INDEX($O$2:$Q$1001,MATCH(ROWS($H$2:H958),$H$2:$H$1001,0),MATCH(COLUMNS($O$1006:P1006),$O$1006:$Q$1006,0)), HYPERLINK("#",""), HYPERLINK(CONCATENATE("#metadata!", ADDRESS(INDEX($J$2:$J$1001,MATCH(ROWS($H$2:H958),$H$2:$H$1001,0),0), INDEX($O$1004:$Q$1004,1,MATCH(COLUMNS($O$1006:P1006),$O$1006:$Q$1006,0)))),"Fix")))</f>
        <v xml:space="preserve"> </v>
      </c>
      <c r="D958" s="3" t="str">
        <f ca="1">IF(OR(INDEX($I$2:$I$1001,MATCH(ROWS($H$2:H958),$H$2:$H$1001,0),1)&gt;=100000,INDEX($O$1005:$Q$1005,1,MATCH(COLUMNS($O$1006:Q1006),$O$1006:$Q$1006,0))&gt;=100000), " ",IF(INDEX($O$2:$Q$1001,MATCH(ROWS($H$2:H958),$H$2:$H$1001,0),MATCH(COLUMNS($O$1006:Q1006),$O$1006:$Q$1006,0)), HYPERLINK("#",""), HYPERLINK(CONCATENATE("#metadata!", ADDRESS(INDEX($J$2:$J$1001,MATCH(ROWS($H$2:H958),$H$2:$H$1001,0),0), INDEX($O$1004:$Q$1004,1,MATCH(COLUMNS($O$1006:Q1006),$O$1006:$Q$1006,0)))),"Fix")))</f>
        <v xml:space="preserve"> </v>
      </c>
      <c r="H958">
        <v>957</v>
      </c>
      <c r="I958">
        <v>100958</v>
      </c>
      <c r="J958">
        <v>958</v>
      </c>
      <c r="K958" t="b">
        <f t="shared" si="14"/>
        <v>1</v>
      </c>
      <c r="L958" t="b">
        <f>COUNTBLANK(metadata!B958:D958)=COLUMNS(metadata!B958:D958)</f>
        <v>1</v>
      </c>
      <c r="M958" t="str">
        <v/>
      </c>
      <c r="O958" t="b">
        <f ca="1"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P958" t="b">
        <f>AND(IF(metadata!C958="",FALSE,TRUE),EXACT(metadata!C958,"mouse gut metagenome"))</f>
        <v>0</v>
      </c>
      <c r="Q958" t="b">
        <f>AND(IF(metadata!D958="",FALSE,TRUE),EXACT(metadata!D958,"410661"))</f>
        <v>0</v>
      </c>
    </row>
    <row r="959" spans="1:17" x14ac:dyDescent="0.2">
      <c r="A959" s="4" t="str">
        <f ca="1">IF(B959=" "," ",HYPERLINK(CONCATENATE("#metadata!",ADDRESS(INDEX($J$2:$J$1001,MATCH(ROWS($H$2:H959),$H$2:$H$1001,0),0),1)),INDEX($M$2:$M$1001,MATCH(ROWS($H$2:H959),$H$2:$H$1001,0),0)))</f>
        <v xml:space="preserve"> </v>
      </c>
      <c r="B959" s="3" t="str">
        <f ca="1">IF(OR(INDEX($I$2:$I$1001,MATCH(ROWS($H$2:H959),$H$2:$H$1001,0),1)&gt;=100000,INDEX($O$1005:$Q$1005,1,MATCH(COLUMNS($O$1006:O1006),$O$1006:$Q$1006,0))&gt;=100000), " ",IF(INDEX($O$2:$Q$1001,MATCH(ROWS($H$2:H959),$H$2:$H$1001,0),MATCH(COLUMNS($O$1006:O1006),$O$1006:$Q$1006,0)), HYPERLINK("#",""), HYPERLINK(CONCATENATE("#metadata!", ADDRESS(INDEX($J$2:$J$1001,MATCH(ROWS($H$2:H959),$H$2:$H$1001,0),0), INDEX($O$1004:$Q$1004,1,MATCH(COLUMNS($O$1006:O1006),$O$1006:$Q$1006,0)))),"Fix")))</f>
        <v xml:space="preserve"> </v>
      </c>
      <c r="C959" s="3" t="str">
        <f ca="1">IF(OR(INDEX($I$2:$I$1001,MATCH(ROWS($H$2:H959),$H$2:$H$1001,0),1)&gt;=100000,INDEX($O$1005:$Q$1005,1,MATCH(COLUMNS($O$1006:P1006),$O$1006:$Q$1006,0))&gt;=100000), " ",IF(INDEX($O$2:$Q$1001,MATCH(ROWS($H$2:H959),$H$2:$H$1001,0),MATCH(COLUMNS($O$1006:P1006),$O$1006:$Q$1006,0)), HYPERLINK("#",""), HYPERLINK(CONCATENATE("#metadata!", ADDRESS(INDEX($J$2:$J$1001,MATCH(ROWS($H$2:H959),$H$2:$H$1001,0),0), INDEX($O$1004:$Q$1004,1,MATCH(COLUMNS($O$1006:P1006),$O$1006:$Q$1006,0)))),"Fix")))</f>
        <v xml:space="preserve"> </v>
      </c>
      <c r="D959" s="3" t="str">
        <f ca="1">IF(OR(INDEX($I$2:$I$1001,MATCH(ROWS($H$2:H959),$H$2:$H$1001,0),1)&gt;=100000,INDEX($O$1005:$Q$1005,1,MATCH(COLUMNS($O$1006:Q1006),$O$1006:$Q$1006,0))&gt;=100000), " ",IF(INDEX($O$2:$Q$1001,MATCH(ROWS($H$2:H959),$H$2:$H$1001,0),MATCH(COLUMNS($O$1006:Q1006),$O$1006:$Q$1006,0)), HYPERLINK("#",""), HYPERLINK(CONCATENATE("#metadata!", ADDRESS(INDEX($J$2:$J$1001,MATCH(ROWS($H$2:H959),$H$2:$H$1001,0),0), INDEX($O$1004:$Q$1004,1,MATCH(COLUMNS($O$1006:Q1006),$O$1006:$Q$1006,0)))),"Fix")))</f>
        <v xml:space="preserve"> </v>
      </c>
      <c r="H959">
        <v>958</v>
      </c>
      <c r="I959">
        <v>100959</v>
      </c>
      <c r="J959">
        <v>959</v>
      </c>
      <c r="K959" t="b">
        <f t="shared" si="14"/>
        <v>1</v>
      </c>
      <c r="L959" t="b">
        <f>COUNTBLANK(metadata!B959:D959)=COLUMNS(metadata!B959:D959)</f>
        <v>1</v>
      </c>
      <c r="M959" t="str">
        <v/>
      </c>
      <c r="O959" t="b">
        <f ca="1"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P959" t="b">
        <f>AND(IF(metadata!C959="",FALSE,TRUE),EXACT(metadata!C959,"mouse gut metagenome"))</f>
        <v>0</v>
      </c>
      <c r="Q959" t="b">
        <f>AND(IF(metadata!D959="",FALSE,TRUE),EXACT(metadata!D959,"410661"))</f>
        <v>0</v>
      </c>
    </row>
    <row r="960" spans="1:17" x14ac:dyDescent="0.2">
      <c r="A960" s="4" t="str">
        <f ca="1">IF(B960=" "," ",HYPERLINK(CONCATENATE("#metadata!",ADDRESS(INDEX($J$2:$J$1001,MATCH(ROWS($H$2:H960),$H$2:$H$1001,0),0),1)),INDEX($M$2:$M$1001,MATCH(ROWS($H$2:H960),$H$2:$H$1001,0),0)))</f>
        <v xml:space="preserve"> </v>
      </c>
      <c r="B960" s="3" t="str">
        <f ca="1">IF(OR(INDEX($I$2:$I$1001,MATCH(ROWS($H$2:H960),$H$2:$H$1001,0),1)&gt;=100000,INDEX($O$1005:$Q$1005,1,MATCH(COLUMNS($O$1006:O1006),$O$1006:$Q$1006,0))&gt;=100000), " ",IF(INDEX($O$2:$Q$1001,MATCH(ROWS($H$2:H960),$H$2:$H$1001,0),MATCH(COLUMNS($O$1006:O1006),$O$1006:$Q$1006,0)), HYPERLINK("#",""), HYPERLINK(CONCATENATE("#metadata!", ADDRESS(INDEX($J$2:$J$1001,MATCH(ROWS($H$2:H960),$H$2:$H$1001,0),0), INDEX($O$1004:$Q$1004,1,MATCH(COLUMNS($O$1006:O1006),$O$1006:$Q$1006,0)))),"Fix")))</f>
        <v xml:space="preserve"> </v>
      </c>
      <c r="C960" s="3" t="str">
        <f ca="1">IF(OR(INDEX($I$2:$I$1001,MATCH(ROWS($H$2:H960),$H$2:$H$1001,0),1)&gt;=100000,INDEX($O$1005:$Q$1005,1,MATCH(COLUMNS($O$1006:P1006),$O$1006:$Q$1006,0))&gt;=100000), " ",IF(INDEX($O$2:$Q$1001,MATCH(ROWS($H$2:H960),$H$2:$H$1001,0),MATCH(COLUMNS($O$1006:P1006),$O$1006:$Q$1006,0)), HYPERLINK("#",""), HYPERLINK(CONCATENATE("#metadata!", ADDRESS(INDEX($J$2:$J$1001,MATCH(ROWS($H$2:H960),$H$2:$H$1001,0),0), INDEX($O$1004:$Q$1004,1,MATCH(COLUMNS($O$1006:P1006),$O$1006:$Q$1006,0)))),"Fix")))</f>
        <v xml:space="preserve"> </v>
      </c>
      <c r="D960" s="3" t="str">
        <f ca="1">IF(OR(INDEX($I$2:$I$1001,MATCH(ROWS($H$2:H960),$H$2:$H$1001,0),1)&gt;=100000,INDEX($O$1005:$Q$1005,1,MATCH(COLUMNS($O$1006:Q1006),$O$1006:$Q$1006,0))&gt;=100000), " ",IF(INDEX($O$2:$Q$1001,MATCH(ROWS($H$2:H960),$H$2:$H$1001,0),MATCH(COLUMNS($O$1006:Q1006),$O$1006:$Q$1006,0)), HYPERLINK("#",""), HYPERLINK(CONCATENATE("#metadata!", ADDRESS(INDEX($J$2:$J$1001,MATCH(ROWS($H$2:H960),$H$2:$H$1001,0),0), INDEX($O$1004:$Q$1004,1,MATCH(COLUMNS($O$1006:Q1006),$O$1006:$Q$1006,0)))),"Fix")))</f>
        <v xml:space="preserve"> </v>
      </c>
      <c r="H960">
        <v>959</v>
      </c>
      <c r="I960">
        <v>100960</v>
      </c>
      <c r="J960">
        <v>960</v>
      </c>
      <c r="K960" t="b">
        <f t="shared" si="14"/>
        <v>1</v>
      </c>
      <c r="L960" t="b">
        <f>COUNTBLANK(metadata!B960:D960)=COLUMNS(metadata!B960:D960)</f>
        <v>1</v>
      </c>
      <c r="M960" t="str">
        <v/>
      </c>
      <c r="O960" t="b">
        <f ca="1"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P960" t="b">
        <f>AND(IF(metadata!C960="",FALSE,TRUE),EXACT(metadata!C960,"mouse gut metagenome"))</f>
        <v>0</v>
      </c>
      <c r="Q960" t="b">
        <f>AND(IF(metadata!D960="",FALSE,TRUE),EXACT(metadata!D960,"410661"))</f>
        <v>0</v>
      </c>
    </row>
    <row r="961" spans="1:17" x14ac:dyDescent="0.2">
      <c r="A961" s="4" t="str">
        <f ca="1">IF(B961=" "," ",HYPERLINK(CONCATENATE("#metadata!",ADDRESS(INDEX($J$2:$J$1001,MATCH(ROWS($H$2:H961),$H$2:$H$1001,0),0),1)),INDEX($M$2:$M$1001,MATCH(ROWS($H$2:H961),$H$2:$H$1001,0),0)))</f>
        <v xml:space="preserve"> </v>
      </c>
      <c r="B961" s="3" t="str">
        <f ca="1">IF(OR(INDEX($I$2:$I$1001,MATCH(ROWS($H$2:H961),$H$2:$H$1001,0),1)&gt;=100000,INDEX($O$1005:$Q$1005,1,MATCH(COLUMNS($O$1006:O1006),$O$1006:$Q$1006,0))&gt;=100000), " ",IF(INDEX($O$2:$Q$1001,MATCH(ROWS($H$2:H961),$H$2:$H$1001,0),MATCH(COLUMNS($O$1006:O1006),$O$1006:$Q$1006,0)), HYPERLINK("#",""), HYPERLINK(CONCATENATE("#metadata!", ADDRESS(INDEX($J$2:$J$1001,MATCH(ROWS($H$2:H961),$H$2:$H$1001,0),0), INDEX($O$1004:$Q$1004,1,MATCH(COLUMNS($O$1006:O1006),$O$1006:$Q$1006,0)))),"Fix")))</f>
        <v xml:space="preserve"> </v>
      </c>
      <c r="C961" s="3" t="str">
        <f ca="1">IF(OR(INDEX($I$2:$I$1001,MATCH(ROWS($H$2:H961),$H$2:$H$1001,0),1)&gt;=100000,INDEX($O$1005:$Q$1005,1,MATCH(COLUMNS($O$1006:P1006),$O$1006:$Q$1006,0))&gt;=100000), " ",IF(INDEX($O$2:$Q$1001,MATCH(ROWS($H$2:H961),$H$2:$H$1001,0),MATCH(COLUMNS($O$1006:P1006),$O$1006:$Q$1006,0)), HYPERLINK("#",""), HYPERLINK(CONCATENATE("#metadata!", ADDRESS(INDEX($J$2:$J$1001,MATCH(ROWS($H$2:H961),$H$2:$H$1001,0),0), INDEX($O$1004:$Q$1004,1,MATCH(COLUMNS($O$1006:P1006),$O$1006:$Q$1006,0)))),"Fix")))</f>
        <v xml:space="preserve"> </v>
      </c>
      <c r="D961" s="3" t="str">
        <f ca="1">IF(OR(INDEX($I$2:$I$1001,MATCH(ROWS($H$2:H961),$H$2:$H$1001,0),1)&gt;=100000,INDEX($O$1005:$Q$1005,1,MATCH(COLUMNS($O$1006:Q1006),$O$1006:$Q$1006,0))&gt;=100000), " ",IF(INDEX($O$2:$Q$1001,MATCH(ROWS($H$2:H961),$H$2:$H$1001,0),MATCH(COLUMNS($O$1006:Q1006),$O$1006:$Q$1006,0)), HYPERLINK("#",""), HYPERLINK(CONCATENATE("#metadata!", ADDRESS(INDEX($J$2:$J$1001,MATCH(ROWS($H$2:H961),$H$2:$H$1001,0),0), INDEX($O$1004:$Q$1004,1,MATCH(COLUMNS($O$1006:Q1006),$O$1006:$Q$1006,0)))),"Fix")))</f>
        <v xml:space="preserve"> </v>
      </c>
      <c r="H961">
        <v>960</v>
      </c>
      <c r="I961">
        <v>100961</v>
      </c>
      <c r="J961">
        <v>961</v>
      </c>
      <c r="K961" t="b">
        <f t="shared" si="14"/>
        <v>1</v>
      </c>
      <c r="L961" t="b">
        <f>COUNTBLANK(metadata!B961:D961)=COLUMNS(metadata!B961:D961)</f>
        <v>1</v>
      </c>
      <c r="M961" t="str">
        <v/>
      </c>
      <c r="O961" t="b">
        <f ca="1"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P961" t="b">
        <f>AND(IF(metadata!C961="",FALSE,TRUE),EXACT(metadata!C961,"mouse gut metagenome"))</f>
        <v>0</v>
      </c>
      <c r="Q961" t="b">
        <f>AND(IF(metadata!D961="",FALSE,TRUE),EXACT(metadata!D961,"410661"))</f>
        <v>0</v>
      </c>
    </row>
    <row r="962" spans="1:17" x14ac:dyDescent="0.2">
      <c r="A962" s="4" t="str">
        <f ca="1">IF(B962=" "," ",HYPERLINK(CONCATENATE("#metadata!",ADDRESS(INDEX($J$2:$J$1001,MATCH(ROWS($H$2:H962),$H$2:$H$1001,0),0),1)),INDEX($M$2:$M$1001,MATCH(ROWS($H$2:H962),$H$2:$H$1001,0),0)))</f>
        <v xml:space="preserve"> </v>
      </c>
      <c r="B962" s="3" t="str">
        <f ca="1">IF(OR(INDEX($I$2:$I$1001,MATCH(ROWS($H$2:H962),$H$2:$H$1001,0),1)&gt;=100000,INDEX($O$1005:$Q$1005,1,MATCH(COLUMNS($O$1006:O1006),$O$1006:$Q$1006,0))&gt;=100000), " ",IF(INDEX($O$2:$Q$1001,MATCH(ROWS($H$2:H962),$H$2:$H$1001,0),MATCH(COLUMNS($O$1006:O1006),$O$1006:$Q$1006,0)), HYPERLINK("#",""), HYPERLINK(CONCATENATE("#metadata!", ADDRESS(INDEX($J$2:$J$1001,MATCH(ROWS($H$2:H962),$H$2:$H$1001,0),0), INDEX($O$1004:$Q$1004,1,MATCH(COLUMNS($O$1006:O1006),$O$1006:$Q$1006,0)))),"Fix")))</f>
        <v xml:space="preserve"> </v>
      </c>
      <c r="C962" s="3" t="str">
        <f ca="1">IF(OR(INDEX($I$2:$I$1001,MATCH(ROWS($H$2:H962),$H$2:$H$1001,0),1)&gt;=100000,INDEX($O$1005:$Q$1005,1,MATCH(COLUMNS($O$1006:P1006),$O$1006:$Q$1006,0))&gt;=100000), " ",IF(INDEX($O$2:$Q$1001,MATCH(ROWS($H$2:H962),$H$2:$H$1001,0),MATCH(COLUMNS($O$1006:P1006),$O$1006:$Q$1006,0)), HYPERLINK("#",""), HYPERLINK(CONCATENATE("#metadata!", ADDRESS(INDEX($J$2:$J$1001,MATCH(ROWS($H$2:H962),$H$2:$H$1001,0),0), INDEX($O$1004:$Q$1004,1,MATCH(COLUMNS($O$1006:P1006),$O$1006:$Q$1006,0)))),"Fix")))</f>
        <v xml:space="preserve"> </v>
      </c>
      <c r="D962" s="3" t="str">
        <f ca="1">IF(OR(INDEX($I$2:$I$1001,MATCH(ROWS($H$2:H962),$H$2:$H$1001,0),1)&gt;=100000,INDEX($O$1005:$Q$1005,1,MATCH(COLUMNS($O$1006:Q1006),$O$1006:$Q$1006,0))&gt;=100000), " ",IF(INDEX($O$2:$Q$1001,MATCH(ROWS($H$2:H962),$H$2:$H$1001,0),MATCH(COLUMNS($O$1006:Q1006),$O$1006:$Q$1006,0)), HYPERLINK("#",""), HYPERLINK(CONCATENATE("#metadata!", ADDRESS(INDEX($J$2:$J$1001,MATCH(ROWS($H$2:H962),$H$2:$H$1001,0),0), INDEX($O$1004:$Q$1004,1,MATCH(COLUMNS($O$1006:Q1006),$O$1006:$Q$1006,0)))),"Fix")))</f>
        <v xml:space="preserve"> </v>
      </c>
      <c r="H962">
        <v>961</v>
      </c>
      <c r="I962">
        <v>100962</v>
      </c>
      <c r="J962">
        <v>962</v>
      </c>
      <c r="K962" t="b">
        <f t="shared" ref="K962:K1025" si="15">IF(L962,TRUE,AND(O962:Q962))</f>
        <v>1</v>
      </c>
      <c r="L962" t="b">
        <f>COUNTBLANK(metadata!B962:D962)=COLUMNS(metadata!B962:D962)</f>
        <v>1</v>
      </c>
      <c r="M962" t="str">
        <v/>
      </c>
      <c r="O962" t="b">
        <f ca="1"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P962" t="b">
        <f>AND(IF(metadata!C962="",FALSE,TRUE),EXACT(metadata!C962,"mouse gut metagenome"))</f>
        <v>0</v>
      </c>
      <c r="Q962" t="b">
        <f>AND(IF(metadata!D962="",FALSE,TRUE),EXACT(metadata!D962,"410661"))</f>
        <v>0</v>
      </c>
    </row>
    <row r="963" spans="1:17" x14ac:dyDescent="0.2">
      <c r="A963" s="4" t="str">
        <f ca="1">IF(B963=" "," ",HYPERLINK(CONCATENATE("#metadata!",ADDRESS(INDEX($J$2:$J$1001,MATCH(ROWS($H$2:H963),$H$2:$H$1001,0),0),1)),INDEX($M$2:$M$1001,MATCH(ROWS($H$2:H963),$H$2:$H$1001,0),0)))</f>
        <v xml:space="preserve"> </v>
      </c>
      <c r="B963" s="3" t="str">
        <f ca="1">IF(OR(INDEX($I$2:$I$1001,MATCH(ROWS($H$2:H963),$H$2:$H$1001,0),1)&gt;=100000,INDEX($O$1005:$Q$1005,1,MATCH(COLUMNS($O$1006:O1006),$O$1006:$Q$1006,0))&gt;=100000), " ",IF(INDEX($O$2:$Q$1001,MATCH(ROWS($H$2:H963),$H$2:$H$1001,0),MATCH(COLUMNS($O$1006:O1006),$O$1006:$Q$1006,0)), HYPERLINK("#",""), HYPERLINK(CONCATENATE("#metadata!", ADDRESS(INDEX($J$2:$J$1001,MATCH(ROWS($H$2:H963),$H$2:$H$1001,0),0), INDEX($O$1004:$Q$1004,1,MATCH(COLUMNS($O$1006:O1006),$O$1006:$Q$1006,0)))),"Fix")))</f>
        <v xml:space="preserve"> </v>
      </c>
      <c r="C963" s="3" t="str">
        <f ca="1">IF(OR(INDEX($I$2:$I$1001,MATCH(ROWS($H$2:H963),$H$2:$H$1001,0),1)&gt;=100000,INDEX($O$1005:$Q$1005,1,MATCH(COLUMNS($O$1006:P1006),$O$1006:$Q$1006,0))&gt;=100000), " ",IF(INDEX($O$2:$Q$1001,MATCH(ROWS($H$2:H963),$H$2:$H$1001,0),MATCH(COLUMNS($O$1006:P1006),$O$1006:$Q$1006,0)), HYPERLINK("#",""), HYPERLINK(CONCATENATE("#metadata!", ADDRESS(INDEX($J$2:$J$1001,MATCH(ROWS($H$2:H963),$H$2:$H$1001,0),0), INDEX($O$1004:$Q$1004,1,MATCH(COLUMNS($O$1006:P1006),$O$1006:$Q$1006,0)))),"Fix")))</f>
        <v xml:space="preserve"> </v>
      </c>
      <c r="D963" s="3" t="str">
        <f ca="1">IF(OR(INDEX($I$2:$I$1001,MATCH(ROWS($H$2:H963),$H$2:$H$1001,0),1)&gt;=100000,INDEX($O$1005:$Q$1005,1,MATCH(COLUMNS($O$1006:Q1006),$O$1006:$Q$1006,0))&gt;=100000), " ",IF(INDEX($O$2:$Q$1001,MATCH(ROWS($H$2:H963),$H$2:$H$1001,0),MATCH(COLUMNS($O$1006:Q1006),$O$1006:$Q$1006,0)), HYPERLINK("#",""), HYPERLINK(CONCATENATE("#metadata!", ADDRESS(INDEX($J$2:$J$1001,MATCH(ROWS($H$2:H963),$H$2:$H$1001,0),0), INDEX($O$1004:$Q$1004,1,MATCH(COLUMNS($O$1006:Q1006),$O$1006:$Q$1006,0)))),"Fix")))</f>
        <v xml:space="preserve"> </v>
      </c>
      <c r="H963">
        <v>962</v>
      </c>
      <c r="I963">
        <v>100963</v>
      </c>
      <c r="J963">
        <v>963</v>
      </c>
      <c r="K963" t="b">
        <f t="shared" si="15"/>
        <v>1</v>
      </c>
      <c r="L963" t="b">
        <f>COUNTBLANK(metadata!B963:D963)=COLUMNS(metadata!B963:D963)</f>
        <v>1</v>
      </c>
      <c r="M963" t="str">
        <v/>
      </c>
      <c r="O963" t="b">
        <f ca="1"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P963" t="b">
        <f>AND(IF(metadata!C963="",FALSE,TRUE),EXACT(metadata!C963,"mouse gut metagenome"))</f>
        <v>0</v>
      </c>
      <c r="Q963" t="b">
        <f>AND(IF(metadata!D963="",FALSE,TRUE),EXACT(metadata!D963,"410661"))</f>
        <v>0</v>
      </c>
    </row>
    <row r="964" spans="1:17" x14ac:dyDescent="0.2">
      <c r="A964" s="4" t="str">
        <f ca="1">IF(B964=" "," ",HYPERLINK(CONCATENATE("#metadata!",ADDRESS(INDEX($J$2:$J$1001,MATCH(ROWS($H$2:H964),$H$2:$H$1001,0),0),1)),INDEX($M$2:$M$1001,MATCH(ROWS($H$2:H964),$H$2:$H$1001,0),0)))</f>
        <v xml:space="preserve"> </v>
      </c>
      <c r="B964" s="3" t="str">
        <f ca="1">IF(OR(INDEX($I$2:$I$1001,MATCH(ROWS($H$2:H964),$H$2:$H$1001,0),1)&gt;=100000,INDEX($O$1005:$Q$1005,1,MATCH(COLUMNS($O$1006:O1006),$O$1006:$Q$1006,0))&gt;=100000), " ",IF(INDEX($O$2:$Q$1001,MATCH(ROWS($H$2:H964),$H$2:$H$1001,0),MATCH(COLUMNS($O$1006:O1006),$O$1006:$Q$1006,0)), HYPERLINK("#",""), HYPERLINK(CONCATENATE("#metadata!", ADDRESS(INDEX($J$2:$J$1001,MATCH(ROWS($H$2:H964),$H$2:$H$1001,0),0), INDEX($O$1004:$Q$1004,1,MATCH(COLUMNS($O$1006:O1006),$O$1006:$Q$1006,0)))),"Fix")))</f>
        <v xml:space="preserve"> </v>
      </c>
      <c r="C964" s="3" t="str">
        <f ca="1">IF(OR(INDEX($I$2:$I$1001,MATCH(ROWS($H$2:H964),$H$2:$H$1001,0),1)&gt;=100000,INDEX($O$1005:$Q$1005,1,MATCH(COLUMNS($O$1006:P1006),$O$1006:$Q$1006,0))&gt;=100000), " ",IF(INDEX($O$2:$Q$1001,MATCH(ROWS($H$2:H964),$H$2:$H$1001,0),MATCH(COLUMNS($O$1006:P1006),$O$1006:$Q$1006,0)), HYPERLINK("#",""), HYPERLINK(CONCATENATE("#metadata!", ADDRESS(INDEX($J$2:$J$1001,MATCH(ROWS($H$2:H964),$H$2:$H$1001,0),0), INDEX($O$1004:$Q$1004,1,MATCH(COLUMNS($O$1006:P1006),$O$1006:$Q$1006,0)))),"Fix")))</f>
        <v xml:space="preserve"> </v>
      </c>
      <c r="D964" s="3" t="str">
        <f ca="1">IF(OR(INDEX($I$2:$I$1001,MATCH(ROWS($H$2:H964),$H$2:$H$1001,0),1)&gt;=100000,INDEX($O$1005:$Q$1005,1,MATCH(COLUMNS($O$1006:Q1006),$O$1006:$Q$1006,0))&gt;=100000), " ",IF(INDEX($O$2:$Q$1001,MATCH(ROWS($H$2:H964),$H$2:$H$1001,0),MATCH(COLUMNS($O$1006:Q1006),$O$1006:$Q$1006,0)), HYPERLINK("#",""), HYPERLINK(CONCATENATE("#metadata!", ADDRESS(INDEX($J$2:$J$1001,MATCH(ROWS($H$2:H964),$H$2:$H$1001,0),0), INDEX($O$1004:$Q$1004,1,MATCH(COLUMNS($O$1006:Q1006),$O$1006:$Q$1006,0)))),"Fix")))</f>
        <v xml:space="preserve"> </v>
      </c>
      <c r="H964">
        <v>963</v>
      </c>
      <c r="I964">
        <v>100964</v>
      </c>
      <c r="J964">
        <v>964</v>
      </c>
      <c r="K964" t="b">
        <f t="shared" si="15"/>
        <v>1</v>
      </c>
      <c r="L964" t="b">
        <f>COUNTBLANK(metadata!B964:D964)=COLUMNS(metadata!B964:D964)</f>
        <v>1</v>
      </c>
      <c r="M964" t="str">
        <v/>
      </c>
      <c r="O964" t="b">
        <f ca="1"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P964" t="b">
        <f>AND(IF(metadata!C964="",FALSE,TRUE),EXACT(metadata!C964,"mouse gut metagenome"))</f>
        <v>0</v>
      </c>
      <c r="Q964" t="b">
        <f>AND(IF(metadata!D964="",FALSE,TRUE),EXACT(metadata!D964,"410661"))</f>
        <v>0</v>
      </c>
    </row>
    <row r="965" spans="1:17" x14ac:dyDescent="0.2">
      <c r="A965" s="4" t="str">
        <f ca="1">IF(B965=" "," ",HYPERLINK(CONCATENATE("#metadata!",ADDRESS(INDEX($J$2:$J$1001,MATCH(ROWS($H$2:H965),$H$2:$H$1001,0),0),1)),INDEX($M$2:$M$1001,MATCH(ROWS($H$2:H965),$H$2:$H$1001,0),0)))</f>
        <v xml:space="preserve"> </v>
      </c>
      <c r="B965" s="3" t="str">
        <f ca="1">IF(OR(INDEX($I$2:$I$1001,MATCH(ROWS($H$2:H965),$H$2:$H$1001,0),1)&gt;=100000,INDEX($O$1005:$Q$1005,1,MATCH(COLUMNS($O$1006:O1006),$O$1006:$Q$1006,0))&gt;=100000), " ",IF(INDEX($O$2:$Q$1001,MATCH(ROWS($H$2:H965),$H$2:$H$1001,0),MATCH(COLUMNS($O$1006:O1006),$O$1006:$Q$1006,0)), HYPERLINK("#",""), HYPERLINK(CONCATENATE("#metadata!", ADDRESS(INDEX($J$2:$J$1001,MATCH(ROWS($H$2:H965),$H$2:$H$1001,0),0), INDEX($O$1004:$Q$1004,1,MATCH(COLUMNS($O$1006:O1006),$O$1006:$Q$1006,0)))),"Fix")))</f>
        <v xml:space="preserve"> </v>
      </c>
      <c r="C965" s="3" t="str">
        <f ca="1">IF(OR(INDEX($I$2:$I$1001,MATCH(ROWS($H$2:H965),$H$2:$H$1001,0),1)&gt;=100000,INDEX($O$1005:$Q$1005,1,MATCH(COLUMNS($O$1006:P1006),$O$1006:$Q$1006,0))&gt;=100000), " ",IF(INDEX($O$2:$Q$1001,MATCH(ROWS($H$2:H965),$H$2:$H$1001,0),MATCH(COLUMNS($O$1006:P1006),$O$1006:$Q$1006,0)), HYPERLINK("#",""), HYPERLINK(CONCATENATE("#metadata!", ADDRESS(INDEX($J$2:$J$1001,MATCH(ROWS($H$2:H965),$H$2:$H$1001,0),0), INDEX($O$1004:$Q$1004,1,MATCH(COLUMNS($O$1006:P1006),$O$1006:$Q$1006,0)))),"Fix")))</f>
        <v xml:space="preserve"> </v>
      </c>
      <c r="D965" s="3" t="str">
        <f ca="1">IF(OR(INDEX($I$2:$I$1001,MATCH(ROWS($H$2:H965),$H$2:$H$1001,0),1)&gt;=100000,INDEX($O$1005:$Q$1005,1,MATCH(COLUMNS($O$1006:Q1006),$O$1006:$Q$1006,0))&gt;=100000), " ",IF(INDEX($O$2:$Q$1001,MATCH(ROWS($H$2:H965),$H$2:$H$1001,0),MATCH(COLUMNS($O$1006:Q1006),$O$1006:$Q$1006,0)), HYPERLINK("#",""), HYPERLINK(CONCATENATE("#metadata!", ADDRESS(INDEX($J$2:$J$1001,MATCH(ROWS($H$2:H965),$H$2:$H$1001,0),0), INDEX($O$1004:$Q$1004,1,MATCH(COLUMNS($O$1006:Q1006),$O$1006:$Q$1006,0)))),"Fix")))</f>
        <v xml:space="preserve"> </v>
      </c>
      <c r="H965">
        <v>964</v>
      </c>
      <c r="I965">
        <v>100965</v>
      </c>
      <c r="J965">
        <v>965</v>
      </c>
      <c r="K965" t="b">
        <f t="shared" si="15"/>
        <v>1</v>
      </c>
      <c r="L965" t="b">
        <f>COUNTBLANK(metadata!B965:D965)=COLUMNS(metadata!B965:D965)</f>
        <v>1</v>
      </c>
      <c r="M965" t="str">
        <v/>
      </c>
      <c r="O965" t="b">
        <f ca="1"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P965" t="b">
        <f>AND(IF(metadata!C965="",FALSE,TRUE),EXACT(metadata!C965,"mouse gut metagenome"))</f>
        <v>0</v>
      </c>
      <c r="Q965" t="b">
        <f>AND(IF(metadata!D965="",FALSE,TRUE),EXACT(metadata!D965,"410661"))</f>
        <v>0</v>
      </c>
    </row>
    <row r="966" spans="1:17" x14ac:dyDescent="0.2">
      <c r="A966" s="4" t="str">
        <f ca="1">IF(B966=" "," ",HYPERLINK(CONCATENATE("#metadata!",ADDRESS(INDEX($J$2:$J$1001,MATCH(ROWS($H$2:H966),$H$2:$H$1001,0),0),1)),INDEX($M$2:$M$1001,MATCH(ROWS($H$2:H966),$H$2:$H$1001,0),0)))</f>
        <v xml:space="preserve"> </v>
      </c>
      <c r="B966" s="3" t="str">
        <f ca="1">IF(OR(INDEX($I$2:$I$1001,MATCH(ROWS($H$2:H966),$H$2:$H$1001,0),1)&gt;=100000,INDEX($O$1005:$Q$1005,1,MATCH(COLUMNS($O$1006:O1006),$O$1006:$Q$1006,0))&gt;=100000), " ",IF(INDEX($O$2:$Q$1001,MATCH(ROWS($H$2:H966),$H$2:$H$1001,0),MATCH(COLUMNS($O$1006:O1006),$O$1006:$Q$1006,0)), HYPERLINK("#",""), HYPERLINK(CONCATENATE("#metadata!", ADDRESS(INDEX($J$2:$J$1001,MATCH(ROWS($H$2:H966),$H$2:$H$1001,0),0), INDEX($O$1004:$Q$1004,1,MATCH(COLUMNS($O$1006:O1006),$O$1006:$Q$1006,0)))),"Fix")))</f>
        <v xml:space="preserve"> </v>
      </c>
      <c r="C966" s="3" t="str">
        <f ca="1">IF(OR(INDEX($I$2:$I$1001,MATCH(ROWS($H$2:H966),$H$2:$H$1001,0),1)&gt;=100000,INDEX($O$1005:$Q$1005,1,MATCH(COLUMNS($O$1006:P1006),$O$1006:$Q$1006,0))&gt;=100000), " ",IF(INDEX($O$2:$Q$1001,MATCH(ROWS($H$2:H966),$H$2:$H$1001,0),MATCH(COLUMNS($O$1006:P1006),$O$1006:$Q$1006,0)), HYPERLINK("#",""), HYPERLINK(CONCATENATE("#metadata!", ADDRESS(INDEX($J$2:$J$1001,MATCH(ROWS($H$2:H966),$H$2:$H$1001,0),0), INDEX($O$1004:$Q$1004,1,MATCH(COLUMNS($O$1006:P1006),$O$1006:$Q$1006,0)))),"Fix")))</f>
        <v xml:space="preserve"> </v>
      </c>
      <c r="D966" s="3" t="str">
        <f ca="1">IF(OR(INDEX($I$2:$I$1001,MATCH(ROWS($H$2:H966),$H$2:$H$1001,0),1)&gt;=100000,INDEX($O$1005:$Q$1005,1,MATCH(COLUMNS($O$1006:Q1006),$O$1006:$Q$1006,0))&gt;=100000), " ",IF(INDEX($O$2:$Q$1001,MATCH(ROWS($H$2:H966),$H$2:$H$1001,0),MATCH(COLUMNS($O$1006:Q1006),$O$1006:$Q$1006,0)), HYPERLINK("#",""), HYPERLINK(CONCATENATE("#metadata!", ADDRESS(INDEX($J$2:$J$1001,MATCH(ROWS($H$2:H966),$H$2:$H$1001,0),0), INDEX($O$1004:$Q$1004,1,MATCH(COLUMNS($O$1006:Q1006),$O$1006:$Q$1006,0)))),"Fix")))</f>
        <v xml:space="preserve"> </v>
      </c>
      <c r="H966">
        <v>965</v>
      </c>
      <c r="I966">
        <v>100966</v>
      </c>
      <c r="J966">
        <v>966</v>
      </c>
      <c r="K966" t="b">
        <f t="shared" si="15"/>
        <v>1</v>
      </c>
      <c r="L966" t="b">
        <f>COUNTBLANK(metadata!B966:D966)=COLUMNS(metadata!B966:D966)</f>
        <v>1</v>
      </c>
      <c r="M966" t="str">
        <v/>
      </c>
      <c r="O966" t="b">
        <f ca="1"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P966" t="b">
        <f>AND(IF(metadata!C966="",FALSE,TRUE),EXACT(metadata!C966,"mouse gut metagenome"))</f>
        <v>0</v>
      </c>
      <c r="Q966" t="b">
        <f>AND(IF(metadata!D966="",FALSE,TRUE),EXACT(metadata!D966,"410661"))</f>
        <v>0</v>
      </c>
    </row>
    <row r="967" spans="1:17" x14ac:dyDescent="0.2">
      <c r="A967" s="4" t="str">
        <f ca="1">IF(B967=" "," ",HYPERLINK(CONCATENATE("#metadata!",ADDRESS(INDEX($J$2:$J$1001,MATCH(ROWS($H$2:H967),$H$2:$H$1001,0),0),1)),INDEX($M$2:$M$1001,MATCH(ROWS($H$2:H967),$H$2:$H$1001,0),0)))</f>
        <v xml:space="preserve"> </v>
      </c>
      <c r="B967" s="3" t="str">
        <f ca="1">IF(OR(INDEX($I$2:$I$1001,MATCH(ROWS($H$2:H967),$H$2:$H$1001,0),1)&gt;=100000,INDEX($O$1005:$Q$1005,1,MATCH(COLUMNS($O$1006:O1006),$O$1006:$Q$1006,0))&gt;=100000), " ",IF(INDEX($O$2:$Q$1001,MATCH(ROWS($H$2:H967),$H$2:$H$1001,0),MATCH(COLUMNS($O$1006:O1006),$O$1006:$Q$1006,0)), HYPERLINK("#",""), HYPERLINK(CONCATENATE("#metadata!", ADDRESS(INDEX($J$2:$J$1001,MATCH(ROWS($H$2:H967),$H$2:$H$1001,0),0), INDEX($O$1004:$Q$1004,1,MATCH(COLUMNS($O$1006:O1006),$O$1006:$Q$1006,0)))),"Fix")))</f>
        <v xml:space="preserve"> </v>
      </c>
      <c r="C967" s="3" t="str">
        <f ca="1">IF(OR(INDEX($I$2:$I$1001,MATCH(ROWS($H$2:H967),$H$2:$H$1001,0),1)&gt;=100000,INDEX($O$1005:$Q$1005,1,MATCH(COLUMNS($O$1006:P1006),$O$1006:$Q$1006,0))&gt;=100000), " ",IF(INDEX($O$2:$Q$1001,MATCH(ROWS($H$2:H967),$H$2:$H$1001,0),MATCH(COLUMNS($O$1006:P1006),$O$1006:$Q$1006,0)), HYPERLINK("#",""), HYPERLINK(CONCATENATE("#metadata!", ADDRESS(INDEX($J$2:$J$1001,MATCH(ROWS($H$2:H967),$H$2:$H$1001,0),0), INDEX($O$1004:$Q$1004,1,MATCH(COLUMNS($O$1006:P1006),$O$1006:$Q$1006,0)))),"Fix")))</f>
        <v xml:space="preserve"> </v>
      </c>
      <c r="D967" s="3" t="str">
        <f ca="1">IF(OR(INDEX($I$2:$I$1001,MATCH(ROWS($H$2:H967),$H$2:$H$1001,0),1)&gt;=100000,INDEX($O$1005:$Q$1005,1,MATCH(COLUMNS($O$1006:Q1006),$O$1006:$Q$1006,0))&gt;=100000), " ",IF(INDEX($O$2:$Q$1001,MATCH(ROWS($H$2:H967),$H$2:$H$1001,0),MATCH(COLUMNS($O$1006:Q1006),$O$1006:$Q$1006,0)), HYPERLINK("#",""), HYPERLINK(CONCATENATE("#metadata!", ADDRESS(INDEX($J$2:$J$1001,MATCH(ROWS($H$2:H967),$H$2:$H$1001,0),0), INDEX($O$1004:$Q$1004,1,MATCH(COLUMNS($O$1006:Q1006),$O$1006:$Q$1006,0)))),"Fix")))</f>
        <v xml:space="preserve"> </v>
      </c>
      <c r="H967">
        <v>966</v>
      </c>
      <c r="I967">
        <v>100967</v>
      </c>
      <c r="J967">
        <v>967</v>
      </c>
      <c r="K967" t="b">
        <f t="shared" si="15"/>
        <v>1</v>
      </c>
      <c r="L967" t="b">
        <f>COUNTBLANK(metadata!B967:D967)=COLUMNS(metadata!B967:D967)</f>
        <v>1</v>
      </c>
      <c r="M967" t="str">
        <v/>
      </c>
      <c r="O967" t="b">
        <f ca="1"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P967" t="b">
        <f>AND(IF(metadata!C967="",FALSE,TRUE),EXACT(metadata!C967,"mouse gut metagenome"))</f>
        <v>0</v>
      </c>
      <c r="Q967" t="b">
        <f>AND(IF(metadata!D967="",FALSE,TRUE),EXACT(metadata!D967,"410661"))</f>
        <v>0</v>
      </c>
    </row>
    <row r="968" spans="1:17" x14ac:dyDescent="0.2">
      <c r="A968" s="4" t="str">
        <f ca="1">IF(B968=" "," ",HYPERLINK(CONCATENATE("#metadata!",ADDRESS(INDEX($J$2:$J$1001,MATCH(ROWS($H$2:H968),$H$2:$H$1001,0),0),1)),INDEX($M$2:$M$1001,MATCH(ROWS($H$2:H968),$H$2:$H$1001,0),0)))</f>
        <v xml:space="preserve"> </v>
      </c>
      <c r="B968" s="3" t="str">
        <f ca="1">IF(OR(INDEX($I$2:$I$1001,MATCH(ROWS($H$2:H968),$H$2:$H$1001,0),1)&gt;=100000,INDEX($O$1005:$Q$1005,1,MATCH(COLUMNS($O$1006:O1006),$O$1006:$Q$1006,0))&gt;=100000), " ",IF(INDEX($O$2:$Q$1001,MATCH(ROWS($H$2:H968),$H$2:$H$1001,0),MATCH(COLUMNS($O$1006:O1006),$O$1006:$Q$1006,0)), HYPERLINK("#",""), HYPERLINK(CONCATENATE("#metadata!", ADDRESS(INDEX($J$2:$J$1001,MATCH(ROWS($H$2:H968),$H$2:$H$1001,0),0), INDEX($O$1004:$Q$1004,1,MATCH(COLUMNS($O$1006:O1006),$O$1006:$Q$1006,0)))),"Fix")))</f>
        <v xml:space="preserve"> </v>
      </c>
      <c r="C968" s="3" t="str">
        <f ca="1">IF(OR(INDEX($I$2:$I$1001,MATCH(ROWS($H$2:H968),$H$2:$H$1001,0),1)&gt;=100000,INDEX($O$1005:$Q$1005,1,MATCH(COLUMNS($O$1006:P1006),$O$1006:$Q$1006,0))&gt;=100000), " ",IF(INDEX($O$2:$Q$1001,MATCH(ROWS($H$2:H968),$H$2:$H$1001,0),MATCH(COLUMNS($O$1006:P1006),$O$1006:$Q$1006,0)), HYPERLINK("#",""), HYPERLINK(CONCATENATE("#metadata!", ADDRESS(INDEX($J$2:$J$1001,MATCH(ROWS($H$2:H968),$H$2:$H$1001,0),0), INDEX($O$1004:$Q$1004,1,MATCH(COLUMNS($O$1006:P1006),$O$1006:$Q$1006,0)))),"Fix")))</f>
        <v xml:space="preserve"> </v>
      </c>
      <c r="D968" s="3" t="str">
        <f ca="1">IF(OR(INDEX($I$2:$I$1001,MATCH(ROWS($H$2:H968),$H$2:$H$1001,0),1)&gt;=100000,INDEX($O$1005:$Q$1005,1,MATCH(COLUMNS($O$1006:Q1006),$O$1006:$Q$1006,0))&gt;=100000), " ",IF(INDEX($O$2:$Q$1001,MATCH(ROWS($H$2:H968),$H$2:$H$1001,0),MATCH(COLUMNS($O$1006:Q1006),$O$1006:$Q$1006,0)), HYPERLINK("#",""), HYPERLINK(CONCATENATE("#metadata!", ADDRESS(INDEX($J$2:$J$1001,MATCH(ROWS($H$2:H968),$H$2:$H$1001,0),0), INDEX($O$1004:$Q$1004,1,MATCH(COLUMNS($O$1006:Q1006),$O$1006:$Q$1006,0)))),"Fix")))</f>
        <v xml:space="preserve"> </v>
      </c>
      <c r="H968">
        <v>967</v>
      </c>
      <c r="I968">
        <v>100968</v>
      </c>
      <c r="J968">
        <v>968</v>
      </c>
      <c r="K968" t="b">
        <f t="shared" si="15"/>
        <v>1</v>
      </c>
      <c r="L968" t="b">
        <f>COUNTBLANK(metadata!B968:D968)=COLUMNS(metadata!B968:D968)</f>
        <v>1</v>
      </c>
      <c r="M968" t="str">
        <v/>
      </c>
      <c r="O968" t="b">
        <f ca="1"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P968" t="b">
        <f>AND(IF(metadata!C968="",FALSE,TRUE),EXACT(metadata!C968,"mouse gut metagenome"))</f>
        <v>0</v>
      </c>
      <c r="Q968" t="b">
        <f>AND(IF(metadata!D968="",FALSE,TRUE),EXACT(metadata!D968,"410661"))</f>
        <v>0</v>
      </c>
    </row>
    <row r="969" spans="1:17" x14ac:dyDescent="0.2">
      <c r="A969" s="4" t="str">
        <f ca="1">IF(B969=" "," ",HYPERLINK(CONCATENATE("#metadata!",ADDRESS(INDEX($J$2:$J$1001,MATCH(ROWS($H$2:H969),$H$2:$H$1001,0),0),1)),INDEX($M$2:$M$1001,MATCH(ROWS($H$2:H969),$H$2:$H$1001,0),0)))</f>
        <v xml:space="preserve"> </v>
      </c>
      <c r="B969" s="3" t="str">
        <f ca="1">IF(OR(INDEX($I$2:$I$1001,MATCH(ROWS($H$2:H969),$H$2:$H$1001,0),1)&gt;=100000,INDEX($O$1005:$Q$1005,1,MATCH(COLUMNS($O$1006:O1006),$O$1006:$Q$1006,0))&gt;=100000), " ",IF(INDEX($O$2:$Q$1001,MATCH(ROWS($H$2:H969),$H$2:$H$1001,0),MATCH(COLUMNS($O$1006:O1006),$O$1006:$Q$1006,0)), HYPERLINK("#",""), HYPERLINK(CONCATENATE("#metadata!", ADDRESS(INDEX($J$2:$J$1001,MATCH(ROWS($H$2:H969),$H$2:$H$1001,0),0), INDEX($O$1004:$Q$1004,1,MATCH(COLUMNS($O$1006:O1006),$O$1006:$Q$1006,0)))),"Fix")))</f>
        <v xml:space="preserve"> </v>
      </c>
      <c r="C969" s="3" t="str">
        <f ca="1">IF(OR(INDEX($I$2:$I$1001,MATCH(ROWS($H$2:H969),$H$2:$H$1001,0),1)&gt;=100000,INDEX($O$1005:$Q$1005,1,MATCH(COLUMNS($O$1006:P1006),$O$1006:$Q$1006,0))&gt;=100000), " ",IF(INDEX($O$2:$Q$1001,MATCH(ROWS($H$2:H969),$H$2:$H$1001,0),MATCH(COLUMNS($O$1006:P1006),$O$1006:$Q$1006,0)), HYPERLINK("#",""), HYPERLINK(CONCATENATE("#metadata!", ADDRESS(INDEX($J$2:$J$1001,MATCH(ROWS($H$2:H969),$H$2:$H$1001,0),0), INDEX($O$1004:$Q$1004,1,MATCH(COLUMNS($O$1006:P1006),$O$1006:$Q$1006,0)))),"Fix")))</f>
        <v xml:space="preserve"> </v>
      </c>
      <c r="D969" s="3" t="str">
        <f ca="1">IF(OR(INDEX($I$2:$I$1001,MATCH(ROWS($H$2:H969),$H$2:$H$1001,0),1)&gt;=100000,INDEX($O$1005:$Q$1005,1,MATCH(COLUMNS($O$1006:Q1006),$O$1006:$Q$1006,0))&gt;=100000), " ",IF(INDEX($O$2:$Q$1001,MATCH(ROWS($H$2:H969),$H$2:$H$1001,0),MATCH(COLUMNS($O$1006:Q1006),$O$1006:$Q$1006,0)), HYPERLINK("#",""), HYPERLINK(CONCATENATE("#metadata!", ADDRESS(INDEX($J$2:$J$1001,MATCH(ROWS($H$2:H969),$H$2:$H$1001,0),0), INDEX($O$1004:$Q$1004,1,MATCH(COLUMNS($O$1006:Q1006),$O$1006:$Q$1006,0)))),"Fix")))</f>
        <v xml:space="preserve"> </v>
      </c>
      <c r="H969">
        <v>968</v>
      </c>
      <c r="I969">
        <v>100969</v>
      </c>
      <c r="J969">
        <v>969</v>
      </c>
      <c r="K969" t="b">
        <f t="shared" si="15"/>
        <v>1</v>
      </c>
      <c r="L969" t="b">
        <f>COUNTBLANK(metadata!B969:D969)=COLUMNS(metadata!B969:D969)</f>
        <v>1</v>
      </c>
      <c r="M969" t="str">
        <v/>
      </c>
      <c r="O969" t="b">
        <f ca="1"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P969" t="b">
        <f>AND(IF(metadata!C969="",FALSE,TRUE),EXACT(metadata!C969,"mouse gut metagenome"))</f>
        <v>0</v>
      </c>
      <c r="Q969" t="b">
        <f>AND(IF(metadata!D969="",FALSE,TRUE),EXACT(metadata!D969,"410661"))</f>
        <v>0</v>
      </c>
    </row>
    <row r="970" spans="1:17" x14ac:dyDescent="0.2">
      <c r="A970" s="4" t="str">
        <f ca="1">IF(B970=" "," ",HYPERLINK(CONCATENATE("#metadata!",ADDRESS(INDEX($J$2:$J$1001,MATCH(ROWS($H$2:H970),$H$2:$H$1001,0),0),1)),INDEX($M$2:$M$1001,MATCH(ROWS($H$2:H970),$H$2:$H$1001,0),0)))</f>
        <v xml:space="preserve"> </v>
      </c>
      <c r="B970" s="3" t="str">
        <f ca="1">IF(OR(INDEX($I$2:$I$1001,MATCH(ROWS($H$2:H970),$H$2:$H$1001,0),1)&gt;=100000,INDEX($O$1005:$Q$1005,1,MATCH(COLUMNS($O$1006:O1006),$O$1006:$Q$1006,0))&gt;=100000), " ",IF(INDEX($O$2:$Q$1001,MATCH(ROWS($H$2:H970),$H$2:$H$1001,0),MATCH(COLUMNS($O$1006:O1006),$O$1006:$Q$1006,0)), HYPERLINK("#",""), HYPERLINK(CONCATENATE("#metadata!", ADDRESS(INDEX($J$2:$J$1001,MATCH(ROWS($H$2:H970),$H$2:$H$1001,0),0), INDEX($O$1004:$Q$1004,1,MATCH(COLUMNS($O$1006:O1006),$O$1006:$Q$1006,0)))),"Fix")))</f>
        <v xml:space="preserve"> </v>
      </c>
      <c r="C970" s="3" t="str">
        <f ca="1">IF(OR(INDEX($I$2:$I$1001,MATCH(ROWS($H$2:H970),$H$2:$H$1001,0),1)&gt;=100000,INDEX($O$1005:$Q$1005,1,MATCH(COLUMNS($O$1006:P1006),$O$1006:$Q$1006,0))&gt;=100000), " ",IF(INDEX($O$2:$Q$1001,MATCH(ROWS($H$2:H970),$H$2:$H$1001,0),MATCH(COLUMNS($O$1006:P1006),$O$1006:$Q$1006,0)), HYPERLINK("#",""), HYPERLINK(CONCATENATE("#metadata!", ADDRESS(INDEX($J$2:$J$1001,MATCH(ROWS($H$2:H970),$H$2:$H$1001,0),0), INDEX($O$1004:$Q$1004,1,MATCH(COLUMNS($O$1006:P1006),$O$1006:$Q$1006,0)))),"Fix")))</f>
        <v xml:space="preserve"> </v>
      </c>
      <c r="D970" s="3" t="str">
        <f ca="1">IF(OR(INDEX($I$2:$I$1001,MATCH(ROWS($H$2:H970),$H$2:$H$1001,0),1)&gt;=100000,INDEX($O$1005:$Q$1005,1,MATCH(COLUMNS($O$1006:Q1006),$O$1006:$Q$1006,0))&gt;=100000), " ",IF(INDEX($O$2:$Q$1001,MATCH(ROWS($H$2:H970),$H$2:$H$1001,0),MATCH(COLUMNS($O$1006:Q1006),$O$1006:$Q$1006,0)), HYPERLINK("#",""), HYPERLINK(CONCATENATE("#metadata!", ADDRESS(INDEX($J$2:$J$1001,MATCH(ROWS($H$2:H970),$H$2:$H$1001,0),0), INDEX($O$1004:$Q$1004,1,MATCH(COLUMNS($O$1006:Q1006),$O$1006:$Q$1006,0)))),"Fix")))</f>
        <v xml:space="preserve"> </v>
      </c>
      <c r="H970">
        <v>969</v>
      </c>
      <c r="I970">
        <v>100970</v>
      </c>
      <c r="J970">
        <v>970</v>
      </c>
      <c r="K970" t="b">
        <f t="shared" si="15"/>
        <v>1</v>
      </c>
      <c r="L970" t="b">
        <f>COUNTBLANK(metadata!B970:D970)=COLUMNS(metadata!B970:D970)</f>
        <v>1</v>
      </c>
      <c r="M970" t="str">
        <v/>
      </c>
      <c r="O970" t="b">
        <f ca="1"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P970" t="b">
        <f>AND(IF(metadata!C970="",FALSE,TRUE),EXACT(metadata!C970,"mouse gut metagenome"))</f>
        <v>0</v>
      </c>
      <c r="Q970" t="b">
        <f>AND(IF(metadata!D970="",FALSE,TRUE),EXACT(metadata!D970,"410661"))</f>
        <v>0</v>
      </c>
    </row>
    <row r="971" spans="1:17" x14ac:dyDescent="0.2">
      <c r="A971" s="4" t="str">
        <f ca="1">IF(B971=" "," ",HYPERLINK(CONCATENATE("#metadata!",ADDRESS(INDEX($J$2:$J$1001,MATCH(ROWS($H$2:H971),$H$2:$H$1001,0),0),1)),INDEX($M$2:$M$1001,MATCH(ROWS($H$2:H971),$H$2:$H$1001,0),0)))</f>
        <v xml:space="preserve"> </v>
      </c>
      <c r="B971" s="3" t="str">
        <f ca="1">IF(OR(INDEX($I$2:$I$1001,MATCH(ROWS($H$2:H971),$H$2:$H$1001,0),1)&gt;=100000,INDEX($O$1005:$Q$1005,1,MATCH(COLUMNS($O$1006:O1006),$O$1006:$Q$1006,0))&gt;=100000), " ",IF(INDEX($O$2:$Q$1001,MATCH(ROWS($H$2:H971),$H$2:$H$1001,0),MATCH(COLUMNS($O$1006:O1006),$O$1006:$Q$1006,0)), HYPERLINK("#",""), HYPERLINK(CONCATENATE("#metadata!", ADDRESS(INDEX($J$2:$J$1001,MATCH(ROWS($H$2:H971),$H$2:$H$1001,0),0), INDEX($O$1004:$Q$1004,1,MATCH(COLUMNS($O$1006:O1006),$O$1006:$Q$1006,0)))),"Fix")))</f>
        <v xml:space="preserve"> </v>
      </c>
      <c r="C971" s="3" t="str">
        <f ca="1">IF(OR(INDEX($I$2:$I$1001,MATCH(ROWS($H$2:H971),$H$2:$H$1001,0),1)&gt;=100000,INDEX($O$1005:$Q$1005,1,MATCH(COLUMNS($O$1006:P1006),$O$1006:$Q$1006,0))&gt;=100000), " ",IF(INDEX($O$2:$Q$1001,MATCH(ROWS($H$2:H971),$H$2:$H$1001,0),MATCH(COLUMNS($O$1006:P1006),$O$1006:$Q$1006,0)), HYPERLINK("#",""), HYPERLINK(CONCATENATE("#metadata!", ADDRESS(INDEX($J$2:$J$1001,MATCH(ROWS($H$2:H971),$H$2:$H$1001,0),0), INDEX($O$1004:$Q$1004,1,MATCH(COLUMNS($O$1006:P1006),$O$1006:$Q$1006,0)))),"Fix")))</f>
        <v xml:space="preserve"> </v>
      </c>
      <c r="D971" s="3" t="str">
        <f ca="1">IF(OR(INDEX($I$2:$I$1001,MATCH(ROWS($H$2:H971),$H$2:$H$1001,0),1)&gt;=100000,INDEX($O$1005:$Q$1005,1,MATCH(COLUMNS($O$1006:Q1006),$O$1006:$Q$1006,0))&gt;=100000), " ",IF(INDEX($O$2:$Q$1001,MATCH(ROWS($H$2:H971),$H$2:$H$1001,0),MATCH(COLUMNS($O$1006:Q1006),$O$1006:$Q$1006,0)), HYPERLINK("#",""), HYPERLINK(CONCATENATE("#metadata!", ADDRESS(INDEX($J$2:$J$1001,MATCH(ROWS($H$2:H971),$H$2:$H$1001,0),0), INDEX($O$1004:$Q$1004,1,MATCH(COLUMNS($O$1006:Q1006),$O$1006:$Q$1006,0)))),"Fix")))</f>
        <v xml:space="preserve"> </v>
      </c>
      <c r="H971">
        <v>970</v>
      </c>
      <c r="I971">
        <v>100971</v>
      </c>
      <c r="J971">
        <v>971</v>
      </c>
      <c r="K971" t="b">
        <f t="shared" si="15"/>
        <v>1</v>
      </c>
      <c r="L971" t="b">
        <f>COUNTBLANK(metadata!B971:D971)=COLUMNS(metadata!B971:D971)</f>
        <v>1</v>
      </c>
      <c r="M971" t="str">
        <v/>
      </c>
      <c r="O971" t="b">
        <f ca="1"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P971" t="b">
        <f>AND(IF(metadata!C971="",FALSE,TRUE),EXACT(metadata!C971,"mouse gut metagenome"))</f>
        <v>0</v>
      </c>
      <c r="Q971" t="b">
        <f>AND(IF(metadata!D971="",FALSE,TRUE),EXACT(metadata!D971,"410661"))</f>
        <v>0</v>
      </c>
    </row>
    <row r="972" spans="1:17" x14ac:dyDescent="0.2">
      <c r="A972" s="4" t="str">
        <f ca="1">IF(B972=" "," ",HYPERLINK(CONCATENATE("#metadata!",ADDRESS(INDEX($J$2:$J$1001,MATCH(ROWS($H$2:H972),$H$2:$H$1001,0),0),1)),INDEX($M$2:$M$1001,MATCH(ROWS($H$2:H972),$H$2:$H$1001,0),0)))</f>
        <v xml:space="preserve"> </v>
      </c>
      <c r="B972" s="3" t="str">
        <f ca="1">IF(OR(INDEX($I$2:$I$1001,MATCH(ROWS($H$2:H972),$H$2:$H$1001,0),1)&gt;=100000,INDEX($O$1005:$Q$1005,1,MATCH(COLUMNS($O$1006:O1006),$O$1006:$Q$1006,0))&gt;=100000), " ",IF(INDEX($O$2:$Q$1001,MATCH(ROWS($H$2:H972),$H$2:$H$1001,0),MATCH(COLUMNS($O$1006:O1006),$O$1006:$Q$1006,0)), HYPERLINK("#",""), HYPERLINK(CONCATENATE("#metadata!", ADDRESS(INDEX($J$2:$J$1001,MATCH(ROWS($H$2:H972),$H$2:$H$1001,0),0), INDEX($O$1004:$Q$1004,1,MATCH(COLUMNS($O$1006:O1006),$O$1006:$Q$1006,0)))),"Fix")))</f>
        <v xml:space="preserve"> </v>
      </c>
      <c r="C972" s="3" t="str">
        <f ca="1">IF(OR(INDEX($I$2:$I$1001,MATCH(ROWS($H$2:H972),$H$2:$H$1001,0),1)&gt;=100000,INDEX($O$1005:$Q$1005,1,MATCH(COLUMNS($O$1006:P1006),$O$1006:$Q$1006,0))&gt;=100000), " ",IF(INDEX($O$2:$Q$1001,MATCH(ROWS($H$2:H972),$H$2:$H$1001,0),MATCH(COLUMNS($O$1006:P1006),$O$1006:$Q$1006,0)), HYPERLINK("#",""), HYPERLINK(CONCATENATE("#metadata!", ADDRESS(INDEX($J$2:$J$1001,MATCH(ROWS($H$2:H972),$H$2:$H$1001,0),0), INDEX($O$1004:$Q$1004,1,MATCH(COLUMNS($O$1006:P1006),$O$1006:$Q$1006,0)))),"Fix")))</f>
        <v xml:space="preserve"> </v>
      </c>
      <c r="D972" s="3" t="str">
        <f ca="1">IF(OR(INDEX($I$2:$I$1001,MATCH(ROWS($H$2:H972),$H$2:$H$1001,0),1)&gt;=100000,INDEX($O$1005:$Q$1005,1,MATCH(COLUMNS($O$1006:Q1006),$O$1006:$Q$1006,0))&gt;=100000), " ",IF(INDEX($O$2:$Q$1001,MATCH(ROWS($H$2:H972),$H$2:$H$1001,0),MATCH(COLUMNS($O$1006:Q1006),$O$1006:$Q$1006,0)), HYPERLINK("#",""), HYPERLINK(CONCATENATE("#metadata!", ADDRESS(INDEX($J$2:$J$1001,MATCH(ROWS($H$2:H972),$H$2:$H$1001,0),0), INDEX($O$1004:$Q$1004,1,MATCH(COLUMNS($O$1006:Q1006),$O$1006:$Q$1006,0)))),"Fix")))</f>
        <v xml:space="preserve"> </v>
      </c>
      <c r="H972">
        <v>971</v>
      </c>
      <c r="I972">
        <v>100972</v>
      </c>
      <c r="J972">
        <v>972</v>
      </c>
      <c r="K972" t="b">
        <f t="shared" si="15"/>
        <v>1</v>
      </c>
      <c r="L972" t="b">
        <f>COUNTBLANK(metadata!B972:D972)=COLUMNS(metadata!B972:D972)</f>
        <v>1</v>
      </c>
      <c r="M972" t="str">
        <v/>
      </c>
      <c r="O972" t="b">
        <f ca="1"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P972" t="b">
        <f>AND(IF(metadata!C972="",FALSE,TRUE),EXACT(metadata!C972,"mouse gut metagenome"))</f>
        <v>0</v>
      </c>
      <c r="Q972" t="b">
        <f>AND(IF(metadata!D972="",FALSE,TRUE),EXACT(metadata!D972,"410661"))</f>
        <v>0</v>
      </c>
    </row>
    <row r="973" spans="1:17" x14ac:dyDescent="0.2">
      <c r="A973" s="4" t="str">
        <f ca="1">IF(B973=" "," ",HYPERLINK(CONCATENATE("#metadata!",ADDRESS(INDEX($J$2:$J$1001,MATCH(ROWS($H$2:H973),$H$2:$H$1001,0),0),1)),INDEX($M$2:$M$1001,MATCH(ROWS($H$2:H973),$H$2:$H$1001,0),0)))</f>
        <v xml:space="preserve"> </v>
      </c>
      <c r="B973" s="3" t="str">
        <f ca="1">IF(OR(INDEX($I$2:$I$1001,MATCH(ROWS($H$2:H973),$H$2:$H$1001,0),1)&gt;=100000,INDEX($O$1005:$Q$1005,1,MATCH(COLUMNS($O$1006:O1006),$O$1006:$Q$1006,0))&gt;=100000), " ",IF(INDEX($O$2:$Q$1001,MATCH(ROWS($H$2:H973),$H$2:$H$1001,0),MATCH(COLUMNS($O$1006:O1006),$O$1006:$Q$1006,0)), HYPERLINK("#",""), HYPERLINK(CONCATENATE("#metadata!", ADDRESS(INDEX($J$2:$J$1001,MATCH(ROWS($H$2:H973),$H$2:$H$1001,0),0), INDEX($O$1004:$Q$1004,1,MATCH(COLUMNS($O$1006:O1006),$O$1006:$Q$1006,0)))),"Fix")))</f>
        <v xml:space="preserve"> </v>
      </c>
      <c r="C973" s="3" t="str">
        <f ca="1">IF(OR(INDEX($I$2:$I$1001,MATCH(ROWS($H$2:H973),$H$2:$H$1001,0),1)&gt;=100000,INDEX($O$1005:$Q$1005,1,MATCH(COLUMNS($O$1006:P1006),$O$1006:$Q$1006,0))&gt;=100000), " ",IF(INDEX($O$2:$Q$1001,MATCH(ROWS($H$2:H973),$H$2:$H$1001,0),MATCH(COLUMNS($O$1006:P1006),$O$1006:$Q$1006,0)), HYPERLINK("#",""), HYPERLINK(CONCATENATE("#metadata!", ADDRESS(INDEX($J$2:$J$1001,MATCH(ROWS($H$2:H973),$H$2:$H$1001,0),0), INDEX($O$1004:$Q$1004,1,MATCH(COLUMNS($O$1006:P1006),$O$1006:$Q$1006,0)))),"Fix")))</f>
        <v xml:space="preserve"> </v>
      </c>
      <c r="D973" s="3" t="str">
        <f ca="1">IF(OR(INDEX($I$2:$I$1001,MATCH(ROWS($H$2:H973),$H$2:$H$1001,0),1)&gt;=100000,INDEX($O$1005:$Q$1005,1,MATCH(COLUMNS($O$1006:Q1006),$O$1006:$Q$1006,0))&gt;=100000), " ",IF(INDEX($O$2:$Q$1001,MATCH(ROWS($H$2:H973),$H$2:$H$1001,0),MATCH(COLUMNS($O$1006:Q1006),$O$1006:$Q$1006,0)), HYPERLINK("#",""), HYPERLINK(CONCATENATE("#metadata!", ADDRESS(INDEX($J$2:$J$1001,MATCH(ROWS($H$2:H973),$H$2:$H$1001,0),0), INDEX($O$1004:$Q$1004,1,MATCH(COLUMNS($O$1006:Q1006),$O$1006:$Q$1006,0)))),"Fix")))</f>
        <v xml:space="preserve"> </v>
      </c>
      <c r="H973">
        <v>972</v>
      </c>
      <c r="I973">
        <v>100973</v>
      </c>
      <c r="J973">
        <v>973</v>
      </c>
      <c r="K973" t="b">
        <f t="shared" si="15"/>
        <v>1</v>
      </c>
      <c r="L973" t="b">
        <f>COUNTBLANK(metadata!B973:D973)=COLUMNS(metadata!B973:D973)</f>
        <v>1</v>
      </c>
      <c r="M973" t="str">
        <v/>
      </c>
      <c r="O973" t="b">
        <f ca="1"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P973" t="b">
        <f>AND(IF(metadata!C973="",FALSE,TRUE),EXACT(metadata!C973,"mouse gut metagenome"))</f>
        <v>0</v>
      </c>
      <c r="Q973" t="b">
        <f>AND(IF(metadata!D973="",FALSE,TRUE),EXACT(metadata!D973,"410661"))</f>
        <v>0</v>
      </c>
    </row>
    <row r="974" spans="1:17" x14ac:dyDescent="0.2">
      <c r="A974" s="4" t="str">
        <f ca="1">IF(B974=" "," ",HYPERLINK(CONCATENATE("#metadata!",ADDRESS(INDEX($J$2:$J$1001,MATCH(ROWS($H$2:H974),$H$2:$H$1001,0),0),1)),INDEX($M$2:$M$1001,MATCH(ROWS($H$2:H974),$H$2:$H$1001,0),0)))</f>
        <v xml:space="preserve"> </v>
      </c>
      <c r="B974" s="3" t="str">
        <f ca="1">IF(OR(INDEX($I$2:$I$1001,MATCH(ROWS($H$2:H974),$H$2:$H$1001,0),1)&gt;=100000,INDEX($O$1005:$Q$1005,1,MATCH(COLUMNS($O$1006:O1006),$O$1006:$Q$1006,0))&gt;=100000), " ",IF(INDEX($O$2:$Q$1001,MATCH(ROWS($H$2:H974),$H$2:$H$1001,0),MATCH(COLUMNS($O$1006:O1006),$O$1006:$Q$1006,0)), HYPERLINK("#",""), HYPERLINK(CONCATENATE("#metadata!", ADDRESS(INDEX($J$2:$J$1001,MATCH(ROWS($H$2:H974),$H$2:$H$1001,0),0), INDEX($O$1004:$Q$1004,1,MATCH(COLUMNS($O$1006:O1006),$O$1006:$Q$1006,0)))),"Fix")))</f>
        <v xml:space="preserve"> </v>
      </c>
      <c r="C974" s="3" t="str">
        <f ca="1">IF(OR(INDEX($I$2:$I$1001,MATCH(ROWS($H$2:H974),$H$2:$H$1001,0),1)&gt;=100000,INDEX($O$1005:$Q$1005,1,MATCH(COLUMNS($O$1006:P1006),$O$1006:$Q$1006,0))&gt;=100000), " ",IF(INDEX($O$2:$Q$1001,MATCH(ROWS($H$2:H974),$H$2:$H$1001,0),MATCH(COLUMNS($O$1006:P1006),$O$1006:$Q$1006,0)), HYPERLINK("#",""), HYPERLINK(CONCATENATE("#metadata!", ADDRESS(INDEX($J$2:$J$1001,MATCH(ROWS($H$2:H974),$H$2:$H$1001,0),0), INDEX($O$1004:$Q$1004,1,MATCH(COLUMNS($O$1006:P1006),$O$1006:$Q$1006,0)))),"Fix")))</f>
        <v xml:space="preserve"> </v>
      </c>
      <c r="D974" s="3" t="str">
        <f ca="1">IF(OR(INDEX($I$2:$I$1001,MATCH(ROWS($H$2:H974),$H$2:$H$1001,0),1)&gt;=100000,INDEX($O$1005:$Q$1005,1,MATCH(COLUMNS($O$1006:Q1006),$O$1006:$Q$1006,0))&gt;=100000), " ",IF(INDEX($O$2:$Q$1001,MATCH(ROWS($H$2:H974),$H$2:$H$1001,0),MATCH(COLUMNS($O$1006:Q1006),$O$1006:$Q$1006,0)), HYPERLINK("#",""), HYPERLINK(CONCATENATE("#metadata!", ADDRESS(INDEX($J$2:$J$1001,MATCH(ROWS($H$2:H974),$H$2:$H$1001,0),0), INDEX($O$1004:$Q$1004,1,MATCH(COLUMNS($O$1006:Q1006),$O$1006:$Q$1006,0)))),"Fix")))</f>
        <v xml:space="preserve"> </v>
      </c>
      <c r="H974">
        <v>973</v>
      </c>
      <c r="I974">
        <v>100974</v>
      </c>
      <c r="J974">
        <v>974</v>
      </c>
      <c r="K974" t="b">
        <f t="shared" si="15"/>
        <v>1</v>
      </c>
      <c r="L974" t="b">
        <f>COUNTBLANK(metadata!B974:D974)=COLUMNS(metadata!B974:D974)</f>
        <v>1</v>
      </c>
      <c r="M974" t="str">
        <v/>
      </c>
      <c r="O974" t="b">
        <f ca="1"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P974" t="b">
        <f>AND(IF(metadata!C974="",FALSE,TRUE),EXACT(metadata!C974,"mouse gut metagenome"))</f>
        <v>0</v>
      </c>
      <c r="Q974" t="b">
        <f>AND(IF(metadata!D974="",FALSE,TRUE),EXACT(metadata!D974,"410661"))</f>
        <v>0</v>
      </c>
    </row>
    <row r="975" spans="1:17" x14ac:dyDescent="0.2">
      <c r="A975" s="4" t="str">
        <f ca="1">IF(B975=" "," ",HYPERLINK(CONCATENATE("#metadata!",ADDRESS(INDEX($J$2:$J$1001,MATCH(ROWS($H$2:H975),$H$2:$H$1001,0),0),1)),INDEX($M$2:$M$1001,MATCH(ROWS($H$2:H975),$H$2:$H$1001,0),0)))</f>
        <v xml:space="preserve"> </v>
      </c>
      <c r="B975" s="3" t="str">
        <f ca="1">IF(OR(INDEX($I$2:$I$1001,MATCH(ROWS($H$2:H975),$H$2:$H$1001,0),1)&gt;=100000,INDEX($O$1005:$Q$1005,1,MATCH(COLUMNS($O$1006:O1006),$O$1006:$Q$1006,0))&gt;=100000), " ",IF(INDEX($O$2:$Q$1001,MATCH(ROWS($H$2:H975),$H$2:$H$1001,0),MATCH(COLUMNS($O$1006:O1006),$O$1006:$Q$1006,0)), HYPERLINK("#",""), HYPERLINK(CONCATENATE("#metadata!", ADDRESS(INDEX($J$2:$J$1001,MATCH(ROWS($H$2:H975),$H$2:$H$1001,0),0), INDEX($O$1004:$Q$1004,1,MATCH(COLUMNS($O$1006:O1006),$O$1006:$Q$1006,0)))),"Fix")))</f>
        <v xml:space="preserve"> </v>
      </c>
      <c r="C975" s="3" t="str">
        <f ca="1">IF(OR(INDEX($I$2:$I$1001,MATCH(ROWS($H$2:H975),$H$2:$H$1001,0),1)&gt;=100000,INDEX($O$1005:$Q$1005,1,MATCH(COLUMNS($O$1006:P1006),$O$1006:$Q$1006,0))&gt;=100000), " ",IF(INDEX($O$2:$Q$1001,MATCH(ROWS($H$2:H975),$H$2:$H$1001,0),MATCH(COLUMNS($O$1006:P1006),$O$1006:$Q$1006,0)), HYPERLINK("#",""), HYPERLINK(CONCATENATE("#metadata!", ADDRESS(INDEX($J$2:$J$1001,MATCH(ROWS($H$2:H975),$H$2:$H$1001,0),0), INDEX($O$1004:$Q$1004,1,MATCH(COLUMNS($O$1006:P1006),$O$1006:$Q$1006,0)))),"Fix")))</f>
        <v xml:space="preserve"> </v>
      </c>
      <c r="D975" s="3" t="str">
        <f ca="1">IF(OR(INDEX($I$2:$I$1001,MATCH(ROWS($H$2:H975),$H$2:$H$1001,0),1)&gt;=100000,INDEX($O$1005:$Q$1005,1,MATCH(COLUMNS($O$1006:Q1006),$O$1006:$Q$1006,0))&gt;=100000), " ",IF(INDEX($O$2:$Q$1001,MATCH(ROWS($H$2:H975),$H$2:$H$1001,0),MATCH(COLUMNS($O$1006:Q1006),$O$1006:$Q$1006,0)), HYPERLINK("#",""), HYPERLINK(CONCATENATE("#metadata!", ADDRESS(INDEX($J$2:$J$1001,MATCH(ROWS($H$2:H975),$H$2:$H$1001,0),0), INDEX($O$1004:$Q$1004,1,MATCH(COLUMNS($O$1006:Q1006),$O$1006:$Q$1006,0)))),"Fix")))</f>
        <v xml:space="preserve"> </v>
      </c>
      <c r="H975">
        <v>974</v>
      </c>
      <c r="I975">
        <v>100975</v>
      </c>
      <c r="J975">
        <v>975</v>
      </c>
      <c r="K975" t="b">
        <f t="shared" si="15"/>
        <v>1</v>
      </c>
      <c r="L975" t="b">
        <f>COUNTBLANK(metadata!B975:D975)=COLUMNS(metadata!B975:D975)</f>
        <v>1</v>
      </c>
      <c r="M975" t="str">
        <v/>
      </c>
      <c r="O975" t="b">
        <f ca="1"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P975" t="b">
        <f>AND(IF(metadata!C975="",FALSE,TRUE),EXACT(metadata!C975,"mouse gut metagenome"))</f>
        <v>0</v>
      </c>
      <c r="Q975" t="b">
        <f>AND(IF(metadata!D975="",FALSE,TRUE),EXACT(metadata!D975,"410661"))</f>
        <v>0</v>
      </c>
    </row>
    <row r="976" spans="1:17" x14ac:dyDescent="0.2">
      <c r="A976" s="4" t="str">
        <f ca="1">IF(B976=" "," ",HYPERLINK(CONCATENATE("#metadata!",ADDRESS(INDEX($J$2:$J$1001,MATCH(ROWS($H$2:H976),$H$2:$H$1001,0),0),1)),INDEX($M$2:$M$1001,MATCH(ROWS($H$2:H976),$H$2:$H$1001,0),0)))</f>
        <v xml:space="preserve"> </v>
      </c>
      <c r="B976" s="3" t="str">
        <f ca="1">IF(OR(INDEX($I$2:$I$1001,MATCH(ROWS($H$2:H976),$H$2:$H$1001,0),1)&gt;=100000,INDEX($O$1005:$Q$1005,1,MATCH(COLUMNS($O$1006:O1006),$O$1006:$Q$1006,0))&gt;=100000), " ",IF(INDEX($O$2:$Q$1001,MATCH(ROWS($H$2:H976),$H$2:$H$1001,0),MATCH(COLUMNS($O$1006:O1006),$O$1006:$Q$1006,0)), HYPERLINK("#",""), HYPERLINK(CONCATENATE("#metadata!", ADDRESS(INDEX($J$2:$J$1001,MATCH(ROWS($H$2:H976),$H$2:$H$1001,0),0), INDEX($O$1004:$Q$1004,1,MATCH(COLUMNS($O$1006:O1006),$O$1006:$Q$1006,0)))),"Fix")))</f>
        <v xml:space="preserve"> </v>
      </c>
      <c r="C976" s="3" t="str">
        <f ca="1">IF(OR(INDEX($I$2:$I$1001,MATCH(ROWS($H$2:H976),$H$2:$H$1001,0),1)&gt;=100000,INDEX($O$1005:$Q$1005,1,MATCH(COLUMNS($O$1006:P1006),$O$1006:$Q$1006,0))&gt;=100000), " ",IF(INDEX($O$2:$Q$1001,MATCH(ROWS($H$2:H976),$H$2:$H$1001,0),MATCH(COLUMNS($O$1006:P1006),$O$1006:$Q$1006,0)), HYPERLINK("#",""), HYPERLINK(CONCATENATE("#metadata!", ADDRESS(INDEX($J$2:$J$1001,MATCH(ROWS($H$2:H976),$H$2:$H$1001,0),0), INDEX($O$1004:$Q$1004,1,MATCH(COLUMNS($O$1006:P1006),$O$1006:$Q$1006,0)))),"Fix")))</f>
        <v xml:space="preserve"> </v>
      </c>
      <c r="D976" s="3" t="str">
        <f ca="1">IF(OR(INDEX($I$2:$I$1001,MATCH(ROWS($H$2:H976),$H$2:$H$1001,0),1)&gt;=100000,INDEX($O$1005:$Q$1005,1,MATCH(COLUMNS($O$1006:Q1006),$O$1006:$Q$1006,0))&gt;=100000), " ",IF(INDEX($O$2:$Q$1001,MATCH(ROWS($H$2:H976),$H$2:$H$1001,0),MATCH(COLUMNS($O$1006:Q1006),$O$1006:$Q$1006,0)), HYPERLINK("#",""), HYPERLINK(CONCATENATE("#metadata!", ADDRESS(INDEX($J$2:$J$1001,MATCH(ROWS($H$2:H976),$H$2:$H$1001,0),0), INDEX($O$1004:$Q$1004,1,MATCH(COLUMNS($O$1006:Q1006),$O$1006:$Q$1006,0)))),"Fix")))</f>
        <v xml:space="preserve"> </v>
      </c>
      <c r="H976">
        <v>975</v>
      </c>
      <c r="I976">
        <v>100976</v>
      </c>
      <c r="J976">
        <v>976</v>
      </c>
      <c r="K976" t="b">
        <f t="shared" si="15"/>
        <v>1</v>
      </c>
      <c r="L976" t="b">
        <f>COUNTBLANK(metadata!B976:D976)=COLUMNS(metadata!B976:D976)</f>
        <v>1</v>
      </c>
      <c r="M976" t="str">
        <v/>
      </c>
      <c r="O976" t="b">
        <f ca="1"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P976" t="b">
        <f>AND(IF(metadata!C976="",FALSE,TRUE),EXACT(metadata!C976,"mouse gut metagenome"))</f>
        <v>0</v>
      </c>
      <c r="Q976" t="b">
        <f>AND(IF(metadata!D976="",FALSE,TRUE),EXACT(metadata!D976,"410661"))</f>
        <v>0</v>
      </c>
    </row>
    <row r="977" spans="1:17" x14ac:dyDescent="0.2">
      <c r="A977" s="4" t="str">
        <f ca="1">IF(B977=" "," ",HYPERLINK(CONCATENATE("#metadata!",ADDRESS(INDEX($J$2:$J$1001,MATCH(ROWS($H$2:H977),$H$2:$H$1001,0),0),1)),INDEX($M$2:$M$1001,MATCH(ROWS($H$2:H977),$H$2:$H$1001,0),0)))</f>
        <v xml:space="preserve"> </v>
      </c>
      <c r="B977" s="3" t="str">
        <f ca="1">IF(OR(INDEX($I$2:$I$1001,MATCH(ROWS($H$2:H977),$H$2:$H$1001,0),1)&gt;=100000,INDEX($O$1005:$Q$1005,1,MATCH(COLUMNS($O$1006:O1006),$O$1006:$Q$1006,0))&gt;=100000), " ",IF(INDEX($O$2:$Q$1001,MATCH(ROWS($H$2:H977),$H$2:$H$1001,0),MATCH(COLUMNS($O$1006:O1006),$O$1006:$Q$1006,0)), HYPERLINK("#",""), HYPERLINK(CONCATENATE("#metadata!", ADDRESS(INDEX($J$2:$J$1001,MATCH(ROWS($H$2:H977),$H$2:$H$1001,0),0), INDEX($O$1004:$Q$1004,1,MATCH(COLUMNS($O$1006:O1006),$O$1006:$Q$1006,0)))),"Fix")))</f>
        <v xml:space="preserve"> </v>
      </c>
      <c r="C977" s="3" t="str">
        <f ca="1">IF(OR(INDEX($I$2:$I$1001,MATCH(ROWS($H$2:H977),$H$2:$H$1001,0),1)&gt;=100000,INDEX($O$1005:$Q$1005,1,MATCH(COLUMNS($O$1006:P1006),$O$1006:$Q$1006,0))&gt;=100000), " ",IF(INDEX($O$2:$Q$1001,MATCH(ROWS($H$2:H977),$H$2:$H$1001,0),MATCH(COLUMNS($O$1006:P1006),$O$1006:$Q$1006,0)), HYPERLINK("#",""), HYPERLINK(CONCATENATE("#metadata!", ADDRESS(INDEX($J$2:$J$1001,MATCH(ROWS($H$2:H977),$H$2:$H$1001,0),0), INDEX($O$1004:$Q$1004,1,MATCH(COLUMNS($O$1006:P1006),$O$1006:$Q$1006,0)))),"Fix")))</f>
        <v xml:space="preserve"> </v>
      </c>
      <c r="D977" s="3" t="str">
        <f ca="1">IF(OR(INDEX($I$2:$I$1001,MATCH(ROWS($H$2:H977),$H$2:$H$1001,0),1)&gt;=100000,INDEX($O$1005:$Q$1005,1,MATCH(COLUMNS($O$1006:Q1006),$O$1006:$Q$1006,0))&gt;=100000), " ",IF(INDEX($O$2:$Q$1001,MATCH(ROWS($H$2:H977),$H$2:$H$1001,0),MATCH(COLUMNS($O$1006:Q1006),$O$1006:$Q$1006,0)), HYPERLINK("#",""), HYPERLINK(CONCATENATE("#metadata!", ADDRESS(INDEX($J$2:$J$1001,MATCH(ROWS($H$2:H977),$H$2:$H$1001,0),0), INDEX($O$1004:$Q$1004,1,MATCH(COLUMNS($O$1006:Q1006),$O$1006:$Q$1006,0)))),"Fix")))</f>
        <v xml:space="preserve"> </v>
      </c>
      <c r="H977">
        <v>976</v>
      </c>
      <c r="I977">
        <v>100977</v>
      </c>
      <c r="J977">
        <v>977</v>
      </c>
      <c r="K977" t="b">
        <f t="shared" si="15"/>
        <v>1</v>
      </c>
      <c r="L977" t="b">
        <f>COUNTBLANK(metadata!B977:D977)=COLUMNS(metadata!B977:D977)</f>
        <v>1</v>
      </c>
      <c r="M977" t="str">
        <v/>
      </c>
      <c r="O977" t="b">
        <f ca="1"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P977" t="b">
        <f>AND(IF(metadata!C977="",FALSE,TRUE),EXACT(metadata!C977,"mouse gut metagenome"))</f>
        <v>0</v>
      </c>
      <c r="Q977" t="b">
        <f>AND(IF(metadata!D977="",FALSE,TRUE),EXACT(metadata!D977,"410661"))</f>
        <v>0</v>
      </c>
    </row>
    <row r="978" spans="1:17" x14ac:dyDescent="0.2">
      <c r="A978" s="4" t="str">
        <f ca="1">IF(B978=" "," ",HYPERLINK(CONCATENATE("#metadata!",ADDRESS(INDEX($J$2:$J$1001,MATCH(ROWS($H$2:H978),$H$2:$H$1001,0),0),1)),INDEX($M$2:$M$1001,MATCH(ROWS($H$2:H978),$H$2:$H$1001,0),0)))</f>
        <v xml:space="preserve"> </v>
      </c>
      <c r="B978" s="3" t="str">
        <f ca="1">IF(OR(INDEX($I$2:$I$1001,MATCH(ROWS($H$2:H978),$H$2:$H$1001,0),1)&gt;=100000,INDEX($O$1005:$Q$1005,1,MATCH(COLUMNS($O$1006:O1006),$O$1006:$Q$1006,0))&gt;=100000), " ",IF(INDEX($O$2:$Q$1001,MATCH(ROWS($H$2:H978),$H$2:$H$1001,0),MATCH(COLUMNS($O$1006:O1006),$O$1006:$Q$1006,0)), HYPERLINK("#",""), HYPERLINK(CONCATENATE("#metadata!", ADDRESS(INDEX($J$2:$J$1001,MATCH(ROWS($H$2:H978),$H$2:$H$1001,0),0), INDEX($O$1004:$Q$1004,1,MATCH(COLUMNS($O$1006:O1006),$O$1006:$Q$1006,0)))),"Fix")))</f>
        <v xml:space="preserve"> </v>
      </c>
      <c r="C978" s="3" t="str">
        <f ca="1">IF(OR(INDEX($I$2:$I$1001,MATCH(ROWS($H$2:H978),$H$2:$H$1001,0),1)&gt;=100000,INDEX($O$1005:$Q$1005,1,MATCH(COLUMNS($O$1006:P1006),$O$1006:$Q$1006,0))&gt;=100000), " ",IF(INDEX($O$2:$Q$1001,MATCH(ROWS($H$2:H978),$H$2:$H$1001,0),MATCH(COLUMNS($O$1006:P1006),$O$1006:$Q$1006,0)), HYPERLINK("#",""), HYPERLINK(CONCATENATE("#metadata!", ADDRESS(INDEX($J$2:$J$1001,MATCH(ROWS($H$2:H978),$H$2:$H$1001,0),0), INDEX($O$1004:$Q$1004,1,MATCH(COLUMNS($O$1006:P1006),$O$1006:$Q$1006,0)))),"Fix")))</f>
        <v xml:space="preserve"> </v>
      </c>
      <c r="D978" s="3" t="str">
        <f ca="1">IF(OR(INDEX($I$2:$I$1001,MATCH(ROWS($H$2:H978),$H$2:$H$1001,0),1)&gt;=100000,INDEX($O$1005:$Q$1005,1,MATCH(COLUMNS($O$1006:Q1006),$O$1006:$Q$1006,0))&gt;=100000), " ",IF(INDEX($O$2:$Q$1001,MATCH(ROWS($H$2:H978),$H$2:$H$1001,0),MATCH(COLUMNS($O$1006:Q1006),$O$1006:$Q$1006,0)), HYPERLINK("#",""), HYPERLINK(CONCATENATE("#metadata!", ADDRESS(INDEX($J$2:$J$1001,MATCH(ROWS($H$2:H978),$H$2:$H$1001,0),0), INDEX($O$1004:$Q$1004,1,MATCH(COLUMNS($O$1006:Q1006),$O$1006:$Q$1006,0)))),"Fix")))</f>
        <v xml:space="preserve"> </v>
      </c>
      <c r="H978">
        <v>977</v>
      </c>
      <c r="I978">
        <v>100978</v>
      </c>
      <c r="J978">
        <v>978</v>
      </c>
      <c r="K978" t="b">
        <f t="shared" si="15"/>
        <v>1</v>
      </c>
      <c r="L978" t="b">
        <f>COUNTBLANK(metadata!B978:D978)=COLUMNS(metadata!B978:D978)</f>
        <v>1</v>
      </c>
      <c r="M978" t="str">
        <v/>
      </c>
      <c r="O978" t="b">
        <f ca="1"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P978" t="b">
        <f>AND(IF(metadata!C978="",FALSE,TRUE),EXACT(metadata!C978,"mouse gut metagenome"))</f>
        <v>0</v>
      </c>
      <c r="Q978" t="b">
        <f>AND(IF(metadata!D978="",FALSE,TRUE),EXACT(metadata!D978,"410661"))</f>
        <v>0</v>
      </c>
    </row>
    <row r="979" spans="1:17" x14ac:dyDescent="0.2">
      <c r="A979" s="4" t="str">
        <f ca="1">IF(B979=" "," ",HYPERLINK(CONCATENATE("#metadata!",ADDRESS(INDEX($J$2:$J$1001,MATCH(ROWS($H$2:H979),$H$2:$H$1001,0),0),1)),INDEX($M$2:$M$1001,MATCH(ROWS($H$2:H979),$H$2:$H$1001,0),0)))</f>
        <v xml:space="preserve"> </v>
      </c>
      <c r="B979" s="3" t="str">
        <f ca="1">IF(OR(INDEX($I$2:$I$1001,MATCH(ROWS($H$2:H979),$H$2:$H$1001,0),1)&gt;=100000,INDEX($O$1005:$Q$1005,1,MATCH(COLUMNS($O$1006:O1006),$O$1006:$Q$1006,0))&gt;=100000), " ",IF(INDEX($O$2:$Q$1001,MATCH(ROWS($H$2:H979),$H$2:$H$1001,0),MATCH(COLUMNS($O$1006:O1006),$O$1006:$Q$1006,0)), HYPERLINK("#",""), HYPERLINK(CONCATENATE("#metadata!", ADDRESS(INDEX($J$2:$J$1001,MATCH(ROWS($H$2:H979),$H$2:$H$1001,0),0), INDEX($O$1004:$Q$1004,1,MATCH(COLUMNS($O$1006:O1006),$O$1006:$Q$1006,0)))),"Fix")))</f>
        <v xml:space="preserve"> </v>
      </c>
      <c r="C979" s="3" t="str">
        <f ca="1">IF(OR(INDEX($I$2:$I$1001,MATCH(ROWS($H$2:H979),$H$2:$H$1001,0),1)&gt;=100000,INDEX($O$1005:$Q$1005,1,MATCH(COLUMNS($O$1006:P1006),$O$1006:$Q$1006,0))&gt;=100000), " ",IF(INDEX($O$2:$Q$1001,MATCH(ROWS($H$2:H979),$H$2:$H$1001,0),MATCH(COLUMNS($O$1006:P1006),$O$1006:$Q$1006,0)), HYPERLINK("#",""), HYPERLINK(CONCATENATE("#metadata!", ADDRESS(INDEX($J$2:$J$1001,MATCH(ROWS($H$2:H979),$H$2:$H$1001,0),0), INDEX($O$1004:$Q$1004,1,MATCH(COLUMNS($O$1006:P1006),$O$1006:$Q$1006,0)))),"Fix")))</f>
        <v xml:space="preserve"> </v>
      </c>
      <c r="D979" s="3" t="str">
        <f ca="1">IF(OR(INDEX($I$2:$I$1001,MATCH(ROWS($H$2:H979),$H$2:$H$1001,0),1)&gt;=100000,INDEX($O$1005:$Q$1005,1,MATCH(COLUMNS($O$1006:Q1006),$O$1006:$Q$1006,0))&gt;=100000), " ",IF(INDEX($O$2:$Q$1001,MATCH(ROWS($H$2:H979),$H$2:$H$1001,0),MATCH(COLUMNS($O$1006:Q1006),$O$1006:$Q$1006,0)), HYPERLINK("#",""), HYPERLINK(CONCATENATE("#metadata!", ADDRESS(INDEX($J$2:$J$1001,MATCH(ROWS($H$2:H979),$H$2:$H$1001,0),0), INDEX($O$1004:$Q$1004,1,MATCH(COLUMNS($O$1006:Q1006),$O$1006:$Q$1006,0)))),"Fix")))</f>
        <v xml:space="preserve"> </v>
      </c>
      <c r="H979">
        <v>978</v>
      </c>
      <c r="I979">
        <v>100979</v>
      </c>
      <c r="J979">
        <v>979</v>
      </c>
      <c r="K979" t="b">
        <f t="shared" si="15"/>
        <v>1</v>
      </c>
      <c r="L979" t="b">
        <f>COUNTBLANK(metadata!B979:D979)=COLUMNS(metadata!B979:D979)</f>
        <v>1</v>
      </c>
      <c r="M979" t="str">
        <v/>
      </c>
      <c r="O979" t="b">
        <f ca="1"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P979" t="b">
        <f>AND(IF(metadata!C979="",FALSE,TRUE),EXACT(metadata!C979,"mouse gut metagenome"))</f>
        <v>0</v>
      </c>
      <c r="Q979" t="b">
        <f>AND(IF(metadata!D979="",FALSE,TRUE),EXACT(metadata!D979,"410661"))</f>
        <v>0</v>
      </c>
    </row>
    <row r="980" spans="1:17" x14ac:dyDescent="0.2">
      <c r="A980" s="4" t="str">
        <f ca="1">IF(B980=" "," ",HYPERLINK(CONCATENATE("#metadata!",ADDRESS(INDEX($J$2:$J$1001,MATCH(ROWS($H$2:H980),$H$2:$H$1001,0),0),1)),INDEX($M$2:$M$1001,MATCH(ROWS($H$2:H980),$H$2:$H$1001,0),0)))</f>
        <v xml:space="preserve"> </v>
      </c>
      <c r="B980" s="3" t="str">
        <f ca="1">IF(OR(INDEX($I$2:$I$1001,MATCH(ROWS($H$2:H980),$H$2:$H$1001,0),1)&gt;=100000,INDEX($O$1005:$Q$1005,1,MATCH(COLUMNS($O$1006:O1006),$O$1006:$Q$1006,0))&gt;=100000), " ",IF(INDEX($O$2:$Q$1001,MATCH(ROWS($H$2:H980),$H$2:$H$1001,0),MATCH(COLUMNS($O$1006:O1006),$O$1006:$Q$1006,0)), HYPERLINK("#",""), HYPERLINK(CONCATENATE("#metadata!", ADDRESS(INDEX($J$2:$J$1001,MATCH(ROWS($H$2:H980),$H$2:$H$1001,0),0), INDEX($O$1004:$Q$1004,1,MATCH(COLUMNS($O$1006:O1006),$O$1006:$Q$1006,0)))),"Fix")))</f>
        <v xml:space="preserve"> </v>
      </c>
      <c r="C980" s="3" t="str">
        <f ca="1">IF(OR(INDEX($I$2:$I$1001,MATCH(ROWS($H$2:H980),$H$2:$H$1001,0),1)&gt;=100000,INDEX($O$1005:$Q$1005,1,MATCH(COLUMNS($O$1006:P1006),$O$1006:$Q$1006,0))&gt;=100000), " ",IF(INDEX($O$2:$Q$1001,MATCH(ROWS($H$2:H980),$H$2:$H$1001,0),MATCH(COLUMNS($O$1006:P1006),$O$1006:$Q$1006,0)), HYPERLINK("#",""), HYPERLINK(CONCATENATE("#metadata!", ADDRESS(INDEX($J$2:$J$1001,MATCH(ROWS($H$2:H980),$H$2:$H$1001,0),0), INDEX($O$1004:$Q$1004,1,MATCH(COLUMNS($O$1006:P1006),$O$1006:$Q$1006,0)))),"Fix")))</f>
        <v xml:space="preserve"> </v>
      </c>
      <c r="D980" s="3" t="str">
        <f ca="1">IF(OR(INDEX($I$2:$I$1001,MATCH(ROWS($H$2:H980),$H$2:$H$1001,0),1)&gt;=100000,INDEX($O$1005:$Q$1005,1,MATCH(COLUMNS($O$1006:Q1006),$O$1006:$Q$1006,0))&gt;=100000), " ",IF(INDEX($O$2:$Q$1001,MATCH(ROWS($H$2:H980),$H$2:$H$1001,0),MATCH(COLUMNS($O$1006:Q1006),$O$1006:$Q$1006,0)), HYPERLINK("#",""), HYPERLINK(CONCATENATE("#metadata!", ADDRESS(INDEX($J$2:$J$1001,MATCH(ROWS($H$2:H980),$H$2:$H$1001,0),0), INDEX($O$1004:$Q$1004,1,MATCH(COLUMNS($O$1006:Q1006),$O$1006:$Q$1006,0)))),"Fix")))</f>
        <v xml:space="preserve"> </v>
      </c>
      <c r="H980">
        <v>979</v>
      </c>
      <c r="I980">
        <v>100980</v>
      </c>
      <c r="J980">
        <v>980</v>
      </c>
      <c r="K980" t="b">
        <f t="shared" si="15"/>
        <v>1</v>
      </c>
      <c r="L980" t="b">
        <f>COUNTBLANK(metadata!B980:D980)=COLUMNS(metadata!B980:D980)</f>
        <v>1</v>
      </c>
      <c r="M980" t="str">
        <v/>
      </c>
      <c r="O980" t="b">
        <f ca="1"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P980" t="b">
        <f>AND(IF(metadata!C980="",FALSE,TRUE),EXACT(metadata!C980,"mouse gut metagenome"))</f>
        <v>0</v>
      </c>
      <c r="Q980" t="b">
        <f>AND(IF(metadata!D980="",FALSE,TRUE),EXACT(metadata!D980,"410661"))</f>
        <v>0</v>
      </c>
    </row>
    <row r="981" spans="1:17" x14ac:dyDescent="0.2">
      <c r="A981" s="4" t="str">
        <f ca="1">IF(B981=" "," ",HYPERLINK(CONCATENATE("#metadata!",ADDRESS(INDEX($J$2:$J$1001,MATCH(ROWS($H$2:H981),$H$2:$H$1001,0),0),1)),INDEX($M$2:$M$1001,MATCH(ROWS($H$2:H981),$H$2:$H$1001,0),0)))</f>
        <v xml:space="preserve"> </v>
      </c>
      <c r="B981" s="3" t="str">
        <f ca="1">IF(OR(INDEX($I$2:$I$1001,MATCH(ROWS($H$2:H981),$H$2:$H$1001,0),1)&gt;=100000,INDEX($O$1005:$Q$1005,1,MATCH(COLUMNS($O$1006:O1006),$O$1006:$Q$1006,0))&gt;=100000), " ",IF(INDEX($O$2:$Q$1001,MATCH(ROWS($H$2:H981),$H$2:$H$1001,0),MATCH(COLUMNS($O$1006:O1006),$O$1006:$Q$1006,0)), HYPERLINK("#",""), HYPERLINK(CONCATENATE("#metadata!", ADDRESS(INDEX($J$2:$J$1001,MATCH(ROWS($H$2:H981),$H$2:$H$1001,0),0), INDEX($O$1004:$Q$1004,1,MATCH(COLUMNS($O$1006:O1006),$O$1006:$Q$1006,0)))),"Fix")))</f>
        <v xml:space="preserve"> </v>
      </c>
      <c r="C981" s="3" t="str">
        <f ca="1">IF(OR(INDEX($I$2:$I$1001,MATCH(ROWS($H$2:H981),$H$2:$H$1001,0),1)&gt;=100000,INDEX($O$1005:$Q$1005,1,MATCH(COLUMNS($O$1006:P1006),$O$1006:$Q$1006,0))&gt;=100000), " ",IF(INDEX($O$2:$Q$1001,MATCH(ROWS($H$2:H981),$H$2:$H$1001,0),MATCH(COLUMNS($O$1006:P1006),$O$1006:$Q$1006,0)), HYPERLINK("#",""), HYPERLINK(CONCATENATE("#metadata!", ADDRESS(INDEX($J$2:$J$1001,MATCH(ROWS($H$2:H981),$H$2:$H$1001,0),0), INDEX($O$1004:$Q$1004,1,MATCH(COLUMNS($O$1006:P1006),$O$1006:$Q$1006,0)))),"Fix")))</f>
        <v xml:space="preserve"> </v>
      </c>
      <c r="D981" s="3" t="str">
        <f ca="1">IF(OR(INDEX($I$2:$I$1001,MATCH(ROWS($H$2:H981),$H$2:$H$1001,0),1)&gt;=100000,INDEX($O$1005:$Q$1005,1,MATCH(COLUMNS($O$1006:Q1006),$O$1006:$Q$1006,0))&gt;=100000), " ",IF(INDEX($O$2:$Q$1001,MATCH(ROWS($H$2:H981),$H$2:$H$1001,0),MATCH(COLUMNS($O$1006:Q1006),$O$1006:$Q$1006,0)), HYPERLINK("#",""), HYPERLINK(CONCATENATE("#metadata!", ADDRESS(INDEX($J$2:$J$1001,MATCH(ROWS($H$2:H981),$H$2:$H$1001,0),0), INDEX($O$1004:$Q$1004,1,MATCH(COLUMNS($O$1006:Q1006),$O$1006:$Q$1006,0)))),"Fix")))</f>
        <v xml:space="preserve"> </v>
      </c>
      <c r="H981">
        <v>980</v>
      </c>
      <c r="I981">
        <v>100981</v>
      </c>
      <c r="J981">
        <v>981</v>
      </c>
      <c r="K981" t="b">
        <f t="shared" si="15"/>
        <v>1</v>
      </c>
      <c r="L981" t="b">
        <f>COUNTBLANK(metadata!B981:D981)=COLUMNS(metadata!B981:D981)</f>
        <v>1</v>
      </c>
      <c r="M981" t="str">
        <v/>
      </c>
      <c r="O981" t="b">
        <f ca="1"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P981" t="b">
        <f>AND(IF(metadata!C981="",FALSE,TRUE),EXACT(metadata!C981,"mouse gut metagenome"))</f>
        <v>0</v>
      </c>
      <c r="Q981" t="b">
        <f>AND(IF(metadata!D981="",FALSE,TRUE),EXACT(metadata!D981,"410661"))</f>
        <v>0</v>
      </c>
    </row>
    <row r="982" spans="1:17" x14ac:dyDescent="0.2">
      <c r="A982" s="4" t="str">
        <f ca="1">IF(B982=" "," ",HYPERLINK(CONCATENATE("#metadata!",ADDRESS(INDEX($J$2:$J$1001,MATCH(ROWS($H$2:H982),$H$2:$H$1001,0),0),1)),INDEX($M$2:$M$1001,MATCH(ROWS($H$2:H982),$H$2:$H$1001,0),0)))</f>
        <v xml:space="preserve"> </v>
      </c>
      <c r="B982" s="3" t="str">
        <f ca="1">IF(OR(INDEX($I$2:$I$1001,MATCH(ROWS($H$2:H982),$H$2:$H$1001,0),1)&gt;=100000,INDEX($O$1005:$Q$1005,1,MATCH(COLUMNS($O$1006:O1006),$O$1006:$Q$1006,0))&gt;=100000), " ",IF(INDEX($O$2:$Q$1001,MATCH(ROWS($H$2:H982),$H$2:$H$1001,0),MATCH(COLUMNS($O$1006:O1006),$O$1006:$Q$1006,0)), HYPERLINK("#",""), HYPERLINK(CONCATENATE("#metadata!", ADDRESS(INDEX($J$2:$J$1001,MATCH(ROWS($H$2:H982),$H$2:$H$1001,0),0), INDEX($O$1004:$Q$1004,1,MATCH(COLUMNS($O$1006:O1006),$O$1006:$Q$1006,0)))),"Fix")))</f>
        <v xml:space="preserve"> </v>
      </c>
      <c r="C982" s="3" t="str">
        <f ca="1">IF(OR(INDEX($I$2:$I$1001,MATCH(ROWS($H$2:H982),$H$2:$H$1001,0),1)&gt;=100000,INDEX($O$1005:$Q$1005,1,MATCH(COLUMNS($O$1006:P1006),$O$1006:$Q$1006,0))&gt;=100000), " ",IF(INDEX($O$2:$Q$1001,MATCH(ROWS($H$2:H982),$H$2:$H$1001,0),MATCH(COLUMNS($O$1006:P1006),$O$1006:$Q$1006,0)), HYPERLINK("#",""), HYPERLINK(CONCATENATE("#metadata!", ADDRESS(INDEX($J$2:$J$1001,MATCH(ROWS($H$2:H982),$H$2:$H$1001,0),0), INDEX($O$1004:$Q$1004,1,MATCH(COLUMNS($O$1006:P1006),$O$1006:$Q$1006,0)))),"Fix")))</f>
        <v xml:space="preserve"> </v>
      </c>
      <c r="D982" s="3" t="str">
        <f ca="1">IF(OR(INDEX($I$2:$I$1001,MATCH(ROWS($H$2:H982),$H$2:$H$1001,0),1)&gt;=100000,INDEX($O$1005:$Q$1005,1,MATCH(COLUMNS($O$1006:Q1006),$O$1006:$Q$1006,0))&gt;=100000), " ",IF(INDEX($O$2:$Q$1001,MATCH(ROWS($H$2:H982),$H$2:$H$1001,0),MATCH(COLUMNS($O$1006:Q1006),$O$1006:$Q$1006,0)), HYPERLINK("#",""), HYPERLINK(CONCATENATE("#metadata!", ADDRESS(INDEX($J$2:$J$1001,MATCH(ROWS($H$2:H982),$H$2:$H$1001,0),0), INDEX($O$1004:$Q$1004,1,MATCH(COLUMNS($O$1006:Q1006),$O$1006:$Q$1006,0)))),"Fix")))</f>
        <v xml:space="preserve"> </v>
      </c>
      <c r="H982">
        <v>981</v>
      </c>
      <c r="I982">
        <v>100982</v>
      </c>
      <c r="J982">
        <v>982</v>
      </c>
      <c r="K982" t="b">
        <f t="shared" si="15"/>
        <v>1</v>
      </c>
      <c r="L982" t="b">
        <f>COUNTBLANK(metadata!B982:D982)=COLUMNS(metadata!B982:D982)</f>
        <v>1</v>
      </c>
      <c r="M982" t="str">
        <v/>
      </c>
      <c r="O982" t="b">
        <f ca="1"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P982" t="b">
        <f>AND(IF(metadata!C982="",FALSE,TRUE),EXACT(metadata!C982,"mouse gut metagenome"))</f>
        <v>0</v>
      </c>
      <c r="Q982" t="b">
        <f>AND(IF(metadata!D982="",FALSE,TRUE),EXACT(metadata!D982,"410661"))</f>
        <v>0</v>
      </c>
    </row>
    <row r="983" spans="1:17" x14ac:dyDescent="0.2">
      <c r="A983" s="4" t="str">
        <f ca="1">IF(B983=" "," ",HYPERLINK(CONCATENATE("#metadata!",ADDRESS(INDEX($J$2:$J$1001,MATCH(ROWS($H$2:H983),$H$2:$H$1001,0),0),1)),INDEX($M$2:$M$1001,MATCH(ROWS($H$2:H983),$H$2:$H$1001,0),0)))</f>
        <v xml:space="preserve"> </v>
      </c>
      <c r="B983" s="3" t="str">
        <f ca="1">IF(OR(INDEX($I$2:$I$1001,MATCH(ROWS($H$2:H983),$H$2:$H$1001,0),1)&gt;=100000,INDEX($O$1005:$Q$1005,1,MATCH(COLUMNS($O$1006:O1006),$O$1006:$Q$1006,0))&gt;=100000), " ",IF(INDEX($O$2:$Q$1001,MATCH(ROWS($H$2:H983),$H$2:$H$1001,0),MATCH(COLUMNS($O$1006:O1006),$O$1006:$Q$1006,0)), HYPERLINK("#",""), HYPERLINK(CONCATENATE("#metadata!", ADDRESS(INDEX($J$2:$J$1001,MATCH(ROWS($H$2:H983),$H$2:$H$1001,0),0), INDEX($O$1004:$Q$1004,1,MATCH(COLUMNS($O$1006:O1006),$O$1006:$Q$1006,0)))),"Fix")))</f>
        <v xml:space="preserve"> </v>
      </c>
      <c r="C983" s="3" t="str">
        <f ca="1">IF(OR(INDEX($I$2:$I$1001,MATCH(ROWS($H$2:H983),$H$2:$H$1001,0),1)&gt;=100000,INDEX($O$1005:$Q$1005,1,MATCH(COLUMNS($O$1006:P1006),$O$1006:$Q$1006,0))&gt;=100000), " ",IF(INDEX($O$2:$Q$1001,MATCH(ROWS($H$2:H983),$H$2:$H$1001,0),MATCH(COLUMNS($O$1006:P1006),$O$1006:$Q$1006,0)), HYPERLINK("#",""), HYPERLINK(CONCATENATE("#metadata!", ADDRESS(INDEX($J$2:$J$1001,MATCH(ROWS($H$2:H983),$H$2:$H$1001,0),0), INDEX($O$1004:$Q$1004,1,MATCH(COLUMNS($O$1006:P1006),$O$1006:$Q$1006,0)))),"Fix")))</f>
        <v xml:space="preserve"> </v>
      </c>
      <c r="D983" s="3" t="str">
        <f ca="1">IF(OR(INDEX($I$2:$I$1001,MATCH(ROWS($H$2:H983),$H$2:$H$1001,0),1)&gt;=100000,INDEX($O$1005:$Q$1005,1,MATCH(COLUMNS($O$1006:Q1006),$O$1006:$Q$1006,0))&gt;=100000), " ",IF(INDEX($O$2:$Q$1001,MATCH(ROWS($H$2:H983),$H$2:$H$1001,0),MATCH(COLUMNS($O$1006:Q1006),$O$1006:$Q$1006,0)), HYPERLINK("#",""), HYPERLINK(CONCATENATE("#metadata!", ADDRESS(INDEX($J$2:$J$1001,MATCH(ROWS($H$2:H983),$H$2:$H$1001,0),0), INDEX($O$1004:$Q$1004,1,MATCH(COLUMNS($O$1006:Q1006),$O$1006:$Q$1006,0)))),"Fix")))</f>
        <v xml:space="preserve"> </v>
      </c>
      <c r="H983">
        <v>982</v>
      </c>
      <c r="I983">
        <v>100983</v>
      </c>
      <c r="J983">
        <v>983</v>
      </c>
      <c r="K983" t="b">
        <f t="shared" si="15"/>
        <v>1</v>
      </c>
      <c r="L983" t="b">
        <f>COUNTBLANK(metadata!B983:D983)=COLUMNS(metadata!B983:D983)</f>
        <v>1</v>
      </c>
      <c r="M983" t="str">
        <v/>
      </c>
      <c r="O983" t="b">
        <f ca="1"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P983" t="b">
        <f>AND(IF(metadata!C983="",FALSE,TRUE),EXACT(metadata!C983,"mouse gut metagenome"))</f>
        <v>0</v>
      </c>
      <c r="Q983" t="b">
        <f>AND(IF(metadata!D983="",FALSE,TRUE),EXACT(metadata!D983,"410661"))</f>
        <v>0</v>
      </c>
    </row>
    <row r="984" spans="1:17" x14ac:dyDescent="0.2">
      <c r="A984" s="4" t="str">
        <f ca="1">IF(B984=" "," ",HYPERLINK(CONCATENATE("#metadata!",ADDRESS(INDEX($J$2:$J$1001,MATCH(ROWS($H$2:H984),$H$2:$H$1001,0),0),1)),INDEX($M$2:$M$1001,MATCH(ROWS($H$2:H984),$H$2:$H$1001,0),0)))</f>
        <v xml:space="preserve"> </v>
      </c>
      <c r="B984" s="3" t="str">
        <f ca="1">IF(OR(INDEX($I$2:$I$1001,MATCH(ROWS($H$2:H984),$H$2:$H$1001,0),1)&gt;=100000,INDEX($O$1005:$Q$1005,1,MATCH(COLUMNS($O$1006:O1006),$O$1006:$Q$1006,0))&gt;=100000), " ",IF(INDEX($O$2:$Q$1001,MATCH(ROWS($H$2:H984),$H$2:$H$1001,0),MATCH(COLUMNS($O$1006:O1006),$O$1006:$Q$1006,0)), HYPERLINK("#",""), HYPERLINK(CONCATENATE("#metadata!", ADDRESS(INDEX($J$2:$J$1001,MATCH(ROWS($H$2:H984),$H$2:$H$1001,0),0), INDEX($O$1004:$Q$1004,1,MATCH(COLUMNS($O$1006:O1006),$O$1006:$Q$1006,0)))),"Fix")))</f>
        <v xml:space="preserve"> </v>
      </c>
      <c r="C984" s="3" t="str">
        <f ca="1">IF(OR(INDEX($I$2:$I$1001,MATCH(ROWS($H$2:H984),$H$2:$H$1001,0),1)&gt;=100000,INDEX($O$1005:$Q$1005,1,MATCH(COLUMNS($O$1006:P1006),$O$1006:$Q$1006,0))&gt;=100000), " ",IF(INDEX($O$2:$Q$1001,MATCH(ROWS($H$2:H984),$H$2:$H$1001,0),MATCH(COLUMNS($O$1006:P1006),$O$1006:$Q$1006,0)), HYPERLINK("#",""), HYPERLINK(CONCATENATE("#metadata!", ADDRESS(INDEX($J$2:$J$1001,MATCH(ROWS($H$2:H984),$H$2:$H$1001,0),0), INDEX($O$1004:$Q$1004,1,MATCH(COLUMNS($O$1006:P1006),$O$1006:$Q$1006,0)))),"Fix")))</f>
        <v xml:space="preserve"> </v>
      </c>
      <c r="D984" s="3" t="str">
        <f ca="1">IF(OR(INDEX($I$2:$I$1001,MATCH(ROWS($H$2:H984),$H$2:$H$1001,0),1)&gt;=100000,INDEX($O$1005:$Q$1005,1,MATCH(COLUMNS($O$1006:Q1006),$O$1006:$Q$1006,0))&gt;=100000), " ",IF(INDEX($O$2:$Q$1001,MATCH(ROWS($H$2:H984),$H$2:$H$1001,0),MATCH(COLUMNS($O$1006:Q1006),$O$1006:$Q$1006,0)), HYPERLINK("#",""), HYPERLINK(CONCATENATE("#metadata!", ADDRESS(INDEX($J$2:$J$1001,MATCH(ROWS($H$2:H984),$H$2:$H$1001,0),0), INDEX($O$1004:$Q$1004,1,MATCH(COLUMNS($O$1006:Q1006),$O$1006:$Q$1006,0)))),"Fix")))</f>
        <v xml:space="preserve"> </v>
      </c>
      <c r="H984">
        <v>983</v>
      </c>
      <c r="I984">
        <v>100984</v>
      </c>
      <c r="J984">
        <v>984</v>
      </c>
      <c r="K984" t="b">
        <f t="shared" si="15"/>
        <v>1</v>
      </c>
      <c r="L984" t="b">
        <f>COUNTBLANK(metadata!B984:D984)=COLUMNS(metadata!B984:D984)</f>
        <v>1</v>
      </c>
      <c r="M984" t="str">
        <v/>
      </c>
      <c r="O984" t="b">
        <f ca="1"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P984" t="b">
        <f>AND(IF(metadata!C984="",FALSE,TRUE),EXACT(metadata!C984,"mouse gut metagenome"))</f>
        <v>0</v>
      </c>
      <c r="Q984" t="b">
        <f>AND(IF(metadata!D984="",FALSE,TRUE),EXACT(metadata!D984,"410661"))</f>
        <v>0</v>
      </c>
    </row>
    <row r="985" spans="1:17" x14ac:dyDescent="0.2">
      <c r="A985" s="4" t="str">
        <f ca="1">IF(B985=" "," ",HYPERLINK(CONCATENATE("#metadata!",ADDRESS(INDEX($J$2:$J$1001,MATCH(ROWS($H$2:H985),$H$2:$H$1001,0),0),1)),INDEX($M$2:$M$1001,MATCH(ROWS($H$2:H985),$H$2:$H$1001,0),0)))</f>
        <v xml:space="preserve"> </v>
      </c>
      <c r="B985" s="3" t="str">
        <f ca="1">IF(OR(INDEX($I$2:$I$1001,MATCH(ROWS($H$2:H985),$H$2:$H$1001,0),1)&gt;=100000,INDEX($O$1005:$Q$1005,1,MATCH(COLUMNS($O$1006:O1006),$O$1006:$Q$1006,0))&gt;=100000), " ",IF(INDEX($O$2:$Q$1001,MATCH(ROWS($H$2:H985),$H$2:$H$1001,0),MATCH(COLUMNS($O$1006:O1006),$O$1006:$Q$1006,0)), HYPERLINK("#",""), HYPERLINK(CONCATENATE("#metadata!", ADDRESS(INDEX($J$2:$J$1001,MATCH(ROWS($H$2:H985),$H$2:$H$1001,0),0), INDEX($O$1004:$Q$1004,1,MATCH(COLUMNS($O$1006:O1006),$O$1006:$Q$1006,0)))),"Fix")))</f>
        <v xml:space="preserve"> </v>
      </c>
      <c r="C985" s="3" t="str">
        <f ca="1">IF(OR(INDEX($I$2:$I$1001,MATCH(ROWS($H$2:H985),$H$2:$H$1001,0),1)&gt;=100000,INDEX($O$1005:$Q$1005,1,MATCH(COLUMNS($O$1006:P1006),$O$1006:$Q$1006,0))&gt;=100000), " ",IF(INDEX($O$2:$Q$1001,MATCH(ROWS($H$2:H985),$H$2:$H$1001,0),MATCH(COLUMNS($O$1006:P1006),$O$1006:$Q$1006,0)), HYPERLINK("#",""), HYPERLINK(CONCATENATE("#metadata!", ADDRESS(INDEX($J$2:$J$1001,MATCH(ROWS($H$2:H985),$H$2:$H$1001,0),0), INDEX($O$1004:$Q$1004,1,MATCH(COLUMNS($O$1006:P1006),$O$1006:$Q$1006,0)))),"Fix")))</f>
        <v xml:space="preserve"> </v>
      </c>
      <c r="D985" s="3" t="str">
        <f ca="1">IF(OR(INDEX($I$2:$I$1001,MATCH(ROWS($H$2:H985),$H$2:$H$1001,0),1)&gt;=100000,INDEX($O$1005:$Q$1005,1,MATCH(COLUMNS($O$1006:Q1006),$O$1006:$Q$1006,0))&gt;=100000), " ",IF(INDEX($O$2:$Q$1001,MATCH(ROWS($H$2:H985),$H$2:$H$1001,0),MATCH(COLUMNS($O$1006:Q1006),$O$1006:$Q$1006,0)), HYPERLINK("#",""), HYPERLINK(CONCATENATE("#metadata!", ADDRESS(INDEX($J$2:$J$1001,MATCH(ROWS($H$2:H985),$H$2:$H$1001,0),0), INDEX($O$1004:$Q$1004,1,MATCH(COLUMNS($O$1006:Q1006),$O$1006:$Q$1006,0)))),"Fix")))</f>
        <v xml:space="preserve"> </v>
      </c>
      <c r="H985">
        <v>984</v>
      </c>
      <c r="I985">
        <v>100985</v>
      </c>
      <c r="J985">
        <v>985</v>
      </c>
      <c r="K985" t="b">
        <f t="shared" si="15"/>
        <v>1</v>
      </c>
      <c r="L985" t="b">
        <f>COUNTBLANK(metadata!B985:D985)=COLUMNS(metadata!B985:D985)</f>
        <v>1</v>
      </c>
      <c r="M985" t="str">
        <v/>
      </c>
      <c r="O985" t="b">
        <f ca="1"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P985" t="b">
        <f>AND(IF(metadata!C985="",FALSE,TRUE),EXACT(metadata!C985,"mouse gut metagenome"))</f>
        <v>0</v>
      </c>
      <c r="Q985" t="b">
        <f>AND(IF(metadata!D985="",FALSE,TRUE),EXACT(metadata!D985,"410661"))</f>
        <v>0</v>
      </c>
    </row>
    <row r="986" spans="1:17" x14ac:dyDescent="0.2">
      <c r="A986" s="4" t="str">
        <f ca="1">IF(B986=" "," ",HYPERLINK(CONCATENATE("#metadata!",ADDRESS(INDEX($J$2:$J$1001,MATCH(ROWS($H$2:H986),$H$2:$H$1001,0),0),1)),INDEX($M$2:$M$1001,MATCH(ROWS($H$2:H986),$H$2:$H$1001,0),0)))</f>
        <v xml:space="preserve"> </v>
      </c>
      <c r="B986" s="3" t="str">
        <f ca="1">IF(OR(INDEX($I$2:$I$1001,MATCH(ROWS($H$2:H986),$H$2:$H$1001,0),1)&gt;=100000,INDEX($O$1005:$Q$1005,1,MATCH(COLUMNS($O$1006:O1006),$O$1006:$Q$1006,0))&gt;=100000), " ",IF(INDEX($O$2:$Q$1001,MATCH(ROWS($H$2:H986),$H$2:$H$1001,0),MATCH(COLUMNS($O$1006:O1006),$O$1006:$Q$1006,0)), HYPERLINK("#",""), HYPERLINK(CONCATENATE("#metadata!", ADDRESS(INDEX($J$2:$J$1001,MATCH(ROWS($H$2:H986),$H$2:$H$1001,0),0), INDEX($O$1004:$Q$1004,1,MATCH(COLUMNS($O$1006:O1006),$O$1006:$Q$1006,0)))),"Fix")))</f>
        <v xml:space="preserve"> </v>
      </c>
      <c r="C986" s="3" t="str">
        <f ca="1">IF(OR(INDEX($I$2:$I$1001,MATCH(ROWS($H$2:H986),$H$2:$H$1001,0),1)&gt;=100000,INDEX($O$1005:$Q$1005,1,MATCH(COLUMNS($O$1006:P1006),$O$1006:$Q$1006,0))&gt;=100000), " ",IF(INDEX($O$2:$Q$1001,MATCH(ROWS($H$2:H986),$H$2:$H$1001,0),MATCH(COLUMNS($O$1006:P1006),$O$1006:$Q$1006,0)), HYPERLINK("#",""), HYPERLINK(CONCATENATE("#metadata!", ADDRESS(INDEX($J$2:$J$1001,MATCH(ROWS($H$2:H986),$H$2:$H$1001,0),0), INDEX($O$1004:$Q$1004,1,MATCH(COLUMNS($O$1006:P1006),$O$1006:$Q$1006,0)))),"Fix")))</f>
        <v xml:space="preserve"> </v>
      </c>
      <c r="D986" s="3" t="str">
        <f ca="1">IF(OR(INDEX($I$2:$I$1001,MATCH(ROWS($H$2:H986),$H$2:$H$1001,0),1)&gt;=100000,INDEX($O$1005:$Q$1005,1,MATCH(COLUMNS($O$1006:Q1006),$O$1006:$Q$1006,0))&gt;=100000), " ",IF(INDEX($O$2:$Q$1001,MATCH(ROWS($H$2:H986),$H$2:$H$1001,0),MATCH(COLUMNS($O$1006:Q1006),$O$1006:$Q$1006,0)), HYPERLINK("#",""), HYPERLINK(CONCATENATE("#metadata!", ADDRESS(INDEX($J$2:$J$1001,MATCH(ROWS($H$2:H986),$H$2:$H$1001,0),0), INDEX($O$1004:$Q$1004,1,MATCH(COLUMNS($O$1006:Q1006),$O$1006:$Q$1006,0)))),"Fix")))</f>
        <v xml:space="preserve"> </v>
      </c>
      <c r="H986">
        <v>985</v>
      </c>
      <c r="I986">
        <v>100986</v>
      </c>
      <c r="J986">
        <v>986</v>
      </c>
      <c r="K986" t="b">
        <f t="shared" si="15"/>
        <v>1</v>
      </c>
      <c r="L986" t="b">
        <f>COUNTBLANK(metadata!B986:D986)=COLUMNS(metadata!B986:D986)</f>
        <v>1</v>
      </c>
      <c r="M986" t="str">
        <v/>
      </c>
      <c r="O986" t="b">
        <f ca="1"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P986" t="b">
        <f>AND(IF(metadata!C986="",FALSE,TRUE),EXACT(metadata!C986,"mouse gut metagenome"))</f>
        <v>0</v>
      </c>
      <c r="Q986" t="b">
        <f>AND(IF(metadata!D986="",FALSE,TRUE),EXACT(metadata!D986,"410661"))</f>
        <v>0</v>
      </c>
    </row>
    <row r="987" spans="1:17" x14ac:dyDescent="0.2">
      <c r="A987" s="4" t="str">
        <f ca="1">IF(B987=" "," ",HYPERLINK(CONCATENATE("#metadata!",ADDRESS(INDEX($J$2:$J$1001,MATCH(ROWS($H$2:H987),$H$2:$H$1001,0),0),1)),INDEX($M$2:$M$1001,MATCH(ROWS($H$2:H987),$H$2:$H$1001,0),0)))</f>
        <v xml:space="preserve"> </v>
      </c>
      <c r="B987" s="3" t="str">
        <f ca="1">IF(OR(INDEX($I$2:$I$1001,MATCH(ROWS($H$2:H987),$H$2:$H$1001,0),1)&gt;=100000,INDEX($O$1005:$Q$1005,1,MATCH(COLUMNS($O$1006:O1006),$O$1006:$Q$1006,0))&gt;=100000), " ",IF(INDEX($O$2:$Q$1001,MATCH(ROWS($H$2:H987),$H$2:$H$1001,0),MATCH(COLUMNS($O$1006:O1006),$O$1006:$Q$1006,0)), HYPERLINK("#",""), HYPERLINK(CONCATENATE("#metadata!", ADDRESS(INDEX($J$2:$J$1001,MATCH(ROWS($H$2:H987),$H$2:$H$1001,0),0), INDEX($O$1004:$Q$1004,1,MATCH(COLUMNS($O$1006:O1006),$O$1006:$Q$1006,0)))),"Fix")))</f>
        <v xml:space="preserve"> </v>
      </c>
      <c r="C987" s="3" t="str">
        <f ca="1">IF(OR(INDEX($I$2:$I$1001,MATCH(ROWS($H$2:H987),$H$2:$H$1001,0),1)&gt;=100000,INDEX($O$1005:$Q$1005,1,MATCH(COLUMNS($O$1006:P1006),$O$1006:$Q$1006,0))&gt;=100000), " ",IF(INDEX($O$2:$Q$1001,MATCH(ROWS($H$2:H987),$H$2:$H$1001,0),MATCH(COLUMNS($O$1006:P1006),$O$1006:$Q$1006,0)), HYPERLINK("#",""), HYPERLINK(CONCATENATE("#metadata!", ADDRESS(INDEX($J$2:$J$1001,MATCH(ROWS($H$2:H987),$H$2:$H$1001,0),0), INDEX($O$1004:$Q$1004,1,MATCH(COLUMNS($O$1006:P1006),$O$1006:$Q$1006,0)))),"Fix")))</f>
        <v xml:space="preserve"> </v>
      </c>
      <c r="D987" s="3" t="str">
        <f ca="1">IF(OR(INDEX($I$2:$I$1001,MATCH(ROWS($H$2:H987),$H$2:$H$1001,0),1)&gt;=100000,INDEX($O$1005:$Q$1005,1,MATCH(COLUMNS($O$1006:Q1006),$O$1006:$Q$1006,0))&gt;=100000), " ",IF(INDEX($O$2:$Q$1001,MATCH(ROWS($H$2:H987),$H$2:$H$1001,0),MATCH(COLUMNS($O$1006:Q1006),$O$1006:$Q$1006,0)), HYPERLINK("#",""), HYPERLINK(CONCATENATE("#metadata!", ADDRESS(INDEX($J$2:$J$1001,MATCH(ROWS($H$2:H987),$H$2:$H$1001,0),0), INDEX($O$1004:$Q$1004,1,MATCH(COLUMNS($O$1006:Q1006),$O$1006:$Q$1006,0)))),"Fix")))</f>
        <v xml:space="preserve"> </v>
      </c>
      <c r="H987">
        <v>986</v>
      </c>
      <c r="I987">
        <v>100987</v>
      </c>
      <c r="J987">
        <v>987</v>
      </c>
      <c r="K987" t="b">
        <f t="shared" si="15"/>
        <v>1</v>
      </c>
      <c r="L987" t="b">
        <f>COUNTBLANK(metadata!B987:D987)=COLUMNS(metadata!B987:D987)</f>
        <v>1</v>
      </c>
      <c r="M987" t="str">
        <v/>
      </c>
      <c r="O987" t="b">
        <f ca="1"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P987" t="b">
        <f>AND(IF(metadata!C987="",FALSE,TRUE),EXACT(metadata!C987,"mouse gut metagenome"))</f>
        <v>0</v>
      </c>
      <c r="Q987" t="b">
        <f>AND(IF(metadata!D987="",FALSE,TRUE),EXACT(metadata!D987,"410661"))</f>
        <v>0</v>
      </c>
    </row>
    <row r="988" spans="1:17" x14ac:dyDescent="0.2">
      <c r="A988" s="4" t="str">
        <f ca="1">IF(B988=" "," ",HYPERLINK(CONCATENATE("#metadata!",ADDRESS(INDEX($J$2:$J$1001,MATCH(ROWS($H$2:H988),$H$2:$H$1001,0),0),1)),INDEX($M$2:$M$1001,MATCH(ROWS($H$2:H988),$H$2:$H$1001,0),0)))</f>
        <v xml:space="preserve"> </v>
      </c>
      <c r="B988" s="3" t="str">
        <f ca="1">IF(OR(INDEX($I$2:$I$1001,MATCH(ROWS($H$2:H988),$H$2:$H$1001,0),1)&gt;=100000,INDEX($O$1005:$Q$1005,1,MATCH(COLUMNS($O$1006:O1006),$O$1006:$Q$1006,0))&gt;=100000), " ",IF(INDEX($O$2:$Q$1001,MATCH(ROWS($H$2:H988),$H$2:$H$1001,0),MATCH(COLUMNS($O$1006:O1006),$O$1006:$Q$1006,0)), HYPERLINK("#",""), HYPERLINK(CONCATENATE("#metadata!", ADDRESS(INDEX($J$2:$J$1001,MATCH(ROWS($H$2:H988),$H$2:$H$1001,0),0), INDEX($O$1004:$Q$1004,1,MATCH(COLUMNS($O$1006:O1006),$O$1006:$Q$1006,0)))),"Fix")))</f>
        <v xml:space="preserve"> </v>
      </c>
      <c r="C988" s="3" t="str">
        <f ca="1">IF(OR(INDEX($I$2:$I$1001,MATCH(ROWS($H$2:H988),$H$2:$H$1001,0),1)&gt;=100000,INDEX($O$1005:$Q$1005,1,MATCH(COLUMNS($O$1006:P1006),$O$1006:$Q$1006,0))&gt;=100000), " ",IF(INDEX($O$2:$Q$1001,MATCH(ROWS($H$2:H988),$H$2:$H$1001,0),MATCH(COLUMNS($O$1006:P1006),$O$1006:$Q$1006,0)), HYPERLINK("#",""), HYPERLINK(CONCATENATE("#metadata!", ADDRESS(INDEX($J$2:$J$1001,MATCH(ROWS($H$2:H988),$H$2:$H$1001,0),0), INDEX($O$1004:$Q$1004,1,MATCH(COLUMNS($O$1006:P1006),$O$1006:$Q$1006,0)))),"Fix")))</f>
        <v xml:space="preserve"> </v>
      </c>
      <c r="D988" s="3" t="str">
        <f ca="1">IF(OR(INDEX($I$2:$I$1001,MATCH(ROWS($H$2:H988),$H$2:$H$1001,0),1)&gt;=100000,INDEX($O$1005:$Q$1005,1,MATCH(COLUMNS($O$1006:Q1006),$O$1006:$Q$1006,0))&gt;=100000), " ",IF(INDEX($O$2:$Q$1001,MATCH(ROWS($H$2:H988),$H$2:$H$1001,0),MATCH(COLUMNS($O$1006:Q1006),$O$1006:$Q$1006,0)), HYPERLINK("#",""), HYPERLINK(CONCATENATE("#metadata!", ADDRESS(INDEX($J$2:$J$1001,MATCH(ROWS($H$2:H988),$H$2:$H$1001,0),0), INDEX($O$1004:$Q$1004,1,MATCH(COLUMNS($O$1006:Q1006),$O$1006:$Q$1006,0)))),"Fix")))</f>
        <v xml:space="preserve"> </v>
      </c>
      <c r="H988">
        <v>987</v>
      </c>
      <c r="I988">
        <v>100988</v>
      </c>
      <c r="J988">
        <v>988</v>
      </c>
      <c r="K988" t="b">
        <f t="shared" si="15"/>
        <v>1</v>
      </c>
      <c r="L988" t="b">
        <f>COUNTBLANK(metadata!B988:D988)=COLUMNS(metadata!B988:D988)</f>
        <v>1</v>
      </c>
      <c r="M988" t="str">
        <v/>
      </c>
      <c r="O988" t="b">
        <f ca="1"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P988" t="b">
        <f>AND(IF(metadata!C988="",FALSE,TRUE),EXACT(metadata!C988,"mouse gut metagenome"))</f>
        <v>0</v>
      </c>
      <c r="Q988" t="b">
        <f>AND(IF(metadata!D988="",FALSE,TRUE),EXACT(metadata!D988,"410661"))</f>
        <v>0</v>
      </c>
    </row>
    <row r="989" spans="1:17" x14ac:dyDescent="0.2">
      <c r="A989" s="4" t="str">
        <f ca="1">IF(B989=" "," ",HYPERLINK(CONCATENATE("#metadata!",ADDRESS(INDEX($J$2:$J$1001,MATCH(ROWS($H$2:H989),$H$2:$H$1001,0),0),1)),INDEX($M$2:$M$1001,MATCH(ROWS($H$2:H989),$H$2:$H$1001,0),0)))</f>
        <v xml:space="preserve"> </v>
      </c>
      <c r="B989" s="3" t="str">
        <f ca="1">IF(OR(INDEX($I$2:$I$1001,MATCH(ROWS($H$2:H989),$H$2:$H$1001,0),1)&gt;=100000,INDEX($O$1005:$Q$1005,1,MATCH(COLUMNS($O$1006:O1006),$O$1006:$Q$1006,0))&gt;=100000), " ",IF(INDEX($O$2:$Q$1001,MATCH(ROWS($H$2:H989),$H$2:$H$1001,0),MATCH(COLUMNS($O$1006:O1006),$O$1006:$Q$1006,0)), HYPERLINK("#",""), HYPERLINK(CONCATENATE("#metadata!", ADDRESS(INDEX($J$2:$J$1001,MATCH(ROWS($H$2:H989),$H$2:$H$1001,0),0), INDEX($O$1004:$Q$1004,1,MATCH(COLUMNS($O$1006:O1006),$O$1006:$Q$1006,0)))),"Fix")))</f>
        <v xml:space="preserve"> </v>
      </c>
      <c r="C989" s="3" t="str">
        <f ca="1">IF(OR(INDEX($I$2:$I$1001,MATCH(ROWS($H$2:H989),$H$2:$H$1001,0),1)&gt;=100000,INDEX($O$1005:$Q$1005,1,MATCH(COLUMNS($O$1006:P1006),$O$1006:$Q$1006,0))&gt;=100000), " ",IF(INDEX($O$2:$Q$1001,MATCH(ROWS($H$2:H989),$H$2:$H$1001,0),MATCH(COLUMNS($O$1006:P1006),$O$1006:$Q$1006,0)), HYPERLINK("#",""), HYPERLINK(CONCATENATE("#metadata!", ADDRESS(INDEX($J$2:$J$1001,MATCH(ROWS($H$2:H989),$H$2:$H$1001,0),0), INDEX($O$1004:$Q$1004,1,MATCH(COLUMNS($O$1006:P1006),$O$1006:$Q$1006,0)))),"Fix")))</f>
        <v xml:space="preserve"> </v>
      </c>
      <c r="D989" s="3" t="str">
        <f ca="1">IF(OR(INDEX($I$2:$I$1001,MATCH(ROWS($H$2:H989),$H$2:$H$1001,0),1)&gt;=100000,INDEX($O$1005:$Q$1005,1,MATCH(COLUMNS($O$1006:Q1006),$O$1006:$Q$1006,0))&gt;=100000), " ",IF(INDEX($O$2:$Q$1001,MATCH(ROWS($H$2:H989),$H$2:$H$1001,0),MATCH(COLUMNS($O$1006:Q1006),$O$1006:$Q$1006,0)), HYPERLINK("#",""), HYPERLINK(CONCATENATE("#metadata!", ADDRESS(INDEX($J$2:$J$1001,MATCH(ROWS($H$2:H989),$H$2:$H$1001,0),0), INDEX($O$1004:$Q$1004,1,MATCH(COLUMNS($O$1006:Q1006),$O$1006:$Q$1006,0)))),"Fix")))</f>
        <v xml:space="preserve"> </v>
      </c>
      <c r="H989">
        <v>988</v>
      </c>
      <c r="I989">
        <v>100989</v>
      </c>
      <c r="J989">
        <v>989</v>
      </c>
      <c r="K989" t="b">
        <f t="shared" si="15"/>
        <v>1</v>
      </c>
      <c r="L989" t="b">
        <f>COUNTBLANK(metadata!B989:D989)=COLUMNS(metadata!B989:D989)</f>
        <v>1</v>
      </c>
      <c r="M989" t="str">
        <v/>
      </c>
      <c r="O989" t="b">
        <f ca="1"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P989" t="b">
        <f>AND(IF(metadata!C989="",FALSE,TRUE),EXACT(metadata!C989,"mouse gut metagenome"))</f>
        <v>0</v>
      </c>
      <c r="Q989" t="b">
        <f>AND(IF(metadata!D989="",FALSE,TRUE),EXACT(metadata!D989,"410661"))</f>
        <v>0</v>
      </c>
    </row>
    <row r="990" spans="1:17" x14ac:dyDescent="0.2">
      <c r="A990" s="4" t="str">
        <f ca="1">IF(B990=" "," ",HYPERLINK(CONCATENATE("#metadata!",ADDRESS(INDEX($J$2:$J$1001,MATCH(ROWS($H$2:H990),$H$2:$H$1001,0),0),1)),INDEX($M$2:$M$1001,MATCH(ROWS($H$2:H990),$H$2:$H$1001,0),0)))</f>
        <v xml:space="preserve"> </v>
      </c>
      <c r="B990" s="3" t="str">
        <f ca="1">IF(OR(INDEX($I$2:$I$1001,MATCH(ROWS($H$2:H990),$H$2:$H$1001,0),1)&gt;=100000,INDEX($O$1005:$Q$1005,1,MATCH(COLUMNS($O$1006:O1006),$O$1006:$Q$1006,0))&gt;=100000), " ",IF(INDEX($O$2:$Q$1001,MATCH(ROWS($H$2:H990),$H$2:$H$1001,0),MATCH(COLUMNS($O$1006:O1006),$O$1006:$Q$1006,0)), HYPERLINK("#",""), HYPERLINK(CONCATENATE("#metadata!", ADDRESS(INDEX($J$2:$J$1001,MATCH(ROWS($H$2:H990),$H$2:$H$1001,0),0), INDEX($O$1004:$Q$1004,1,MATCH(COLUMNS($O$1006:O1006),$O$1006:$Q$1006,0)))),"Fix")))</f>
        <v xml:space="preserve"> </v>
      </c>
      <c r="C990" s="3" t="str">
        <f ca="1">IF(OR(INDEX($I$2:$I$1001,MATCH(ROWS($H$2:H990),$H$2:$H$1001,0),1)&gt;=100000,INDEX($O$1005:$Q$1005,1,MATCH(COLUMNS($O$1006:P1006),$O$1006:$Q$1006,0))&gt;=100000), " ",IF(INDEX($O$2:$Q$1001,MATCH(ROWS($H$2:H990),$H$2:$H$1001,0),MATCH(COLUMNS($O$1006:P1006),$O$1006:$Q$1006,0)), HYPERLINK("#",""), HYPERLINK(CONCATENATE("#metadata!", ADDRESS(INDEX($J$2:$J$1001,MATCH(ROWS($H$2:H990),$H$2:$H$1001,0),0), INDEX($O$1004:$Q$1004,1,MATCH(COLUMNS($O$1006:P1006),$O$1006:$Q$1006,0)))),"Fix")))</f>
        <v xml:space="preserve"> </v>
      </c>
      <c r="D990" s="3" t="str">
        <f ca="1">IF(OR(INDEX($I$2:$I$1001,MATCH(ROWS($H$2:H990),$H$2:$H$1001,0),1)&gt;=100000,INDEX($O$1005:$Q$1005,1,MATCH(COLUMNS($O$1006:Q1006),$O$1006:$Q$1006,0))&gt;=100000), " ",IF(INDEX($O$2:$Q$1001,MATCH(ROWS($H$2:H990),$H$2:$H$1001,0),MATCH(COLUMNS($O$1006:Q1006),$O$1006:$Q$1006,0)), HYPERLINK("#",""), HYPERLINK(CONCATENATE("#metadata!", ADDRESS(INDEX($J$2:$J$1001,MATCH(ROWS($H$2:H990),$H$2:$H$1001,0),0), INDEX($O$1004:$Q$1004,1,MATCH(COLUMNS($O$1006:Q1006),$O$1006:$Q$1006,0)))),"Fix")))</f>
        <v xml:space="preserve"> </v>
      </c>
      <c r="H990">
        <v>989</v>
      </c>
      <c r="I990">
        <v>100990</v>
      </c>
      <c r="J990">
        <v>990</v>
      </c>
      <c r="K990" t="b">
        <f t="shared" si="15"/>
        <v>1</v>
      </c>
      <c r="L990" t="b">
        <f>COUNTBLANK(metadata!B990:D990)=COLUMNS(metadata!B990:D990)</f>
        <v>1</v>
      </c>
      <c r="M990" t="str">
        <v/>
      </c>
      <c r="O990" t="b">
        <f ca="1"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P990" t="b">
        <f>AND(IF(metadata!C990="",FALSE,TRUE),EXACT(metadata!C990,"mouse gut metagenome"))</f>
        <v>0</v>
      </c>
      <c r="Q990" t="b">
        <f>AND(IF(metadata!D990="",FALSE,TRUE),EXACT(metadata!D990,"410661"))</f>
        <v>0</v>
      </c>
    </row>
    <row r="991" spans="1:17" x14ac:dyDescent="0.2">
      <c r="A991" s="4" t="str">
        <f ca="1">IF(B991=" "," ",HYPERLINK(CONCATENATE("#metadata!",ADDRESS(INDEX($J$2:$J$1001,MATCH(ROWS($H$2:H991),$H$2:$H$1001,0),0),1)),INDEX($M$2:$M$1001,MATCH(ROWS($H$2:H991),$H$2:$H$1001,0),0)))</f>
        <v xml:space="preserve"> </v>
      </c>
      <c r="B991" s="3" t="str">
        <f ca="1">IF(OR(INDEX($I$2:$I$1001,MATCH(ROWS($H$2:H991),$H$2:$H$1001,0),1)&gt;=100000,INDEX($O$1005:$Q$1005,1,MATCH(COLUMNS($O$1006:O1006),$O$1006:$Q$1006,0))&gt;=100000), " ",IF(INDEX($O$2:$Q$1001,MATCH(ROWS($H$2:H991),$H$2:$H$1001,0),MATCH(COLUMNS($O$1006:O1006),$O$1006:$Q$1006,0)), HYPERLINK("#",""), HYPERLINK(CONCATENATE("#metadata!", ADDRESS(INDEX($J$2:$J$1001,MATCH(ROWS($H$2:H991),$H$2:$H$1001,0),0), INDEX($O$1004:$Q$1004,1,MATCH(COLUMNS($O$1006:O1006),$O$1006:$Q$1006,0)))),"Fix")))</f>
        <v xml:space="preserve"> </v>
      </c>
      <c r="C991" s="3" t="str">
        <f ca="1">IF(OR(INDEX($I$2:$I$1001,MATCH(ROWS($H$2:H991),$H$2:$H$1001,0),1)&gt;=100000,INDEX($O$1005:$Q$1005,1,MATCH(COLUMNS($O$1006:P1006),$O$1006:$Q$1006,0))&gt;=100000), " ",IF(INDEX($O$2:$Q$1001,MATCH(ROWS($H$2:H991),$H$2:$H$1001,0),MATCH(COLUMNS($O$1006:P1006),$O$1006:$Q$1006,0)), HYPERLINK("#",""), HYPERLINK(CONCATENATE("#metadata!", ADDRESS(INDEX($J$2:$J$1001,MATCH(ROWS($H$2:H991),$H$2:$H$1001,0),0), INDEX($O$1004:$Q$1004,1,MATCH(COLUMNS($O$1006:P1006),$O$1006:$Q$1006,0)))),"Fix")))</f>
        <v xml:space="preserve"> </v>
      </c>
      <c r="D991" s="3" t="str">
        <f ca="1">IF(OR(INDEX($I$2:$I$1001,MATCH(ROWS($H$2:H991),$H$2:$H$1001,0),1)&gt;=100000,INDEX($O$1005:$Q$1005,1,MATCH(COLUMNS($O$1006:Q1006),$O$1006:$Q$1006,0))&gt;=100000), " ",IF(INDEX($O$2:$Q$1001,MATCH(ROWS($H$2:H991),$H$2:$H$1001,0),MATCH(COLUMNS($O$1006:Q1006),$O$1006:$Q$1006,0)), HYPERLINK("#",""), HYPERLINK(CONCATENATE("#metadata!", ADDRESS(INDEX($J$2:$J$1001,MATCH(ROWS($H$2:H991),$H$2:$H$1001,0),0), INDEX($O$1004:$Q$1004,1,MATCH(COLUMNS($O$1006:Q1006),$O$1006:$Q$1006,0)))),"Fix")))</f>
        <v xml:space="preserve"> </v>
      </c>
      <c r="H991">
        <v>990</v>
      </c>
      <c r="I991">
        <v>100991</v>
      </c>
      <c r="J991">
        <v>991</v>
      </c>
      <c r="K991" t="b">
        <f t="shared" si="15"/>
        <v>1</v>
      </c>
      <c r="L991" t="b">
        <f>COUNTBLANK(metadata!B991:D991)=COLUMNS(metadata!B991:D991)</f>
        <v>1</v>
      </c>
      <c r="M991" t="str">
        <v/>
      </c>
      <c r="O991" t="b">
        <f ca="1"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P991" t="b">
        <f>AND(IF(metadata!C991="",FALSE,TRUE),EXACT(metadata!C991,"mouse gut metagenome"))</f>
        <v>0</v>
      </c>
      <c r="Q991" t="b">
        <f>AND(IF(metadata!D991="",FALSE,TRUE),EXACT(metadata!D991,"410661"))</f>
        <v>0</v>
      </c>
    </row>
    <row r="992" spans="1:17" x14ac:dyDescent="0.2">
      <c r="A992" s="4" t="str">
        <f ca="1">IF(B992=" "," ",HYPERLINK(CONCATENATE("#metadata!",ADDRESS(INDEX($J$2:$J$1001,MATCH(ROWS($H$2:H992),$H$2:$H$1001,0),0),1)),INDEX($M$2:$M$1001,MATCH(ROWS($H$2:H992),$H$2:$H$1001,0),0)))</f>
        <v xml:space="preserve"> </v>
      </c>
      <c r="B992" s="3" t="str">
        <f ca="1">IF(OR(INDEX($I$2:$I$1001,MATCH(ROWS($H$2:H992),$H$2:$H$1001,0),1)&gt;=100000,INDEX($O$1005:$Q$1005,1,MATCH(COLUMNS($O$1006:O1006),$O$1006:$Q$1006,0))&gt;=100000), " ",IF(INDEX($O$2:$Q$1001,MATCH(ROWS($H$2:H992),$H$2:$H$1001,0),MATCH(COLUMNS($O$1006:O1006),$O$1006:$Q$1006,0)), HYPERLINK("#",""), HYPERLINK(CONCATENATE("#metadata!", ADDRESS(INDEX($J$2:$J$1001,MATCH(ROWS($H$2:H992),$H$2:$H$1001,0),0), INDEX($O$1004:$Q$1004,1,MATCH(COLUMNS($O$1006:O1006),$O$1006:$Q$1006,0)))),"Fix")))</f>
        <v xml:space="preserve"> </v>
      </c>
      <c r="C992" s="3" t="str">
        <f ca="1">IF(OR(INDEX($I$2:$I$1001,MATCH(ROWS($H$2:H992),$H$2:$H$1001,0),1)&gt;=100000,INDEX($O$1005:$Q$1005,1,MATCH(COLUMNS($O$1006:P1006),$O$1006:$Q$1006,0))&gt;=100000), " ",IF(INDEX($O$2:$Q$1001,MATCH(ROWS($H$2:H992),$H$2:$H$1001,0),MATCH(COLUMNS($O$1006:P1006),$O$1006:$Q$1006,0)), HYPERLINK("#",""), HYPERLINK(CONCATENATE("#metadata!", ADDRESS(INDEX($J$2:$J$1001,MATCH(ROWS($H$2:H992),$H$2:$H$1001,0),0), INDEX($O$1004:$Q$1004,1,MATCH(COLUMNS($O$1006:P1006),$O$1006:$Q$1006,0)))),"Fix")))</f>
        <v xml:space="preserve"> </v>
      </c>
      <c r="D992" s="3" t="str">
        <f ca="1">IF(OR(INDEX($I$2:$I$1001,MATCH(ROWS($H$2:H992),$H$2:$H$1001,0),1)&gt;=100000,INDEX($O$1005:$Q$1005,1,MATCH(COLUMNS($O$1006:Q1006),$O$1006:$Q$1006,0))&gt;=100000), " ",IF(INDEX($O$2:$Q$1001,MATCH(ROWS($H$2:H992),$H$2:$H$1001,0),MATCH(COLUMNS($O$1006:Q1006),$O$1006:$Q$1006,0)), HYPERLINK("#",""), HYPERLINK(CONCATENATE("#metadata!", ADDRESS(INDEX($J$2:$J$1001,MATCH(ROWS($H$2:H992),$H$2:$H$1001,0),0), INDEX($O$1004:$Q$1004,1,MATCH(COLUMNS($O$1006:Q1006),$O$1006:$Q$1006,0)))),"Fix")))</f>
        <v xml:space="preserve"> </v>
      </c>
      <c r="H992">
        <v>991</v>
      </c>
      <c r="I992">
        <v>100992</v>
      </c>
      <c r="J992">
        <v>992</v>
      </c>
      <c r="K992" t="b">
        <f t="shared" si="15"/>
        <v>1</v>
      </c>
      <c r="L992" t="b">
        <f>COUNTBLANK(metadata!B992:D992)=COLUMNS(metadata!B992:D992)</f>
        <v>1</v>
      </c>
      <c r="M992" t="str">
        <v/>
      </c>
      <c r="O992" t="b">
        <f ca="1"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P992" t="b">
        <f>AND(IF(metadata!C992="",FALSE,TRUE),EXACT(metadata!C992,"mouse gut metagenome"))</f>
        <v>0</v>
      </c>
      <c r="Q992" t="b">
        <f>AND(IF(metadata!D992="",FALSE,TRUE),EXACT(metadata!D992,"410661"))</f>
        <v>0</v>
      </c>
    </row>
    <row r="993" spans="1:17" x14ac:dyDescent="0.2">
      <c r="A993" s="4" t="str">
        <f ca="1">IF(B993=" "," ",HYPERLINK(CONCATENATE("#metadata!",ADDRESS(INDEX($J$2:$J$1001,MATCH(ROWS($H$2:H993),$H$2:$H$1001,0),0),1)),INDEX($M$2:$M$1001,MATCH(ROWS($H$2:H993),$H$2:$H$1001,0),0)))</f>
        <v xml:space="preserve"> </v>
      </c>
      <c r="B993" s="3" t="str">
        <f ca="1">IF(OR(INDEX($I$2:$I$1001,MATCH(ROWS($H$2:H993),$H$2:$H$1001,0),1)&gt;=100000,INDEX($O$1005:$Q$1005,1,MATCH(COLUMNS($O$1006:O1006),$O$1006:$Q$1006,0))&gt;=100000), " ",IF(INDEX($O$2:$Q$1001,MATCH(ROWS($H$2:H993),$H$2:$H$1001,0),MATCH(COLUMNS($O$1006:O1006),$O$1006:$Q$1006,0)), HYPERLINK("#",""), HYPERLINK(CONCATENATE("#metadata!", ADDRESS(INDEX($J$2:$J$1001,MATCH(ROWS($H$2:H993),$H$2:$H$1001,0),0), INDEX($O$1004:$Q$1004,1,MATCH(COLUMNS($O$1006:O1006),$O$1006:$Q$1006,0)))),"Fix")))</f>
        <v xml:space="preserve"> </v>
      </c>
      <c r="C993" s="3" t="str">
        <f ca="1">IF(OR(INDEX($I$2:$I$1001,MATCH(ROWS($H$2:H993),$H$2:$H$1001,0),1)&gt;=100000,INDEX($O$1005:$Q$1005,1,MATCH(COLUMNS($O$1006:P1006),$O$1006:$Q$1006,0))&gt;=100000), " ",IF(INDEX($O$2:$Q$1001,MATCH(ROWS($H$2:H993),$H$2:$H$1001,0),MATCH(COLUMNS($O$1006:P1006),$O$1006:$Q$1006,0)), HYPERLINK("#",""), HYPERLINK(CONCATENATE("#metadata!", ADDRESS(INDEX($J$2:$J$1001,MATCH(ROWS($H$2:H993),$H$2:$H$1001,0),0), INDEX($O$1004:$Q$1004,1,MATCH(COLUMNS($O$1006:P1006),$O$1006:$Q$1006,0)))),"Fix")))</f>
        <v xml:space="preserve"> </v>
      </c>
      <c r="D993" s="3" t="str">
        <f ca="1">IF(OR(INDEX($I$2:$I$1001,MATCH(ROWS($H$2:H993),$H$2:$H$1001,0),1)&gt;=100000,INDEX($O$1005:$Q$1005,1,MATCH(COLUMNS($O$1006:Q1006),$O$1006:$Q$1006,0))&gt;=100000), " ",IF(INDEX($O$2:$Q$1001,MATCH(ROWS($H$2:H993),$H$2:$H$1001,0),MATCH(COLUMNS($O$1006:Q1006),$O$1006:$Q$1006,0)), HYPERLINK("#",""), HYPERLINK(CONCATENATE("#metadata!", ADDRESS(INDEX($J$2:$J$1001,MATCH(ROWS($H$2:H993),$H$2:$H$1001,0),0), INDEX($O$1004:$Q$1004,1,MATCH(COLUMNS($O$1006:Q1006),$O$1006:$Q$1006,0)))),"Fix")))</f>
        <v xml:space="preserve"> </v>
      </c>
      <c r="H993">
        <v>992</v>
      </c>
      <c r="I993">
        <v>100993</v>
      </c>
      <c r="J993">
        <v>993</v>
      </c>
      <c r="K993" t="b">
        <f t="shared" si="15"/>
        <v>1</v>
      </c>
      <c r="L993" t="b">
        <f>COUNTBLANK(metadata!B993:D993)=COLUMNS(metadata!B993:D993)</f>
        <v>1</v>
      </c>
      <c r="M993" t="str">
        <v/>
      </c>
      <c r="O993" t="b">
        <f ca="1"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P993" t="b">
        <f>AND(IF(metadata!C993="",FALSE,TRUE),EXACT(metadata!C993,"mouse gut metagenome"))</f>
        <v>0</v>
      </c>
      <c r="Q993" t="b">
        <f>AND(IF(metadata!D993="",FALSE,TRUE),EXACT(metadata!D993,"410661"))</f>
        <v>0</v>
      </c>
    </row>
    <row r="994" spans="1:17" x14ac:dyDescent="0.2">
      <c r="A994" s="4" t="str">
        <f ca="1">IF(B994=" "," ",HYPERLINK(CONCATENATE("#metadata!",ADDRESS(INDEX($J$2:$J$1001,MATCH(ROWS($H$2:H994),$H$2:$H$1001,0),0),1)),INDEX($M$2:$M$1001,MATCH(ROWS($H$2:H994),$H$2:$H$1001,0),0)))</f>
        <v xml:space="preserve"> </v>
      </c>
      <c r="B994" s="3" t="str">
        <f ca="1">IF(OR(INDEX($I$2:$I$1001,MATCH(ROWS($H$2:H994),$H$2:$H$1001,0),1)&gt;=100000,INDEX($O$1005:$Q$1005,1,MATCH(COLUMNS($O$1006:O1006),$O$1006:$Q$1006,0))&gt;=100000), " ",IF(INDEX($O$2:$Q$1001,MATCH(ROWS($H$2:H994),$H$2:$H$1001,0),MATCH(COLUMNS($O$1006:O1006),$O$1006:$Q$1006,0)), HYPERLINK("#",""), HYPERLINK(CONCATENATE("#metadata!", ADDRESS(INDEX($J$2:$J$1001,MATCH(ROWS($H$2:H994),$H$2:$H$1001,0),0), INDEX($O$1004:$Q$1004,1,MATCH(COLUMNS($O$1006:O1006),$O$1006:$Q$1006,0)))),"Fix")))</f>
        <v xml:space="preserve"> </v>
      </c>
      <c r="C994" s="3" t="str">
        <f ca="1">IF(OR(INDEX($I$2:$I$1001,MATCH(ROWS($H$2:H994),$H$2:$H$1001,0),1)&gt;=100000,INDEX($O$1005:$Q$1005,1,MATCH(COLUMNS($O$1006:P1006),$O$1006:$Q$1006,0))&gt;=100000), " ",IF(INDEX($O$2:$Q$1001,MATCH(ROWS($H$2:H994),$H$2:$H$1001,0),MATCH(COLUMNS($O$1006:P1006),$O$1006:$Q$1006,0)), HYPERLINK("#",""), HYPERLINK(CONCATENATE("#metadata!", ADDRESS(INDEX($J$2:$J$1001,MATCH(ROWS($H$2:H994),$H$2:$H$1001,0),0), INDEX($O$1004:$Q$1004,1,MATCH(COLUMNS($O$1006:P1006),$O$1006:$Q$1006,0)))),"Fix")))</f>
        <v xml:space="preserve"> </v>
      </c>
      <c r="D994" s="3" t="str">
        <f ca="1">IF(OR(INDEX($I$2:$I$1001,MATCH(ROWS($H$2:H994),$H$2:$H$1001,0),1)&gt;=100000,INDEX($O$1005:$Q$1005,1,MATCH(COLUMNS($O$1006:Q1006),$O$1006:$Q$1006,0))&gt;=100000), " ",IF(INDEX($O$2:$Q$1001,MATCH(ROWS($H$2:H994),$H$2:$H$1001,0),MATCH(COLUMNS($O$1006:Q1006),$O$1006:$Q$1006,0)), HYPERLINK("#",""), HYPERLINK(CONCATENATE("#metadata!", ADDRESS(INDEX($J$2:$J$1001,MATCH(ROWS($H$2:H994),$H$2:$H$1001,0),0), INDEX($O$1004:$Q$1004,1,MATCH(COLUMNS($O$1006:Q1006),$O$1006:$Q$1006,0)))),"Fix")))</f>
        <v xml:space="preserve"> </v>
      </c>
      <c r="H994">
        <v>993</v>
      </c>
      <c r="I994">
        <v>100994</v>
      </c>
      <c r="J994">
        <v>994</v>
      </c>
      <c r="K994" t="b">
        <f t="shared" si="15"/>
        <v>1</v>
      </c>
      <c r="L994" t="b">
        <f>COUNTBLANK(metadata!B994:D994)=COLUMNS(metadata!B994:D994)</f>
        <v>1</v>
      </c>
      <c r="M994" t="str">
        <v/>
      </c>
      <c r="O994" t="b">
        <f ca="1"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P994" t="b">
        <f>AND(IF(metadata!C994="",FALSE,TRUE),EXACT(metadata!C994,"mouse gut metagenome"))</f>
        <v>0</v>
      </c>
      <c r="Q994" t="b">
        <f>AND(IF(metadata!D994="",FALSE,TRUE),EXACT(metadata!D994,"410661"))</f>
        <v>0</v>
      </c>
    </row>
    <row r="995" spans="1:17" x14ac:dyDescent="0.2">
      <c r="A995" s="4" t="str">
        <f ca="1">IF(B995=" "," ",HYPERLINK(CONCATENATE("#metadata!",ADDRESS(INDEX($J$2:$J$1001,MATCH(ROWS($H$2:H995),$H$2:$H$1001,0),0),1)),INDEX($M$2:$M$1001,MATCH(ROWS($H$2:H995),$H$2:$H$1001,0),0)))</f>
        <v xml:space="preserve"> </v>
      </c>
      <c r="B995" s="3" t="str">
        <f ca="1">IF(OR(INDEX($I$2:$I$1001,MATCH(ROWS($H$2:H995),$H$2:$H$1001,0),1)&gt;=100000,INDEX($O$1005:$Q$1005,1,MATCH(COLUMNS($O$1006:O1006),$O$1006:$Q$1006,0))&gt;=100000), " ",IF(INDEX($O$2:$Q$1001,MATCH(ROWS($H$2:H995),$H$2:$H$1001,0),MATCH(COLUMNS($O$1006:O1006),$O$1006:$Q$1006,0)), HYPERLINK("#",""), HYPERLINK(CONCATENATE("#metadata!", ADDRESS(INDEX($J$2:$J$1001,MATCH(ROWS($H$2:H995),$H$2:$H$1001,0),0), INDEX($O$1004:$Q$1004,1,MATCH(COLUMNS($O$1006:O1006),$O$1006:$Q$1006,0)))),"Fix")))</f>
        <v xml:space="preserve"> </v>
      </c>
      <c r="C995" s="3" t="str">
        <f ca="1">IF(OR(INDEX($I$2:$I$1001,MATCH(ROWS($H$2:H995),$H$2:$H$1001,0),1)&gt;=100000,INDEX($O$1005:$Q$1005,1,MATCH(COLUMNS($O$1006:P1006),$O$1006:$Q$1006,0))&gt;=100000), " ",IF(INDEX($O$2:$Q$1001,MATCH(ROWS($H$2:H995),$H$2:$H$1001,0),MATCH(COLUMNS($O$1006:P1006),$O$1006:$Q$1006,0)), HYPERLINK("#",""), HYPERLINK(CONCATENATE("#metadata!", ADDRESS(INDEX($J$2:$J$1001,MATCH(ROWS($H$2:H995),$H$2:$H$1001,0),0), INDEX($O$1004:$Q$1004,1,MATCH(COLUMNS($O$1006:P1006),$O$1006:$Q$1006,0)))),"Fix")))</f>
        <v xml:space="preserve"> </v>
      </c>
      <c r="D995" s="3" t="str">
        <f ca="1">IF(OR(INDEX($I$2:$I$1001,MATCH(ROWS($H$2:H995),$H$2:$H$1001,0),1)&gt;=100000,INDEX($O$1005:$Q$1005,1,MATCH(COLUMNS($O$1006:Q1006),$O$1006:$Q$1006,0))&gt;=100000), " ",IF(INDEX($O$2:$Q$1001,MATCH(ROWS($H$2:H995),$H$2:$H$1001,0),MATCH(COLUMNS($O$1006:Q1006),$O$1006:$Q$1006,0)), HYPERLINK("#",""), HYPERLINK(CONCATENATE("#metadata!", ADDRESS(INDEX($J$2:$J$1001,MATCH(ROWS($H$2:H995),$H$2:$H$1001,0),0), INDEX($O$1004:$Q$1004,1,MATCH(COLUMNS($O$1006:Q1006),$O$1006:$Q$1006,0)))),"Fix")))</f>
        <v xml:space="preserve"> </v>
      </c>
      <c r="H995">
        <v>994</v>
      </c>
      <c r="I995">
        <v>100995</v>
      </c>
      <c r="J995">
        <v>995</v>
      </c>
      <c r="K995" t="b">
        <f t="shared" si="15"/>
        <v>1</v>
      </c>
      <c r="L995" t="b">
        <f>COUNTBLANK(metadata!B995:D995)=COLUMNS(metadata!B995:D995)</f>
        <v>1</v>
      </c>
      <c r="M995" t="str">
        <v/>
      </c>
      <c r="O995" t="b">
        <f ca="1"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P995" t="b">
        <f>AND(IF(metadata!C995="",FALSE,TRUE),EXACT(metadata!C995,"mouse gut metagenome"))</f>
        <v>0</v>
      </c>
      <c r="Q995" t="b">
        <f>AND(IF(metadata!D995="",FALSE,TRUE),EXACT(metadata!D995,"410661"))</f>
        <v>0</v>
      </c>
    </row>
    <row r="996" spans="1:17" x14ac:dyDescent="0.2">
      <c r="A996" s="4" t="str">
        <f ca="1">IF(B996=" "," ",HYPERLINK(CONCATENATE("#metadata!",ADDRESS(INDEX($J$2:$J$1001,MATCH(ROWS($H$2:H996),$H$2:$H$1001,0),0),1)),INDEX($M$2:$M$1001,MATCH(ROWS($H$2:H996),$H$2:$H$1001,0),0)))</f>
        <v xml:space="preserve"> </v>
      </c>
      <c r="B996" s="3" t="str">
        <f ca="1">IF(OR(INDEX($I$2:$I$1001,MATCH(ROWS($H$2:H996),$H$2:$H$1001,0),1)&gt;=100000,INDEX($O$1005:$Q$1005,1,MATCH(COLUMNS($O$1006:O1006),$O$1006:$Q$1006,0))&gt;=100000), " ",IF(INDEX($O$2:$Q$1001,MATCH(ROWS($H$2:H996),$H$2:$H$1001,0),MATCH(COLUMNS($O$1006:O1006),$O$1006:$Q$1006,0)), HYPERLINK("#",""), HYPERLINK(CONCATENATE("#metadata!", ADDRESS(INDEX($J$2:$J$1001,MATCH(ROWS($H$2:H996),$H$2:$H$1001,0),0), INDEX($O$1004:$Q$1004,1,MATCH(COLUMNS($O$1006:O1006),$O$1006:$Q$1006,0)))),"Fix")))</f>
        <v xml:space="preserve"> </v>
      </c>
      <c r="C996" s="3" t="str">
        <f ca="1">IF(OR(INDEX($I$2:$I$1001,MATCH(ROWS($H$2:H996),$H$2:$H$1001,0),1)&gt;=100000,INDEX($O$1005:$Q$1005,1,MATCH(COLUMNS($O$1006:P1006),$O$1006:$Q$1006,0))&gt;=100000), " ",IF(INDEX($O$2:$Q$1001,MATCH(ROWS($H$2:H996),$H$2:$H$1001,0),MATCH(COLUMNS($O$1006:P1006),$O$1006:$Q$1006,0)), HYPERLINK("#",""), HYPERLINK(CONCATENATE("#metadata!", ADDRESS(INDEX($J$2:$J$1001,MATCH(ROWS($H$2:H996),$H$2:$H$1001,0),0), INDEX($O$1004:$Q$1004,1,MATCH(COLUMNS($O$1006:P1006),$O$1006:$Q$1006,0)))),"Fix")))</f>
        <v xml:space="preserve"> </v>
      </c>
      <c r="D996" s="3" t="str">
        <f ca="1">IF(OR(INDEX($I$2:$I$1001,MATCH(ROWS($H$2:H996),$H$2:$H$1001,0),1)&gt;=100000,INDEX($O$1005:$Q$1005,1,MATCH(COLUMNS($O$1006:Q1006),$O$1006:$Q$1006,0))&gt;=100000), " ",IF(INDEX($O$2:$Q$1001,MATCH(ROWS($H$2:H996),$H$2:$H$1001,0),MATCH(COLUMNS($O$1006:Q1006),$O$1006:$Q$1006,0)), HYPERLINK("#",""), HYPERLINK(CONCATENATE("#metadata!", ADDRESS(INDEX($J$2:$J$1001,MATCH(ROWS($H$2:H996),$H$2:$H$1001,0),0), INDEX($O$1004:$Q$1004,1,MATCH(COLUMNS($O$1006:Q1006),$O$1006:$Q$1006,0)))),"Fix")))</f>
        <v xml:space="preserve"> </v>
      </c>
      <c r="H996">
        <v>995</v>
      </c>
      <c r="I996">
        <v>100996</v>
      </c>
      <c r="J996">
        <v>996</v>
      </c>
      <c r="K996" t="b">
        <f t="shared" si="15"/>
        <v>1</v>
      </c>
      <c r="L996" t="b">
        <f>COUNTBLANK(metadata!B996:D996)=COLUMNS(metadata!B996:D996)</f>
        <v>1</v>
      </c>
      <c r="M996" t="str">
        <v/>
      </c>
      <c r="O996" t="b">
        <f ca="1"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P996" t="b">
        <f>AND(IF(metadata!C996="",FALSE,TRUE),EXACT(metadata!C996,"mouse gut metagenome"))</f>
        <v>0</v>
      </c>
      <c r="Q996" t="b">
        <f>AND(IF(metadata!D996="",FALSE,TRUE),EXACT(metadata!D996,"410661"))</f>
        <v>0</v>
      </c>
    </row>
    <row r="997" spans="1:17" x14ac:dyDescent="0.2">
      <c r="A997" s="4" t="str">
        <f ca="1">IF(B997=" "," ",HYPERLINK(CONCATENATE("#metadata!",ADDRESS(INDEX($J$2:$J$1001,MATCH(ROWS($H$2:H997),$H$2:$H$1001,0),0),1)),INDEX($M$2:$M$1001,MATCH(ROWS($H$2:H997),$H$2:$H$1001,0),0)))</f>
        <v xml:space="preserve"> </v>
      </c>
      <c r="B997" s="3" t="str">
        <f ca="1">IF(OR(INDEX($I$2:$I$1001,MATCH(ROWS($H$2:H997),$H$2:$H$1001,0),1)&gt;=100000,INDEX($O$1005:$Q$1005,1,MATCH(COLUMNS($O$1006:O1006),$O$1006:$Q$1006,0))&gt;=100000), " ",IF(INDEX($O$2:$Q$1001,MATCH(ROWS($H$2:H997),$H$2:$H$1001,0),MATCH(COLUMNS($O$1006:O1006),$O$1006:$Q$1006,0)), HYPERLINK("#",""), HYPERLINK(CONCATENATE("#metadata!", ADDRESS(INDEX($J$2:$J$1001,MATCH(ROWS($H$2:H997),$H$2:$H$1001,0),0), INDEX($O$1004:$Q$1004,1,MATCH(COLUMNS($O$1006:O1006),$O$1006:$Q$1006,0)))),"Fix")))</f>
        <v xml:space="preserve"> </v>
      </c>
      <c r="C997" s="3" t="str">
        <f ca="1">IF(OR(INDEX($I$2:$I$1001,MATCH(ROWS($H$2:H997),$H$2:$H$1001,0),1)&gt;=100000,INDEX($O$1005:$Q$1005,1,MATCH(COLUMNS($O$1006:P1006),$O$1006:$Q$1006,0))&gt;=100000), " ",IF(INDEX($O$2:$Q$1001,MATCH(ROWS($H$2:H997),$H$2:$H$1001,0),MATCH(COLUMNS($O$1006:P1006),$O$1006:$Q$1006,0)), HYPERLINK("#",""), HYPERLINK(CONCATENATE("#metadata!", ADDRESS(INDEX($J$2:$J$1001,MATCH(ROWS($H$2:H997),$H$2:$H$1001,0),0), INDEX($O$1004:$Q$1004,1,MATCH(COLUMNS($O$1006:P1006),$O$1006:$Q$1006,0)))),"Fix")))</f>
        <v xml:space="preserve"> </v>
      </c>
      <c r="D997" s="3" t="str">
        <f ca="1">IF(OR(INDEX($I$2:$I$1001,MATCH(ROWS($H$2:H997),$H$2:$H$1001,0),1)&gt;=100000,INDEX($O$1005:$Q$1005,1,MATCH(COLUMNS($O$1006:Q1006),$O$1006:$Q$1006,0))&gt;=100000), " ",IF(INDEX($O$2:$Q$1001,MATCH(ROWS($H$2:H997),$H$2:$H$1001,0),MATCH(COLUMNS($O$1006:Q1006),$O$1006:$Q$1006,0)), HYPERLINK("#",""), HYPERLINK(CONCATENATE("#metadata!", ADDRESS(INDEX($J$2:$J$1001,MATCH(ROWS($H$2:H997),$H$2:$H$1001,0),0), INDEX($O$1004:$Q$1004,1,MATCH(COLUMNS($O$1006:Q1006),$O$1006:$Q$1006,0)))),"Fix")))</f>
        <v xml:space="preserve"> </v>
      </c>
      <c r="H997">
        <v>996</v>
      </c>
      <c r="I997">
        <v>100997</v>
      </c>
      <c r="J997">
        <v>997</v>
      </c>
      <c r="K997" t="b">
        <f t="shared" si="15"/>
        <v>1</v>
      </c>
      <c r="L997" t="b">
        <f>COUNTBLANK(metadata!B997:D997)=COLUMNS(metadata!B997:D997)</f>
        <v>1</v>
      </c>
      <c r="M997" t="str">
        <v/>
      </c>
      <c r="O997" t="b">
        <f ca="1"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P997" t="b">
        <f>AND(IF(metadata!C997="",FALSE,TRUE),EXACT(metadata!C997,"mouse gut metagenome"))</f>
        <v>0</v>
      </c>
      <c r="Q997" t="b">
        <f>AND(IF(metadata!D997="",FALSE,TRUE),EXACT(metadata!D997,"410661"))</f>
        <v>0</v>
      </c>
    </row>
    <row r="998" spans="1:17" x14ac:dyDescent="0.2">
      <c r="A998" s="4" t="str">
        <f ca="1">IF(B998=" "," ",HYPERLINK(CONCATENATE("#metadata!",ADDRESS(INDEX($J$2:$J$1001,MATCH(ROWS($H$2:H998),$H$2:$H$1001,0),0),1)),INDEX($M$2:$M$1001,MATCH(ROWS($H$2:H998),$H$2:$H$1001,0),0)))</f>
        <v xml:space="preserve"> </v>
      </c>
      <c r="B998" s="3" t="str">
        <f ca="1">IF(OR(INDEX($I$2:$I$1001,MATCH(ROWS($H$2:H998),$H$2:$H$1001,0),1)&gt;=100000,INDEX($O$1005:$Q$1005,1,MATCH(COLUMNS($O$1006:O1006),$O$1006:$Q$1006,0))&gt;=100000), " ",IF(INDEX($O$2:$Q$1001,MATCH(ROWS($H$2:H998),$H$2:$H$1001,0),MATCH(COLUMNS($O$1006:O1006),$O$1006:$Q$1006,0)), HYPERLINK("#",""), HYPERLINK(CONCATENATE("#metadata!", ADDRESS(INDEX($J$2:$J$1001,MATCH(ROWS($H$2:H998),$H$2:$H$1001,0),0), INDEX($O$1004:$Q$1004,1,MATCH(COLUMNS($O$1006:O1006),$O$1006:$Q$1006,0)))),"Fix")))</f>
        <v xml:space="preserve"> </v>
      </c>
      <c r="C998" s="3" t="str">
        <f ca="1">IF(OR(INDEX($I$2:$I$1001,MATCH(ROWS($H$2:H998),$H$2:$H$1001,0),1)&gt;=100000,INDEX($O$1005:$Q$1005,1,MATCH(COLUMNS($O$1006:P1006),$O$1006:$Q$1006,0))&gt;=100000), " ",IF(INDEX($O$2:$Q$1001,MATCH(ROWS($H$2:H998),$H$2:$H$1001,0),MATCH(COLUMNS($O$1006:P1006),$O$1006:$Q$1006,0)), HYPERLINK("#",""), HYPERLINK(CONCATENATE("#metadata!", ADDRESS(INDEX($J$2:$J$1001,MATCH(ROWS($H$2:H998),$H$2:$H$1001,0),0), INDEX($O$1004:$Q$1004,1,MATCH(COLUMNS($O$1006:P1006),$O$1006:$Q$1006,0)))),"Fix")))</f>
        <v xml:space="preserve"> </v>
      </c>
      <c r="D998" s="3" t="str">
        <f ca="1">IF(OR(INDEX($I$2:$I$1001,MATCH(ROWS($H$2:H998),$H$2:$H$1001,0),1)&gt;=100000,INDEX($O$1005:$Q$1005,1,MATCH(COLUMNS($O$1006:Q1006),$O$1006:$Q$1006,0))&gt;=100000), " ",IF(INDEX($O$2:$Q$1001,MATCH(ROWS($H$2:H998),$H$2:$H$1001,0),MATCH(COLUMNS($O$1006:Q1006),$O$1006:$Q$1006,0)), HYPERLINK("#",""), HYPERLINK(CONCATENATE("#metadata!", ADDRESS(INDEX($J$2:$J$1001,MATCH(ROWS($H$2:H998),$H$2:$H$1001,0),0), INDEX($O$1004:$Q$1004,1,MATCH(COLUMNS($O$1006:Q1006),$O$1006:$Q$1006,0)))),"Fix")))</f>
        <v xml:space="preserve"> </v>
      </c>
      <c r="H998">
        <v>997</v>
      </c>
      <c r="I998">
        <v>100998</v>
      </c>
      <c r="J998">
        <v>998</v>
      </c>
      <c r="K998" t="b">
        <f t="shared" si="15"/>
        <v>1</v>
      </c>
      <c r="L998" t="b">
        <f>COUNTBLANK(metadata!B998:D998)=COLUMNS(metadata!B998:D998)</f>
        <v>1</v>
      </c>
      <c r="M998" t="str">
        <v/>
      </c>
      <c r="O998" t="b">
        <f ca="1"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P998" t="b">
        <f>AND(IF(metadata!C998="",FALSE,TRUE),EXACT(metadata!C998,"mouse gut metagenome"))</f>
        <v>0</v>
      </c>
      <c r="Q998" t="b">
        <f>AND(IF(metadata!D998="",FALSE,TRUE),EXACT(metadata!D998,"410661"))</f>
        <v>0</v>
      </c>
    </row>
    <row r="999" spans="1:17" x14ac:dyDescent="0.2">
      <c r="A999" s="4" t="str">
        <f ca="1">IF(B999=" "," ",HYPERLINK(CONCATENATE("#metadata!",ADDRESS(INDEX($J$2:$J$1001,MATCH(ROWS($H$2:H999),$H$2:$H$1001,0),0),1)),INDEX($M$2:$M$1001,MATCH(ROWS($H$2:H999),$H$2:$H$1001,0),0)))</f>
        <v xml:space="preserve"> </v>
      </c>
      <c r="B999" s="3" t="str">
        <f ca="1">IF(OR(INDEX($I$2:$I$1001,MATCH(ROWS($H$2:H999),$H$2:$H$1001,0),1)&gt;=100000,INDEX($O$1005:$Q$1005,1,MATCH(COLUMNS($O$1006:O1006),$O$1006:$Q$1006,0))&gt;=100000), " ",IF(INDEX($O$2:$Q$1001,MATCH(ROWS($H$2:H999),$H$2:$H$1001,0),MATCH(COLUMNS($O$1006:O1006),$O$1006:$Q$1006,0)), HYPERLINK("#",""), HYPERLINK(CONCATENATE("#metadata!", ADDRESS(INDEX($J$2:$J$1001,MATCH(ROWS($H$2:H999),$H$2:$H$1001,0),0), INDEX($O$1004:$Q$1004,1,MATCH(COLUMNS($O$1006:O1006),$O$1006:$Q$1006,0)))),"Fix")))</f>
        <v xml:space="preserve"> </v>
      </c>
      <c r="C999" s="3" t="str">
        <f ca="1">IF(OR(INDEX($I$2:$I$1001,MATCH(ROWS($H$2:H999),$H$2:$H$1001,0),1)&gt;=100000,INDEX($O$1005:$Q$1005,1,MATCH(COLUMNS($O$1006:P1006),$O$1006:$Q$1006,0))&gt;=100000), " ",IF(INDEX($O$2:$Q$1001,MATCH(ROWS($H$2:H999),$H$2:$H$1001,0),MATCH(COLUMNS($O$1006:P1006),$O$1006:$Q$1006,0)), HYPERLINK("#",""), HYPERLINK(CONCATENATE("#metadata!", ADDRESS(INDEX($J$2:$J$1001,MATCH(ROWS($H$2:H999),$H$2:$H$1001,0),0), INDEX($O$1004:$Q$1004,1,MATCH(COLUMNS($O$1006:P1006),$O$1006:$Q$1006,0)))),"Fix")))</f>
        <v xml:space="preserve"> </v>
      </c>
      <c r="D999" s="3" t="str">
        <f ca="1">IF(OR(INDEX($I$2:$I$1001,MATCH(ROWS($H$2:H999),$H$2:$H$1001,0),1)&gt;=100000,INDEX($O$1005:$Q$1005,1,MATCH(COLUMNS($O$1006:Q1006),$O$1006:$Q$1006,0))&gt;=100000), " ",IF(INDEX($O$2:$Q$1001,MATCH(ROWS($H$2:H999),$H$2:$H$1001,0),MATCH(COLUMNS($O$1006:Q1006),$O$1006:$Q$1006,0)), HYPERLINK("#",""), HYPERLINK(CONCATENATE("#metadata!", ADDRESS(INDEX($J$2:$J$1001,MATCH(ROWS($H$2:H999),$H$2:$H$1001,0),0), INDEX($O$1004:$Q$1004,1,MATCH(COLUMNS($O$1006:Q1006),$O$1006:$Q$1006,0)))),"Fix")))</f>
        <v xml:space="preserve"> </v>
      </c>
      <c r="H999">
        <v>998</v>
      </c>
      <c r="I999">
        <v>100999</v>
      </c>
      <c r="J999">
        <v>999</v>
      </c>
      <c r="K999" t="b">
        <f t="shared" si="15"/>
        <v>1</v>
      </c>
      <c r="L999" t="b">
        <f>COUNTBLANK(metadata!B999:D999)=COLUMNS(metadata!B999:D999)</f>
        <v>1</v>
      </c>
      <c r="M999" t="str">
        <v/>
      </c>
      <c r="O999" t="b">
        <f ca="1"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P999" t="b">
        <f>AND(IF(metadata!C999="",FALSE,TRUE),EXACT(metadata!C999,"mouse gut metagenome"))</f>
        <v>0</v>
      </c>
      <c r="Q999" t="b">
        <f>AND(IF(metadata!D999="",FALSE,TRUE),EXACT(metadata!D999,"410661"))</f>
        <v>0</v>
      </c>
    </row>
    <row r="1000" spans="1:17" x14ac:dyDescent="0.2">
      <c r="A1000" s="4" t="str">
        <f ca="1">IF(B1000=" "," ",HYPERLINK(CONCATENATE("#metadata!",ADDRESS(INDEX($J$2:$J$1001,MATCH(ROWS($H$2:H1000),$H$2:$H$1001,0),0),1)),INDEX($M$2:$M$1001,MATCH(ROWS($H$2:H1000),$H$2:$H$1001,0),0)))</f>
        <v xml:space="preserve"> </v>
      </c>
      <c r="B1000" s="3" t="str">
        <f ca="1">IF(OR(INDEX($I$2:$I$1001,MATCH(ROWS($H$2:H1000),$H$2:$H$1001,0),1)&gt;=100000,INDEX($O$1005:$Q$1005,1,MATCH(COLUMNS($O$1006:O1006),$O$1006:$Q$1006,0))&gt;=100000), " ",IF(INDEX($O$2:$Q$1001,MATCH(ROWS($H$2:H1000),$H$2:$H$1001,0),MATCH(COLUMNS($O$1006:O1006),$O$1006:$Q$1006,0)), HYPERLINK("#",""), HYPERLINK(CONCATENATE("#metadata!", ADDRESS(INDEX($J$2:$J$1001,MATCH(ROWS($H$2:H1000),$H$2:$H$1001,0),0), INDEX($O$1004:$Q$1004,1,MATCH(COLUMNS($O$1006:O1006),$O$1006:$Q$1006,0)))),"Fix")))</f>
        <v xml:space="preserve"> </v>
      </c>
      <c r="C1000" s="3" t="str">
        <f ca="1">IF(OR(INDEX($I$2:$I$1001,MATCH(ROWS($H$2:H1000),$H$2:$H$1001,0),1)&gt;=100000,INDEX($O$1005:$Q$1005,1,MATCH(COLUMNS($O$1006:P1006),$O$1006:$Q$1006,0))&gt;=100000), " ",IF(INDEX($O$2:$Q$1001,MATCH(ROWS($H$2:H1000),$H$2:$H$1001,0),MATCH(COLUMNS($O$1006:P1006),$O$1006:$Q$1006,0)), HYPERLINK("#",""), HYPERLINK(CONCATENATE("#metadata!", ADDRESS(INDEX($J$2:$J$1001,MATCH(ROWS($H$2:H1000),$H$2:$H$1001,0),0), INDEX($O$1004:$Q$1004,1,MATCH(COLUMNS($O$1006:P1006),$O$1006:$Q$1006,0)))),"Fix")))</f>
        <v xml:space="preserve"> </v>
      </c>
      <c r="D1000" s="3" t="str">
        <f ca="1">IF(OR(INDEX($I$2:$I$1001,MATCH(ROWS($H$2:H1000),$H$2:$H$1001,0),1)&gt;=100000,INDEX($O$1005:$Q$1005,1,MATCH(COLUMNS($O$1006:Q1006),$O$1006:$Q$1006,0))&gt;=100000), " ",IF(INDEX($O$2:$Q$1001,MATCH(ROWS($H$2:H1000),$H$2:$H$1001,0),MATCH(COLUMNS($O$1006:Q1006),$O$1006:$Q$1006,0)), HYPERLINK("#",""), HYPERLINK(CONCATENATE("#metadata!", ADDRESS(INDEX($J$2:$J$1001,MATCH(ROWS($H$2:H1000),$H$2:$H$1001,0),0), INDEX($O$1004:$Q$1004,1,MATCH(COLUMNS($O$1006:Q1006),$O$1006:$Q$1006,0)))),"Fix")))</f>
        <v xml:space="preserve"> </v>
      </c>
      <c r="H1000">
        <v>999</v>
      </c>
      <c r="I1000">
        <v>101000</v>
      </c>
      <c r="J1000">
        <v>1000</v>
      </c>
      <c r="K1000" t="b">
        <f t="shared" si="15"/>
        <v>1</v>
      </c>
      <c r="L1000" t="b">
        <f>COUNTBLANK(metadata!B1000:D1000)=COLUMNS(metadata!B1000:D1000)</f>
        <v>1</v>
      </c>
      <c r="M1000" t="str">
        <v/>
      </c>
      <c r="O1000" t="b">
        <f ca="1"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P1000" t="b">
        <f>AND(IF(metadata!C1000="",FALSE,TRUE),EXACT(metadata!C1000,"mouse gut metagenome"))</f>
        <v>0</v>
      </c>
      <c r="Q1000" t="b">
        <f>AND(IF(metadata!D1000="",FALSE,TRUE),EXACT(metadata!D1000,"410661"))</f>
        <v>0</v>
      </c>
    </row>
    <row r="1001" spans="1:17" x14ac:dyDescent="0.2">
      <c r="A1001" s="4" t="str">
        <f ca="1">IF(B1001=" "," ",HYPERLINK(CONCATENATE("#metadata!",ADDRESS(INDEX($J$2:$J$1001,MATCH(ROWS($H$2:H1001),$H$2:$H$1001,0),0),1)),INDEX($M$2:$M$1001,MATCH(ROWS($H$2:H1001),$H$2:$H$1001,0),0)))</f>
        <v xml:space="preserve"> </v>
      </c>
      <c r="B1001" s="3" t="str">
        <f ca="1">IF(OR(INDEX($I$2:$I$1001,MATCH(ROWS($H$2:H1001),$H$2:$H$1001,0),1)&gt;=100000,INDEX($O$1005:$Q$1005,1,MATCH(COLUMNS($O$1006:O1006),$O$1006:$Q$1006,0))&gt;=100000), " ",IF(INDEX($O$2:$Q$1001,MATCH(ROWS($H$2:H1001),$H$2:$H$1001,0),MATCH(COLUMNS($O$1006:O1006),$O$1006:$Q$1006,0)), HYPERLINK("#",""), HYPERLINK(CONCATENATE("#metadata!", ADDRESS(INDEX($J$2:$J$1001,MATCH(ROWS($H$2:H1001),$H$2:$H$1001,0),0), INDEX($O$1004:$Q$1004,1,MATCH(COLUMNS($O$1006:O1006),$O$1006:$Q$1006,0)))),"Fix")))</f>
        <v xml:space="preserve"> </v>
      </c>
      <c r="C1001" s="3" t="str">
        <f ca="1">IF(OR(INDEX($I$2:$I$1001,MATCH(ROWS($H$2:H1001),$H$2:$H$1001,0),1)&gt;=100000,INDEX($O$1005:$Q$1005,1,MATCH(COLUMNS($O$1006:P1006),$O$1006:$Q$1006,0))&gt;=100000), " ",IF(INDEX($O$2:$Q$1001,MATCH(ROWS($H$2:H1001),$H$2:$H$1001,0),MATCH(COLUMNS($O$1006:P1006),$O$1006:$Q$1006,0)), HYPERLINK("#",""), HYPERLINK(CONCATENATE("#metadata!", ADDRESS(INDEX($J$2:$J$1001,MATCH(ROWS($H$2:H1001),$H$2:$H$1001,0),0), INDEX($O$1004:$Q$1004,1,MATCH(COLUMNS($O$1006:P1006),$O$1006:$Q$1006,0)))),"Fix")))</f>
        <v xml:space="preserve"> </v>
      </c>
      <c r="D1001" s="3" t="str">
        <f ca="1">IF(OR(INDEX($I$2:$I$1001,MATCH(ROWS($H$2:H1001),$H$2:$H$1001,0),1)&gt;=100000,INDEX($O$1005:$Q$1005,1,MATCH(COLUMNS($O$1006:Q1006),$O$1006:$Q$1006,0))&gt;=100000), " ",IF(INDEX($O$2:$Q$1001,MATCH(ROWS($H$2:H1001),$H$2:$H$1001,0),MATCH(COLUMNS($O$1006:Q1006),$O$1006:$Q$1006,0)), HYPERLINK("#",""), HYPERLINK(CONCATENATE("#metadata!", ADDRESS(INDEX($J$2:$J$1001,MATCH(ROWS($H$2:H1001),$H$2:$H$1001,0),0), INDEX($O$1004:$Q$1004,1,MATCH(COLUMNS($O$1006:Q1006),$O$1006:$Q$1006,0)))),"Fix")))</f>
        <v xml:space="preserve"> </v>
      </c>
      <c r="H1001">
        <v>1000</v>
      </c>
      <c r="I1001">
        <v>101001</v>
      </c>
      <c r="J1001">
        <v>1001</v>
      </c>
      <c r="K1001" t="b">
        <f t="shared" si="15"/>
        <v>1</v>
      </c>
      <c r="L1001" t="b">
        <f>COUNTBLANK(metadata!B1001:D1001)=COLUMNS(metadata!B1001:D1001)</f>
        <v>1</v>
      </c>
      <c r="M1001" t="str">
        <v/>
      </c>
      <c r="O1001" t="b">
        <f ca="1"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P1001" t="b">
        <f>AND(IF(metadata!C1001="",FALSE,TRUE),EXACT(metadata!C1001,"mouse gut metagenome"))</f>
        <v>0</v>
      </c>
      <c r="Q1001" t="b">
        <f>AND(IF(metadata!D1001="",FALSE,TRUE),EXACT(metadata!D1001,"410661"))</f>
        <v>0</v>
      </c>
    </row>
    <row r="1003" spans="1:17" x14ac:dyDescent="0.2">
      <c r="N1003" s="2" t="s">
        <v>10</v>
      </c>
      <c r="O1003" t="b">
        <f t="array" aca="1" ref="O1003" ca="1">AND(IF($L2:$L1001,TRUE,O2:O1001))</f>
        <v>1</v>
      </c>
      <c r="P1003" t="b">
        <f t="array" ref="P1003">AND(IF($L2:$L1001,TRUE,P2:P1001))</f>
        <v>1</v>
      </c>
      <c r="Q1003" t="b">
        <f t="array" ref="Q1003">AND(IF($L2:$L1001,TRUE,Q2:Q1001))</f>
        <v>1</v>
      </c>
    </row>
    <row r="1004" spans="1:17" x14ac:dyDescent="0.2">
      <c r="N1004" s="2" t="s">
        <v>11</v>
      </c>
      <c r="O1004">
        <f t="array" ref="O1004:Q1004">COLUMN(metadata!B1004:D1004)</f>
        <v>2</v>
      </c>
      <c r="P1004">
        <v>3</v>
      </c>
      <c r="Q1004">
        <v>4</v>
      </c>
    </row>
    <row r="1005" spans="1:17" x14ac:dyDescent="0.2">
      <c r="N1005" s="2" t="s">
        <v>12</v>
      </c>
      <c r="O1005">
        <f t="array" ref="O1005:Q1005" ca="1">INT(O1003:Q1003)*100000+$O$1004:$Q$1004</f>
        <v>100002</v>
      </c>
      <c r="P1005">
        <v>100003</v>
      </c>
      <c r="Q1005">
        <v>100004</v>
      </c>
    </row>
    <row r="1006" spans="1:17" x14ac:dyDescent="0.2">
      <c r="N1006" s="2" t="s">
        <v>13</v>
      </c>
      <c r="O1006">
        <f t="array" aca="1" ref="O1006:Q1006" ca="1">COUNTIF($O1005:$Q1005,"&lt;="&amp;O$1005:Q1005)</f>
        <v>1</v>
      </c>
      <c r="P1006">
        <f ca="1"/>
        <v>2</v>
      </c>
      <c r="Q1006">
        <f ca="1"/>
        <v>3</v>
      </c>
    </row>
  </sheetData>
  <sheetProtection sheet="1" objects="1" scenarios="1"/>
  <conditionalFormatting sqref="B2:D1001">
    <cfRule type="cellIs" dxfId="1" priority="1" operator="equal">
      <formula>""</formula>
    </cfRule>
    <cfRule type="cellIs" dxfId="0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2" x14ac:dyDescent="0.2">
      <c r="A1" s="2" t="s">
        <v>14</v>
      </c>
      <c r="B1" s="2" t="s">
        <v>15</v>
      </c>
    </row>
    <row r="2" spans="1:2" x14ac:dyDescent="0.2">
      <c r="A2" s="2" t="s">
        <v>1</v>
      </c>
      <c r="B2" t="s">
        <v>16</v>
      </c>
    </row>
    <row r="3" spans="1:2" x14ac:dyDescent="0.2">
      <c r="A3" s="2" t="s">
        <v>3</v>
      </c>
      <c r="B3" t="s">
        <v>17</v>
      </c>
    </row>
    <row r="4" spans="1:2" x14ac:dyDescent="0.2">
      <c r="A4" s="2" t="s">
        <v>4</v>
      </c>
      <c r="B4" t="s">
        <v>18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x14ac:dyDescent="0.2">
      <c r="A1" t="s">
        <v>19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x14ac:dyDescent="0.2">
      <c r="A1" t="s">
        <v>20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sheetData>
    <row r="1" spans="1:1" x14ac:dyDescent="0.2">
      <c r="A1" t="s">
        <v>21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2018-01-05T19:13:38Z</dcterms:created>
  <dcterms:modified xsi:type="dcterms:W3CDTF">2018-01-05T19:19:38Z</dcterms:modified>
</cp:coreProperties>
</file>